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25200" windowHeight="10788" activeTab="3"/>
  </bookViews>
  <sheets>
    <sheet name="Jurisdictional Study" sheetId="12" r:id="rId1"/>
    <sheet name="Functional Assignment" sheetId="1" r:id="rId2"/>
    <sheet name="Summary SJB Exhibit" sheetId="30" r:id="rId3"/>
    <sheet name="Allocation ProForma" sheetId="2" r:id="rId4"/>
    <sheet name="Summary of Returns" sheetId="23" r:id="rId5"/>
    <sheet name="Billing Det" sheetId="8" r:id="rId6"/>
    <sheet name="RS Unit Costs" sheetId="14" r:id="rId7"/>
    <sheet name="GS Unit Costs" sheetId="27" r:id="rId8"/>
    <sheet name="AES Unit Costs" sheetId="29" r:id="rId9"/>
    <sheet name="PSS Unit Costs" sheetId="17" r:id="rId10"/>
    <sheet name="PSP Unit Costs" sheetId="19" r:id="rId11"/>
    <sheet name="TODS Unit Costs" sheetId="20" r:id="rId12"/>
    <sheet name="TODP Unit Costs" sheetId="21" r:id="rId13"/>
    <sheet name="RTS Unit Costs" sheetId="25" r:id="rId14"/>
    <sheet name="FLS Unit Costs" sheetId="26" r:id="rId15"/>
    <sheet name="Meters" sheetId="6" r:id="rId16"/>
    <sheet name="Services" sheetId="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" localSheetId="8">[1]EGSplit!#REF!</definedName>
    <definedName name="\" localSheetId="14">[1]EGSplit!#REF!</definedName>
    <definedName name="\" localSheetId="7">[1]EGSplit!#REF!</definedName>
    <definedName name="\" localSheetId="10">[1]EGSplit!#REF!</definedName>
    <definedName name="\" localSheetId="9">[1]EGSplit!#REF!</definedName>
    <definedName name="\" localSheetId="13">[1]EGSplit!#REF!</definedName>
    <definedName name="\" localSheetId="2">[1]EGSplit!#REF!</definedName>
    <definedName name="\" localSheetId="12">[1]EGSplit!#REF!</definedName>
    <definedName name="\" localSheetId="11">[1]EGSplit!#REF!</definedName>
    <definedName name="\">[1]EGSplit!#REF!</definedName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8" hidden="1">#REF!</definedName>
    <definedName name="\\\\" localSheetId="14" hidden="1">#REF!</definedName>
    <definedName name="\\\\" localSheetId="7" hidden="1">#REF!</definedName>
    <definedName name="\\\\" localSheetId="10" hidden="1">#REF!</definedName>
    <definedName name="\\\\" localSheetId="9" hidden="1">#REF!</definedName>
    <definedName name="\\\\" localSheetId="13" hidden="1">#REF!</definedName>
    <definedName name="\\\\" localSheetId="2" hidden="1">#REF!</definedName>
    <definedName name="\\\\" localSheetId="12" hidden="1">#REF!</definedName>
    <definedName name="\\\\" localSheetId="11" hidden="1">#REF!</definedName>
    <definedName name="\\\\" hidden="1">#REF!</definedName>
    <definedName name="\0" localSheetId="2">#REF!</definedName>
    <definedName name="\0">#REF!</definedName>
    <definedName name="\A" localSheetId="2">#REF!</definedName>
    <definedName name="\A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M" localSheetId="2">#REF!</definedName>
    <definedName name="\M">#REF!</definedName>
    <definedName name="\P" localSheetId="8">[2]dbase!#REF!</definedName>
    <definedName name="\P" localSheetId="14">[2]dbase!#REF!</definedName>
    <definedName name="\P" localSheetId="7">[2]dbase!#REF!</definedName>
    <definedName name="\P" localSheetId="10">[2]dbase!#REF!</definedName>
    <definedName name="\P" localSheetId="9">[2]dbase!#REF!</definedName>
    <definedName name="\P" localSheetId="13">[2]dbase!#REF!</definedName>
    <definedName name="\P" localSheetId="2">[2]dbase!#REF!</definedName>
    <definedName name="\P" localSheetId="12">[2]dbase!#REF!</definedName>
    <definedName name="\P" localSheetId="11">[2]dbase!#REF!</definedName>
    <definedName name="\P">[2]dbase!#REF!</definedName>
    <definedName name="\R" localSheetId="8">#REF!</definedName>
    <definedName name="\R" localSheetId="14">#REF!</definedName>
    <definedName name="\R" localSheetId="7">#REF!</definedName>
    <definedName name="\R" localSheetId="10">#REF!</definedName>
    <definedName name="\R" localSheetId="9">#REF!</definedName>
    <definedName name="\R" localSheetId="13">#REF!</definedName>
    <definedName name="\R" localSheetId="2">#REF!</definedName>
    <definedName name="\R" localSheetId="12">#REF!</definedName>
    <definedName name="\R" localSheetId="11">#REF!</definedName>
    <definedName name="\R">#REF!</definedName>
    <definedName name="\S" localSheetId="8">[2]dbase!#REF!</definedName>
    <definedName name="\S" localSheetId="14">[2]dbase!#REF!</definedName>
    <definedName name="\S" localSheetId="7">[2]dbase!#REF!</definedName>
    <definedName name="\S" localSheetId="10">[2]dbase!#REF!</definedName>
    <definedName name="\S" localSheetId="9">[2]dbase!#REF!</definedName>
    <definedName name="\S" localSheetId="13">[2]dbase!#REF!</definedName>
    <definedName name="\S" localSheetId="2">[2]dbase!#REF!</definedName>
    <definedName name="\S" localSheetId="12">[2]dbase!#REF!</definedName>
    <definedName name="\S" localSheetId="11">[2]dbase!#REF!</definedName>
    <definedName name="\S">[2]dbase!#REF!</definedName>
    <definedName name="\T" localSheetId="2">#REF!</definedName>
    <definedName name="\T">#REF!</definedName>
    <definedName name="\Y" localSheetId="8">[3]d20!#REF!</definedName>
    <definedName name="\Y" localSheetId="14">[3]d20!#REF!</definedName>
    <definedName name="\Y" localSheetId="7">[3]d20!#REF!</definedName>
    <definedName name="\Y" localSheetId="10">[3]d20!#REF!</definedName>
    <definedName name="\Y" localSheetId="9">[3]d20!#REF!</definedName>
    <definedName name="\Y" localSheetId="13">[3]d20!#REF!</definedName>
    <definedName name="\Y" localSheetId="2">[3]d20!#REF!</definedName>
    <definedName name="\Y" localSheetId="12">[3]d20!#REF!</definedName>
    <definedName name="\Y" localSheetId="11">[3]d20!#REF!</definedName>
    <definedName name="\Y">[3]d20!#REF!</definedName>
    <definedName name="__123Graph_A" localSheetId="2" hidden="1">#REF!</definedName>
    <definedName name="__123Graph_A" hidden="1">#REF!</definedName>
    <definedName name="__123Graph_B" localSheetId="2" hidden="1">#REF!</definedName>
    <definedName name="__123Graph_B" hidden="1">#REF!</definedName>
    <definedName name="__123Graph_C" localSheetId="8" hidden="1">#REF!</definedName>
    <definedName name="__123Graph_C" localSheetId="14" hidden="1">#REF!</definedName>
    <definedName name="__123Graph_C" localSheetId="7" hidden="1">#REF!</definedName>
    <definedName name="__123Graph_C" localSheetId="10" hidden="1">#REF!</definedName>
    <definedName name="__123Graph_C" localSheetId="9" hidden="1">#REF!</definedName>
    <definedName name="__123Graph_C" localSheetId="13" hidden="1">#REF!</definedName>
    <definedName name="__123Graph_C" localSheetId="2" hidden="1">#REF!</definedName>
    <definedName name="__123Graph_C" localSheetId="12" hidden="1">#REF!</definedName>
    <definedName name="__123Graph_C" localSheetId="11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8" hidden="1">#REF!</definedName>
    <definedName name="__123Graph_E" localSheetId="14" hidden="1">#REF!</definedName>
    <definedName name="__123Graph_E" localSheetId="7" hidden="1">#REF!</definedName>
    <definedName name="__123Graph_E" localSheetId="10" hidden="1">#REF!</definedName>
    <definedName name="__123Graph_E" localSheetId="9" hidden="1">#REF!</definedName>
    <definedName name="__123Graph_E" localSheetId="13" hidden="1">#REF!</definedName>
    <definedName name="__123Graph_E" localSheetId="2" hidden="1">#REF!</definedName>
    <definedName name="__123Graph_E" localSheetId="12" hidden="1">#REF!</definedName>
    <definedName name="__123Graph_E" localSheetId="11" hidden="1">#REF!</definedName>
    <definedName name="__123Graph_E" hidden="1">#REF!</definedName>
    <definedName name="__123Graph_F" localSheetId="2" hidden="1">#REF!</definedName>
    <definedName name="__123Graph_F" hidden="1">#REF!</definedName>
    <definedName name="__123Graph_X" localSheetId="2" hidden="1">#REF!</definedName>
    <definedName name="__123Graph_X" hidden="1">#REF!</definedName>
    <definedName name="_10NON_UTILITY" localSheetId="2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 localSheetId="2">#REF!</definedName>
    <definedName name="_1GAS_FINANCING">#REF!</definedName>
    <definedName name="_2NON_UTILITY" localSheetId="8">#REF!</definedName>
    <definedName name="_3NON_UTILITY" localSheetId="14">#REF!</definedName>
    <definedName name="_4NON_UTILITY" localSheetId="7">#REF!</definedName>
    <definedName name="_5NON_UTILITY" localSheetId="10">#REF!</definedName>
    <definedName name="_6NON_UTILITY" localSheetId="9">#REF!</definedName>
    <definedName name="_7NON_UTILITY" localSheetId="13">#REF!</definedName>
    <definedName name="_8NON_UTILITY" localSheetId="12">#REF!</definedName>
    <definedName name="_9NON_UTILITY" localSheetId="11">#REF!</definedName>
    <definedName name="_xlnm._FilterDatabase" localSheetId="3" hidden="1">'Allocation ProForma'!$D$2:$E$1064</definedName>
    <definedName name="_xlnm._FilterDatabase" localSheetId="1" hidden="1">'Functional Assignment'!$C$1:$C$664</definedName>
    <definedName name="_xlnm._FilterDatabase" localSheetId="2" hidden="1">'Summary SJB Exhibit'!$D$2:$E$136</definedName>
    <definedName name="_may1" localSheetId="2">#REF!</definedName>
    <definedName name="_may1">#REF!</definedName>
    <definedName name="_Order1" hidden="1">0</definedName>
    <definedName name="_Order2" hidden="1">0</definedName>
    <definedName name="_P" localSheetId="8">#REF!</definedName>
    <definedName name="_P" localSheetId="14">#REF!</definedName>
    <definedName name="_P" localSheetId="7">#REF!</definedName>
    <definedName name="_P" localSheetId="10">#REF!</definedName>
    <definedName name="_P" localSheetId="9">#REF!</definedName>
    <definedName name="_P" localSheetId="13">#REF!</definedName>
    <definedName name="_P" localSheetId="2">#REF!</definedName>
    <definedName name="_P" localSheetId="12">#REF!</definedName>
    <definedName name="_P" localSheetId="11">#REF!</definedName>
    <definedName name="_P">#REF!</definedName>
    <definedName name="_PG1" localSheetId="2">#REF!</definedName>
    <definedName name="_PG1">#REF!</definedName>
    <definedName name="_PG2" localSheetId="2">#REF!</definedName>
    <definedName name="_PG2">#REF!</definedName>
    <definedName name="A" localSheetId="2">#REF!</definedName>
    <definedName name="A">#REF!</definedName>
    <definedName name="ACTUAL">"'Vol_Revs'!R5C3:R5C14"</definedName>
    <definedName name="ADJSUTW3" localSheetId="2">#REF!</definedName>
    <definedName name="ADJSUTW3">#REF!</definedName>
    <definedName name="ADJUSRN" localSheetId="2">#REF!</definedName>
    <definedName name="ADJUSRN">#REF!</definedName>
    <definedName name="Adjust2" localSheetId="8">#REF!</definedName>
    <definedName name="Adjust2" localSheetId="14">#REF!</definedName>
    <definedName name="Adjust2" localSheetId="7">#REF!</definedName>
    <definedName name="Adjust2" localSheetId="10">#REF!</definedName>
    <definedName name="Adjust2" localSheetId="9">#REF!</definedName>
    <definedName name="Adjust2" localSheetId="13">#REF!</definedName>
    <definedName name="Adjust2" localSheetId="2">#REF!</definedName>
    <definedName name="Adjust2" localSheetId="12">#REF!</definedName>
    <definedName name="Adjust2" localSheetId="11">#REF!</definedName>
    <definedName name="Adjust2">#REF!</definedName>
    <definedName name="ADJUSTA" localSheetId="2">#REF!</definedName>
    <definedName name="ADJUSTA">#REF!</definedName>
    <definedName name="ADJUSTAA" localSheetId="2">#REF!</definedName>
    <definedName name="ADJUSTAA">#REF!</definedName>
    <definedName name="ADJUSTB" localSheetId="8">#REF!</definedName>
    <definedName name="ADJUSTB" localSheetId="14">#REF!</definedName>
    <definedName name="ADJUSTB" localSheetId="7">#REF!</definedName>
    <definedName name="ADJUSTB" localSheetId="10">#REF!</definedName>
    <definedName name="ADJUSTB" localSheetId="9">#REF!</definedName>
    <definedName name="ADJUSTB" localSheetId="13">#REF!</definedName>
    <definedName name="ADJUSTB" localSheetId="2">#REF!</definedName>
    <definedName name="ADJUSTB" localSheetId="12">#REF!</definedName>
    <definedName name="ADJUSTB" localSheetId="11">#REF!</definedName>
    <definedName name="ADJUSTB">#REF!</definedName>
    <definedName name="ADJUSTC" localSheetId="2">#REF!</definedName>
    <definedName name="ADJUSTC">#REF!</definedName>
    <definedName name="ADJUSTD1" localSheetId="2">#REF!</definedName>
    <definedName name="ADJUSTD1">#REF!</definedName>
    <definedName name="ADJUSTD2" localSheetId="2">#REF!</definedName>
    <definedName name="ADJUSTD2">#REF!</definedName>
    <definedName name="ADJUSTD3" localSheetId="2">#REF!</definedName>
    <definedName name="ADJUSTD3">#REF!</definedName>
    <definedName name="ADJUSTD4" localSheetId="2">#REF!</definedName>
    <definedName name="ADJUSTD4">#REF!</definedName>
    <definedName name="ADJUSTG1" localSheetId="2">#REF!</definedName>
    <definedName name="ADJUSTG1">#REF!</definedName>
    <definedName name="ADJUSTG2" localSheetId="2">#REF!</definedName>
    <definedName name="ADJUSTG2">#REF!</definedName>
    <definedName name="ADJUSTG3" localSheetId="2">#REF!</definedName>
    <definedName name="ADJUSTG3">#REF!</definedName>
    <definedName name="ADJUSTG4" localSheetId="2">#REF!</definedName>
    <definedName name="ADJUSTG4">#REF!</definedName>
    <definedName name="ADJUSTH" localSheetId="2">#REF!</definedName>
    <definedName name="ADJUSTH">#REF!</definedName>
    <definedName name="ADJUSTI" localSheetId="2">#REF!</definedName>
    <definedName name="ADJUSTI">#REF!</definedName>
    <definedName name="ADJUSTK" localSheetId="2">#REF!</definedName>
    <definedName name="ADJUSTK">#REF!</definedName>
    <definedName name="ADJUSTM" localSheetId="2">#REF!</definedName>
    <definedName name="ADJUSTM">#REF!</definedName>
    <definedName name="ADJUSTN" localSheetId="2">#REF!</definedName>
    <definedName name="ADJUSTN">#REF!</definedName>
    <definedName name="ADJUSTO" localSheetId="2">#REF!</definedName>
    <definedName name="ADJUSTO">#REF!</definedName>
    <definedName name="ADJUSTP" localSheetId="2">#REF!</definedName>
    <definedName name="ADJUSTP">#REF!</definedName>
    <definedName name="ADJUSTQ" localSheetId="2">#REF!</definedName>
    <definedName name="ADJUSTQ">#REF!</definedName>
    <definedName name="ADJUSTR" localSheetId="2">#REF!</definedName>
    <definedName name="ADJUSTR">#REF!</definedName>
    <definedName name="ADJUSTS" localSheetId="8">#REF!</definedName>
    <definedName name="ADJUSTS" localSheetId="14">#REF!</definedName>
    <definedName name="ADJUSTS" localSheetId="7">#REF!</definedName>
    <definedName name="ADJUSTS" localSheetId="10">#REF!</definedName>
    <definedName name="ADJUSTS" localSheetId="9">#REF!</definedName>
    <definedName name="ADJUSTS" localSheetId="13">#REF!</definedName>
    <definedName name="ADJUSTS" localSheetId="2">#REF!</definedName>
    <definedName name="ADJUSTS" localSheetId="12">#REF!</definedName>
    <definedName name="ADJUSTS" localSheetId="11">#REF!</definedName>
    <definedName name="ADJUSTS">#REF!</definedName>
    <definedName name="ADJUSTT" localSheetId="2">#REF!</definedName>
    <definedName name="ADJUSTT">#REF!</definedName>
    <definedName name="ADJUSTW1" localSheetId="2">#REF!</definedName>
    <definedName name="ADJUSTW1">#REF!</definedName>
    <definedName name="ADJUSTW2" localSheetId="2">#REF!</definedName>
    <definedName name="ADJUSTW2">#REF!</definedName>
    <definedName name="ADJUSTX" localSheetId="2">#REF!</definedName>
    <definedName name="ADJUSTX">#REF!</definedName>
    <definedName name="ADJUSTY" localSheetId="2">#REF!</definedName>
    <definedName name="ADJUSTY">#REF!</definedName>
    <definedName name="ALERT2" localSheetId="2">#REF!</definedName>
    <definedName name="ALERT2">#REF!</definedName>
    <definedName name="Annual_Sales_KU" localSheetId="8">'[5]LGE Sales'!#REF!</definedName>
    <definedName name="Annual_Sales_KU" localSheetId="14">'[5]LGE Sales'!#REF!</definedName>
    <definedName name="Annual_Sales_KU" localSheetId="7">'[5]LGE Sales'!#REF!</definedName>
    <definedName name="Annual_Sales_KU" localSheetId="10">'[5]LGE Sales'!#REF!</definedName>
    <definedName name="Annual_Sales_KU" localSheetId="9">'[5]LGE Sales'!#REF!</definedName>
    <definedName name="Annual_Sales_KU" localSheetId="13">'[5]LGE Sales'!#REF!</definedName>
    <definedName name="Annual_Sales_KU" localSheetId="2">'[5]LGE Sales'!#REF!</definedName>
    <definedName name="Annual_Sales_KU" localSheetId="12">'[5]LGE Sales'!#REF!</definedName>
    <definedName name="Annual_Sales_KU" localSheetId="11">'[5]LGE Sales'!#REF!</definedName>
    <definedName name="Annual_Sales_KU">'[5]LGE Sales'!#REF!</definedName>
    <definedName name="assets" localSheetId="2">#REF!</definedName>
    <definedName name="assets">#REF!</definedName>
    <definedName name="B" localSheetId="2">#REF!</definedName>
    <definedName name="B">#REF!</definedName>
    <definedName name="Billed_Revenues_Dollars" localSheetId="2">#REF!</definedName>
    <definedName name="Billed_Revenues_Dollars">#REF!</definedName>
    <definedName name="Billed_Sales__KWh" localSheetId="2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 localSheetId="2">#REF!</definedName>
    <definedName name="C_">#REF!</definedName>
    <definedName name="Choices_Wrapper" localSheetId="2">'Summary SJB Exhibit'!Choices_Wrapper</definedName>
    <definedName name="Choices_Wrapper">[0]!Choices_Wrapper</definedName>
    <definedName name="CM" localSheetId="2">#REF!</definedName>
    <definedName name="CM">#REF!</definedName>
    <definedName name="Coal_Annual_KU" localSheetId="8">'[5]LGE Coal'!#REF!</definedName>
    <definedName name="Coal_Annual_KU" localSheetId="14">'[5]LGE Coal'!#REF!</definedName>
    <definedName name="Coal_Annual_KU" localSheetId="7">'[5]LGE Coal'!#REF!</definedName>
    <definedName name="Coal_Annual_KU" localSheetId="10">'[5]LGE Coal'!#REF!</definedName>
    <definedName name="Coal_Annual_KU" localSheetId="9">'[5]LGE Coal'!#REF!</definedName>
    <definedName name="Coal_Annual_KU" localSheetId="13">'[5]LGE Coal'!#REF!</definedName>
    <definedName name="Coal_Annual_KU" localSheetId="2">'[5]LGE Coal'!#REF!</definedName>
    <definedName name="Coal_Annual_KU" localSheetId="12">'[5]LGE Coal'!#REF!</definedName>
    <definedName name="Coal_Annual_KU" localSheetId="11">'[5]LGE Coal'!#REF!</definedName>
    <definedName name="Coal_Annual_KU">'[5]LGE Coal'!#REF!</definedName>
    <definedName name="coal_hide_ku_01" localSheetId="8">'[5]LGE Coal'!#REF!</definedName>
    <definedName name="coal_hide_ku_01" localSheetId="14">'[5]LGE Coal'!#REF!</definedName>
    <definedName name="coal_hide_ku_01" localSheetId="7">'[5]LGE Coal'!#REF!</definedName>
    <definedName name="coal_hide_ku_01" localSheetId="10">'[5]LGE Coal'!#REF!</definedName>
    <definedName name="coal_hide_ku_01" localSheetId="9">'[5]LGE Coal'!#REF!</definedName>
    <definedName name="coal_hide_ku_01" localSheetId="13">'[5]LGE Coal'!#REF!</definedName>
    <definedName name="coal_hide_ku_01" localSheetId="2">'[5]LGE Coal'!#REF!</definedName>
    <definedName name="coal_hide_ku_01" localSheetId="12">'[5]LGE Coal'!#REF!</definedName>
    <definedName name="coal_hide_ku_01" localSheetId="11">'[5]LGE Coal'!#REF!</definedName>
    <definedName name="coal_hide_ku_01">'[5]LGE Coal'!#REF!</definedName>
    <definedName name="coal_hide_lge_01" localSheetId="8">'[5]LGE Coal'!#REF!</definedName>
    <definedName name="coal_hide_lge_01" localSheetId="14">'[5]LGE Coal'!#REF!</definedName>
    <definedName name="coal_hide_lge_01" localSheetId="7">'[5]LGE Coal'!#REF!</definedName>
    <definedName name="coal_hide_lge_01" localSheetId="10">'[5]LGE Coal'!#REF!</definedName>
    <definedName name="coal_hide_lge_01" localSheetId="9">'[5]LGE Coal'!#REF!</definedName>
    <definedName name="coal_hide_lge_01" localSheetId="13">'[5]LGE Coal'!#REF!</definedName>
    <definedName name="coal_hide_lge_01" localSheetId="2">'[5]LGE Coal'!#REF!</definedName>
    <definedName name="coal_hide_lge_01" localSheetId="12">'[5]LGE Coal'!#REF!</definedName>
    <definedName name="coal_hide_lge_01" localSheetId="11">'[5]LGE Coal'!#REF!</definedName>
    <definedName name="coal_hide_lge_01">'[5]LGE Coal'!#REF!</definedName>
    <definedName name="coal_ku_01" localSheetId="8">'[5]LGE Coal'!#REF!</definedName>
    <definedName name="coal_ku_01" localSheetId="14">'[5]LGE Coal'!#REF!</definedName>
    <definedName name="coal_ku_01" localSheetId="7">'[5]LGE Coal'!#REF!</definedName>
    <definedName name="coal_ku_01" localSheetId="10">'[5]LGE Coal'!#REF!</definedName>
    <definedName name="coal_ku_01" localSheetId="9">'[5]LGE Coal'!#REF!</definedName>
    <definedName name="coal_ku_01" localSheetId="13">'[5]LGE Coal'!#REF!</definedName>
    <definedName name="coal_ku_01" localSheetId="2">'[5]LGE Coal'!#REF!</definedName>
    <definedName name="coal_ku_01" localSheetId="12">'[5]LGE Coal'!#REF!</definedName>
    <definedName name="coal_ku_01" localSheetId="11">'[5]LGE Coal'!#REF!</definedName>
    <definedName name="coal_ku_01">'[5]LGE Coal'!#REF!</definedName>
    <definedName name="ColumnAttributes1" localSheetId="2">#REF!</definedName>
    <definedName name="ColumnAttributes1">#REF!</definedName>
    <definedName name="ColumnHeadings1" localSheetId="2">#REF!</definedName>
    <definedName name="ColumnHeadings1">#REF!</definedName>
    <definedName name="Comp" localSheetId="2">'Summary SJB Exhibit'!Comp</definedName>
    <definedName name="Comp">[0]!Comp</definedName>
    <definedName name="ConsEarnings" localSheetId="2">#REF!</definedName>
    <definedName name="ConsEarnings">#REF!</definedName>
    <definedName name="CONSOLIDATED" localSheetId="2">#REF!</definedName>
    <definedName name="CONSOLIDATED">#REF!</definedName>
    <definedName name="CORPORATE" localSheetId="2">#REF!</definedName>
    <definedName name="CORPORATE">#REF!</definedName>
    <definedName name="counter" localSheetId="2">#REF!</definedName>
    <definedName name="counter">#REF!</definedName>
    <definedName name="CREDIT" localSheetId="2">#REF!</definedName>
    <definedName name="CREDIT">#REF!</definedName>
    <definedName name="CurReptgMo">[6]Input!$K$19</definedName>
    <definedName name="CurReptgYr">[6]Input!$K$21</definedName>
    <definedName name="D" localSheetId="2">#REF!</definedName>
    <definedName name="D">#REF!</definedName>
    <definedName name="data" localSheetId="2">#REF!</definedName>
    <definedName name="data">#REF!</definedName>
    <definedName name="data1" localSheetId="8">'[7]1'!#REF!</definedName>
    <definedName name="data1" localSheetId="14">'[7]1'!#REF!</definedName>
    <definedName name="data1" localSheetId="7">'[7]1'!#REF!</definedName>
    <definedName name="data1" localSheetId="10">'[7]1'!#REF!</definedName>
    <definedName name="data1" localSheetId="9">'[7]1'!#REF!</definedName>
    <definedName name="data1" localSheetId="13">'[7]1'!#REF!</definedName>
    <definedName name="data1" localSheetId="2">'[7]1'!#REF!</definedName>
    <definedName name="data1" localSheetId="12">'[7]1'!#REF!</definedName>
    <definedName name="data1" localSheetId="11">'[7]1'!#REF!</definedName>
    <definedName name="data1">'[7]1'!#REF!</definedName>
    <definedName name="DateTimeNow">[6]Input!$AE$12</definedName>
    <definedName name="DEBIT" localSheetId="2">#REF!</definedName>
    <definedName name="DEBIT">#REF!</definedName>
    <definedName name="Detail" localSheetId="2">#REF!</definedName>
    <definedName name="Detail">#REF!</definedName>
    <definedName name="ELEC_NET_OP_INC" localSheetId="8">#REF!</definedName>
    <definedName name="ELEC_NET_OP_INC" localSheetId="14">#REF!</definedName>
    <definedName name="ELEC_NET_OP_INC" localSheetId="7">#REF!</definedName>
    <definedName name="ELEC_NET_OP_INC" localSheetId="10">#REF!</definedName>
    <definedName name="ELEC_NET_OP_INC" localSheetId="9">#REF!</definedName>
    <definedName name="ELEC_NET_OP_INC" localSheetId="13">#REF!</definedName>
    <definedName name="ELEC_NET_OP_INC" localSheetId="2">#REF!</definedName>
    <definedName name="ELEC_NET_OP_INC" localSheetId="12">#REF!</definedName>
    <definedName name="ELEC_NET_OP_INC" localSheetId="11">#REF!</definedName>
    <definedName name="ELEC_NET_OP_INC">#REF!</definedName>
    <definedName name="ELIMS" localSheetId="2">#REF!</definedName>
    <definedName name="ELIMS">#REF!</definedName>
    <definedName name="EXHIB1A" localSheetId="8">'[8]#REF'!#REF!</definedName>
    <definedName name="EXHIB1A" localSheetId="14">'[8]#REF'!#REF!</definedName>
    <definedName name="EXHIB1A" localSheetId="7">'[8]#REF'!#REF!</definedName>
    <definedName name="EXHIB1A" localSheetId="10">'[8]#REF'!#REF!</definedName>
    <definedName name="EXHIB1A" localSheetId="9">'[8]#REF'!#REF!</definedName>
    <definedName name="EXHIB1A" localSheetId="13">'[8]#REF'!#REF!</definedName>
    <definedName name="EXHIB1A" localSheetId="2">'[8]#REF'!#REF!</definedName>
    <definedName name="EXHIB1A" localSheetId="12">'[8]#REF'!#REF!</definedName>
    <definedName name="EXHIB1A" localSheetId="11">'[8]#REF'!#REF!</definedName>
    <definedName name="EXHIB1A">'[8]#REF'!#REF!</definedName>
    <definedName name="EXHIB1B" localSheetId="2">#REF!</definedName>
    <definedName name="EXHIB1B">#REF!</definedName>
    <definedName name="EXHIB1C" localSheetId="8">#REF!</definedName>
    <definedName name="EXHIB1C" localSheetId="14">#REF!</definedName>
    <definedName name="EXHIB1C" localSheetId="7">#REF!</definedName>
    <definedName name="EXHIB1C" localSheetId="10">#REF!</definedName>
    <definedName name="EXHIB1C" localSheetId="9">#REF!</definedName>
    <definedName name="EXHIB1C" localSheetId="13">#REF!</definedName>
    <definedName name="EXHIB1C" localSheetId="2">#REF!</definedName>
    <definedName name="EXHIB1C" localSheetId="12">#REF!</definedName>
    <definedName name="EXHIB1C" localSheetId="11">#REF!</definedName>
    <definedName name="EXHIB1C">#REF!</definedName>
    <definedName name="EXHIB2B" localSheetId="8">'[9]Ex 2'!#REF!</definedName>
    <definedName name="EXHIB2B" localSheetId="14">'[9]Ex 2'!#REF!</definedName>
    <definedName name="EXHIB2B" localSheetId="7">'[9]Ex 2'!#REF!</definedName>
    <definedName name="EXHIB2B" localSheetId="10">'[9]Ex 2'!#REF!</definedName>
    <definedName name="EXHIB2B" localSheetId="9">'[9]Ex 2'!#REF!</definedName>
    <definedName name="EXHIB2B" localSheetId="13">'[9]Ex 2'!#REF!</definedName>
    <definedName name="EXHIB2B" localSheetId="2">'[9]Ex 2'!#REF!</definedName>
    <definedName name="EXHIB2B" localSheetId="12">'[9]Ex 2'!#REF!</definedName>
    <definedName name="EXHIB2B" localSheetId="11">'[9]Ex 2'!#REF!</definedName>
    <definedName name="EXHIB2B">'[9]Ex 2'!#REF!</definedName>
    <definedName name="EXHIB3" localSheetId="2">#REF!</definedName>
    <definedName name="EXHIB3">#REF!</definedName>
    <definedName name="EXHIB6" localSheetId="8">'[9]not used Ex 4'!#REF!</definedName>
    <definedName name="EXHIB6" localSheetId="14">'[9]not used Ex 4'!#REF!</definedName>
    <definedName name="EXHIB6" localSheetId="7">'[9]not used Ex 4'!#REF!</definedName>
    <definedName name="EXHIB6" localSheetId="10">'[9]not used Ex 4'!#REF!</definedName>
    <definedName name="EXHIB6" localSheetId="9">'[9]not used Ex 4'!#REF!</definedName>
    <definedName name="EXHIB6" localSheetId="13">'[9]not used Ex 4'!#REF!</definedName>
    <definedName name="EXHIB6" localSheetId="2">'[9]not used Ex 4'!#REF!</definedName>
    <definedName name="EXHIB6" localSheetId="12">'[9]not used Ex 4'!#REF!</definedName>
    <definedName name="EXHIB6" localSheetId="11">'[9]not used Ex 4'!#REF!</definedName>
    <definedName name="EXHIB6">'[9]not used Ex 4'!#REF!</definedName>
    <definedName name="F" localSheetId="2">#REF!</definedName>
    <definedName name="F">#REF!</definedName>
    <definedName name="Fac_2000" localSheetId="8">'[5]LGE Base Fuel &amp; FAC'!#REF!</definedName>
    <definedName name="Fac_2000" localSheetId="14">'[5]LGE Base Fuel &amp; FAC'!#REF!</definedName>
    <definedName name="Fac_2000" localSheetId="7">'[5]LGE Base Fuel &amp; FAC'!#REF!</definedName>
    <definedName name="Fac_2000" localSheetId="10">'[5]LGE Base Fuel &amp; FAC'!#REF!</definedName>
    <definedName name="Fac_2000" localSheetId="9">'[5]LGE Base Fuel &amp; FAC'!#REF!</definedName>
    <definedName name="Fac_2000" localSheetId="13">'[5]LGE Base Fuel &amp; FAC'!#REF!</definedName>
    <definedName name="Fac_2000" localSheetId="2">'[5]LGE Base Fuel &amp; FAC'!#REF!</definedName>
    <definedName name="Fac_2000" localSheetId="12">'[5]LGE Base Fuel &amp; FAC'!#REF!</definedName>
    <definedName name="Fac_2000" localSheetId="11">'[5]LGE Base Fuel &amp; FAC'!#REF!</definedName>
    <definedName name="Fac_2000">'[5]LGE Base Fuel &amp; FAC'!#REF!</definedName>
    <definedName name="fac_annual_ku" localSheetId="8">'[5]LGE Base Fuel &amp; FAC'!#REF!</definedName>
    <definedName name="fac_annual_ku" localSheetId="14">'[5]LGE Base Fuel &amp; FAC'!#REF!</definedName>
    <definedName name="fac_annual_ku" localSheetId="7">'[5]LGE Base Fuel &amp; FAC'!#REF!</definedName>
    <definedName name="fac_annual_ku" localSheetId="10">'[5]LGE Base Fuel &amp; FAC'!#REF!</definedName>
    <definedName name="fac_annual_ku" localSheetId="9">'[5]LGE Base Fuel &amp; FAC'!#REF!</definedName>
    <definedName name="fac_annual_ku" localSheetId="13">'[5]LGE Base Fuel &amp; FAC'!#REF!</definedName>
    <definedName name="fac_annual_ku" localSheetId="2">'[5]LGE Base Fuel &amp; FAC'!#REF!</definedName>
    <definedName name="fac_annual_ku" localSheetId="12">'[5]LGE Base Fuel &amp; FAC'!#REF!</definedName>
    <definedName name="fac_annual_ku" localSheetId="11">'[5]LGE Base Fuel &amp; FAC'!#REF!</definedName>
    <definedName name="fac_annual_ku">'[5]LGE Base Fuel &amp; FAC'!#REF!</definedName>
    <definedName name="fac_hide_ku_01" localSheetId="8">'[5]LGE Base Fuel &amp; FAC'!#REF!</definedName>
    <definedName name="fac_hide_ku_01" localSheetId="14">'[5]LGE Base Fuel &amp; FAC'!#REF!</definedName>
    <definedName name="fac_hide_ku_01" localSheetId="7">'[5]LGE Base Fuel &amp; FAC'!#REF!</definedName>
    <definedName name="fac_hide_ku_01" localSheetId="10">'[5]LGE Base Fuel &amp; FAC'!#REF!</definedName>
    <definedName name="fac_hide_ku_01" localSheetId="9">'[5]LGE Base Fuel &amp; FAC'!#REF!</definedName>
    <definedName name="fac_hide_ku_01" localSheetId="13">'[5]LGE Base Fuel &amp; FAC'!#REF!</definedName>
    <definedName name="fac_hide_ku_01" localSheetId="2">'[5]LGE Base Fuel &amp; FAC'!#REF!</definedName>
    <definedName name="fac_hide_ku_01" localSheetId="12">'[5]LGE Base Fuel &amp; FAC'!#REF!</definedName>
    <definedName name="fac_hide_ku_01" localSheetId="11">'[5]LGE Base Fuel &amp; FAC'!#REF!</definedName>
    <definedName name="fac_hide_ku_01">'[5]LGE Base Fuel &amp; FAC'!#REF!</definedName>
    <definedName name="fac_hide_lge_01" localSheetId="8">'[5]LGE Base Fuel &amp; FAC'!#REF!</definedName>
    <definedName name="fac_hide_lge_01" localSheetId="14">'[5]LGE Base Fuel &amp; FAC'!#REF!</definedName>
    <definedName name="fac_hide_lge_01" localSheetId="7">'[5]LGE Base Fuel &amp; FAC'!#REF!</definedName>
    <definedName name="fac_hide_lge_01" localSheetId="10">'[5]LGE Base Fuel &amp; FAC'!#REF!</definedName>
    <definedName name="fac_hide_lge_01" localSheetId="9">'[5]LGE Base Fuel &amp; FAC'!#REF!</definedName>
    <definedName name="fac_hide_lge_01" localSheetId="13">'[5]LGE Base Fuel &amp; FAC'!#REF!</definedName>
    <definedName name="fac_hide_lge_01" localSheetId="2">'[5]LGE Base Fuel &amp; FAC'!#REF!</definedName>
    <definedName name="fac_hide_lge_01" localSheetId="12">'[5]LGE Base Fuel &amp; FAC'!#REF!</definedName>
    <definedName name="fac_hide_lge_01" localSheetId="11">'[5]LGE Base Fuel &amp; FAC'!#REF!</definedName>
    <definedName name="fac_hide_lge_01">'[5]LGE Base Fuel &amp; FAC'!#REF!</definedName>
    <definedName name="fac_ku_01" localSheetId="8">'[5]LGE Base Fuel &amp; FAC'!#REF!</definedName>
    <definedName name="fac_ku_01" localSheetId="14">'[5]LGE Base Fuel &amp; FAC'!#REF!</definedName>
    <definedName name="fac_ku_01" localSheetId="7">'[5]LGE Base Fuel &amp; FAC'!#REF!</definedName>
    <definedName name="fac_ku_01" localSheetId="10">'[5]LGE Base Fuel &amp; FAC'!#REF!</definedName>
    <definedName name="fac_ku_01" localSheetId="9">'[5]LGE Base Fuel &amp; FAC'!#REF!</definedName>
    <definedName name="fac_ku_01" localSheetId="13">'[5]LGE Base Fuel &amp; FAC'!#REF!</definedName>
    <definedName name="fac_ku_01" localSheetId="2">'[5]LGE Base Fuel &amp; FAC'!#REF!</definedName>
    <definedName name="fac_ku_01" localSheetId="12">'[5]LGE Base Fuel &amp; FAC'!#REF!</definedName>
    <definedName name="fac_ku_01" localSheetId="11">'[5]LGE Base Fuel &amp; FAC'!#REF!</definedName>
    <definedName name="fac_ku_01">'[5]LGE Base Fuel &amp; FAC'!#REF!</definedName>
    <definedName name="FOOTER" localSheetId="8">#REF!</definedName>
    <definedName name="FOOTER" localSheetId="14">#REF!</definedName>
    <definedName name="FOOTER" localSheetId="7">#REF!</definedName>
    <definedName name="FOOTER" localSheetId="10">#REF!</definedName>
    <definedName name="FOOTER" localSheetId="9">#REF!</definedName>
    <definedName name="FOOTER" localSheetId="13">#REF!</definedName>
    <definedName name="FOOTER" localSheetId="2">#REF!</definedName>
    <definedName name="FOOTER" localSheetId="12">#REF!</definedName>
    <definedName name="FOOTER" localSheetId="11">#REF!</definedName>
    <definedName name="FOOTER">#REF!</definedName>
    <definedName name="FORECAST">"'IFPSReport'!R5C3:R5C14"</definedName>
    <definedName name="fuelcost" localSheetId="2">#REF!</definedName>
    <definedName name="fuelcost">#REF!</definedName>
    <definedName name="Gas_Annual_NetRev" localSheetId="2">#REF!</definedName>
    <definedName name="Gas_Annual_NetRev">#REF!</definedName>
    <definedName name="Gas_Annual_Revenue" localSheetId="2">#REF!</definedName>
    <definedName name="Gas_Annual_Revenue">#REF!</definedName>
    <definedName name="gas_data" localSheetId="8">#REF!</definedName>
    <definedName name="gas_data" localSheetId="14">#REF!</definedName>
    <definedName name="gas_data" localSheetId="7">#REF!</definedName>
    <definedName name="gas_data" localSheetId="10">#REF!</definedName>
    <definedName name="gas_data" localSheetId="9">#REF!</definedName>
    <definedName name="gas_data" localSheetId="13">#REF!</definedName>
    <definedName name="gas_data" localSheetId="2">#REF!</definedName>
    <definedName name="gas_data" localSheetId="12">#REF!</definedName>
    <definedName name="gas_data" localSheetId="11">#REF!</definedName>
    <definedName name="gas_data">#REF!</definedName>
    <definedName name="Gas_Monthly_NetRevenue" localSheetId="2">#REF!</definedName>
    <definedName name="Gas_Monthly_NetRevenue">#REF!</definedName>
    <definedName name="GAS_NET_OP_INC" localSheetId="8">#REF!</definedName>
    <definedName name="GAS_NET_OP_INC" localSheetId="14">#REF!</definedName>
    <definedName name="GAS_NET_OP_INC" localSheetId="7">#REF!</definedName>
    <definedName name="GAS_NET_OP_INC" localSheetId="10">#REF!</definedName>
    <definedName name="GAS_NET_OP_INC" localSheetId="9">#REF!</definedName>
    <definedName name="GAS_NET_OP_INC" localSheetId="13">#REF!</definedName>
    <definedName name="GAS_NET_OP_INC" localSheetId="2">#REF!</definedName>
    <definedName name="GAS_NET_OP_INC" localSheetId="12">#REF!</definedName>
    <definedName name="GAS_NET_OP_INC" localSheetId="11">#REF!</definedName>
    <definedName name="GAS_NET_OP_INC">#REF!</definedName>
    <definedName name="Gas_Sales_Revenues" localSheetId="2">#REF!</definedName>
    <definedName name="Gas_Sales_Revenues">#REF!</definedName>
    <definedName name="GenEx_Annual_KU" localSheetId="8">'[5]LGE Cost of Sales'!#REF!</definedName>
    <definedName name="GenEx_Annual_KU" localSheetId="14">'[5]LGE Cost of Sales'!#REF!</definedName>
    <definedName name="GenEx_Annual_KU" localSheetId="7">'[5]LGE Cost of Sales'!#REF!</definedName>
    <definedName name="GenEx_Annual_KU" localSheetId="10">'[5]LGE Cost of Sales'!#REF!</definedName>
    <definedName name="GenEx_Annual_KU" localSheetId="9">'[5]LGE Cost of Sales'!#REF!</definedName>
    <definedName name="GenEx_Annual_KU" localSheetId="13">'[5]LGE Cost of Sales'!#REF!</definedName>
    <definedName name="GenEx_Annual_KU" localSheetId="2">'[5]LGE Cost of Sales'!#REF!</definedName>
    <definedName name="GenEx_Annual_KU" localSheetId="12">'[5]LGE Cost of Sales'!#REF!</definedName>
    <definedName name="GenEx_Annual_KU" localSheetId="11">'[5]LGE Cost of Sales'!#REF!</definedName>
    <definedName name="GenEx_Annual_KU">'[5]LGE Cost of Sales'!#REF!</definedName>
    <definedName name="genex_hide_ku_01" localSheetId="8">'[5]LGE Cost of Sales'!#REF!</definedName>
    <definedName name="genex_hide_ku_01" localSheetId="14">'[5]LGE Cost of Sales'!#REF!</definedName>
    <definedName name="genex_hide_ku_01" localSheetId="7">'[5]LGE Cost of Sales'!#REF!</definedName>
    <definedName name="genex_hide_ku_01" localSheetId="10">'[5]LGE Cost of Sales'!#REF!</definedName>
    <definedName name="genex_hide_ku_01" localSheetId="9">'[5]LGE Cost of Sales'!#REF!</definedName>
    <definedName name="genex_hide_ku_01" localSheetId="13">'[5]LGE Cost of Sales'!#REF!</definedName>
    <definedName name="genex_hide_ku_01" localSheetId="2">'[5]LGE Cost of Sales'!#REF!</definedName>
    <definedName name="genex_hide_ku_01" localSheetId="12">'[5]LGE Cost of Sales'!#REF!</definedName>
    <definedName name="genex_hide_ku_01" localSheetId="11">'[5]LGE Cost of Sales'!#REF!</definedName>
    <definedName name="genex_hide_ku_01">'[5]LGE Cost of Sales'!#REF!</definedName>
    <definedName name="genex_hide_lge_01" localSheetId="8">'[5]LGE Cost of Sales'!#REF!</definedName>
    <definedName name="genex_hide_lge_01" localSheetId="14">'[5]LGE Cost of Sales'!#REF!</definedName>
    <definedName name="genex_hide_lge_01" localSheetId="7">'[5]LGE Cost of Sales'!#REF!</definedName>
    <definedName name="genex_hide_lge_01" localSheetId="10">'[5]LGE Cost of Sales'!#REF!</definedName>
    <definedName name="genex_hide_lge_01" localSheetId="9">'[5]LGE Cost of Sales'!#REF!</definedName>
    <definedName name="genex_hide_lge_01" localSheetId="13">'[5]LGE Cost of Sales'!#REF!</definedName>
    <definedName name="genex_hide_lge_01" localSheetId="2">'[5]LGE Cost of Sales'!#REF!</definedName>
    <definedName name="genex_hide_lge_01" localSheetId="12">'[5]LGE Cost of Sales'!#REF!</definedName>
    <definedName name="genex_hide_lge_01" localSheetId="11">'[5]LGE Cost of Sales'!#REF!</definedName>
    <definedName name="genex_hide_lge_01">'[5]LGE Cost of Sales'!#REF!</definedName>
    <definedName name="genex_ku_01" localSheetId="8">'[5]LGE Cost of Sales'!#REF!</definedName>
    <definedName name="genex_ku_01" localSheetId="14">'[5]LGE Cost of Sales'!#REF!</definedName>
    <definedName name="genex_ku_01" localSheetId="7">'[5]LGE Cost of Sales'!#REF!</definedName>
    <definedName name="genex_ku_01" localSheetId="10">'[5]LGE Cost of Sales'!#REF!</definedName>
    <definedName name="genex_ku_01" localSheetId="9">'[5]LGE Cost of Sales'!#REF!</definedName>
    <definedName name="genex_ku_01" localSheetId="13">'[5]LGE Cost of Sales'!#REF!</definedName>
    <definedName name="genex_ku_01" localSheetId="2">'[5]LGE Cost of Sales'!#REF!</definedName>
    <definedName name="genex_ku_01" localSheetId="12">'[5]LGE Cost of Sales'!#REF!</definedName>
    <definedName name="genex_ku_01" localSheetId="11">'[5]LGE Cost of Sales'!#REF!</definedName>
    <definedName name="genex_ku_01">'[5]LGE Cost of Sales'!#REF!</definedName>
    <definedName name="H" localSheetId="2">#REF!</definedName>
    <definedName name="H">#REF!</definedName>
    <definedName name="Home_KU" localSheetId="2">#REF!</definedName>
    <definedName name="Home_KU">#REF!</definedName>
    <definedName name="INPUT1" localSheetId="2">#REF!</definedName>
    <definedName name="INPUT1">#REF!</definedName>
    <definedName name="INPUT2" localSheetId="2">#REF!</definedName>
    <definedName name="INPUT2">#REF!</definedName>
    <definedName name="INPUTCOL" localSheetId="2">#REF!</definedName>
    <definedName name="INPUTCOL">#REF!</definedName>
    <definedName name="INPUTROW" localSheetId="2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8">#REF!</definedName>
    <definedName name="KUELIMBAL" localSheetId="14">#REF!</definedName>
    <definedName name="KUELIMBAL" localSheetId="7">#REF!</definedName>
    <definedName name="KUELIMBAL" localSheetId="10">#REF!</definedName>
    <definedName name="KUELIMBAL" localSheetId="9">#REF!</definedName>
    <definedName name="KUELIMBAL" localSheetId="13">#REF!</definedName>
    <definedName name="KUELIMBAL" localSheetId="2">#REF!</definedName>
    <definedName name="KUELIMBAL" localSheetId="12">#REF!</definedName>
    <definedName name="KUELIMBAL" localSheetId="11">#REF!</definedName>
    <definedName name="KUELIMBAL">#REF!</definedName>
    <definedName name="KUELIMCASH" localSheetId="8">#REF!</definedName>
    <definedName name="KUELIMCASH" localSheetId="14">#REF!</definedName>
    <definedName name="KUELIMCASH" localSheetId="7">#REF!</definedName>
    <definedName name="KUELIMCASH" localSheetId="10">#REF!</definedName>
    <definedName name="KUELIMCASH" localSheetId="9">#REF!</definedName>
    <definedName name="KUELIMCASH" localSheetId="13">#REF!</definedName>
    <definedName name="KUELIMCASH" localSheetId="2">#REF!</definedName>
    <definedName name="KUELIMCASH" localSheetId="12">#REF!</definedName>
    <definedName name="KUELIMCASH" localSheetId="11">#REF!</definedName>
    <definedName name="KUELIMCASH">#REF!</definedName>
    <definedName name="KUPWRGENIS" localSheetId="2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 localSheetId="2">#REF!</definedName>
    <definedName name="LEC">#REF!</definedName>
    <definedName name="LECBAL" localSheetId="2">#REF!</definedName>
    <definedName name="LECBAL">#REF!</definedName>
    <definedName name="LECCASH" localSheetId="2">#REF!</definedName>
    <definedName name="LECCASH">#REF!</definedName>
    <definedName name="LES" localSheetId="2">#REF!</definedName>
    <definedName name="LES">#REF!</definedName>
    <definedName name="LGE" localSheetId="2">#REF!</definedName>
    <definedName name="LGE">#REF!</definedName>
    <definedName name="LNGCL" localSheetId="8">#REF!</definedName>
    <definedName name="LNGCL" localSheetId="14">#REF!</definedName>
    <definedName name="LNGCL" localSheetId="7">#REF!</definedName>
    <definedName name="LNGCL" localSheetId="10">#REF!</definedName>
    <definedName name="LNGCL" localSheetId="9">#REF!</definedName>
    <definedName name="LNGCL" localSheetId="13">#REF!</definedName>
    <definedName name="LNGCL" localSheetId="2">#REF!</definedName>
    <definedName name="LNGCL" localSheetId="12">#REF!</definedName>
    <definedName name="LNGCL" localSheetId="11">#REF!</definedName>
    <definedName name="LNGCL">#REF!</definedName>
    <definedName name="Losses_by_State" localSheetId="2">#REF!</definedName>
    <definedName name="Losses_by_State">#REF!</definedName>
    <definedName name="LOUPHONECOBAL" localSheetId="2">#REF!</definedName>
    <definedName name="LOUPHONECOBAL">#REF!</definedName>
    <definedName name="LOUPHONECOCASH" localSheetId="2">#REF!</definedName>
    <definedName name="LOUPHONECOCASH">#REF!</definedName>
    <definedName name="LOUPHONECOIS" localSheetId="2">#REF!</definedName>
    <definedName name="LOUPHONECOIS">#REF!</definedName>
    <definedName name="LPI" localSheetId="2">#REF!</definedName>
    <definedName name="LPI">#REF!</definedName>
    <definedName name="MAIN" localSheetId="2">#REF!</definedName>
    <definedName name="MAIN">#REF!</definedName>
    <definedName name="MESG1" localSheetId="2">#REF!</definedName>
    <definedName name="MESG1">#REF!</definedName>
    <definedName name="MESG2" localSheetId="2">#REF!</definedName>
    <definedName name="MESG2">#REF!</definedName>
    <definedName name="MONTH_NAME" localSheetId="2">#REF!</definedName>
    <definedName name="MONTH_NAME">#REF!</definedName>
    <definedName name="MONTHCOUNT" localSheetId="2">#REF!</definedName>
    <definedName name="MONTHCOUNT">#REF!</definedName>
    <definedName name="NATURAL" localSheetId="2">#REF!</definedName>
    <definedName name="NATURAL">#REF!</definedName>
    <definedName name="NET_OP_INC" localSheetId="8">#REF!</definedName>
    <definedName name="NET_OP_INC" localSheetId="14">#REF!</definedName>
    <definedName name="NET_OP_INC" localSheetId="7">#REF!</definedName>
    <definedName name="NET_OP_INC" localSheetId="10">#REF!</definedName>
    <definedName name="NET_OP_INC" localSheetId="9">#REF!</definedName>
    <definedName name="NET_OP_INC" localSheetId="13">#REF!</definedName>
    <definedName name="NET_OP_INC" localSheetId="2">#REF!</definedName>
    <definedName name="NET_OP_INC" localSheetId="12">#REF!</definedName>
    <definedName name="NET_OP_INC" localSheetId="11">#REF!</definedName>
    <definedName name="NET_OP_INC">#REF!</definedName>
    <definedName name="Net_Revenues" localSheetId="2">#REF!</definedName>
    <definedName name="Net_Revenues">#REF!</definedName>
    <definedName name="Net_Unbilled_KWh" localSheetId="2">#REF!</definedName>
    <definedName name="Net_Unbilled_KWh">#REF!</definedName>
    <definedName name="Net_Unbilled_Revenue_Dollars" localSheetId="2">#REF!</definedName>
    <definedName name="Net_Unbilled_Revenue_Dollars">#REF!</definedName>
    <definedName name="netrev_hide_ku_01" localSheetId="8">'[5]LGE Gross Margin-Inc.Stmt'!#REF!</definedName>
    <definedName name="netrev_hide_ku_01" localSheetId="14">'[5]LGE Gross Margin-Inc.Stmt'!#REF!</definedName>
    <definedName name="netrev_hide_ku_01" localSheetId="7">'[5]LGE Gross Margin-Inc.Stmt'!#REF!</definedName>
    <definedName name="netrev_hide_ku_01" localSheetId="10">'[5]LGE Gross Margin-Inc.Stmt'!#REF!</definedName>
    <definedName name="netrev_hide_ku_01" localSheetId="9">'[5]LGE Gross Margin-Inc.Stmt'!#REF!</definedName>
    <definedName name="netrev_hide_ku_01" localSheetId="13">'[5]LGE Gross Margin-Inc.Stmt'!#REF!</definedName>
    <definedName name="netrev_hide_ku_01" localSheetId="2">'[5]LGE Gross Margin-Inc.Stmt'!#REF!</definedName>
    <definedName name="netrev_hide_ku_01" localSheetId="12">'[5]LGE Gross Margin-Inc.Stmt'!#REF!</definedName>
    <definedName name="netrev_hide_ku_01" localSheetId="11">'[5]LGE Gross Margin-Inc.Stmt'!#REF!</definedName>
    <definedName name="netrev_hide_ku_01">'[5]LGE Gross Margin-Inc.Stmt'!#REF!</definedName>
    <definedName name="netrev_hide_lge_01" localSheetId="8">'[5]LGE Gross Margin-Inc.Stmt'!#REF!</definedName>
    <definedName name="netrev_hide_lge_01" localSheetId="14">'[5]LGE Gross Margin-Inc.Stmt'!#REF!</definedName>
    <definedName name="netrev_hide_lge_01" localSheetId="7">'[5]LGE Gross Margin-Inc.Stmt'!#REF!</definedName>
    <definedName name="netrev_hide_lge_01" localSheetId="10">'[5]LGE Gross Margin-Inc.Stmt'!#REF!</definedName>
    <definedName name="netrev_hide_lge_01" localSheetId="9">'[5]LGE Gross Margin-Inc.Stmt'!#REF!</definedName>
    <definedName name="netrev_hide_lge_01" localSheetId="13">'[5]LGE Gross Margin-Inc.Stmt'!#REF!</definedName>
    <definedName name="netrev_hide_lge_01" localSheetId="2">'[5]LGE Gross Margin-Inc.Stmt'!#REF!</definedName>
    <definedName name="netrev_hide_lge_01" localSheetId="12">'[5]LGE Gross Margin-Inc.Stmt'!#REF!</definedName>
    <definedName name="netrev_hide_lge_01" localSheetId="11">'[5]LGE Gross Margin-Inc.Stmt'!#REF!</definedName>
    <definedName name="netrev_hide_lge_01">'[5]LGE Gross Margin-Inc.Stmt'!#REF!</definedName>
    <definedName name="netrev_ku_01" localSheetId="8">'[5]LGE Gross Margin-Inc.Stmt'!#REF!</definedName>
    <definedName name="netrev_ku_01" localSheetId="14">'[5]LGE Gross Margin-Inc.Stmt'!#REF!</definedName>
    <definedName name="netrev_ku_01" localSheetId="7">'[5]LGE Gross Margin-Inc.Stmt'!#REF!</definedName>
    <definedName name="netrev_ku_01" localSheetId="10">'[5]LGE Gross Margin-Inc.Stmt'!#REF!</definedName>
    <definedName name="netrev_ku_01" localSheetId="9">'[5]LGE Gross Margin-Inc.Stmt'!#REF!</definedName>
    <definedName name="netrev_ku_01" localSheetId="13">'[5]LGE Gross Margin-Inc.Stmt'!#REF!</definedName>
    <definedName name="netrev_ku_01" localSheetId="2">'[5]LGE Gross Margin-Inc.Stmt'!#REF!</definedName>
    <definedName name="netrev_ku_01" localSheetId="12">'[5]LGE Gross Margin-Inc.Stmt'!#REF!</definedName>
    <definedName name="netrev_ku_01" localSheetId="11">'[5]LGE Gross Margin-Inc.Stmt'!#REF!</definedName>
    <definedName name="netrev_ku_01">'[5]LGE Gross Margin-Inc.Stmt'!#REF!</definedName>
    <definedName name="NetRevenue_Annual_KU" localSheetId="8">'[5]LGE Gross Margin-Inc.Stmt'!#REF!</definedName>
    <definedName name="NetRevenue_Annual_KU" localSheetId="14">'[5]LGE Gross Margin-Inc.Stmt'!#REF!</definedName>
    <definedName name="NetRevenue_Annual_KU" localSheetId="7">'[5]LGE Gross Margin-Inc.Stmt'!#REF!</definedName>
    <definedName name="NetRevenue_Annual_KU" localSheetId="10">'[5]LGE Gross Margin-Inc.Stmt'!#REF!</definedName>
    <definedName name="NetRevenue_Annual_KU" localSheetId="9">'[5]LGE Gross Margin-Inc.Stmt'!#REF!</definedName>
    <definedName name="NetRevenue_Annual_KU" localSheetId="13">'[5]LGE Gross Margin-Inc.Stmt'!#REF!</definedName>
    <definedName name="NetRevenue_Annual_KU" localSheetId="2">'[5]LGE Gross Margin-Inc.Stmt'!#REF!</definedName>
    <definedName name="NetRevenue_Annual_KU" localSheetId="12">'[5]LGE Gross Margin-Inc.Stmt'!#REF!</definedName>
    <definedName name="NetRevenue_Annual_KU" localSheetId="11">'[5]LGE Gross Margin-Inc.Stmt'!#REF!</definedName>
    <definedName name="NetRevenue_Annual_KU">'[5]LGE Gross Margin-Inc.Stmt'!#REF!</definedName>
    <definedName name="NetRevenues" localSheetId="2">#REF!</definedName>
    <definedName name="NetRevenues">#REF!</definedName>
    <definedName name="NextReptgMo">[6]Input!$AE$19</definedName>
    <definedName name="NextReptgYr">[6]Input!$AE$21</definedName>
    <definedName name="Operating_Revenue_Dollars" localSheetId="2">#REF!</definedName>
    <definedName name="Operating_Revenue_Dollars">#REF!</definedName>
    <definedName name="Operating_Sales__KWh" localSheetId="2">#REF!</definedName>
    <definedName name="Operating_Sales__KWh">#REF!</definedName>
    <definedName name="PAGE" localSheetId="2">#REF!</definedName>
    <definedName name="PAGE">#REF!</definedName>
    <definedName name="PAGE10" localSheetId="2">#REF!</definedName>
    <definedName name="PAGE10">#REF!</definedName>
    <definedName name="PAGE1B" localSheetId="8">[3]d20!#REF!</definedName>
    <definedName name="PAGE1B" localSheetId="14">[3]d20!#REF!</definedName>
    <definedName name="PAGE1B" localSheetId="7">[3]d20!#REF!</definedName>
    <definedName name="PAGE1B" localSheetId="10">[3]d20!#REF!</definedName>
    <definedName name="PAGE1B" localSheetId="9">[3]d20!#REF!</definedName>
    <definedName name="PAGE1B" localSheetId="13">[3]d20!#REF!</definedName>
    <definedName name="PAGE1B" localSheetId="2">[3]d20!#REF!</definedName>
    <definedName name="PAGE1B" localSheetId="12">[3]d20!#REF!</definedName>
    <definedName name="PAGE1B" localSheetId="11">[3]d20!#REF!</definedName>
    <definedName name="PAGE1B">[3]d20!#REF!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gFERC_449" localSheetId="2">#REF!</definedName>
    <definedName name="PgFERC_449">#REF!</definedName>
    <definedName name="Plan" localSheetId="2">#REF!</definedName>
    <definedName name="Plan">#REF!</definedName>
    <definedName name="_xlnm.Print_Area" localSheetId="8">'AES Unit Costs'!$A$1:$K$62</definedName>
    <definedName name="_xlnm.Print_Area" localSheetId="3">'Allocation ProForma'!$F$4:$T$917</definedName>
    <definedName name="_xlnm.Print_Area" localSheetId="5">'Billing Det'!$A$1:$H$40</definedName>
    <definedName name="_xlnm.Print_Area" localSheetId="14">'FLS Unit Costs'!$A$1:$K$56</definedName>
    <definedName name="_xlnm.Print_Area" localSheetId="1">'Functional Assignment'!$F$5:$AJ$665</definedName>
    <definedName name="_xlnm.Print_Area" localSheetId="7">'GS Unit Costs'!$A$1:$K$62</definedName>
    <definedName name="_xlnm.Print_Area" localSheetId="0">'Jurisdictional Study'!$B$19:$Q$1432</definedName>
    <definedName name="_xlnm.Print_Area" localSheetId="15">Meters!$A$1:$H$62</definedName>
    <definedName name="_xlnm.Print_Area" localSheetId="10">'PSP Unit Costs'!$A$1:$K$56</definedName>
    <definedName name="_xlnm.Print_Area" localSheetId="9">'PSS Unit Costs'!$A$1:$K$56</definedName>
    <definedName name="_xlnm.Print_Area" localSheetId="6">'RS Unit Costs'!$A$1:$K$56</definedName>
    <definedName name="_xlnm.Print_Area" localSheetId="13">'RTS Unit Costs'!$A$1:$K$56</definedName>
    <definedName name="_xlnm.Print_Area" localSheetId="16">Services!$A$1:$D$59</definedName>
    <definedName name="_xlnm.Print_Area" localSheetId="4">'Summary of Returns'!$A$1:$G$62</definedName>
    <definedName name="_xlnm.Print_Area" localSheetId="2">'Summary SJB Exhibit'!$F$4:$T$136</definedName>
    <definedName name="_xlnm.Print_Area" localSheetId="12">'TODP Unit Costs'!$A$1:$K$56</definedName>
    <definedName name="_xlnm.Print_Area" localSheetId="11">'TODS Unit Costs'!$A$1:$K$56</definedName>
    <definedName name="_xlnm.Print_Titles" localSheetId="3">'Allocation ProForma'!$A:$E,'Allocation ProForma'!$1:$3</definedName>
    <definedName name="_xlnm.Print_Titles" localSheetId="5">'Billing Det'!$A:$A,'Billing Det'!$75:$76</definedName>
    <definedName name="_xlnm.Print_Titles" localSheetId="1">'Functional Assignment'!$A:$E,'Functional Assignment'!$1:$4</definedName>
    <definedName name="_xlnm.Print_Titles" localSheetId="0">'Jurisdictional Study'!$19:$22</definedName>
    <definedName name="_xlnm.Print_Titles" localSheetId="2">'Summary SJB Exhibit'!$A:$F,'Summary SJB Exhibit'!$1:$3</definedName>
    <definedName name="PRINT1" localSheetId="2">#REF!</definedName>
    <definedName name="PRINT1">#REF!</definedName>
    <definedName name="PWRGENBAL" localSheetId="2">#REF!</definedName>
    <definedName name="PWRGENBAL">#REF!</definedName>
    <definedName name="PWRGENCASH" localSheetId="2">#REF!</definedName>
    <definedName name="PWRGENCASH">#REF!</definedName>
    <definedName name="QtrbyMonth" localSheetId="2">#REF!</definedName>
    <definedName name="QtrbyMonth">#REF!</definedName>
    <definedName name="RangeRptgMo">[10]Main!$K$11</definedName>
    <definedName name="RangeRptgYr">[11]Main!$G$5</definedName>
    <definedName name="REPORT" localSheetId="2">#REF!</definedName>
    <definedName name="REPORT">#REF!</definedName>
    <definedName name="ReportTitle1" localSheetId="2">#REF!</definedName>
    <definedName name="ReportTitle1">#REF!</definedName>
    <definedName name="require_hide_ku_01" localSheetId="8">'[5]LGE Require &amp; Source'!#REF!</definedName>
    <definedName name="require_hide_ku_01" localSheetId="14">'[5]LGE Require &amp; Source'!#REF!</definedName>
    <definedName name="require_hide_ku_01" localSheetId="7">'[5]LGE Require &amp; Source'!#REF!</definedName>
    <definedName name="require_hide_ku_01" localSheetId="10">'[5]LGE Require &amp; Source'!#REF!</definedName>
    <definedName name="require_hide_ku_01" localSheetId="9">'[5]LGE Require &amp; Source'!#REF!</definedName>
    <definedName name="require_hide_ku_01" localSheetId="13">'[5]LGE Require &amp; Source'!#REF!</definedName>
    <definedName name="require_hide_ku_01" localSheetId="2">'[5]LGE Require &amp; Source'!#REF!</definedName>
    <definedName name="require_hide_ku_01" localSheetId="12">'[5]LGE Require &amp; Source'!#REF!</definedName>
    <definedName name="require_hide_ku_01" localSheetId="11">'[5]LGE Require &amp; Source'!#REF!</definedName>
    <definedName name="require_hide_ku_01">'[5]LGE Require &amp; Source'!#REF!</definedName>
    <definedName name="require_hide_lge_01" localSheetId="8">'[5]LGE Require &amp; Source'!#REF!</definedName>
    <definedName name="require_hide_lge_01" localSheetId="14">'[5]LGE Require &amp; Source'!#REF!</definedName>
    <definedName name="require_hide_lge_01" localSheetId="7">'[5]LGE Require &amp; Source'!#REF!</definedName>
    <definedName name="require_hide_lge_01" localSheetId="10">'[5]LGE Require &amp; Source'!#REF!</definedName>
    <definedName name="require_hide_lge_01" localSheetId="9">'[5]LGE Require &amp; Source'!#REF!</definedName>
    <definedName name="require_hide_lge_01" localSheetId="13">'[5]LGE Require &amp; Source'!#REF!</definedName>
    <definedName name="require_hide_lge_01" localSheetId="2">'[5]LGE Require &amp; Source'!#REF!</definedName>
    <definedName name="require_hide_lge_01" localSheetId="12">'[5]LGE Require &amp; Source'!#REF!</definedName>
    <definedName name="require_hide_lge_01" localSheetId="11">'[5]LGE Require &amp; Source'!#REF!</definedName>
    <definedName name="require_hide_lge_01">'[5]LGE Require &amp; Source'!#REF!</definedName>
    <definedName name="require_ku_01" localSheetId="8">'[5]LGE Require &amp; Source'!#REF!</definedName>
    <definedName name="require_ku_01" localSheetId="14">'[5]LGE Require &amp; Source'!#REF!</definedName>
    <definedName name="require_ku_01" localSheetId="7">'[5]LGE Require &amp; Source'!#REF!</definedName>
    <definedName name="require_ku_01" localSheetId="10">'[5]LGE Require &amp; Source'!#REF!</definedName>
    <definedName name="require_ku_01" localSheetId="9">'[5]LGE Require &amp; Source'!#REF!</definedName>
    <definedName name="require_ku_01" localSheetId="13">'[5]LGE Require &amp; Source'!#REF!</definedName>
    <definedName name="require_ku_01" localSheetId="2">'[5]LGE Require &amp; Source'!#REF!</definedName>
    <definedName name="require_ku_01" localSheetId="12">'[5]LGE Require &amp; Source'!#REF!</definedName>
    <definedName name="require_ku_01" localSheetId="11">'[5]LGE Require &amp; Source'!#REF!</definedName>
    <definedName name="require_ku_01">'[5]LGE Require &amp; Source'!#REF!</definedName>
    <definedName name="Requirements_Annual_KU" localSheetId="8">'[5]LGE Require &amp; Source'!#REF!</definedName>
    <definedName name="Requirements_Annual_KU" localSheetId="14">'[5]LGE Require &amp; Source'!#REF!</definedName>
    <definedName name="Requirements_Annual_KU" localSheetId="7">'[5]LGE Require &amp; Source'!#REF!</definedName>
    <definedName name="Requirements_Annual_KU" localSheetId="10">'[5]LGE Require &amp; Source'!#REF!</definedName>
    <definedName name="Requirements_Annual_KU" localSheetId="9">'[5]LGE Require &amp; Source'!#REF!</definedName>
    <definedName name="Requirements_Annual_KU" localSheetId="13">'[5]LGE Require &amp; Source'!#REF!</definedName>
    <definedName name="Requirements_Annual_KU" localSheetId="2">'[5]LGE Require &amp; Source'!#REF!</definedName>
    <definedName name="Requirements_Annual_KU" localSheetId="12">'[5]LGE Require &amp; Source'!#REF!</definedName>
    <definedName name="Requirements_Annual_KU" localSheetId="11">'[5]LGE Require &amp; Source'!#REF!</definedName>
    <definedName name="Requirements_Annual_KU">'[5]LGE Require &amp; Source'!#REF!</definedName>
    <definedName name="Requirements_Data" localSheetId="8">'[5]LGE Require &amp; Source'!#REF!</definedName>
    <definedName name="Requirements_Data" localSheetId="14">'[5]LGE Require &amp; Source'!#REF!</definedName>
    <definedName name="Requirements_Data" localSheetId="7">'[5]LGE Require &amp; Source'!#REF!</definedName>
    <definedName name="Requirements_Data" localSheetId="10">'[5]LGE Require &amp; Source'!#REF!</definedName>
    <definedName name="Requirements_Data" localSheetId="9">'[5]LGE Require &amp; Source'!#REF!</definedName>
    <definedName name="Requirements_Data" localSheetId="13">'[5]LGE Require &amp; Source'!#REF!</definedName>
    <definedName name="Requirements_Data" localSheetId="2">'[5]LGE Require &amp; Source'!#REF!</definedName>
    <definedName name="Requirements_Data" localSheetId="12">'[5]LGE Require &amp; Source'!#REF!</definedName>
    <definedName name="Requirements_Data" localSheetId="11">'[5]LGE Require &amp; Source'!#REF!</definedName>
    <definedName name="Requirements_Data">'[5]LGE Require &amp; Source'!#REF!</definedName>
    <definedName name="Requirements_KU" localSheetId="8">'[5]LGE Require &amp; Source'!#REF!</definedName>
    <definedName name="Requirements_KU" localSheetId="14">'[5]LGE Require &amp; Source'!#REF!</definedName>
    <definedName name="Requirements_KU" localSheetId="7">'[5]LGE Require &amp; Source'!#REF!</definedName>
    <definedName name="Requirements_KU" localSheetId="10">'[5]LGE Require &amp; Source'!#REF!</definedName>
    <definedName name="Requirements_KU" localSheetId="9">'[5]LGE Require &amp; Source'!#REF!</definedName>
    <definedName name="Requirements_KU" localSheetId="13">'[5]LGE Require &amp; Source'!#REF!</definedName>
    <definedName name="Requirements_KU" localSheetId="2">'[5]LGE Require &amp; Source'!#REF!</definedName>
    <definedName name="Requirements_KU" localSheetId="12">'[5]LGE Require &amp; Source'!#REF!</definedName>
    <definedName name="Requirements_KU" localSheetId="11">'[5]LGE Require &amp; Source'!#REF!</definedName>
    <definedName name="Requirements_KU">'[5]LGE Require &amp; Source'!#REF!</definedName>
    <definedName name="RevCol01" localSheetId="2">#REF!</definedName>
    <definedName name="RevCol01">#REF!</definedName>
    <definedName name="RevCol01A" localSheetId="2">#REF!</definedName>
    <definedName name="RevCol01A">#REF!</definedName>
    <definedName name="RevCol01B" localSheetId="8">#REF!</definedName>
    <definedName name="RevCol01B" localSheetId="14">#REF!</definedName>
    <definedName name="RevCol01B" localSheetId="7">#REF!</definedName>
    <definedName name="RevCol01B" localSheetId="10">#REF!</definedName>
    <definedName name="RevCol01B" localSheetId="9">#REF!</definedName>
    <definedName name="RevCol01B" localSheetId="13">#REF!</definedName>
    <definedName name="RevCol01B" localSheetId="2">#REF!</definedName>
    <definedName name="RevCol01B" localSheetId="12">#REF!</definedName>
    <definedName name="RevCol01B" localSheetId="11">#REF!</definedName>
    <definedName name="RevCol01B">#REF!</definedName>
    <definedName name="RevCol02" localSheetId="2">#REF!</definedName>
    <definedName name="RevCol02">#REF!</definedName>
    <definedName name="RevCol02A" localSheetId="2">#REF!</definedName>
    <definedName name="RevCol02A">#REF!</definedName>
    <definedName name="RevCol02B" localSheetId="8">#REF!</definedName>
    <definedName name="RevCol02B" localSheetId="14">#REF!</definedName>
    <definedName name="RevCol02B" localSheetId="7">#REF!</definedName>
    <definedName name="RevCol02B" localSheetId="10">#REF!</definedName>
    <definedName name="RevCol02B" localSheetId="9">#REF!</definedName>
    <definedName name="RevCol02B" localSheetId="13">#REF!</definedName>
    <definedName name="RevCol02B" localSheetId="2">#REF!</definedName>
    <definedName name="RevCol02B" localSheetId="12">#REF!</definedName>
    <definedName name="RevCol02B" localSheetId="11">#REF!</definedName>
    <definedName name="RevCol02B">#REF!</definedName>
    <definedName name="RevCol03" localSheetId="2">#REF!</definedName>
    <definedName name="RevCol03">#REF!</definedName>
    <definedName name="RevCol04" localSheetId="2">#REF!</definedName>
    <definedName name="RevCol04">#REF!</definedName>
    <definedName name="RevCol05" localSheetId="2">#REF!</definedName>
    <definedName name="RevCol05">#REF!</definedName>
    <definedName name="RevCol06" localSheetId="2">#REF!</definedName>
    <definedName name="RevCol06">#REF!</definedName>
    <definedName name="RevCol07" localSheetId="2">#REF!</definedName>
    <definedName name="RevCol07">#REF!</definedName>
    <definedName name="RevCol08" localSheetId="2">#REF!</definedName>
    <definedName name="RevCol08">#REF!</definedName>
    <definedName name="RevCol09" localSheetId="2">#REF!</definedName>
    <definedName name="RevCol09">#REF!</definedName>
    <definedName name="RevCol10" localSheetId="2">#REF!</definedName>
    <definedName name="RevCol10">#REF!</definedName>
    <definedName name="RevCol11" localSheetId="2">#REF!</definedName>
    <definedName name="RevCol11">#REF!</definedName>
    <definedName name="RevCol12" localSheetId="2">#REF!</definedName>
    <definedName name="RevCol12">#REF!</definedName>
    <definedName name="RevCol13" localSheetId="2">#REF!</definedName>
    <definedName name="RevCol13">#REF!</definedName>
    <definedName name="RevCol14" localSheetId="2">#REF!</definedName>
    <definedName name="RevCol14">#REF!</definedName>
    <definedName name="RevCol15" localSheetId="2">#REF!</definedName>
    <definedName name="RevCol15">#REF!</definedName>
    <definedName name="RevCol16" localSheetId="2">#REF!</definedName>
    <definedName name="RevCol16">#REF!</definedName>
    <definedName name="RevCol17" localSheetId="2">#REF!</definedName>
    <definedName name="RevCol17">#REF!</definedName>
    <definedName name="RevCol18" localSheetId="2">#REF!</definedName>
    <definedName name="RevCol18">#REF!</definedName>
    <definedName name="RevCol19" localSheetId="2">#REF!</definedName>
    <definedName name="RevCol19">#REF!</definedName>
    <definedName name="RevCol20" localSheetId="2">#REF!</definedName>
    <definedName name="RevCol20">#REF!</definedName>
    <definedName name="RevCol21" localSheetId="2">#REF!</definedName>
    <definedName name="RevCol21">#REF!</definedName>
    <definedName name="RevCol22" localSheetId="2">#REF!</definedName>
    <definedName name="RevCol22">#REF!</definedName>
    <definedName name="RevCol23" localSheetId="2">#REF!</definedName>
    <definedName name="RevCol23">#REF!</definedName>
    <definedName name="RevCol24" localSheetId="2">#REF!</definedName>
    <definedName name="RevCol24">#REF!</definedName>
    <definedName name="RevCol25" localSheetId="2">#REF!</definedName>
    <definedName name="RevCol25">#REF!</definedName>
    <definedName name="RevCol26" localSheetId="2">#REF!</definedName>
    <definedName name="RevCol26">#REF!</definedName>
    <definedName name="RevCol27" localSheetId="2">#REF!</definedName>
    <definedName name="RevCol27">#REF!</definedName>
    <definedName name="RevCol28" localSheetId="2">#REF!</definedName>
    <definedName name="RevCol28">#REF!</definedName>
    <definedName name="RevCol29" localSheetId="2">#REF!</definedName>
    <definedName name="RevCol29">#REF!</definedName>
    <definedName name="RevCol30" localSheetId="2">#REF!</definedName>
    <definedName name="RevCol30">#REF!</definedName>
    <definedName name="RevCol31" localSheetId="2">#REF!</definedName>
    <definedName name="RevCol31">#REF!</definedName>
    <definedName name="RevCol32" localSheetId="2">#REF!</definedName>
    <definedName name="RevCol32">#REF!</definedName>
    <definedName name="RevCol33" localSheetId="2">#REF!</definedName>
    <definedName name="RevCol33">#REF!</definedName>
    <definedName name="RevCol34" localSheetId="2">#REF!</definedName>
    <definedName name="RevCol34">#REF!</definedName>
    <definedName name="RevCol35" localSheetId="2">#REF!</definedName>
    <definedName name="RevCol35">#REF!</definedName>
    <definedName name="RevCol36" localSheetId="2">#REF!</definedName>
    <definedName name="RevCol36">#REF!</definedName>
    <definedName name="RevCol37" localSheetId="2">#REF!</definedName>
    <definedName name="RevCol37">#REF!</definedName>
    <definedName name="RevColTmp" localSheetId="8">#REF!</definedName>
    <definedName name="RevColTmp" localSheetId="14">#REF!</definedName>
    <definedName name="RevColTmp" localSheetId="7">#REF!</definedName>
    <definedName name="RevColTmp" localSheetId="10">#REF!</definedName>
    <definedName name="RevColTmp" localSheetId="9">#REF!</definedName>
    <definedName name="RevColTmp" localSheetId="13">#REF!</definedName>
    <definedName name="RevColTmp" localSheetId="2">#REF!</definedName>
    <definedName name="RevColTmp" localSheetId="12">#REF!</definedName>
    <definedName name="RevColTmp" localSheetId="11">#REF!</definedName>
    <definedName name="RevColTmp">#REF!</definedName>
    <definedName name="RevColTmpA" localSheetId="8">#REF!</definedName>
    <definedName name="RevColTmpA" localSheetId="14">#REF!</definedName>
    <definedName name="RevColTmpA" localSheetId="7">#REF!</definedName>
    <definedName name="RevColTmpA" localSheetId="10">#REF!</definedName>
    <definedName name="RevColTmpA" localSheetId="9">#REF!</definedName>
    <definedName name="RevColTmpA" localSheetId="13">#REF!</definedName>
    <definedName name="RevColTmpA" localSheetId="2">#REF!</definedName>
    <definedName name="RevColTmpA" localSheetId="12">#REF!</definedName>
    <definedName name="RevColTmpA" localSheetId="11">#REF!</definedName>
    <definedName name="RevColTmpA">#REF!</definedName>
    <definedName name="RevColTmpB" localSheetId="8">#REF!</definedName>
    <definedName name="RevColTmpB" localSheetId="14">#REF!</definedName>
    <definedName name="RevColTmpB" localSheetId="7">#REF!</definedName>
    <definedName name="RevColTmpB" localSheetId="10">#REF!</definedName>
    <definedName name="RevColTmpB" localSheetId="9">#REF!</definedName>
    <definedName name="RevColTmpB" localSheetId="13">#REF!</definedName>
    <definedName name="RevColTmpB" localSheetId="2">#REF!</definedName>
    <definedName name="RevColTmpB" localSheetId="12">#REF!</definedName>
    <definedName name="RevColTmpB" localSheetId="11">#REF!</definedName>
    <definedName name="RevColTmpB">#REF!</definedName>
    <definedName name="revenues_hide_ku_01" localSheetId="8">'[5]KU Other Electric Revenues'!#REF!</definedName>
    <definedName name="revenues_hide_ku_01" localSheetId="14">'[5]KU Other Electric Revenues'!#REF!</definedName>
    <definedName name="revenues_hide_ku_01" localSheetId="7">'[5]KU Other Electric Revenues'!#REF!</definedName>
    <definedName name="revenues_hide_ku_01" localSheetId="10">'[5]KU Other Electric Revenues'!#REF!</definedName>
    <definedName name="revenues_hide_ku_01" localSheetId="9">'[5]KU Other Electric Revenues'!#REF!</definedName>
    <definedName name="revenues_hide_ku_01" localSheetId="13">'[5]KU Other Electric Revenues'!#REF!</definedName>
    <definedName name="revenues_hide_ku_01" localSheetId="2">'[5]KU Other Electric Revenues'!#REF!</definedName>
    <definedName name="revenues_hide_ku_01" localSheetId="12">'[5]KU Other Electric Revenues'!#REF!</definedName>
    <definedName name="revenues_hide_ku_01" localSheetId="11">'[5]KU Other Electric Revenues'!#REF!</definedName>
    <definedName name="revenues_hide_ku_01">'[5]KU Other Electric Revenues'!#REF!</definedName>
    <definedName name="revenues_ku_01" localSheetId="8">'[5]KU Other Electric Revenues'!#REF!</definedName>
    <definedName name="revenues_ku_01" localSheetId="14">'[5]KU Other Electric Revenues'!#REF!</definedName>
    <definedName name="revenues_ku_01" localSheetId="7">'[5]KU Other Electric Revenues'!#REF!</definedName>
    <definedName name="revenues_ku_01" localSheetId="10">'[5]KU Other Electric Revenues'!#REF!</definedName>
    <definedName name="revenues_ku_01" localSheetId="9">'[5]KU Other Electric Revenues'!#REF!</definedName>
    <definedName name="revenues_ku_01" localSheetId="13">'[5]KU Other Electric Revenues'!#REF!</definedName>
    <definedName name="revenues_ku_01" localSheetId="2">'[5]KU Other Electric Revenues'!#REF!</definedName>
    <definedName name="revenues_ku_01" localSheetId="12">'[5]KU Other Electric Revenues'!#REF!</definedName>
    <definedName name="revenues_ku_01" localSheetId="11">'[5]KU Other Electric Revenues'!#REF!</definedName>
    <definedName name="revenues_ku_01">'[5]KU Other Electric Revenues'!#REF!</definedName>
    <definedName name="RowDetails1" localSheetId="2">#REF!</definedName>
    <definedName name="RowDetails1">#REF!</definedName>
    <definedName name="RPTCOL" localSheetId="2">#REF!</definedName>
    <definedName name="RPTCOL">#REF!</definedName>
    <definedName name="RPTROW" localSheetId="2">#REF!</definedName>
    <definedName name="RPTROW">#REF!</definedName>
    <definedName name="Sales" localSheetId="8">'[5]LGE Sales'!#REF!</definedName>
    <definedName name="Sales" localSheetId="14">'[5]LGE Sales'!#REF!</definedName>
    <definedName name="Sales" localSheetId="7">'[5]LGE Sales'!#REF!</definedName>
    <definedName name="Sales" localSheetId="10">'[5]LGE Sales'!#REF!</definedName>
    <definedName name="Sales" localSheetId="9">'[5]LGE Sales'!#REF!</definedName>
    <definedName name="Sales" localSheetId="13">'[5]LGE Sales'!#REF!</definedName>
    <definedName name="Sales" localSheetId="2">'[5]LGE Sales'!#REF!</definedName>
    <definedName name="Sales" localSheetId="12">'[5]LGE Sales'!#REF!</definedName>
    <definedName name="Sales" localSheetId="11">'[5]LGE Sales'!#REF!</definedName>
    <definedName name="Sales">'[5]LGE Sales'!#REF!</definedName>
    <definedName name="sales_hide_ku_01" localSheetId="8">'[5]LGE Sales'!#REF!</definedName>
    <definedName name="sales_hide_ku_01" localSheetId="14">'[5]LGE Sales'!#REF!</definedName>
    <definedName name="sales_hide_ku_01" localSheetId="7">'[5]LGE Sales'!#REF!</definedName>
    <definedName name="sales_hide_ku_01" localSheetId="10">'[5]LGE Sales'!#REF!</definedName>
    <definedName name="sales_hide_ku_01" localSheetId="9">'[5]LGE Sales'!#REF!</definedName>
    <definedName name="sales_hide_ku_01" localSheetId="13">'[5]LGE Sales'!#REF!</definedName>
    <definedName name="sales_hide_ku_01" localSheetId="2">'[5]LGE Sales'!#REF!</definedName>
    <definedName name="sales_hide_ku_01" localSheetId="12">'[5]LGE Sales'!#REF!</definedName>
    <definedName name="sales_hide_ku_01" localSheetId="11">'[5]LGE Sales'!#REF!</definedName>
    <definedName name="sales_hide_ku_01">'[5]LGE Sales'!#REF!</definedName>
    <definedName name="sales_ku_01" localSheetId="8">'[5]LGE Sales'!#REF!</definedName>
    <definedName name="sales_ku_01" localSheetId="14">'[5]LGE Sales'!#REF!</definedName>
    <definedName name="sales_ku_01" localSheetId="7">'[5]LGE Sales'!#REF!</definedName>
    <definedName name="sales_ku_01" localSheetId="10">'[5]LGE Sales'!#REF!</definedName>
    <definedName name="sales_ku_01" localSheetId="9">'[5]LGE Sales'!#REF!</definedName>
    <definedName name="sales_ku_01" localSheetId="13">'[5]LGE Sales'!#REF!</definedName>
    <definedName name="sales_ku_01" localSheetId="2">'[5]LGE Sales'!#REF!</definedName>
    <definedName name="sales_ku_01" localSheetId="12">'[5]LGE Sales'!#REF!</definedName>
    <definedName name="sales_ku_01" localSheetId="11">'[5]LGE Sales'!#REF!</definedName>
    <definedName name="sales_ku_01">'[5]LGE Sales'!#REF!</definedName>
    <definedName name="sales_title_ku" localSheetId="8">'[5]LGE Sales'!#REF!</definedName>
    <definedName name="sales_title_ku" localSheetId="14">'[5]LGE Sales'!#REF!</definedName>
    <definedName name="sales_title_ku" localSheetId="7">'[5]LGE Sales'!#REF!</definedName>
    <definedName name="sales_title_ku" localSheetId="10">'[5]LGE Sales'!#REF!</definedName>
    <definedName name="sales_title_ku" localSheetId="9">'[5]LGE Sales'!#REF!</definedName>
    <definedName name="sales_title_ku" localSheetId="13">'[5]LGE Sales'!#REF!</definedName>
    <definedName name="sales_title_ku" localSheetId="2">'[5]LGE Sales'!#REF!</definedName>
    <definedName name="sales_title_ku" localSheetId="12">'[5]LGE Sales'!#REF!</definedName>
    <definedName name="sales_title_ku" localSheetId="11">'[5]LGE Sales'!#REF!</definedName>
    <definedName name="sales_title_ku">'[5]LGE Sales'!#REF!</definedName>
    <definedName name="SCHEDZ" localSheetId="2">#REF!</definedName>
    <definedName name="SCHEDZ">#REF!</definedName>
    <definedName name="shoot" localSheetId="8">#REF!</definedName>
    <definedName name="shoot" localSheetId="14">#REF!</definedName>
    <definedName name="shoot" localSheetId="7">#REF!</definedName>
    <definedName name="shoot" localSheetId="10">#REF!</definedName>
    <definedName name="shoot" localSheetId="9">#REF!</definedName>
    <definedName name="shoot" localSheetId="13">#REF!</definedName>
    <definedName name="shoot" localSheetId="2">#REF!</definedName>
    <definedName name="shoot" localSheetId="12">#REF!</definedName>
    <definedName name="shoot" localSheetId="11">#REF!</definedName>
    <definedName name="shoot">#REF!</definedName>
    <definedName name="START" localSheetId="2">#REF!</definedName>
    <definedName name="START">#REF!</definedName>
    <definedName name="START2" localSheetId="2">#REF!</definedName>
    <definedName name="START2">#REF!</definedName>
    <definedName name="START3" localSheetId="2">#REF!</definedName>
    <definedName name="START3">#REF!</definedName>
    <definedName name="Support" localSheetId="2">#REF!</definedName>
    <definedName name="Support">#REF!</definedName>
    <definedName name="SUPPORT5" localSheetId="2">#REF!</definedName>
    <definedName name="SUPPORT5">#REF!</definedName>
    <definedName name="SUPPORT6" localSheetId="8">#REF!</definedName>
    <definedName name="SUPPORT6" localSheetId="14">#REF!</definedName>
    <definedName name="SUPPORT6" localSheetId="7">#REF!</definedName>
    <definedName name="SUPPORT6" localSheetId="10">#REF!</definedName>
    <definedName name="SUPPORT6" localSheetId="9">#REF!</definedName>
    <definedName name="SUPPORT6" localSheetId="13">#REF!</definedName>
    <definedName name="SUPPORT6" localSheetId="2">#REF!</definedName>
    <definedName name="SUPPORT6" localSheetId="12">#REF!</definedName>
    <definedName name="SUPPORT6" localSheetId="11">#REF!</definedName>
    <definedName name="SUPPORT6">#REF!</definedName>
    <definedName name="TAX_RATE" localSheetId="8">'[8]#REF'!#REF!</definedName>
    <definedName name="TAX_RATE" localSheetId="14">'[8]#REF'!#REF!</definedName>
    <definedName name="TAX_RATE" localSheetId="7">'[8]#REF'!#REF!</definedName>
    <definedName name="TAX_RATE" localSheetId="10">'[8]#REF'!#REF!</definedName>
    <definedName name="TAX_RATE" localSheetId="9">'[8]#REF'!#REF!</definedName>
    <definedName name="TAX_RATE" localSheetId="13">'[8]#REF'!#REF!</definedName>
    <definedName name="TAX_RATE" localSheetId="2">'[8]#REF'!#REF!</definedName>
    <definedName name="TAX_RATE" localSheetId="12">'[8]#REF'!#REF!</definedName>
    <definedName name="TAX_RATE" localSheetId="11">'[8]#REF'!#REF!</definedName>
    <definedName name="TAX_RATE">'[8]#REF'!#REF!</definedName>
    <definedName name="TempReptgMo">[6]Input!$AG$19</definedName>
    <definedName name="TempReptgYr">[6]Input!$AG$21</definedName>
    <definedName name="TenyrNIAC" localSheetId="2">#REF!</definedName>
    <definedName name="TenyrNIAC">#REF!</definedName>
    <definedName name="TenyrRev" localSheetId="2">#REF!</definedName>
    <definedName name="TenyrRev">#REF!</definedName>
    <definedName name="test" localSheetId="2">'Summary SJB Exhibit'!test</definedName>
    <definedName name="test">[0]!test</definedName>
    <definedName name="Title" localSheetId="2">#REF!</definedName>
    <definedName name="Title">#REF!</definedName>
    <definedName name="Title_Choice" localSheetId="2">#REF!</definedName>
    <definedName name="Title_Choice">#REF!</definedName>
    <definedName name="Titles" localSheetId="2">#REF!</definedName>
    <definedName name="Titles">#REF!</definedName>
    <definedName name="Titles_KU" localSheetId="2">#REF!</definedName>
    <definedName name="Titles_KU">#REF!</definedName>
    <definedName name="ttt" localSheetId="8">#REF!</definedName>
    <definedName name="ttt" localSheetId="14">#REF!</definedName>
    <definedName name="ttt" localSheetId="7">#REF!</definedName>
    <definedName name="ttt" localSheetId="10">#REF!</definedName>
    <definedName name="ttt" localSheetId="9">#REF!</definedName>
    <definedName name="ttt" localSheetId="13">#REF!</definedName>
    <definedName name="ttt" localSheetId="2">#REF!</definedName>
    <definedName name="ttt" localSheetId="12">#REF!</definedName>
    <definedName name="ttt" localSheetId="11">#REF!</definedName>
    <definedName name="ttt">#REF!</definedName>
    <definedName name="UpdateDate">[6]Input!$M$12</definedName>
    <definedName name="UpdateTime">[6]Input!$O$12</definedName>
    <definedName name="Variance" localSheetId="2">#REF!</definedName>
    <definedName name="Variance">#REF!</definedName>
    <definedName name="VIEW1" localSheetId="2">#REF!</definedName>
    <definedName name="VIEW1">#REF!</definedName>
    <definedName name="vol_rev_annual_ku" localSheetId="8">'[5]LGE Retail Margin'!#REF!</definedName>
    <definedName name="vol_rev_annual_ku" localSheetId="14">'[5]LGE Retail Margin'!#REF!</definedName>
    <definedName name="vol_rev_annual_ku" localSheetId="7">'[5]LGE Retail Margin'!#REF!</definedName>
    <definedName name="vol_rev_annual_ku" localSheetId="10">'[5]LGE Retail Margin'!#REF!</definedName>
    <definedName name="vol_rev_annual_ku" localSheetId="9">'[5]LGE Retail Margin'!#REF!</definedName>
    <definedName name="vol_rev_annual_ku" localSheetId="13">'[5]LGE Retail Margin'!#REF!</definedName>
    <definedName name="vol_rev_annual_ku" localSheetId="2">'[5]LGE Retail Margin'!#REF!</definedName>
    <definedName name="vol_rev_annual_ku" localSheetId="12">'[5]LGE Retail Margin'!#REF!</definedName>
    <definedName name="vol_rev_annual_ku" localSheetId="11">'[5]LGE Retail Margin'!#REF!</definedName>
    <definedName name="vol_rev_annual_ku">'[5]LGE Retail Margin'!#REF!</definedName>
    <definedName name="vol_rev_hide_ku_monthly" localSheetId="8">'[5]LGE Retail Margin'!#REF!</definedName>
    <definedName name="vol_rev_hide_ku_monthly" localSheetId="14">'[5]LGE Retail Margin'!#REF!</definedName>
    <definedName name="vol_rev_hide_ku_monthly" localSheetId="7">'[5]LGE Retail Margin'!#REF!</definedName>
    <definedName name="vol_rev_hide_ku_monthly" localSheetId="10">'[5]LGE Retail Margin'!#REF!</definedName>
    <definedName name="vol_rev_hide_ku_monthly" localSheetId="9">'[5]LGE Retail Margin'!#REF!</definedName>
    <definedName name="vol_rev_hide_ku_monthly" localSheetId="13">'[5]LGE Retail Margin'!#REF!</definedName>
    <definedName name="vol_rev_hide_ku_monthly" localSheetId="2">'[5]LGE Retail Margin'!#REF!</definedName>
    <definedName name="vol_rev_hide_ku_monthly" localSheetId="12">'[5]LGE Retail Margin'!#REF!</definedName>
    <definedName name="vol_rev_hide_ku_monthly" localSheetId="11">'[5]LGE Retail Margin'!#REF!</definedName>
    <definedName name="vol_rev_hide_ku_monthly">'[5]LGE Retail Margin'!#REF!</definedName>
    <definedName name="vol_rev_hide_lge_01" localSheetId="8">'[5]LGE Retail Margin'!#REF!</definedName>
    <definedName name="vol_rev_hide_lge_01" localSheetId="14">'[5]LGE Retail Margin'!#REF!</definedName>
    <definedName name="vol_rev_hide_lge_01" localSheetId="7">'[5]LGE Retail Margin'!#REF!</definedName>
    <definedName name="vol_rev_hide_lge_01" localSheetId="10">'[5]LGE Retail Margin'!#REF!</definedName>
    <definedName name="vol_rev_hide_lge_01" localSheetId="9">'[5]LGE Retail Margin'!#REF!</definedName>
    <definedName name="vol_rev_hide_lge_01" localSheetId="13">'[5]LGE Retail Margin'!#REF!</definedName>
    <definedName name="vol_rev_hide_lge_01" localSheetId="2">'[5]LGE Retail Margin'!#REF!</definedName>
    <definedName name="vol_rev_hide_lge_01" localSheetId="12">'[5]LGE Retail Margin'!#REF!</definedName>
    <definedName name="vol_rev_hide_lge_01" localSheetId="11">'[5]LGE Retail Margin'!#REF!</definedName>
    <definedName name="vol_rev_hide_lge_01">'[5]LGE Retail Margin'!#REF!</definedName>
    <definedName name="vol_rev_ku_monthly" localSheetId="8">'[5]LGE Retail Margin'!#REF!</definedName>
    <definedName name="vol_rev_ku_monthly" localSheetId="7">'[5]LGE Retail Margin'!#REF!</definedName>
    <definedName name="vol_rev_ku_monthly" localSheetId="10">'[5]LGE Retail Margin'!#REF!</definedName>
    <definedName name="vol_rev_ku_monthly" localSheetId="2">'[5]LGE Retail Margin'!#REF!</definedName>
    <definedName name="vol_rev_ku_monthly" localSheetId="11">'[5]LGE Retail Margin'!#REF!</definedName>
    <definedName name="vol_rev_ku_monthly">'[5]LGE Retail Margin'!#REF!</definedName>
    <definedName name="volrev_data" localSheetId="11">'[5]LGE Retail Margin'!#REF!</definedName>
    <definedName name="YTD" localSheetId="2">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F132" i="30" l="1"/>
  <c r="F131" i="30"/>
  <c r="F130" i="30"/>
  <c r="F119" i="30"/>
  <c r="F118" i="30"/>
  <c r="F117" i="30"/>
  <c r="F116" i="30"/>
  <c r="F115" i="30"/>
  <c r="F114" i="30"/>
  <c r="F113" i="30"/>
  <c r="F111" i="30"/>
  <c r="F110" i="30"/>
  <c r="F109" i="30"/>
  <c r="F108" i="30"/>
  <c r="F107" i="30"/>
  <c r="F106" i="30"/>
  <c r="F105" i="30"/>
  <c r="F104" i="30"/>
  <c r="F103" i="30"/>
  <c r="F102" i="30"/>
  <c r="T101" i="30"/>
  <c r="S101" i="30"/>
  <c r="R101" i="30"/>
  <c r="Q101" i="30"/>
  <c r="P101" i="30"/>
  <c r="O101" i="30"/>
  <c r="N101" i="30"/>
  <c r="M101" i="30"/>
  <c r="L101" i="30"/>
  <c r="K101" i="30"/>
  <c r="J101" i="30"/>
  <c r="I101" i="30"/>
  <c r="H101" i="30"/>
  <c r="G101" i="30"/>
  <c r="F101" i="30"/>
  <c r="T85" i="30"/>
  <c r="S85" i="30"/>
  <c r="R85" i="30"/>
  <c r="Q85" i="30"/>
  <c r="P85" i="30"/>
  <c r="O85" i="30"/>
  <c r="N85" i="30"/>
  <c r="M85" i="30"/>
  <c r="L85" i="30"/>
  <c r="K85" i="30"/>
  <c r="J85" i="30"/>
  <c r="I85" i="30"/>
  <c r="H85" i="30"/>
  <c r="G85" i="30"/>
  <c r="F85" i="30"/>
  <c r="F84" i="30"/>
  <c r="F83" i="30"/>
  <c r="F82" i="30"/>
  <c r="F81" i="30"/>
  <c r="F80" i="30"/>
  <c r="F79" i="30"/>
  <c r="F36" i="30"/>
  <c r="F35" i="30"/>
  <c r="F23" i="30"/>
  <c r="F21" i="30"/>
  <c r="F20" i="30"/>
  <c r="F19" i="30"/>
  <c r="F18" i="30"/>
  <c r="F17" i="30"/>
  <c r="F16" i="30"/>
  <c r="F15" i="30"/>
  <c r="F14" i="30"/>
  <c r="F13" i="30"/>
  <c r="F12" i="30"/>
  <c r="F10" i="30"/>
  <c r="F9" i="30"/>
  <c r="E1" i="30"/>
  <c r="F1" i="30" s="1"/>
  <c r="G1" i="30" s="1"/>
  <c r="H1" i="30" s="1"/>
  <c r="I1" i="30" s="1"/>
  <c r="J1" i="30" s="1"/>
  <c r="K1" i="30" s="1"/>
  <c r="L1" i="30" s="1"/>
  <c r="M1" i="30" s="1"/>
  <c r="N1" i="30" s="1"/>
  <c r="O1" i="30" s="1"/>
  <c r="P1" i="30" s="1"/>
  <c r="Q1" i="30" s="1"/>
  <c r="R1" i="30" s="1"/>
  <c r="S1" i="30" s="1"/>
  <c r="T1" i="30" s="1"/>
  <c r="U895" i="2" l="1"/>
  <c r="F895" i="2"/>
  <c r="K888" i="2"/>
  <c r="I888" i="2"/>
  <c r="F888" i="2"/>
  <c r="K881" i="2"/>
  <c r="I881" i="2"/>
  <c r="F881" i="2"/>
  <c r="F930" i="2" l="1"/>
  <c r="N481" i="1" l="1"/>
  <c r="R481" i="1"/>
  <c r="AE481" i="1"/>
  <c r="AG481" i="1"/>
  <c r="AI481" i="1"/>
  <c r="C8" i="8" l="1"/>
  <c r="B8" i="8" l="1"/>
  <c r="D10" i="6" s="1"/>
  <c r="K54" i="14" l="1"/>
  <c r="F50" i="19" l="1"/>
  <c r="G50" i="19"/>
  <c r="H50" i="19" s="1"/>
  <c r="F33" i="19"/>
  <c r="K33" i="19" s="1"/>
  <c r="L33" i="19" s="1"/>
  <c r="G50" i="17"/>
  <c r="H50" i="17" s="1"/>
  <c r="G801" i="2" l="1"/>
  <c r="F50" i="17"/>
  <c r="F33" i="17"/>
  <c r="K33" i="17" s="1"/>
  <c r="L33" i="17" s="1"/>
  <c r="F50" i="26" l="1"/>
  <c r="H50" i="26"/>
  <c r="F33" i="26"/>
  <c r="K33" i="26" s="1"/>
  <c r="L33" i="26" s="1"/>
  <c r="F50" i="25"/>
  <c r="H50" i="25"/>
  <c r="F33" i="25"/>
  <c r="F50" i="21"/>
  <c r="H50" i="21"/>
  <c r="F33" i="21"/>
  <c r="K33" i="21" s="1"/>
  <c r="L33" i="21" s="1"/>
  <c r="H50" i="20"/>
  <c r="F50" i="20"/>
  <c r="F33" i="20"/>
  <c r="K33" i="20" s="1"/>
  <c r="L33" i="20" s="1"/>
  <c r="E50" i="29"/>
  <c r="G50" i="29" s="1"/>
  <c r="F33" i="29"/>
  <c r="K33" i="29" s="1"/>
  <c r="L33" i="29" s="1"/>
  <c r="H50" i="29" l="1"/>
  <c r="F50" i="29"/>
  <c r="K33" i="25"/>
  <c r="L33" i="25" s="1"/>
  <c r="E50" i="27"/>
  <c r="F50" i="27" s="1"/>
  <c r="F33" i="27"/>
  <c r="K33" i="27" s="1"/>
  <c r="L33" i="27" s="1"/>
  <c r="G50" i="27" l="1"/>
  <c r="H50" i="27"/>
  <c r="F763" i="2"/>
  <c r="F120" i="30" s="1"/>
  <c r="D32" i="8"/>
  <c r="D22" i="8"/>
  <c r="D14" i="8"/>
  <c r="D8" i="8"/>
  <c r="F677" i="2" l="1"/>
  <c r="F34" i="30" s="1"/>
  <c r="F99" i="1"/>
  <c r="G910" i="2" l="1"/>
  <c r="T903" i="2" l="1"/>
  <c r="S903" i="2"/>
  <c r="R903" i="2"/>
  <c r="Q903" i="2"/>
  <c r="P903" i="2"/>
  <c r="O903" i="2"/>
  <c r="N903" i="2"/>
  <c r="M903" i="2"/>
  <c r="L903" i="2"/>
  <c r="J903" i="2"/>
  <c r="H903" i="2"/>
  <c r="G903" i="2"/>
  <c r="F721" i="2" l="1"/>
  <c r="F78" i="30" s="1"/>
  <c r="F755" i="2"/>
  <c r="F112" i="30" s="1"/>
  <c r="F121" i="30" s="1"/>
  <c r="F654" i="2" l="1"/>
  <c r="F11" i="30" s="1"/>
  <c r="B32" i="8"/>
  <c r="D32" i="6" s="1"/>
  <c r="B36" i="8"/>
  <c r="D36" i="6" s="1"/>
  <c r="C34" i="8"/>
  <c r="B34" i="8"/>
  <c r="D34" i="6" s="1"/>
  <c r="B28" i="8"/>
  <c r="D28" i="6" s="1"/>
  <c r="B24" i="8"/>
  <c r="D26" i="6" s="1"/>
  <c r="B22" i="8"/>
  <c r="D24" i="6" s="1"/>
  <c r="B20" i="8"/>
  <c r="D22" i="6" s="1"/>
  <c r="B18" i="8"/>
  <c r="D20" i="6" s="1"/>
  <c r="B16" i="8"/>
  <c r="D18" i="6" s="1"/>
  <c r="B14" i="8"/>
  <c r="D16" i="6" s="1"/>
  <c r="B12" i="8"/>
  <c r="D14" i="6" s="1"/>
  <c r="B10" i="8"/>
  <c r="D12" i="6" s="1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6" i="8"/>
  <c r="F32" i="8"/>
  <c r="F30" i="8"/>
  <c r="F28" i="8"/>
  <c r="F26" i="8"/>
  <c r="F24" i="8"/>
  <c r="F22" i="8"/>
  <c r="F20" i="8"/>
  <c r="F18" i="8"/>
  <c r="F16" i="8"/>
  <c r="F14" i="8"/>
  <c r="F12" i="8"/>
  <c r="F10" i="8"/>
  <c r="F8" i="8"/>
  <c r="I874" i="2" l="1"/>
  <c r="K874" i="2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77" i="2"/>
  <c r="J881" i="2" s="1"/>
  <c r="J876" i="2"/>
  <c r="J888" i="2" s="1"/>
  <c r="J875" i="2"/>
  <c r="J874" i="2" s="1"/>
  <c r="J873" i="2"/>
  <c r="J844" i="2"/>
  <c r="J845" i="2" s="1"/>
  <c r="J878" i="2" s="1"/>
  <c r="J895" i="2" s="1"/>
  <c r="H877" i="2"/>
  <c r="H881" i="2" s="1"/>
  <c r="H876" i="2"/>
  <c r="H888" i="2" s="1"/>
  <c r="H875" i="2"/>
  <c r="H874" i="2" s="1"/>
  <c r="H873" i="2"/>
  <c r="H844" i="2"/>
  <c r="H845" i="2" s="1"/>
  <c r="H878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5" i="7"/>
  <c r="K10" i="7" s="1"/>
  <c r="C34" i="6"/>
  <c r="C36" i="6"/>
  <c r="E10" i="6"/>
  <c r="E12" i="6"/>
  <c r="D16" i="7"/>
  <c r="E16" i="7" s="1"/>
  <c r="L848" i="2"/>
  <c r="I50" i="17" s="1"/>
  <c r="J50" i="17" s="1"/>
  <c r="M848" i="2"/>
  <c r="I50" i="19" s="1"/>
  <c r="J50" i="19" s="1"/>
  <c r="E22" i="6"/>
  <c r="O848" i="2"/>
  <c r="I50" i="21" s="1"/>
  <c r="J50" i="21" s="1"/>
  <c r="B30" i="8"/>
  <c r="D30" i="6" s="1"/>
  <c r="F34" i="8"/>
  <c r="F38" i="8" s="1"/>
  <c r="E38" i="8"/>
  <c r="G38" i="8"/>
  <c r="H38" i="8"/>
  <c r="I38" i="8"/>
  <c r="F32" i="14"/>
  <c r="K32" i="14" s="1"/>
  <c r="L32" i="14" s="1"/>
  <c r="E1" i="2"/>
  <c r="F1" i="2" s="1"/>
  <c r="G1" i="2" s="1"/>
  <c r="F918" i="2"/>
  <c r="F665" i="2"/>
  <c r="F22" i="30" s="1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G82" i="30" s="1"/>
  <c r="H725" i="2"/>
  <c r="H82" i="30" s="1"/>
  <c r="I725" i="2"/>
  <c r="I82" i="30" s="1"/>
  <c r="J725" i="2"/>
  <c r="J82" i="30" s="1"/>
  <c r="K725" i="2"/>
  <c r="K82" i="30" s="1"/>
  <c r="L725" i="2"/>
  <c r="L82" i="30" s="1"/>
  <c r="M725" i="2"/>
  <c r="M82" i="30" s="1"/>
  <c r="N725" i="2"/>
  <c r="N82" i="30" s="1"/>
  <c r="O725" i="2"/>
  <c r="O82" i="30" s="1"/>
  <c r="P725" i="2"/>
  <c r="P82" i="30" s="1"/>
  <c r="Q725" i="2"/>
  <c r="Q82" i="30" s="1"/>
  <c r="R725" i="2"/>
  <c r="R82" i="30" s="1"/>
  <c r="S725" i="2"/>
  <c r="S82" i="30" s="1"/>
  <c r="T725" i="2"/>
  <c r="T82" i="30" s="1"/>
  <c r="G726" i="2"/>
  <c r="G83" i="30" s="1"/>
  <c r="H726" i="2"/>
  <c r="H83" i="30" s="1"/>
  <c r="I726" i="2"/>
  <c r="I83" i="30" s="1"/>
  <c r="J726" i="2"/>
  <c r="J83" i="30" s="1"/>
  <c r="K726" i="2"/>
  <c r="K83" i="30" s="1"/>
  <c r="L726" i="2"/>
  <c r="L83" i="30" s="1"/>
  <c r="M726" i="2"/>
  <c r="M83" i="30" s="1"/>
  <c r="N726" i="2"/>
  <c r="N83" i="30" s="1"/>
  <c r="O726" i="2"/>
  <c r="O83" i="30" s="1"/>
  <c r="P726" i="2"/>
  <c r="P83" i="30" s="1"/>
  <c r="Q726" i="2"/>
  <c r="Q83" i="30" s="1"/>
  <c r="R726" i="2"/>
  <c r="R83" i="30" s="1"/>
  <c r="S726" i="2"/>
  <c r="S83" i="30" s="1"/>
  <c r="T726" i="2"/>
  <c r="T83" i="30" s="1"/>
  <c r="U729" i="2"/>
  <c r="U800" i="2" s="1"/>
  <c r="G749" i="2"/>
  <c r="G106" i="30" s="1"/>
  <c r="H749" i="2"/>
  <c r="H106" i="30" s="1"/>
  <c r="I749" i="2"/>
  <c r="I106" i="30" s="1"/>
  <c r="J749" i="2"/>
  <c r="J106" i="30" s="1"/>
  <c r="K749" i="2"/>
  <c r="K106" i="30" s="1"/>
  <c r="L749" i="2"/>
  <c r="L106" i="30" s="1"/>
  <c r="M749" i="2"/>
  <c r="M106" i="30" s="1"/>
  <c r="N749" i="2"/>
  <c r="N106" i="30" s="1"/>
  <c r="O749" i="2"/>
  <c r="O106" i="30" s="1"/>
  <c r="P749" i="2"/>
  <c r="P106" i="30" s="1"/>
  <c r="Q749" i="2"/>
  <c r="Q106" i="30" s="1"/>
  <c r="R749" i="2"/>
  <c r="R106" i="30" s="1"/>
  <c r="S749" i="2"/>
  <c r="S106" i="30" s="1"/>
  <c r="T749" i="2"/>
  <c r="T106" i="30" s="1"/>
  <c r="U776" i="2"/>
  <c r="U823" i="2" s="1"/>
  <c r="V804" i="2"/>
  <c r="W804" i="2" s="1"/>
  <c r="U817" i="2"/>
  <c r="L843" i="2"/>
  <c r="Q843" i="2"/>
  <c r="R843" i="2"/>
  <c r="K845" i="2"/>
  <c r="K878" i="2" s="1"/>
  <c r="K895" i="2" s="1"/>
  <c r="L844" i="2"/>
  <c r="L845" i="2" s="1"/>
  <c r="L878" i="2" s="1"/>
  <c r="L895" i="2" s="1"/>
  <c r="M844" i="2"/>
  <c r="M845" i="2" s="1"/>
  <c r="M878" i="2" s="1"/>
  <c r="M895" i="2" s="1"/>
  <c r="N844" i="2"/>
  <c r="N845" i="2" s="1"/>
  <c r="N878" i="2" s="1"/>
  <c r="N895" i="2" s="1"/>
  <c r="O844" i="2"/>
  <c r="O845" i="2" s="1"/>
  <c r="O878" i="2" s="1"/>
  <c r="O895" i="2" s="1"/>
  <c r="P844" i="2"/>
  <c r="P845" i="2" s="1"/>
  <c r="P878" i="2" s="1"/>
  <c r="P895" i="2" s="1"/>
  <c r="Q844" i="2"/>
  <c r="Q845" i="2" s="1"/>
  <c r="Q878" i="2" s="1"/>
  <c r="Q895" i="2" s="1"/>
  <c r="R844" i="2"/>
  <c r="R845" i="2" s="1"/>
  <c r="R878" i="2" s="1"/>
  <c r="R895" i="2" s="1"/>
  <c r="T844" i="2"/>
  <c r="T845" i="2" s="1"/>
  <c r="T878" i="2" s="1"/>
  <c r="T895" i="2" s="1"/>
  <c r="I845" i="2"/>
  <c r="I878" i="2" s="1"/>
  <c r="I895" i="2" s="1"/>
  <c r="G848" i="2"/>
  <c r="I49" i="14" s="1"/>
  <c r="J49" i="14" s="1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F867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76" i="2"/>
  <c r="G888" i="2" s="1"/>
  <c r="L876" i="2"/>
  <c r="L888" i="2" s="1"/>
  <c r="M876" i="2"/>
  <c r="M888" i="2" s="1"/>
  <c r="N876" i="2"/>
  <c r="N888" i="2" s="1"/>
  <c r="O876" i="2"/>
  <c r="O888" i="2" s="1"/>
  <c r="P876" i="2"/>
  <c r="P888" i="2" s="1"/>
  <c r="Q876" i="2"/>
  <c r="Q888" i="2" s="1"/>
  <c r="R876" i="2"/>
  <c r="R888" i="2" s="1"/>
  <c r="S876" i="2"/>
  <c r="S888" i="2" s="1"/>
  <c r="T876" i="2"/>
  <c r="T888" i="2" s="1"/>
  <c r="G877" i="2"/>
  <c r="G881" i="2" s="1"/>
  <c r="L877" i="2"/>
  <c r="L881" i="2" s="1"/>
  <c r="M877" i="2"/>
  <c r="M881" i="2" s="1"/>
  <c r="N877" i="2"/>
  <c r="N881" i="2" s="1"/>
  <c r="O877" i="2"/>
  <c r="O881" i="2" s="1"/>
  <c r="P877" i="2"/>
  <c r="P881" i="2" s="1"/>
  <c r="Q877" i="2"/>
  <c r="Q881" i="2" s="1"/>
  <c r="R877" i="2"/>
  <c r="R881" i="2" s="1"/>
  <c r="S877" i="2"/>
  <c r="S881" i="2" s="1"/>
  <c r="T877" i="2"/>
  <c r="T881" i="2" s="1"/>
  <c r="V883" i="2"/>
  <c r="W883" i="2" s="1"/>
  <c r="X883" i="2" s="1"/>
  <c r="V890" i="2"/>
  <c r="W890" i="2" s="1"/>
  <c r="X890" i="2" s="1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H678" i="2"/>
  <c r="H35" i="30" s="1"/>
  <c r="I678" i="2"/>
  <c r="I35" i="30" s="1"/>
  <c r="I741" i="2"/>
  <c r="I98" i="30" s="1"/>
  <c r="L678" i="2"/>
  <c r="L35" i="30" s="1"/>
  <c r="M678" i="2"/>
  <c r="M35" i="30" s="1"/>
  <c r="P678" i="2"/>
  <c r="P35" i="30" s="1"/>
  <c r="T678" i="2"/>
  <c r="T35" i="30" s="1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2" i="7"/>
  <c r="K58" i="7"/>
  <c r="K54" i="7"/>
  <c r="K48" i="7"/>
  <c r="K44" i="7"/>
  <c r="K40" i="7"/>
  <c r="K32" i="7"/>
  <c r="K28" i="7"/>
  <c r="K24" i="7"/>
  <c r="K20" i="7"/>
  <c r="K14" i="7"/>
  <c r="K65" i="7" s="1"/>
  <c r="K64" i="7"/>
  <c r="K60" i="7"/>
  <c r="K56" i="7"/>
  <c r="K52" i="7"/>
  <c r="K46" i="7"/>
  <c r="K42" i="7"/>
  <c r="K38" i="7"/>
  <c r="K30" i="7"/>
  <c r="K26" i="7"/>
  <c r="K22" i="7"/>
  <c r="K18" i="7"/>
  <c r="V801" i="2"/>
  <c r="W801" i="2" s="1"/>
  <c r="J423" i="1"/>
  <c r="J16" i="1"/>
  <c r="H20" i="1"/>
  <c r="J20" i="1"/>
  <c r="AH497" i="1"/>
  <c r="C38" i="8"/>
  <c r="E49" i="14"/>
  <c r="F49" i="14"/>
  <c r="G49" i="14"/>
  <c r="G844" i="2"/>
  <c r="G845" i="2" s="1"/>
  <c r="H49" i="14"/>
  <c r="H423" i="1"/>
  <c r="J908" i="2"/>
  <c r="D34" i="7"/>
  <c r="E34" i="7" s="1"/>
  <c r="S848" i="2"/>
  <c r="S860" i="2" s="1"/>
  <c r="E20" i="6"/>
  <c r="P908" i="2"/>
  <c r="P843" i="2"/>
  <c r="D26" i="7"/>
  <c r="E26" i="7" s="1"/>
  <c r="H403" i="1"/>
  <c r="J177" i="1"/>
  <c r="S843" i="2"/>
  <c r="S908" i="2"/>
  <c r="F742" i="2" l="1"/>
  <c r="F99" i="30" s="1"/>
  <c r="F98" i="30"/>
  <c r="G481" i="1"/>
  <c r="G483" i="1" s="1"/>
  <c r="G485" i="1" s="1"/>
  <c r="K861" i="2"/>
  <c r="S741" i="2"/>
  <c r="S98" i="30" s="1"/>
  <c r="S678" i="2"/>
  <c r="S35" i="30" s="1"/>
  <c r="K741" i="2"/>
  <c r="K98" i="30" s="1"/>
  <c r="K678" i="2"/>
  <c r="K35" i="30" s="1"/>
  <c r="R741" i="2"/>
  <c r="R98" i="30" s="1"/>
  <c r="R678" i="2"/>
  <c r="R35" i="30" s="1"/>
  <c r="J741" i="2"/>
  <c r="J98" i="30" s="1"/>
  <c r="J678" i="2"/>
  <c r="J35" i="30" s="1"/>
  <c r="Q741" i="2"/>
  <c r="Q98" i="30" s="1"/>
  <c r="Q678" i="2"/>
  <c r="Q35" i="30" s="1"/>
  <c r="H741" i="2"/>
  <c r="H98" i="30" s="1"/>
  <c r="L741" i="2"/>
  <c r="L98" i="30" s="1"/>
  <c r="O741" i="2"/>
  <c r="O98" i="30" s="1"/>
  <c r="O678" i="2"/>
  <c r="O35" i="30" s="1"/>
  <c r="N741" i="2"/>
  <c r="N98" i="30" s="1"/>
  <c r="N678" i="2"/>
  <c r="N35" i="30" s="1"/>
  <c r="G741" i="2"/>
  <c r="G98" i="30" s="1"/>
  <c r="G678" i="2"/>
  <c r="G35" i="30" s="1"/>
  <c r="M860" i="2"/>
  <c r="V903" i="2"/>
  <c r="W903" i="2" s="1"/>
  <c r="X903" i="2" s="1"/>
  <c r="V909" i="2"/>
  <c r="W909" i="2" s="1"/>
  <c r="X909" i="2" s="1"/>
  <c r="E32" i="6"/>
  <c r="D32" i="7"/>
  <c r="E32" i="7" s="1"/>
  <c r="D30" i="7"/>
  <c r="E30" i="7" s="1"/>
  <c r="E30" i="6"/>
  <c r="S849" i="2"/>
  <c r="S850" i="2" s="1"/>
  <c r="S853" i="2" s="1"/>
  <c r="E34" i="6"/>
  <c r="B38" i="8"/>
  <c r="P848" i="2"/>
  <c r="Q848" i="2"/>
  <c r="E26" i="6"/>
  <c r="R848" i="2"/>
  <c r="R849" i="2" s="1"/>
  <c r="R850" i="2" s="1"/>
  <c r="O849" i="2"/>
  <c r="O860" i="2"/>
  <c r="E24" i="6"/>
  <c r="D24" i="7"/>
  <c r="E24" i="7" s="1"/>
  <c r="D20" i="7"/>
  <c r="E20" i="7" s="1"/>
  <c r="N848" i="2"/>
  <c r="N843" i="2"/>
  <c r="D38" i="8"/>
  <c r="F843" i="2" s="1"/>
  <c r="D22" i="7"/>
  <c r="E22" i="7" s="1"/>
  <c r="S844" i="2"/>
  <c r="S845" i="2" s="1"/>
  <c r="S878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G803" i="2"/>
  <c r="H1" i="2"/>
  <c r="H724" i="2" s="1"/>
  <c r="H81" i="30" s="1"/>
  <c r="K856" i="2"/>
  <c r="K868" i="2" s="1"/>
  <c r="G545" i="2"/>
  <c r="M741" i="2"/>
  <c r="M98" i="30" s="1"/>
  <c r="P741" i="2"/>
  <c r="P98" i="30" s="1"/>
  <c r="K851" i="2"/>
  <c r="K863" i="2" s="1"/>
  <c r="G657" i="2"/>
  <c r="G14" i="30" s="1"/>
  <c r="H921" i="2"/>
  <c r="K854" i="2"/>
  <c r="V904" i="2"/>
  <c r="W904" i="2" s="1"/>
  <c r="X904" i="2" s="1"/>
  <c r="K862" i="2"/>
  <c r="V873" i="2"/>
  <c r="W873" i="2" s="1"/>
  <c r="X873" i="2" s="1"/>
  <c r="I850" i="2"/>
  <c r="F925" i="2"/>
  <c r="M849" i="2"/>
  <c r="V877" i="2"/>
  <c r="W877" i="2" s="1"/>
  <c r="X877" i="2" s="1"/>
  <c r="V717" i="2"/>
  <c r="W717" i="2" s="1"/>
  <c r="X717" i="2" s="1"/>
  <c r="G833" i="2"/>
  <c r="G652" i="2" s="1"/>
  <c r="G9" i="30" s="1"/>
  <c r="G724" i="2"/>
  <c r="G81" i="30" s="1"/>
  <c r="G921" i="2"/>
  <c r="G878" i="2"/>
  <c r="G895" i="2" s="1"/>
  <c r="G538" i="2"/>
  <c r="G656" i="2"/>
  <c r="G13" i="30" s="1"/>
  <c r="L849" i="2"/>
  <c r="G663" i="2"/>
  <c r="G20" i="30" s="1"/>
  <c r="G541" i="2"/>
  <c r="V881" i="2"/>
  <c r="W881" i="2" s="1"/>
  <c r="X881" i="2" s="1"/>
  <c r="V875" i="2"/>
  <c r="W875" i="2" s="1"/>
  <c r="X875" i="2" s="1"/>
  <c r="G664" i="2"/>
  <c r="G21" i="30" s="1"/>
  <c r="L860" i="2"/>
  <c r="E16" i="6"/>
  <c r="L288" i="1"/>
  <c r="G662" i="2"/>
  <c r="G19" i="30" s="1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G304" i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2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G12" i="30" s="1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2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28" i="7"/>
  <c r="E28" i="7" s="1"/>
  <c r="E28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T98" i="30" s="1"/>
  <c r="V888" i="2"/>
  <c r="W888" i="2" s="1"/>
  <c r="X888" i="2" s="1"/>
  <c r="V876" i="2"/>
  <c r="W876" i="2" s="1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J848" i="2"/>
  <c r="I50" i="29" s="1"/>
  <c r="J50" i="29" s="1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H848" i="2"/>
  <c r="I50" i="27" s="1"/>
  <c r="J50" i="27" s="1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F593" i="1" l="1"/>
  <c r="N860" i="2"/>
  <c r="O910" i="2" s="1"/>
  <c r="I50" i="20"/>
  <c r="J50" i="20" s="1"/>
  <c r="Q849" i="2"/>
  <c r="Q861" i="2" s="1"/>
  <c r="I50" i="26"/>
  <c r="J50" i="26" s="1"/>
  <c r="P860" i="2"/>
  <c r="I50" i="25"/>
  <c r="J50" i="25" s="1"/>
  <c r="M910" i="2"/>
  <c r="L910" i="2"/>
  <c r="P910" i="2"/>
  <c r="N910" i="2"/>
  <c r="H547" i="2"/>
  <c r="H664" i="2"/>
  <c r="H21" i="30" s="1"/>
  <c r="Q860" i="2"/>
  <c r="H833" i="2"/>
  <c r="H527" i="2" s="1"/>
  <c r="G861" i="2"/>
  <c r="H544" i="2"/>
  <c r="H663" i="2"/>
  <c r="H20" i="30" s="1"/>
  <c r="H656" i="2"/>
  <c r="H13" i="30" s="1"/>
  <c r="H655" i="2"/>
  <c r="H12" i="30" s="1"/>
  <c r="H545" i="2"/>
  <c r="V678" i="2"/>
  <c r="W678" i="2" s="1"/>
  <c r="X678" i="2" s="1"/>
  <c r="H552" i="2"/>
  <c r="H665" i="2"/>
  <c r="H22" i="30" s="1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H23" i="30" s="1"/>
  <c r="F908" i="2"/>
  <c r="V908" i="2"/>
  <c r="H815" i="2"/>
  <c r="F651" i="2"/>
  <c r="H661" i="2"/>
  <c r="H18" i="30" s="1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H19" i="30" s="1"/>
  <c r="G527" i="2"/>
  <c r="G526" i="2"/>
  <c r="K855" i="2"/>
  <c r="K866" i="2"/>
  <c r="I1" i="2"/>
  <c r="H657" i="2"/>
  <c r="H14" i="30" s="1"/>
  <c r="H803" i="2"/>
  <c r="M861" i="2"/>
  <c r="M850" i="2"/>
  <c r="I862" i="2"/>
  <c r="I853" i="2"/>
  <c r="I856" i="2"/>
  <c r="I851" i="2"/>
  <c r="I854" i="2"/>
  <c r="S855" i="2"/>
  <c r="S865" i="2"/>
  <c r="R862" i="2"/>
  <c r="R853" i="2"/>
  <c r="R854" i="2"/>
  <c r="R866" i="2" s="1"/>
  <c r="R851" i="2"/>
  <c r="R863" i="2" s="1"/>
  <c r="L861" i="2"/>
  <c r="L850" i="2"/>
  <c r="V878" i="2"/>
  <c r="V895" i="2" s="1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F33" i="30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23" i="30" s="1"/>
  <c r="G815" i="2"/>
  <c r="G665" i="2"/>
  <c r="G22" i="30" s="1"/>
  <c r="G661" i="2"/>
  <c r="G18" i="30" s="1"/>
  <c r="V843" i="2"/>
  <c r="W843" i="2" s="1"/>
  <c r="X843" i="2" s="1"/>
  <c r="M135" i="1"/>
  <c r="M73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6" i="7"/>
  <c r="E36" i="7" s="1"/>
  <c r="E36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38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18" i="6"/>
  <c r="D18" i="7"/>
  <c r="E18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G651" i="2" l="1"/>
  <c r="G8" i="30" s="1"/>
  <c r="F8" i="30"/>
  <c r="F25" i="30" s="1"/>
  <c r="Q850" i="2"/>
  <c r="Q854" i="2" s="1"/>
  <c r="Q866" i="2" s="1"/>
  <c r="V910" i="2"/>
  <c r="W910" i="2" s="1"/>
  <c r="X910" i="2" s="1"/>
  <c r="H652" i="2"/>
  <c r="H9" i="30" s="1"/>
  <c r="H526" i="2"/>
  <c r="H528" i="2"/>
  <c r="H651" i="2"/>
  <c r="F668" i="2"/>
  <c r="F701" i="2" s="1"/>
  <c r="P850" i="2"/>
  <c r="P861" i="2"/>
  <c r="W908" i="2"/>
  <c r="X908" i="2" s="1"/>
  <c r="G755" i="2"/>
  <c r="G112" i="30" s="1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14" i="30" s="1"/>
  <c r="I655" i="2"/>
  <c r="I12" i="30" s="1"/>
  <c r="I921" i="2"/>
  <c r="I666" i="2"/>
  <c r="I23" i="30" s="1"/>
  <c r="I833" i="2"/>
  <c r="I527" i="2" s="1"/>
  <c r="I661" i="2"/>
  <c r="I18" i="30" s="1"/>
  <c r="I662" i="2"/>
  <c r="I19" i="30" s="1"/>
  <c r="I803" i="2"/>
  <c r="J1" i="2"/>
  <c r="I560" i="2"/>
  <c r="I547" i="2"/>
  <c r="I541" i="2"/>
  <c r="I557" i="2"/>
  <c r="I664" i="2"/>
  <c r="I21" i="30" s="1"/>
  <c r="I656" i="2"/>
  <c r="I13" i="30" s="1"/>
  <c r="I665" i="2"/>
  <c r="I22" i="30" s="1"/>
  <c r="I724" i="2"/>
  <c r="I81" i="30" s="1"/>
  <c r="I544" i="2"/>
  <c r="I538" i="2"/>
  <c r="I663" i="2"/>
  <c r="I20" i="30" s="1"/>
  <c r="I545" i="2"/>
  <c r="I815" i="2"/>
  <c r="I552" i="2"/>
  <c r="I651" i="2"/>
  <c r="I839" i="2"/>
  <c r="K867" i="2"/>
  <c r="K857" i="2"/>
  <c r="K869" i="2" s="1"/>
  <c r="I866" i="2"/>
  <c r="I855" i="2"/>
  <c r="I841" i="2"/>
  <c r="I572" i="2" s="1"/>
  <c r="I840" i="2"/>
  <c r="I863" i="2"/>
  <c r="I868" i="2"/>
  <c r="I836" i="2"/>
  <c r="I546" i="2"/>
  <c r="I814" i="2"/>
  <c r="I865" i="2"/>
  <c r="M862" i="2"/>
  <c r="M851" i="2"/>
  <c r="M863" i="2" s="1"/>
  <c r="M854" i="2"/>
  <c r="M866" i="2" s="1"/>
  <c r="M853" i="2"/>
  <c r="M865" i="2" s="1"/>
  <c r="M856" i="2"/>
  <c r="M868" i="2" s="1"/>
  <c r="W895" i="2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W135" i="1"/>
  <c r="W440" i="1"/>
  <c r="W230" i="1" s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V419" i="1"/>
  <c r="AH631" i="1"/>
  <c r="AH443" i="1" s="1"/>
  <c r="AH455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J631" i="1"/>
  <c r="J443" i="1" s="1"/>
  <c r="J455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I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Z105" i="1"/>
  <c r="AA106" i="1"/>
  <c r="AC212" i="1"/>
  <c r="S106" i="1"/>
  <c r="H655" i="1"/>
  <c r="M440" i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I385" i="2" s="1"/>
  <c r="J222" i="1"/>
  <c r="U631" i="1"/>
  <c r="U443" i="1" s="1"/>
  <c r="U455" i="1" s="1"/>
  <c r="M222" i="1"/>
  <c r="Q222" i="1"/>
  <c r="AJ631" i="1"/>
  <c r="AJ443" i="1" s="1"/>
  <c r="AJ455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104" i="30" s="1"/>
  <c r="H563" i="2"/>
  <c r="H746" i="2"/>
  <c r="H103" i="30" s="1"/>
  <c r="H748" i="2"/>
  <c r="H105" i="30" s="1"/>
  <c r="AA631" i="1"/>
  <c r="AA443" i="1" s="1"/>
  <c r="AA455" i="1" s="1"/>
  <c r="AA481" i="1" s="1"/>
  <c r="T212" i="1"/>
  <c r="W212" i="1"/>
  <c r="G563" i="2"/>
  <c r="G748" i="2"/>
  <c r="G105" i="30" s="1"/>
  <c r="G746" i="2"/>
  <c r="G103" i="30" s="1"/>
  <c r="G747" i="2"/>
  <c r="G104" i="30" s="1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F96" i="30" s="1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14" i="2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38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38" i="6"/>
  <c r="F14" i="6" s="1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F714" i="2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M481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G548" i="2"/>
  <c r="H469" i="1"/>
  <c r="AL125" i="1"/>
  <c r="Y387" i="1"/>
  <c r="AK380" i="1"/>
  <c r="AL380" i="1" s="1"/>
  <c r="I755" i="2" l="1"/>
  <c r="I112" i="30" s="1"/>
  <c r="I8" i="30"/>
  <c r="F71" i="30"/>
  <c r="F86" i="30" s="1"/>
  <c r="F58" i="30"/>
  <c r="H755" i="2"/>
  <c r="H112" i="30" s="1"/>
  <c r="H8" i="30"/>
  <c r="Q853" i="2"/>
  <c r="Q865" i="2" s="1"/>
  <c r="L245" i="1"/>
  <c r="L258" i="1" s="1"/>
  <c r="L481" i="1"/>
  <c r="AJ659" i="1"/>
  <c r="AJ481" i="1"/>
  <c r="AC659" i="1"/>
  <c r="AC481" i="1"/>
  <c r="AC483" i="1" s="1"/>
  <c r="AC485" i="1" s="1"/>
  <c r="AC510" i="1" s="1"/>
  <c r="K659" i="1"/>
  <c r="K481" i="1"/>
  <c r="K483" i="1" s="1"/>
  <c r="J245" i="1"/>
  <c r="J258" i="1" s="1"/>
  <c r="J481" i="1"/>
  <c r="AH659" i="1"/>
  <c r="AH481" i="1"/>
  <c r="O245" i="1"/>
  <c r="O258" i="1" s="1"/>
  <c r="O481" i="1"/>
  <c r="T659" i="1"/>
  <c r="T481" i="1"/>
  <c r="T483" i="1" s="1"/>
  <c r="T485" i="1" s="1"/>
  <c r="T510" i="1" s="1"/>
  <c r="Q659" i="1"/>
  <c r="Q481" i="1"/>
  <c r="I659" i="1"/>
  <c r="I481" i="1"/>
  <c r="AB659" i="1"/>
  <c r="AB481" i="1"/>
  <c r="AB483" i="1" s="1"/>
  <c r="AB485" i="1" s="1"/>
  <c r="AB510" i="1" s="1"/>
  <c r="S245" i="1"/>
  <c r="S258" i="1" s="1"/>
  <c r="S275" i="1" s="1"/>
  <c r="S481" i="1"/>
  <c r="S483" i="1" s="1"/>
  <c r="S485" i="1" s="1"/>
  <c r="S510" i="1" s="1"/>
  <c r="AD245" i="1"/>
  <c r="AD258" i="1" s="1"/>
  <c r="AD481" i="1"/>
  <c r="P245" i="1"/>
  <c r="P258" i="1" s="1"/>
  <c r="P275" i="1" s="1"/>
  <c r="P481" i="1"/>
  <c r="U245" i="1"/>
  <c r="U258" i="1" s="1"/>
  <c r="U481" i="1"/>
  <c r="U483" i="1" s="1"/>
  <c r="U485" i="1" s="1"/>
  <c r="U510" i="1" s="1"/>
  <c r="U314" i="1" s="1"/>
  <c r="AF659" i="1"/>
  <c r="AF481" i="1"/>
  <c r="M483" i="1"/>
  <c r="Q862" i="2"/>
  <c r="Q851" i="2"/>
  <c r="Q863" i="2" s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K1" i="2"/>
  <c r="K372" i="2" s="1"/>
  <c r="J921" i="2"/>
  <c r="J815" i="2"/>
  <c r="J545" i="2"/>
  <c r="J655" i="2"/>
  <c r="J12" i="30" s="1"/>
  <c r="J803" i="2"/>
  <c r="J552" i="2"/>
  <c r="J661" i="2"/>
  <c r="J18" i="30" s="1"/>
  <c r="J662" i="2"/>
  <c r="J19" i="30" s="1"/>
  <c r="J664" i="2"/>
  <c r="J21" i="30" s="1"/>
  <c r="J547" i="2"/>
  <c r="J656" i="2"/>
  <c r="J13" i="30" s="1"/>
  <c r="J666" i="2"/>
  <c r="J23" i="30" s="1"/>
  <c r="J833" i="2"/>
  <c r="J354" i="2" s="1"/>
  <c r="J657" i="2"/>
  <c r="J14" i="30" s="1"/>
  <c r="J839" i="2"/>
  <c r="J391" i="2" s="1"/>
  <c r="J724" i="2"/>
  <c r="J81" i="30" s="1"/>
  <c r="J663" i="2"/>
  <c r="J20" i="30" s="1"/>
  <c r="J541" i="2"/>
  <c r="J665" i="2"/>
  <c r="J22" i="30" s="1"/>
  <c r="I528" i="2"/>
  <c r="I652" i="2"/>
  <c r="I9" i="30" s="1"/>
  <c r="I355" i="2"/>
  <c r="I748" i="2"/>
  <c r="I105" i="30" s="1"/>
  <c r="I746" i="2"/>
  <c r="I103" i="30" s="1"/>
  <c r="I563" i="2"/>
  <c r="I747" i="2"/>
  <c r="I104" i="30" s="1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139" i="1"/>
  <c r="V273" i="1"/>
  <c r="Z238" i="1"/>
  <c r="Z234" i="1"/>
  <c r="Z231" i="1"/>
  <c r="Z235" i="1"/>
  <c r="Z230" i="1"/>
  <c r="Z227" i="1"/>
  <c r="Z658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AA658" i="1"/>
  <c r="W105" i="1"/>
  <c r="U228" i="1"/>
  <c r="U235" i="1"/>
  <c r="U236" i="1"/>
  <c r="U234" i="1"/>
  <c r="U238" i="1"/>
  <c r="U231" i="1"/>
  <c r="U237" i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231" i="1"/>
  <c r="H238" i="1"/>
  <c r="G369" i="2"/>
  <c r="V660" i="1"/>
  <c r="H235" i="1"/>
  <c r="H228" i="1"/>
  <c r="S324" i="1"/>
  <c r="Y631" i="1"/>
  <c r="Y443" i="1" s="1"/>
  <c r="Y455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230" i="1"/>
  <c r="S141" i="1"/>
  <c r="AH224" i="1"/>
  <c r="T227" i="1"/>
  <c r="T235" i="1"/>
  <c r="Y658" i="1"/>
  <c r="AA108" i="1"/>
  <c r="X631" i="1"/>
  <c r="X443" i="1" s="1"/>
  <c r="X455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6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18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38" i="7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1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J12" i="1"/>
  <c r="J66" i="1" s="1"/>
  <c r="F353" i="2"/>
  <c r="AK568" i="1"/>
  <c r="AL568" i="1" s="1"/>
  <c r="U571" i="1"/>
  <c r="U323" i="1"/>
  <c r="U530" i="1"/>
  <c r="U529" i="1"/>
  <c r="U662" i="1"/>
  <c r="U324" i="1"/>
  <c r="F729" i="2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6" i="6"/>
  <c r="O838" i="2" s="1"/>
  <c r="F10" i="6"/>
  <c r="F32" i="6"/>
  <c r="R838" i="2" s="1"/>
  <c r="F22" i="6"/>
  <c r="M838" i="2" s="1"/>
  <c r="F16" i="6"/>
  <c r="F34" i="6"/>
  <c r="S838" i="2" s="1"/>
  <c r="F12" i="6"/>
  <c r="H838" i="2" s="1"/>
  <c r="F30" i="6"/>
  <c r="Q838" i="2" s="1"/>
  <c r="F24" i="6"/>
  <c r="N838" i="2" s="1"/>
  <c r="F20" i="6"/>
  <c r="L838" i="2" s="1"/>
  <c r="F28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J755" i="2" l="1"/>
  <c r="J112" i="30" s="1"/>
  <c r="J8" i="30"/>
  <c r="Y659" i="1"/>
  <c r="Y481" i="1"/>
  <c r="Y483" i="1" s="1"/>
  <c r="V659" i="1"/>
  <c r="V481" i="1"/>
  <c r="V483" i="1" s="1"/>
  <c r="V485" i="1" s="1"/>
  <c r="V510" i="1" s="1"/>
  <c r="Z659" i="1"/>
  <c r="Z481" i="1"/>
  <c r="Z483" i="1" s="1"/>
  <c r="Z485" i="1" s="1"/>
  <c r="Z510" i="1" s="1"/>
  <c r="U275" i="1"/>
  <c r="H481" i="1"/>
  <c r="W245" i="1"/>
  <c r="W258" i="1" s="1"/>
  <c r="W481" i="1"/>
  <c r="W483" i="1" s="1"/>
  <c r="W485" i="1" s="1"/>
  <c r="W510" i="1" s="1"/>
  <c r="X245" i="1"/>
  <c r="X258" i="1" s="1"/>
  <c r="X275" i="1" s="1"/>
  <c r="X481" i="1"/>
  <c r="X483" i="1" s="1"/>
  <c r="X485" i="1" s="1"/>
  <c r="X510" i="1" s="1"/>
  <c r="F330" i="1"/>
  <c r="F595" i="1"/>
  <c r="J838" i="2"/>
  <c r="J388" i="2" s="1"/>
  <c r="K381" i="2"/>
  <c r="K373" i="2"/>
  <c r="K369" i="2"/>
  <c r="K374" i="2"/>
  <c r="J356" i="2"/>
  <c r="J355" i="2"/>
  <c r="K388" i="2"/>
  <c r="J748" i="2"/>
  <c r="J105" i="30" s="1"/>
  <c r="J563" i="2"/>
  <c r="J747" i="2"/>
  <c r="J104" i="30" s="1"/>
  <c r="J746" i="2"/>
  <c r="J103" i="30" s="1"/>
  <c r="K376" i="2"/>
  <c r="K366" i="2"/>
  <c r="J527" i="2"/>
  <c r="J652" i="2"/>
  <c r="J9" i="30" s="1"/>
  <c r="J528" i="2"/>
  <c r="J526" i="2"/>
  <c r="K541" i="2"/>
  <c r="K655" i="2"/>
  <c r="K12" i="30" s="1"/>
  <c r="K560" i="2"/>
  <c r="K666" i="2"/>
  <c r="K23" i="30" s="1"/>
  <c r="K814" i="2"/>
  <c r="K547" i="2"/>
  <c r="K544" i="2"/>
  <c r="K657" i="2"/>
  <c r="K14" i="30" s="1"/>
  <c r="K656" i="2"/>
  <c r="K13" i="30" s="1"/>
  <c r="K833" i="2"/>
  <c r="K356" i="2" s="1"/>
  <c r="K548" i="2"/>
  <c r="K803" i="2"/>
  <c r="K553" i="2"/>
  <c r="K557" i="2"/>
  <c r="K663" i="2"/>
  <c r="K20" i="30" s="1"/>
  <c r="K545" i="2"/>
  <c r="K546" i="2"/>
  <c r="K840" i="2"/>
  <c r="K394" i="2" s="1"/>
  <c r="K661" i="2"/>
  <c r="K18" i="30" s="1"/>
  <c r="K662" i="2"/>
  <c r="K19" i="30" s="1"/>
  <c r="K651" i="2"/>
  <c r="K815" i="2"/>
  <c r="K921" i="2"/>
  <c r="K664" i="2"/>
  <c r="K21" i="30" s="1"/>
  <c r="K552" i="2"/>
  <c r="K836" i="2"/>
  <c r="L1" i="2"/>
  <c r="L560" i="2" s="1"/>
  <c r="K839" i="2"/>
  <c r="K563" i="2" s="1"/>
  <c r="K665" i="2"/>
  <c r="K22" i="30" s="1"/>
  <c r="K841" i="2"/>
  <c r="K724" i="2"/>
  <c r="K81" i="30" s="1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14" i="2"/>
  <c r="H865" i="2"/>
  <c r="V853" i="2"/>
  <c r="W853" i="2" s="1"/>
  <c r="X853" i="2" s="1"/>
  <c r="F20" i="7"/>
  <c r="L837" i="2" s="1"/>
  <c r="F10" i="7"/>
  <c r="F30" i="7"/>
  <c r="Q837" i="2" s="1"/>
  <c r="F24" i="7"/>
  <c r="N837" i="2" s="1"/>
  <c r="F32" i="7"/>
  <c r="R837" i="2" s="1"/>
  <c r="F12" i="7"/>
  <c r="F22" i="7"/>
  <c r="M837" i="2" s="1"/>
  <c r="F34" i="7"/>
  <c r="S837" i="2" s="1"/>
  <c r="F26" i="7"/>
  <c r="O837" i="2" s="1"/>
  <c r="F16" i="7"/>
  <c r="F28" i="7"/>
  <c r="P837" i="2" s="1"/>
  <c r="F36" i="7"/>
  <c r="T837" i="2" s="1"/>
  <c r="F18" i="7"/>
  <c r="G382" i="2"/>
  <c r="G838" i="2"/>
  <c r="F38" i="6"/>
  <c r="F61" i="6" s="1"/>
  <c r="H660" i="1"/>
  <c r="AK660" i="1" s="1"/>
  <c r="AL660" i="1" s="1"/>
  <c r="H263" i="1"/>
  <c r="AK479" i="1"/>
  <c r="AL479" i="1" s="1"/>
  <c r="J865" i="2"/>
  <c r="J814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388" i="2"/>
  <c r="H560" i="2"/>
  <c r="Y180" i="1"/>
  <c r="AK173" i="1"/>
  <c r="AL173" i="1" s="1"/>
  <c r="K755" i="2" l="1"/>
  <c r="K112" i="30" s="1"/>
  <c r="K8" i="30"/>
  <c r="J560" i="2"/>
  <c r="J331" i="2"/>
  <c r="AK481" i="1"/>
  <c r="AL481" i="1" s="1"/>
  <c r="H483" i="1"/>
  <c r="AK483" i="1" s="1"/>
  <c r="AL483" i="1" s="1"/>
  <c r="U277" i="1"/>
  <c r="L312" i="2"/>
  <c r="K382" i="2"/>
  <c r="L388" i="2"/>
  <c r="K377" i="2"/>
  <c r="K554" i="2"/>
  <c r="K391" i="2"/>
  <c r="K746" i="2"/>
  <c r="K103" i="30" s="1"/>
  <c r="K397" i="2"/>
  <c r="K566" i="2"/>
  <c r="K549" i="2"/>
  <c r="K572" i="2"/>
  <c r="K400" i="2"/>
  <c r="K747" i="2"/>
  <c r="K104" i="30" s="1"/>
  <c r="K526" i="2"/>
  <c r="L657" i="2"/>
  <c r="L14" i="30" s="1"/>
  <c r="L656" i="2"/>
  <c r="L13" i="30" s="1"/>
  <c r="L366" i="2"/>
  <c r="L380" i="2"/>
  <c r="L546" i="2"/>
  <c r="L664" i="2"/>
  <c r="L21" i="30" s="1"/>
  <c r="L841" i="2"/>
  <c r="L662" i="2"/>
  <c r="L19" i="30" s="1"/>
  <c r="L665" i="2"/>
  <c r="L22" i="30" s="1"/>
  <c r="L376" i="2"/>
  <c r="L374" i="2"/>
  <c r="L815" i="2"/>
  <c r="L544" i="2"/>
  <c r="L547" i="2"/>
  <c r="L538" i="2"/>
  <c r="L375" i="2"/>
  <c r="L666" i="2"/>
  <c r="L23" i="30" s="1"/>
  <c r="L663" i="2"/>
  <c r="L20" i="30" s="1"/>
  <c r="L833" i="2"/>
  <c r="L839" i="2"/>
  <c r="L334" i="2" s="1"/>
  <c r="L840" i="2"/>
  <c r="L337" i="2" s="1"/>
  <c r="L552" i="2"/>
  <c r="L655" i="2"/>
  <c r="L12" i="30" s="1"/>
  <c r="M1" i="2"/>
  <c r="M23" i="2" s="1"/>
  <c r="L836" i="2"/>
  <c r="L724" i="2"/>
  <c r="L81" i="30" s="1"/>
  <c r="L369" i="2"/>
  <c r="L921" i="2"/>
  <c r="L381" i="2"/>
  <c r="L651" i="2"/>
  <c r="L545" i="2"/>
  <c r="L541" i="2"/>
  <c r="L372" i="2"/>
  <c r="L553" i="2"/>
  <c r="L548" i="2"/>
  <c r="L373" i="2"/>
  <c r="L803" i="2"/>
  <c r="L814" i="2"/>
  <c r="L661" i="2"/>
  <c r="L18" i="30" s="1"/>
  <c r="K354" i="2"/>
  <c r="K527" i="2"/>
  <c r="K528" i="2"/>
  <c r="K652" i="2"/>
  <c r="K9" i="30" s="1"/>
  <c r="K748" i="2"/>
  <c r="K105" i="30" s="1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L51" i="2" s="1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F296" i="2"/>
  <c r="F38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L755" i="2" l="1"/>
  <c r="L112" i="30" s="1"/>
  <c r="L8" i="30"/>
  <c r="H29" i="17"/>
  <c r="H29" i="29"/>
  <c r="H29" i="27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105" i="30" s="1"/>
  <c r="L747" i="2"/>
  <c r="L104" i="30" s="1"/>
  <c r="L746" i="2"/>
  <c r="L103" i="30" s="1"/>
  <c r="L377" i="2"/>
  <c r="L527" i="2"/>
  <c r="L652" i="2"/>
  <c r="L9" i="30" s="1"/>
  <c r="L526" i="2"/>
  <c r="L355" i="2"/>
  <c r="L356" i="2"/>
  <c r="L528" i="2"/>
  <c r="L354" i="2"/>
  <c r="M553" i="2"/>
  <c r="M665" i="2"/>
  <c r="M22" i="30" s="1"/>
  <c r="M666" i="2"/>
  <c r="M23" i="30" s="1"/>
  <c r="M541" i="2"/>
  <c r="M840" i="2"/>
  <c r="M51" i="2" s="1"/>
  <c r="M388" i="2"/>
  <c r="N1" i="2"/>
  <c r="N486" i="2" s="1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13" i="30" s="1"/>
  <c r="M538" i="2"/>
  <c r="M815" i="2"/>
  <c r="M376" i="2"/>
  <c r="M657" i="2"/>
  <c r="M14" i="30" s="1"/>
  <c r="M545" i="2"/>
  <c r="M803" i="2"/>
  <c r="M814" i="2"/>
  <c r="M724" i="2"/>
  <c r="M81" i="30" s="1"/>
  <c r="M664" i="2"/>
  <c r="M21" i="30" s="1"/>
  <c r="M380" i="2"/>
  <c r="M655" i="2"/>
  <c r="M12" i="30" s="1"/>
  <c r="M663" i="2"/>
  <c r="M20" i="30" s="1"/>
  <c r="M839" i="2"/>
  <c r="M374" i="2"/>
  <c r="M661" i="2"/>
  <c r="M18" i="30" s="1"/>
  <c r="M841" i="2"/>
  <c r="M57" i="2" s="1"/>
  <c r="M833" i="2"/>
  <c r="M588" i="2" s="1"/>
  <c r="M375" i="2"/>
  <c r="M651" i="2"/>
  <c r="M544" i="2"/>
  <c r="M662" i="2"/>
  <c r="M19" i="30" s="1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H28" i="14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I29" i="17" s="1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93" i="30" s="1"/>
  <c r="F673" i="2"/>
  <c r="F30" i="30" s="1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M755" i="2" l="1"/>
  <c r="M112" i="30" s="1"/>
  <c r="M8" i="30"/>
  <c r="I29" i="19"/>
  <c r="H29" i="19"/>
  <c r="I29" i="29"/>
  <c r="I29" i="27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104" i="30" s="1"/>
  <c r="M391" i="2"/>
  <c r="M748" i="2"/>
  <c r="M105" i="30" s="1"/>
  <c r="M746" i="2"/>
  <c r="M103" i="30" s="1"/>
  <c r="M334" i="2"/>
  <c r="M563" i="2"/>
  <c r="M566" i="2"/>
  <c r="M394" i="2"/>
  <c r="M397" i="2"/>
  <c r="M340" i="2"/>
  <c r="M569" i="2"/>
  <c r="M337" i="2"/>
  <c r="M652" i="2"/>
  <c r="M9" i="30" s="1"/>
  <c r="M528" i="2"/>
  <c r="M297" i="2"/>
  <c r="M11" i="2"/>
  <c r="M354" i="2"/>
  <c r="M356" i="2"/>
  <c r="M527" i="2"/>
  <c r="M526" i="2"/>
  <c r="M355" i="2"/>
  <c r="M382" i="2"/>
  <c r="N665" i="2"/>
  <c r="N22" i="30" s="1"/>
  <c r="N657" i="2"/>
  <c r="N14" i="30" s="1"/>
  <c r="N664" i="2"/>
  <c r="N21" i="30" s="1"/>
  <c r="N560" i="2"/>
  <c r="N328" i="2"/>
  <c r="N388" i="2"/>
  <c r="N541" i="2"/>
  <c r="N662" i="2"/>
  <c r="N19" i="30" s="1"/>
  <c r="N840" i="2"/>
  <c r="N511" i="2" s="1"/>
  <c r="N552" i="2"/>
  <c r="N921" i="2"/>
  <c r="N663" i="2"/>
  <c r="N20" i="30" s="1"/>
  <c r="N814" i="2"/>
  <c r="N23" i="2"/>
  <c r="N42" i="2"/>
  <c r="N381" i="2"/>
  <c r="N656" i="2"/>
  <c r="N13" i="30" s="1"/>
  <c r="N37" i="2"/>
  <c r="N544" i="2"/>
  <c r="N833" i="2"/>
  <c r="N70" i="2" s="1"/>
  <c r="N803" i="2"/>
  <c r="N547" i="2"/>
  <c r="N380" i="2"/>
  <c r="N538" i="2"/>
  <c r="N651" i="2"/>
  <c r="N724" i="2"/>
  <c r="N81" i="30" s="1"/>
  <c r="O1" i="2"/>
  <c r="O260" i="2" s="1"/>
  <c r="N366" i="2"/>
  <c r="N312" i="2"/>
  <c r="N318" i="2"/>
  <c r="N372" i="2"/>
  <c r="N373" i="2"/>
  <c r="N655" i="2"/>
  <c r="N12" i="30" s="1"/>
  <c r="N323" i="2"/>
  <c r="N666" i="2"/>
  <c r="N23" i="30" s="1"/>
  <c r="N839" i="2"/>
  <c r="N505" i="2" s="1"/>
  <c r="N661" i="2"/>
  <c r="N18" i="30" s="1"/>
  <c r="N374" i="2"/>
  <c r="N316" i="2"/>
  <c r="N331" i="2"/>
  <c r="N836" i="2"/>
  <c r="N557" i="2"/>
  <c r="N548" i="2"/>
  <c r="N545" i="2"/>
  <c r="N376" i="2"/>
  <c r="N815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F97" i="30" s="1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I28" i="14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N755" i="2" l="1"/>
  <c r="N112" i="30" s="1"/>
  <c r="N8" i="30"/>
  <c r="H29" i="20"/>
  <c r="I29" i="20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105" i="30" s="1"/>
  <c r="N746" i="2"/>
  <c r="N103" i="30" s="1"/>
  <c r="N747" i="2"/>
  <c r="N104" i="30" s="1"/>
  <c r="N391" i="2"/>
  <c r="N48" i="2"/>
  <c r="N563" i="2"/>
  <c r="N334" i="2"/>
  <c r="N356" i="2"/>
  <c r="N11" i="2"/>
  <c r="N527" i="2"/>
  <c r="N69" i="2"/>
  <c r="N652" i="2"/>
  <c r="N9" i="30" s="1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22" i="30" s="1"/>
  <c r="O657" i="2"/>
  <c r="O14" i="30" s="1"/>
  <c r="O309" i="2"/>
  <c r="O423" i="2"/>
  <c r="O836" i="2"/>
  <c r="O385" i="2"/>
  <c r="O31" i="2"/>
  <c r="O331" i="2"/>
  <c r="O495" i="2"/>
  <c r="O538" i="2"/>
  <c r="O547" i="2"/>
  <c r="O814" i="2"/>
  <c r="O557" i="2"/>
  <c r="O606" i="2"/>
  <c r="O608" i="2"/>
  <c r="O661" i="2"/>
  <c r="O18" i="30" s="1"/>
  <c r="O662" i="2"/>
  <c r="O19" i="30" s="1"/>
  <c r="O373" i="2"/>
  <c r="O319" i="2"/>
  <c r="O42" i="2"/>
  <c r="O37" i="2"/>
  <c r="O541" i="2"/>
  <c r="O544" i="2"/>
  <c r="O380" i="2"/>
  <c r="O45" i="2"/>
  <c r="O666" i="2"/>
  <c r="O23" i="30" s="1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13" i="30" s="1"/>
  <c r="O366" i="2"/>
  <c r="O38" i="2"/>
  <c r="O81" i="2"/>
  <c r="O431" i="2"/>
  <c r="O921" i="2"/>
  <c r="O614" i="2"/>
  <c r="O600" i="2"/>
  <c r="O89" i="2"/>
  <c r="O317" i="2"/>
  <c r="O381" i="2"/>
  <c r="O429" i="2"/>
  <c r="P1" i="2"/>
  <c r="P214" i="2" s="1"/>
  <c r="O724" i="2"/>
  <c r="O81" i="30" s="1"/>
  <c r="O100" i="2"/>
  <c r="O803" i="2"/>
  <c r="O840" i="2"/>
  <c r="O109" i="2" s="1"/>
  <c r="O324" i="2"/>
  <c r="O23" i="2"/>
  <c r="O664" i="2"/>
  <c r="O21" i="30" s="1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20" i="30" s="1"/>
  <c r="O655" i="2"/>
  <c r="O12" i="30" s="1"/>
  <c r="O651" i="2"/>
  <c r="O480" i="2"/>
  <c r="O318" i="2"/>
  <c r="O26" i="2"/>
  <c r="O29" i="2"/>
  <c r="O315" i="2"/>
  <c r="O488" i="2"/>
  <c r="O815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I30" i="27" s="1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O755" i="2" l="1"/>
  <c r="O112" i="30" s="1"/>
  <c r="O8" i="30"/>
  <c r="H30" i="19"/>
  <c r="I30" i="19"/>
  <c r="H30" i="17"/>
  <c r="I30" i="17"/>
  <c r="H30" i="20"/>
  <c r="H29" i="21"/>
  <c r="H30" i="21"/>
  <c r="I30" i="20"/>
  <c r="I30" i="21"/>
  <c r="I29" i="21"/>
  <c r="I30" i="29"/>
  <c r="H30" i="29"/>
  <c r="H30" i="27"/>
  <c r="J28" i="29"/>
  <c r="P430" i="2"/>
  <c r="I210" i="2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103" i="30" s="1"/>
  <c r="O48" i="2"/>
  <c r="O286" i="2"/>
  <c r="O457" i="2"/>
  <c r="O400" i="2"/>
  <c r="O514" i="2"/>
  <c r="O343" i="2"/>
  <c r="O297" i="2"/>
  <c r="O652" i="2"/>
  <c r="O9" i="30" s="1"/>
  <c r="O748" i="2"/>
  <c r="O105" i="30" s="1"/>
  <c r="O468" i="2"/>
  <c r="O528" i="2"/>
  <c r="O589" i="2"/>
  <c r="O411" i="2"/>
  <c r="O39" i="2"/>
  <c r="O412" i="2"/>
  <c r="O526" i="2"/>
  <c r="O496" i="2"/>
  <c r="O325" i="2"/>
  <c r="O298" i="2"/>
  <c r="O588" i="2"/>
  <c r="O747" i="2"/>
  <c r="O104" i="30" s="1"/>
  <c r="O106" i="2"/>
  <c r="P657" i="2"/>
  <c r="P14" i="30" s="1"/>
  <c r="P541" i="2"/>
  <c r="P366" i="2"/>
  <c r="P81" i="2"/>
  <c r="P374" i="2"/>
  <c r="P316" i="2"/>
  <c r="P499" i="2"/>
  <c r="P90" i="2"/>
  <c r="P252" i="2"/>
  <c r="P317" i="2"/>
  <c r="P195" i="2"/>
  <c r="P495" i="2"/>
  <c r="P664" i="2"/>
  <c r="P21" i="30" s="1"/>
  <c r="P388" i="2"/>
  <c r="P45" i="2"/>
  <c r="P544" i="2"/>
  <c r="P814" i="2"/>
  <c r="P96" i="2"/>
  <c r="P663" i="2"/>
  <c r="P20" i="30" s="1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80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Q277" i="2" s="1"/>
  <c r="P656" i="2"/>
  <c r="P13" i="30" s="1"/>
  <c r="P375" i="2"/>
  <c r="P381" i="2"/>
  <c r="P33" i="2"/>
  <c r="P31" i="2"/>
  <c r="P437" i="2"/>
  <c r="P323" i="2"/>
  <c r="P480" i="2"/>
  <c r="P38" i="2"/>
  <c r="P309" i="2"/>
  <c r="P100" i="2"/>
  <c r="P608" i="2"/>
  <c r="P724" i="2"/>
  <c r="P81" i="30" s="1"/>
  <c r="P833" i="2"/>
  <c r="P836" i="2"/>
  <c r="P662" i="2"/>
  <c r="P19" i="30" s="1"/>
  <c r="P815" i="2"/>
  <c r="P651" i="2"/>
  <c r="P483" i="2"/>
  <c r="P88" i="2"/>
  <c r="P37" i="2"/>
  <c r="P557" i="2"/>
  <c r="P486" i="2"/>
  <c r="P502" i="2"/>
  <c r="P95" i="2"/>
  <c r="P369" i="2"/>
  <c r="P312" i="2"/>
  <c r="P494" i="2"/>
  <c r="P665" i="2"/>
  <c r="P22" i="30" s="1"/>
  <c r="P373" i="2"/>
  <c r="P331" i="2"/>
  <c r="P655" i="2"/>
  <c r="P12" i="30" s="1"/>
  <c r="P23" i="2"/>
  <c r="P552" i="2"/>
  <c r="P554" i="2" s="1"/>
  <c r="P666" i="2"/>
  <c r="P23" i="30" s="1"/>
  <c r="P661" i="2"/>
  <c r="P18" i="30" s="1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I2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J27" i="14" s="1"/>
  <c r="L611" i="2"/>
  <c r="P204" i="2"/>
  <c r="G204" i="2"/>
  <c r="N223" i="2"/>
  <c r="J28" i="20" s="1"/>
  <c r="X595" i="1"/>
  <c r="G611" i="2"/>
  <c r="I204" i="2"/>
  <c r="Y122" i="1"/>
  <c r="H223" i="2"/>
  <c r="J28" i="27" s="1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J28" i="19" s="1"/>
  <c r="O223" i="2"/>
  <c r="L223" i="2"/>
  <c r="J28" i="17" s="1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I29" i="14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H29" i="14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H28" i="20" s="1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J14" i="20" s="1"/>
  <c r="O166" i="2"/>
  <c r="G166" i="2"/>
  <c r="J13" i="14" s="1"/>
  <c r="M166" i="2"/>
  <c r="J14" i="19" s="1"/>
  <c r="K166" i="2"/>
  <c r="L166" i="2"/>
  <c r="J14" i="17" s="1"/>
  <c r="J166" i="2"/>
  <c r="J14" i="29" s="1"/>
  <c r="I166" i="2"/>
  <c r="H166" i="2"/>
  <c r="J14" i="27" s="1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P755" i="2" l="1"/>
  <c r="P112" i="30" s="1"/>
  <c r="P8" i="30"/>
  <c r="H28" i="19"/>
  <c r="H29" i="25"/>
  <c r="H28" i="17"/>
  <c r="I30" i="25"/>
  <c r="H30" i="25"/>
  <c r="I29" i="25"/>
  <c r="H28" i="25"/>
  <c r="H28" i="21"/>
  <c r="J28" i="21"/>
  <c r="J14" i="21"/>
  <c r="H28" i="29"/>
  <c r="H28" i="27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9" i="30" s="1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P280" i="2"/>
  <c r="P166" i="2"/>
  <c r="P748" i="2"/>
  <c r="P105" i="30" s="1"/>
  <c r="P334" i="2"/>
  <c r="P448" i="2"/>
  <c r="P505" i="2"/>
  <c r="P747" i="2"/>
  <c r="P104" i="30" s="1"/>
  <c r="P391" i="2"/>
  <c r="P48" i="2"/>
  <c r="P563" i="2"/>
  <c r="P746" i="2"/>
  <c r="P103" i="30" s="1"/>
  <c r="P625" i="2"/>
  <c r="P106" i="2"/>
  <c r="Q553" i="2"/>
  <c r="Q309" i="2"/>
  <c r="Q547" i="2"/>
  <c r="Q815" i="2"/>
  <c r="Q666" i="2"/>
  <c r="Q23" i="30" s="1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19" i="30" s="1"/>
  <c r="Q480" i="2"/>
  <c r="Q841" i="2"/>
  <c r="Q836" i="2"/>
  <c r="Q664" i="2"/>
  <c r="Q21" i="30" s="1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13" i="30" s="1"/>
  <c r="Q803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12" i="30" s="1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104" i="30" s="1"/>
  <c r="Q328" i="2"/>
  <c r="Q502" i="2"/>
  <c r="Q541" i="2"/>
  <c r="Q724" i="2"/>
  <c r="Q81" i="30" s="1"/>
  <c r="Q746" i="2"/>
  <c r="Q103" i="30" s="1"/>
  <c r="Q366" i="2"/>
  <c r="Q665" i="2"/>
  <c r="Q22" i="30" s="1"/>
  <c r="Q391" i="2"/>
  <c r="Q312" i="2"/>
  <c r="Q603" i="2"/>
  <c r="Q29" i="2"/>
  <c r="Q432" i="2"/>
  <c r="Q505" i="2"/>
  <c r="Q487" i="2"/>
  <c r="Q448" i="2"/>
  <c r="Q433" i="2"/>
  <c r="Q615" i="2"/>
  <c r="Q622" i="2"/>
  <c r="Q651" i="2"/>
  <c r="Q545" i="2"/>
  <c r="Q423" i="2"/>
  <c r="Q490" i="2"/>
  <c r="Q606" i="2"/>
  <c r="Q610" i="2"/>
  <c r="Q607" i="2"/>
  <c r="Q260" i="2"/>
  <c r="Q209" i="2"/>
  <c r="Q661" i="2"/>
  <c r="Q18" i="30" s="1"/>
  <c r="Q814" i="2"/>
  <c r="Q619" i="2"/>
  <c r="Q90" i="2"/>
  <c r="R1" i="2"/>
  <c r="Q748" i="2"/>
  <c r="Q105" i="30" s="1"/>
  <c r="Q563" i="2"/>
  <c r="Q30" i="2"/>
  <c r="Q195" i="2"/>
  <c r="Q317" i="2"/>
  <c r="Q201" i="2"/>
  <c r="Q548" i="2"/>
  <c r="Q32" i="2"/>
  <c r="Q663" i="2"/>
  <c r="Q20" i="30" s="1"/>
  <c r="Q81" i="2"/>
  <c r="Q657" i="2"/>
  <c r="Q14" i="30" s="1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H27" i="14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62" i="30" s="1"/>
  <c r="F735" i="2"/>
  <c r="F92" i="30" s="1"/>
  <c r="F672" i="2"/>
  <c r="F29" i="30" s="1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32" i="30" s="1"/>
  <c r="F738" i="2"/>
  <c r="F95" i="30" s="1"/>
  <c r="F674" i="2"/>
  <c r="F31" i="30" s="1"/>
  <c r="G154" i="2"/>
  <c r="Q755" i="2" l="1"/>
  <c r="Q112" i="30" s="1"/>
  <c r="Q8" i="30"/>
  <c r="J28" i="25"/>
  <c r="H14" i="17"/>
  <c r="J14" i="25"/>
  <c r="I30" i="26"/>
  <c r="H29" i="26"/>
  <c r="H28" i="26"/>
  <c r="H30" i="26"/>
  <c r="I29" i="26"/>
  <c r="Q268" i="2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9" i="30" s="1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803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13" i="30" s="1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19" i="30" s="1"/>
  <c r="R651" i="2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14" i="30" s="1"/>
  <c r="R661" i="2"/>
  <c r="R18" i="30" s="1"/>
  <c r="R100" i="2"/>
  <c r="R490" i="2"/>
  <c r="R204" i="2"/>
  <c r="R260" i="2"/>
  <c r="R106" i="2"/>
  <c r="R209" i="2"/>
  <c r="R747" i="2"/>
  <c r="R104" i="30" s="1"/>
  <c r="R369" i="2"/>
  <c r="R724" i="2"/>
  <c r="R81" i="30" s="1"/>
  <c r="R746" i="2"/>
  <c r="R103" i="30" s="1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815" i="2"/>
  <c r="R655" i="2"/>
  <c r="R12" i="30" s="1"/>
  <c r="R442" i="2"/>
  <c r="R489" i="2"/>
  <c r="R615" i="2"/>
  <c r="R144" i="2"/>
  <c r="S1" i="2"/>
  <c r="R664" i="2"/>
  <c r="R21" i="30" s="1"/>
  <c r="R833" i="2"/>
  <c r="R70" i="2" s="1"/>
  <c r="R665" i="2"/>
  <c r="R22" i="30" s="1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105" i="30" s="1"/>
  <c r="R663" i="2"/>
  <c r="R20" i="30" s="1"/>
  <c r="R423" i="2"/>
  <c r="R312" i="2"/>
  <c r="R84" i="2"/>
  <c r="R483" i="2"/>
  <c r="R202" i="2"/>
  <c r="R614" i="2"/>
  <c r="R502" i="2"/>
  <c r="R324" i="2"/>
  <c r="R814" i="2"/>
  <c r="R538" i="2"/>
  <c r="R391" i="2"/>
  <c r="R380" i="2"/>
  <c r="R33" i="2"/>
  <c r="R255" i="2"/>
  <c r="R430" i="2"/>
  <c r="R494" i="2"/>
  <c r="R608" i="2"/>
  <c r="R201" i="2"/>
  <c r="R81" i="2"/>
  <c r="R666" i="2"/>
  <c r="R23" i="30" s="1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H14" i="19" s="1"/>
  <c r="P147" i="2"/>
  <c r="H14" i="25" s="1"/>
  <c r="J147" i="2"/>
  <c r="H14" i="29" s="1"/>
  <c r="N147" i="2"/>
  <c r="H14" i="20" s="1"/>
  <c r="K147" i="2"/>
  <c r="G147" i="2"/>
  <c r="H13" i="14" s="1"/>
  <c r="O147" i="2"/>
  <c r="H14" i="21" s="1"/>
  <c r="Q147" i="2"/>
  <c r="H14" i="26" s="1"/>
  <c r="H147" i="2"/>
  <c r="H14" i="27" s="1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I28" i="17" s="1"/>
  <c r="M205" i="2"/>
  <c r="I28" i="19" s="1"/>
  <c r="N205" i="2"/>
  <c r="I28" i="20" s="1"/>
  <c r="H205" i="2"/>
  <c r="I28" i="27" s="1"/>
  <c r="J205" i="2"/>
  <c r="I28" i="29" s="1"/>
  <c r="O205" i="2"/>
  <c r="F206" i="2"/>
  <c r="P205" i="2"/>
  <c r="I28" i="25" s="1"/>
  <c r="Q205" i="2"/>
  <c r="I28" i="26" s="1"/>
  <c r="R205" i="2"/>
  <c r="F737" i="2"/>
  <c r="F94" i="30" s="1"/>
  <c r="R755" i="2" l="1"/>
  <c r="R112" i="30" s="1"/>
  <c r="R8" i="30"/>
  <c r="J28" i="26"/>
  <c r="J14" i="26"/>
  <c r="I28" i="21"/>
  <c r="R154" i="2"/>
  <c r="R451" i="2"/>
  <c r="R51" i="2"/>
  <c r="R511" i="2"/>
  <c r="R39" i="2"/>
  <c r="R263" i="2"/>
  <c r="R652" i="2"/>
  <c r="R9" i="30" s="1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14" i="30" s="1"/>
  <c r="S833" i="2"/>
  <c r="S411" i="2" s="1"/>
  <c r="S665" i="2"/>
  <c r="S22" i="30" s="1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18" i="30" s="1"/>
  <c r="S255" i="2"/>
  <c r="S37" i="2"/>
  <c r="S545" i="2"/>
  <c r="S309" i="2"/>
  <c r="S651" i="2"/>
  <c r="S724" i="2"/>
  <c r="S81" i="30" s="1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19" i="30" s="1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13" i="30" s="1"/>
  <c r="S840" i="2"/>
  <c r="S280" i="2" s="1"/>
  <c r="S100" i="2"/>
  <c r="S487" i="2"/>
  <c r="S839" i="2"/>
  <c r="S391" i="2" s="1"/>
  <c r="S385" i="2"/>
  <c r="S38" i="2"/>
  <c r="S547" i="2"/>
  <c r="S664" i="2"/>
  <c r="S21" i="30" s="1"/>
  <c r="S369" i="2"/>
  <c r="S81" i="2"/>
  <c r="S560" i="2"/>
  <c r="S814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S20" i="30" s="1"/>
  <c r="T1" i="2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12" i="30" s="1"/>
  <c r="S318" i="2"/>
  <c r="S29" i="2"/>
  <c r="S87" i="2"/>
  <c r="S214" i="2"/>
  <c r="S210" i="2"/>
  <c r="S803" i="2"/>
  <c r="S372" i="2"/>
  <c r="S603" i="2"/>
  <c r="S262" i="2"/>
  <c r="S146" i="2"/>
  <c r="S544" i="2"/>
  <c r="S538" i="2"/>
  <c r="S373" i="2"/>
  <c r="S666" i="2"/>
  <c r="S23" i="30" s="1"/>
  <c r="S815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I27" i="14"/>
  <c r="O206" i="2"/>
  <c r="J206" i="2"/>
  <c r="Q206" i="2"/>
  <c r="H206" i="2"/>
  <c r="N206" i="2"/>
  <c r="I148" i="2"/>
  <c r="I149" i="2" s="1"/>
  <c r="G148" i="2"/>
  <c r="K148" i="2"/>
  <c r="K149" i="2" s="1"/>
  <c r="L148" i="2"/>
  <c r="I14" i="17" s="1"/>
  <c r="M148" i="2"/>
  <c r="I14" i="19" s="1"/>
  <c r="H148" i="2"/>
  <c r="I14" i="27" s="1"/>
  <c r="J148" i="2"/>
  <c r="I14" i="29" s="1"/>
  <c r="N148" i="2"/>
  <c r="I14" i="20" s="1"/>
  <c r="O148" i="2"/>
  <c r="P148" i="2"/>
  <c r="I14" i="25" s="1"/>
  <c r="Q148" i="2"/>
  <c r="I14" i="26" s="1"/>
  <c r="F149" i="2"/>
  <c r="R148" i="2"/>
  <c r="R149" i="2" s="1"/>
  <c r="S148" i="2"/>
  <c r="L206" i="2"/>
  <c r="M206" i="2"/>
  <c r="S755" i="2" l="1"/>
  <c r="S112" i="30" s="1"/>
  <c r="S8" i="30"/>
  <c r="I35" i="19"/>
  <c r="H35" i="19"/>
  <c r="I35" i="17"/>
  <c r="H35" i="17"/>
  <c r="I35" i="26"/>
  <c r="H35" i="26"/>
  <c r="I14" i="21"/>
  <c r="I35" i="21" s="1"/>
  <c r="H35" i="25"/>
  <c r="I35" i="20"/>
  <c r="H35" i="20"/>
  <c r="I35" i="29"/>
  <c r="H35" i="29"/>
  <c r="I35" i="27"/>
  <c r="H35" i="27"/>
  <c r="S588" i="2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105" i="30" s="1"/>
  <c r="S277" i="2"/>
  <c r="S511" i="2"/>
  <c r="T373" i="2"/>
  <c r="V373" i="2" s="1"/>
  <c r="W373" i="2" s="1"/>
  <c r="X373" i="2" s="1"/>
  <c r="T662" i="2"/>
  <c r="T547" i="2"/>
  <c r="V547" i="2" s="1"/>
  <c r="W547" i="2" s="1"/>
  <c r="X547" i="2" s="1"/>
  <c r="T839" i="2"/>
  <c r="T277" i="2" s="1"/>
  <c r="T655" i="2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T815" i="2"/>
  <c r="V815" i="2" s="1"/>
  <c r="W815" i="2" s="1"/>
  <c r="T664" i="2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8" i="30" s="1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T814" i="2"/>
  <c r="V814" i="2" s="1"/>
  <c r="W814" i="2" s="1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803" i="2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9" i="30" s="1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103" i="30" s="1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104" i="30" s="1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I13" i="14"/>
  <c r="G149" i="2"/>
  <c r="V666" i="2" l="1"/>
  <c r="W666" i="2" s="1"/>
  <c r="X666" i="2" s="1"/>
  <c r="T23" i="30"/>
  <c r="V657" i="2"/>
  <c r="W657" i="2" s="1"/>
  <c r="X657" i="2" s="1"/>
  <c r="T14" i="30"/>
  <c r="V663" i="2"/>
  <c r="W663" i="2" s="1"/>
  <c r="X663" i="2" s="1"/>
  <c r="T20" i="30"/>
  <c r="V655" i="2"/>
  <c r="W655" i="2" s="1"/>
  <c r="X655" i="2" s="1"/>
  <c r="T12" i="30"/>
  <c r="V665" i="2"/>
  <c r="W665" i="2" s="1"/>
  <c r="X665" i="2" s="1"/>
  <c r="T22" i="30"/>
  <c r="V724" i="2"/>
  <c r="W724" i="2" s="1"/>
  <c r="X724" i="2" s="1"/>
  <c r="T81" i="30"/>
  <c r="V664" i="2"/>
  <c r="W664" i="2" s="1"/>
  <c r="X664" i="2" s="1"/>
  <c r="T21" i="30"/>
  <c r="V656" i="2"/>
  <c r="W656" i="2" s="1"/>
  <c r="X656" i="2" s="1"/>
  <c r="T13" i="30"/>
  <c r="V662" i="2"/>
  <c r="W662" i="2" s="1"/>
  <c r="X662" i="2" s="1"/>
  <c r="T19" i="30"/>
  <c r="V661" i="2"/>
  <c r="W661" i="2" s="1"/>
  <c r="X661" i="2" s="1"/>
  <c r="T18" i="30"/>
  <c r="K35" i="19"/>
  <c r="L35" i="19" s="1"/>
  <c r="K35" i="17"/>
  <c r="L35" i="17" s="1"/>
  <c r="K35" i="26"/>
  <c r="L35" i="26" s="1"/>
  <c r="H35" i="21"/>
  <c r="K35" i="21" s="1"/>
  <c r="L35" i="21" s="1"/>
  <c r="I35" i="25"/>
  <c r="K35" i="20"/>
  <c r="L35" i="20" s="1"/>
  <c r="K35" i="29"/>
  <c r="L35" i="29" s="1"/>
  <c r="K35" i="27"/>
  <c r="L35" i="27" s="1"/>
  <c r="V511" i="2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V803" i="2"/>
  <c r="W803" i="2" s="1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I34" i="14"/>
  <c r="H34" i="14"/>
  <c r="V747" i="2" l="1"/>
  <c r="W747" i="2" s="1"/>
  <c r="X747" i="2" s="1"/>
  <c r="T104" i="30"/>
  <c r="V652" i="2"/>
  <c r="W652" i="2" s="1"/>
  <c r="X652" i="2" s="1"/>
  <c r="T9" i="30"/>
  <c r="V746" i="2"/>
  <c r="W746" i="2" s="1"/>
  <c r="X746" i="2" s="1"/>
  <c r="T103" i="30"/>
  <c r="V748" i="2"/>
  <c r="W748" i="2" s="1"/>
  <c r="X748" i="2" s="1"/>
  <c r="T105" i="30"/>
  <c r="V755" i="2"/>
  <c r="W755" i="2" s="1"/>
  <c r="X755" i="2" s="1"/>
  <c r="T112" i="30"/>
  <c r="K35" i="25"/>
  <c r="L35" i="25" s="1"/>
  <c r="K34" i="14"/>
  <c r="L34" i="14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O240" i="2"/>
  <c r="S183" i="2"/>
  <c r="K183" i="2"/>
  <c r="T183" i="2"/>
  <c r="Q183" i="2"/>
  <c r="F28" i="26" s="1"/>
  <c r="P183" i="2"/>
  <c r="F28" i="25" s="1"/>
  <c r="I183" i="2"/>
  <c r="R183" i="2"/>
  <c r="G183" i="2"/>
  <c r="N183" i="2"/>
  <c r="F28" i="20" s="1"/>
  <c r="J183" i="2"/>
  <c r="F28" i="29" s="1"/>
  <c r="L183" i="2"/>
  <c r="F28" i="17" s="1"/>
  <c r="M183" i="2"/>
  <c r="F28" i="19" s="1"/>
  <c r="H183" i="2"/>
  <c r="F28" i="27" s="1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F28" i="21" l="1"/>
  <c r="S240" i="2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F27" i="14"/>
  <c r="V889" i="2"/>
  <c r="W889" i="2" s="1"/>
  <c r="X889" i="2" s="1"/>
  <c r="F891" i="2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K884" i="2"/>
  <c r="K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F14" i="29" s="1"/>
  <c r="G126" i="2"/>
  <c r="T126" i="2"/>
  <c r="I126" i="2"/>
  <c r="R126" i="2"/>
  <c r="S126" i="2"/>
  <c r="Q126" i="2"/>
  <c r="F14" i="26" s="1"/>
  <c r="L126" i="2"/>
  <c r="F14" i="17" s="1"/>
  <c r="P126" i="2"/>
  <c r="F14" i="25" s="1"/>
  <c r="H126" i="2"/>
  <c r="F14" i="27" s="1"/>
  <c r="N126" i="2"/>
  <c r="F14" i="20" s="1"/>
  <c r="O126" i="2"/>
  <c r="M126" i="2"/>
  <c r="F14" i="19" s="1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F14" i="21" l="1"/>
  <c r="V240" i="2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K891" i="2"/>
  <c r="K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F13" i="14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K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Q893" i="2"/>
  <c r="N893" i="2"/>
  <c r="R893" i="2"/>
  <c r="K893" i="2"/>
  <c r="L893" i="2"/>
  <c r="H893" i="2"/>
  <c r="S893" i="2"/>
  <c r="M893" i="2"/>
  <c r="T893" i="2"/>
  <c r="P893" i="2"/>
  <c r="I893" i="2"/>
  <c r="O893" i="2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K882" i="2" s="1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V304" i="2" l="1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239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02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02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802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802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802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02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802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802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802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802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02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802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905" i="2" s="1"/>
  <c r="K802" i="2" s="1"/>
  <c r="K817" i="2" s="1"/>
  <c r="K467" i="2"/>
  <c r="K596" i="2"/>
  <c r="K534" i="2"/>
  <c r="K191" i="2"/>
  <c r="K587" i="2"/>
  <c r="K182" i="2"/>
  <c r="K889" i="2" s="1"/>
  <c r="K19" i="2"/>
  <c r="K353" i="2"/>
  <c r="K419" i="2"/>
  <c r="K525" i="2"/>
  <c r="K125" i="2"/>
  <c r="K68" i="2"/>
  <c r="K248" i="2"/>
  <c r="M817" i="2" l="1"/>
  <c r="D37" i="19"/>
  <c r="L817" i="2"/>
  <c r="D37" i="17"/>
  <c r="Q817" i="2"/>
  <c r="D37" i="26"/>
  <c r="P817" i="2"/>
  <c r="D37" i="25"/>
  <c r="O817" i="2"/>
  <c r="D37" i="21"/>
  <c r="N817" i="2"/>
  <c r="D37" i="20"/>
  <c r="J817" i="2"/>
  <c r="D37" i="29"/>
  <c r="H817" i="2"/>
  <c r="D37" i="27"/>
  <c r="I654" i="2"/>
  <c r="I11" i="30" s="1"/>
  <c r="I679" i="2"/>
  <c r="I36" i="30" s="1"/>
  <c r="P654" i="2"/>
  <c r="P679" i="2"/>
  <c r="H654" i="2"/>
  <c r="H679" i="2"/>
  <c r="M654" i="2"/>
  <c r="M679" i="2"/>
  <c r="K654" i="2"/>
  <c r="K11" i="30" s="1"/>
  <c r="K679" i="2"/>
  <c r="K36" i="30" s="1"/>
  <c r="L654" i="2"/>
  <c r="L679" i="2"/>
  <c r="R654" i="2"/>
  <c r="R11" i="30" s="1"/>
  <c r="R679" i="2"/>
  <c r="R36" i="30" s="1"/>
  <c r="T654" i="2"/>
  <c r="T11" i="30" s="1"/>
  <c r="T679" i="2"/>
  <c r="T36" i="30" s="1"/>
  <c r="O654" i="2"/>
  <c r="O11" i="30" s="1"/>
  <c r="O679" i="2"/>
  <c r="O36" i="30" s="1"/>
  <c r="J654" i="2"/>
  <c r="J679" i="2"/>
  <c r="Q654" i="2"/>
  <c r="Q679" i="2"/>
  <c r="N654" i="2"/>
  <c r="N679" i="2"/>
  <c r="S654" i="2"/>
  <c r="S11" i="30" s="1"/>
  <c r="S679" i="2"/>
  <c r="S36" i="30" s="1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G802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J99" i="30" s="1"/>
  <c r="S742" i="2"/>
  <c r="S99" i="30" s="1"/>
  <c r="H742" i="2"/>
  <c r="H99" i="30" s="1"/>
  <c r="T742" i="2"/>
  <c r="T99" i="30" s="1"/>
  <c r="I742" i="2"/>
  <c r="I99" i="30" s="1"/>
  <c r="M742" i="2"/>
  <c r="M99" i="30" s="1"/>
  <c r="O742" i="2"/>
  <c r="O99" i="30" s="1"/>
  <c r="F231" i="2"/>
  <c r="N742" i="2"/>
  <c r="N99" i="30" s="1"/>
  <c r="P742" i="2"/>
  <c r="P99" i="30" s="1"/>
  <c r="AK113" i="1"/>
  <c r="H117" i="1"/>
  <c r="F898" i="2"/>
  <c r="V896" i="2"/>
  <c r="W896" i="2" s="1"/>
  <c r="Q742" i="2"/>
  <c r="Q99" i="30" s="1"/>
  <c r="F288" i="2"/>
  <c r="R742" i="2"/>
  <c r="R99" i="30" s="1"/>
  <c r="K742" i="2"/>
  <c r="K99" i="30" s="1"/>
  <c r="L742" i="2"/>
  <c r="L99" i="30" s="1"/>
  <c r="D31" i="20" l="1"/>
  <c r="E31" i="20" s="1"/>
  <c r="K31" i="20" s="1"/>
  <c r="L31" i="20" s="1"/>
  <c r="N36" i="30"/>
  <c r="D31" i="19"/>
  <c r="E31" i="19" s="1"/>
  <c r="K31" i="19" s="1"/>
  <c r="L31" i="19" s="1"/>
  <c r="M36" i="30"/>
  <c r="D43" i="20"/>
  <c r="N11" i="30"/>
  <c r="D43" i="19"/>
  <c r="M11" i="30"/>
  <c r="D31" i="26"/>
  <c r="E31" i="26" s="1"/>
  <c r="K31" i="26" s="1"/>
  <c r="L31" i="26" s="1"/>
  <c r="Q36" i="30"/>
  <c r="D31" i="27"/>
  <c r="E31" i="27" s="1"/>
  <c r="K31" i="27" s="1"/>
  <c r="L31" i="27" s="1"/>
  <c r="H36" i="30"/>
  <c r="D43" i="26"/>
  <c r="Q11" i="30"/>
  <c r="D43" i="27"/>
  <c r="E43" i="27" s="1"/>
  <c r="H11" i="30"/>
  <c r="D31" i="29"/>
  <c r="E31" i="29" s="1"/>
  <c r="K31" i="29" s="1"/>
  <c r="L31" i="29" s="1"/>
  <c r="J36" i="30"/>
  <c r="D31" i="17"/>
  <c r="E31" i="17" s="1"/>
  <c r="K31" i="17" s="1"/>
  <c r="L31" i="17" s="1"/>
  <c r="L36" i="30"/>
  <c r="D31" i="25"/>
  <c r="P36" i="30"/>
  <c r="D43" i="29"/>
  <c r="E43" i="29" s="1"/>
  <c r="J11" i="30"/>
  <c r="D43" i="17"/>
  <c r="E43" i="17" s="1"/>
  <c r="K43" i="17" s="1"/>
  <c r="L43" i="17" s="1"/>
  <c r="L11" i="30"/>
  <c r="D43" i="25"/>
  <c r="P11" i="30"/>
  <c r="E43" i="19"/>
  <c r="E43" i="26"/>
  <c r="D31" i="21"/>
  <c r="E31" i="21" s="1"/>
  <c r="K31" i="21" s="1"/>
  <c r="L31" i="21" s="1"/>
  <c r="E31" i="25"/>
  <c r="K31" i="25" s="1"/>
  <c r="L31" i="25" s="1"/>
  <c r="D43" i="21"/>
  <c r="E43" i="21" s="1"/>
  <c r="E43" i="25"/>
  <c r="E43" i="20"/>
  <c r="K43" i="27"/>
  <c r="L43" i="27" s="1"/>
  <c r="D36" i="14"/>
  <c r="V802" i="2"/>
  <c r="W802" i="2" s="1"/>
  <c r="G817" i="2"/>
  <c r="V817" i="2" s="1"/>
  <c r="W817" i="2" s="1"/>
  <c r="G654" i="2"/>
  <c r="G11" i="30" s="1"/>
  <c r="G679" i="2"/>
  <c r="G742" i="2"/>
  <c r="V905" i="2"/>
  <c r="W905" i="2" s="1"/>
  <c r="X905" i="2" s="1"/>
  <c r="V10" i="2"/>
  <c r="W10" i="2" s="1"/>
  <c r="X10" i="2" s="1"/>
  <c r="V182" i="2"/>
  <c r="W182" i="2" s="1"/>
  <c r="X182" i="2" s="1"/>
  <c r="F671" i="2"/>
  <c r="F28" i="30" s="1"/>
  <c r="F914" i="2"/>
  <c r="F734" i="2"/>
  <c r="F91" i="30" s="1"/>
  <c r="F125" i="30" s="1"/>
  <c r="F127" i="30" s="1"/>
  <c r="AK117" i="1"/>
  <c r="H145" i="1"/>
  <c r="Q898" i="2"/>
  <c r="Q899" i="2" s="1"/>
  <c r="R898" i="2"/>
  <c r="R899" i="2" s="1"/>
  <c r="I898" i="2"/>
  <c r="I899" i="2" s="1"/>
  <c r="P898" i="2"/>
  <c r="P899" i="2" s="1"/>
  <c r="H898" i="2"/>
  <c r="H899" i="2" s="1"/>
  <c r="S898" i="2"/>
  <c r="S899" i="2" s="1"/>
  <c r="L898" i="2"/>
  <c r="L899" i="2" s="1"/>
  <c r="O898" i="2"/>
  <c r="O899" i="2" s="1"/>
  <c r="N898" i="2"/>
  <c r="N899" i="2" s="1"/>
  <c r="M898" i="2"/>
  <c r="M899" i="2" s="1"/>
  <c r="T898" i="2"/>
  <c r="T899" i="2" s="1"/>
  <c r="K898" i="2"/>
  <c r="K899" i="2" s="1"/>
  <c r="F899" i="2"/>
  <c r="G898" i="2"/>
  <c r="J898" i="2"/>
  <c r="J899" i="2" s="1"/>
  <c r="AL113" i="1"/>
  <c r="AM113" i="1"/>
  <c r="F60" i="30" l="1"/>
  <c r="F64" i="30" s="1"/>
  <c r="F38" i="30"/>
  <c r="F40" i="30" s="1"/>
  <c r="V742" i="2"/>
  <c r="W742" i="2" s="1"/>
  <c r="X742" i="2" s="1"/>
  <c r="G99" i="30"/>
  <c r="V679" i="2"/>
  <c r="W679" i="2" s="1"/>
  <c r="X679" i="2" s="1"/>
  <c r="G36" i="30"/>
  <c r="K43" i="19"/>
  <c r="L43" i="19" s="1"/>
  <c r="K43" i="26"/>
  <c r="L43" i="26" s="1"/>
  <c r="K43" i="25"/>
  <c r="L43" i="25" s="1"/>
  <c r="K43" i="21"/>
  <c r="L43" i="21" s="1"/>
  <c r="K43" i="20"/>
  <c r="L43" i="20" s="1"/>
  <c r="K43" i="29"/>
  <c r="L43" i="29" s="1"/>
  <c r="V654" i="2"/>
  <c r="W654" i="2" s="1"/>
  <c r="D42" i="14"/>
  <c r="E42" i="14" s="1"/>
  <c r="D30" i="14"/>
  <c r="E30" i="14" s="1"/>
  <c r="K30" i="14" s="1"/>
  <c r="L30" i="14" s="1"/>
  <c r="H900" i="2"/>
  <c r="P900" i="2"/>
  <c r="O900" i="2"/>
  <c r="L900" i="2"/>
  <c r="S900" i="2"/>
  <c r="Q900" i="2"/>
  <c r="K900" i="2"/>
  <c r="J900" i="2"/>
  <c r="I900" i="2"/>
  <c r="T900" i="2"/>
  <c r="R900" i="2"/>
  <c r="M900" i="2"/>
  <c r="N900" i="2"/>
  <c r="F785" i="2"/>
  <c r="F768" i="2"/>
  <c r="AK145" i="1"/>
  <c r="F123" i="2"/>
  <c r="F681" i="2"/>
  <c r="F703" i="2"/>
  <c r="G899" i="2"/>
  <c r="V899" i="2" s="1"/>
  <c r="W899" i="2" s="1"/>
  <c r="V898" i="2"/>
  <c r="W898" i="2" s="1"/>
  <c r="AM117" i="1"/>
  <c r="AL117" i="1"/>
  <c r="G900" i="2" l="1"/>
  <c r="G585" i="2" s="1"/>
  <c r="F791" i="2"/>
  <c r="N189" i="2"/>
  <c r="N192" i="2" s="1"/>
  <c r="G28" i="20" s="1"/>
  <c r="N465" i="2"/>
  <c r="N471" i="2" s="1"/>
  <c r="N180" i="2"/>
  <c r="E28" i="20" s="1"/>
  <c r="N594" i="2"/>
  <c r="N597" i="2" s="1"/>
  <c r="N132" i="2"/>
  <c r="N135" i="2" s="1"/>
  <c r="G14" i="20" s="1"/>
  <c r="N585" i="2"/>
  <c r="N591" i="2" s="1"/>
  <c r="N417" i="2"/>
  <c r="N420" i="2" s="1"/>
  <c r="N294" i="2"/>
  <c r="N300" i="2" s="1"/>
  <c r="E29" i="20" s="1"/>
  <c r="N474" i="2"/>
  <c r="N477" i="2" s="1"/>
  <c r="N523" i="2"/>
  <c r="N529" i="2" s="1"/>
  <c r="F30" i="20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E14" i="20" s="1"/>
  <c r="N75" i="2"/>
  <c r="N78" i="2" s="1"/>
  <c r="N303" i="2"/>
  <c r="N306" i="2" s="1"/>
  <c r="G29" i="20" s="1"/>
  <c r="N360" i="2"/>
  <c r="N363" i="2" s="1"/>
  <c r="N246" i="2"/>
  <c r="N249" i="2" s="1"/>
  <c r="N237" i="2"/>
  <c r="N243" i="2" s="1"/>
  <c r="F811" i="2"/>
  <c r="F683" i="2"/>
  <c r="M189" i="2"/>
  <c r="M192" i="2" s="1"/>
  <c r="G28" i="19" s="1"/>
  <c r="M180" i="2"/>
  <c r="E28" i="19" s="1"/>
  <c r="M408" i="2"/>
  <c r="M414" i="2" s="1"/>
  <c r="M532" i="2"/>
  <c r="M535" i="2" s="1"/>
  <c r="M132" i="2"/>
  <c r="M135" i="2" s="1"/>
  <c r="G14" i="19" s="1"/>
  <c r="M417" i="2"/>
  <c r="M420" i="2" s="1"/>
  <c r="M66" i="2"/>
  <c r="M72" i="2" s="1"/>
  <c r="M360" i="2"/>
  <c r="M363" i="2" s="1"/>
  <c r="M594" i="2"/>
  <c r="M597" i="2" s="1"/>
  <c r="M123" i="2"/>
  <c r="E14" i="19" s="1"/>
  <c r="M523" i="2"/>
  <c r="M529" i="2" s="1"/>
  <c r="F30" i="19" s="1"/>
  <c r="M246" i="2"/>
  <c r="M249" i="2" s="1"/>
  <c r="M303" i="2"/>
  <c r="M306" i="2" s="1"/>
  <c r="G29" i="19" s="1"/>
  <c r="M294" i="2"/>
  <c r="M300" i="2" s="1"/>
  <c r="E29" i="19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E28" i="17" s="1"/>
  <c r="L132" i="2"/>
  <c r="L135" i="2" s="1"/>
  <c r="G14" i="17" s="1"/>
  <c r="L189" i="2"/>
  <c r="L192" i="2" s="1"/>
  <c r="G28" i="17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F30" i="17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E29" i="17" s="1"/>
  <c r="L594" i="2"/>
  <c r="L597" i="2" s="1"/>
  <c r="L66" i="2"/>
  <c r="L72" i="2" s="1"/>
  <c r="L303" i="2"/>
  <c r="L306" i="2" s="1"/>
  <c r="G29" i="17" s="1"/>
  <c r="L123" i="2"/>
  <c r="E14" i="17" s="1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180" i="2"/>
  <c r="G532" i="2"/>
  <c r="G8" i="2"/>
  <c r="G523" i="2"/>
  <c r="G474" i="2"/>
  <c r="G132" i="2"/>
  <c r="G303" i="2"/>
  <c r="G417" i="2"/>
  <c r="G75" i="2"/>
  <c r="G17" i="2"/>
  <c r="G123" i="2"/>
  <c r="G360" i="2"/>
  <c r="G408" i="2"/>
  <c r="G246" i="2"/>
  <c r="G189" i="2"/>
  <c r="V900" i="2"/>
  <c r="W900" i="2" s="1"/>
  <c r="G594" i="2"/>
  <c r="P189" i="2"/>
  <c r="P192" i="2" s="1"/>
  <c r="G28" i="25" s="1"/>
  <c r="P75" i="2"/>
  <c r="P78" i="2" s="1"/>
  <c r="P180" i="2"/>
  <c r="E28" i="25" s="1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G29" i="25" s="1"/>
  <c r="P294" i="2"/>
  <c r="P300" i="2" s="1"/>
  <c r="E29" i="25" s="1"/>
  <c r="P132" i="2"/>
  <c r="P135" i="2" s="1"/>
  <c r="G14" i="25" s="1"/>
  <c r="P523" i="2"/>
  <c r="P529" i="2" s="1"/>
  <c r="F30" i="25" s="1"/>
  <c r="P532" i="2"/>
  <c r="P535" i="2" s="1"/>
  <c r="P123" i="2"/>
  <c r="E14" i="25" s="1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G28" i="27" s="1"/>
  <c r="H585" i="2"/>
  <c r="H591" i="2" s="1"/>
  <c r="H180" i="2"/>
  <c r="E28" i="27" s="1"/>
  <c r="H66" i="2"/>
  <c r="H72" i="2" s="1"/>
  <c r="H294" i="2"/>
  <c r="H300" i="2" s="1"/>
  <c r="E29" i="27" s="1"/>
  <c r="H351" i="2"/>
  <c r="H357" i="2" s="1"/>
  <c r="H594" i="2"/>
  <c r="H597" i="2" s="1"/>
  <c r="H523" i="2"/>
  <c r="H529" i="2" s="1"/>
  <c r="F30" i="27" s="1"/>
  <c r="H132" i="2"/>
  <c r="H135" i="2" s="1"/>
  <c r="G14" i="27" s="1"/>
  <c r="H123" i="2"/>
  <c r="E14" i="27" s="1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G29" i="27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G28" i="26" s="1"/>
  <c r="Q180" i="2"/>
  <c r="E28" i="26" s="1"/>
  <c r="Q532" i="2"/>
  <c r="Q535" i="2" s="1"/>
  <c r="Q303" i="2"/>
  <c r="Q306" i="2" s="1"/>
  <c r="G29" i="26" s="1"/>
  <c r="Q360" i="2"/>
  <c r="Q363" i="2" s="1"/>
  <c r="Q132" i="2"/>
  <c r="Q135" i="2" s="1"/>
  <c r="G14" i="26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F30" i="26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E14" i="26" s="1"/>
  <c r="Q294" i="2"/>
  <c r="Q300" i="2" s="1"/>
  <c r="E29" i="26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G14" i="29" s="1"/>
  <c r="J189" i="2"/>
  <c r="J192" i="2" s="1"/>
  <c r="G28" i="29" s="1"/>
  <c r="J180" i="2"/>
  <c r="E28" i="29" s="1"/>
  <c r="J8" i="2"/>
  <c r="J14" i="2" s="1"/>
  <c r="J585" i="2"/>
  <c r="J591" i="2" s="1"/>
  <c r="J351" i="2"/>
  <c r="J357" i="2" s="1"/>
  <c r="J465" i="2"/>
  <c r="J471" i="2" s="1"/>
  <c r="J303" i="2"/>
  <c r="J306" i="2" s="1"/>
  <c r="G29" i="29" s="1"/>
  <c r="J294" i="2"/>
  <c r="J300" i="2" s="1"/>
  <c r="E29" i="29" s="1"/>
  <c r="J532" i="2"/>
  <c r="J535" i="2" s="1"/>
  <c r="J123" i="2"/>
  <c r="E14" i="29" s="1"/>
  <c r="J594" i="2"/>
  <c r="J597" i="2" s="1"/>
  <c r="J66" i="2"/>
  <c r="J72" i="2" s="1"/>
  <c r="J417" i="2"/>
  <c r="J420" i="2" s="1"/>
  <c r="J360" i="2"/>
  <c r="J363" i="2" s="1"/>
  <c r="J523" i="2"/>
  <c r="J529" i="2" s="1"/>
  <c r="F30" i="29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G66" i="2" l="1"/>
  <c r="V66" i="2" s="1"/>
  <c r="W66" i="2" s="1"/>
  <c r="X66" i="2" s="1"/>
  <c r="G237" i="2"/>
  <c r="V237" i="2" s="1"/>
  <c r="W237" i="2" s="1"/>
  <c r="X237" i="2" s="1"/>
  <c r="K29" i="19"/>
  <c r="G30" i="19"/>
  <c r="E30" i="19"/>
  <c r="K14" i="19"/>
  <c r="K28" i="19"/>
  <c r="G30" i="26"/>
  <c r="E30" i="27"/>
  <c r="K29" i="17"/>
  <c r="E30" i="20"/>
  <c r="G30" i="17"/>
  <c r="K14" i="17"/>
  <c r="K28" i="17"/>
  <c r="E30" i="17"/>
  <c r="K29" i="26"/>
  <c r="K14" i="26"/>
  <c r="E30" i="25"/>
  <c r="E30" i="26"/>
  <c r="K28" i="26"/>
  <c r="G30" i="25"/>
  <c r="G30" i="21"/>
  <c r="E30" i="21"/>
  <c r="G14" i="21"/>
  <c r="E29" i="21"/>
  <c r="K29" i="25"/>
  <c r="E28" i="21"/>
  <c r="F30" i="21"/>
  <c r="G28" i="21"/>
  <c r="E14" i="21"/>
  <c r="G29" i="21"/>
  <c r="K14" i="20"/>
  <c r="K28" i="20"/>
  <c r="K29" i="20"/>
  <c r="G30" i="20"/>
  <c r="K30" i="20" s="1"/>
  <c r="K28" i="29"/>
  <c r="K29" i="29"/>
  <c r="E30" i="29"/>
  <c r="G30" i="29"/>
  <c r="K14" i="29"/>
  <c r="G30" i="27"/>
  <c r="K30" i="27" s="1"/>
  <c r="K14" i="27"/>
  <c r="K28" i="27"/>
  <c r="K29" i="27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M30" i="30" s="1"/>
  <c r="I174" i="2"/>
  <c r="I685" i="2" s="1"/>
  <c r="R402" i="2"/>
  <c r="R736" i="2" s="1"/>
  <c r="R93" i="30" s="1"/>
  <c r="I636" i="2"/>
  <c r="I705" i="2" s="1"/>
  <c r="N636" i="2"/>
  <c r="N705" i="2" s="1"/>
  <c r="T231" i="2"/>
  <c r="K174" i="2"/>
  <c r="K685" i="2" s="1"/>
  <c r="S117" i="2"/>
  <c r="N288" i="2"/>
  <c r="N117" i="2"/>
  <c r="P402" i="2"/>
  <c r="P673" i="2" s="1"/>
  <c r="P30" i="30" s="1"/>
  <c r="O288" i="2"/>
  <c r="T636" i="2"/>
  <c r="T705" i="2" s="1"/>
  <c r="S516" i="2"/>
  <c r="S675" i="2" s="1"/>
  <c r="S32" i="30" s="1"/>
  <c r="T174" i="2"/>
  <c r="T685" i="2" s="1"/>
  <c r="R231" i="2"/>
  <c r="M288" i="2"/>
  <c r="S402" i="2"/>
  <c r="S736" i="2" s="1"/>
  <c r="S93" i="30" s="1"/>
  <c r="S574" i="2"/>
  <c r="S676" i="2" s="1"/>
  <c r="P516" i="2"/>
  <c r="P675" i="2" s="1"/>
  <c r="P32" i="30" s="1"/>
  <c r="T574" i="2"/>
  <c r="T676" i="2" s="1"/>
  <c r="Q516" i="2"/>
  <c r="Q675" i="2" s="1"/>
  <c r="Q32" i="30" s="1"/>
  <c r="K402" i="2"/>
  <c r="K736" i="2" s="1"/>
  <c r="K93" i="30" s="1"/>
  <c r="H288" i="2"/>
  <c r="H117" i="2"/>
  <c r="O117" i="2"/>
  <c r="O753" i="2" s="1"/>
  <c r="O110" i="30" s="1"/>
  <c r="O402" i="2"/>
  <c r="O673" i="2" s="1"/>
  <c r="O30" i="30" s="1"/>
  <c r="T288" i="2"/>
  <c r="K636" i="2"/>
  <c r="K705" i="2" s="1"/>
  <c r="H636" i="2"/>
  <c r="H705" i="2" s="1"/>
  <c r="O636" i="2"/>
  <c r="O787" i="2" s="1"/>
  <c r="M636" i="2"/>
  <c r="M787" i="2" s="1"/>
  <c r="J186" i="2"/>
  <c r="L117" i="2"/>
  <c r="R660" i="2"/>
  <c r="R17" i="30" s="1"/>
  <c r="R659" i="2"/>
  <c r="R16" i="30" s="1"/>
  <c r="R759" i="2"/>
  <c r="R116" i="30" s="1"/>
  <c r="R756" i="2"/>
  <c r="R113" i="30" s="1"/>
  <c r="N459" i="2"/>
  <c r="N674" i="2" s="1"/>
  <c r="N31" i="30" s="1"/>
  <c r="K231" i="2"/>
  <c r="K187" i="2"/>
  <c r="L574" i="2"/>
  <c r="L676" i="2" s="1"/>
  <c r="N402" i="2"/>
  <c r="K117" i="2"/>
  <c r="N186" i="2"/>
  <c r="J574" i="2"/>
  <c r="J676" i="2" s="1"/>
  <c r="Q129" i="2"/>
  <c r="Q174" i="2" s="1"/>
  <c r="D14" i="26" s="1"/>
  <c r="Q574" i="2"/>
  <c r="Q676" i="2" s="1"/>
  <c r="K288" i="2"/>
  <c r="K745" i="2"/>
  <c r="K102" i="30" s="1"/>
  <c r="K345" i="2"/>
  <c r="H574" i="2"/>
  <c r="H676" i="2" s="1"/>
  <c r="I759" i="2"/>
  <c r="I116" i="30" s="1"/>
  <c r="I659" i="2"/>
  <c r="I16" i="30" s="1"/>
  <c r="I756" i="2"/>
  <c r="I113" i="30" s="1"/>
  <c r="I660" i="2"/>
  <c r="I17" i="30" s="1"/>
  <c r="I773" i="2"/>
  <c r="I130" i="30" s="1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574" i="2"/>
  <c r="R676" i="2" s="1"/>
  <c r="S174" i="2"/>
  <c r="S685" i="2" s="1"/>
  <c r="S42" i="30" s="1"/>
  <c r="S129" i="30" s="1"/>
  <c r="S759" i="2"/>
  <c r="S116" i="30" s="1"/>
  <c r="S756" i="2"/>
  <c r="S113" i="30" s="1"/>
  <c r="S660" i="2"/>
  <c r="S17" i="30" s="1"/>
  <c r="S659" i="2"/>
  <c r="S16" i="30" s="1"/>
  <c r="M516" i="2"/>
  <c r="N574" i="2"/>
  <c r="N676" i="2" s="1"/>
  <c r="N516" i="2"/>
  <c r="J59" i="2"/>
  <c r="J773" i="2"/>
  <c r="J130" i="30" s="1"/>
  <c r="J15" i="2"/>
  <c r="I231" i="2"/>
  <c r="I187" i="2"/>
  <c r="J129" i="2"/>
  <c r="J174" i="2" s="1"/>
  <c r="D14" i="29" s="1"/>
  <c r="H186" i="2"/>
  <c r="P574" i="2"/>
  <c r="P676" i="2" s="1"/>
  <c r="G306" i="2"/>
  <c r="V303" i="2"/>
  <c r="W303" i="2" s="1"/>
  <c r="X303" i="2" s="1"/>
  <c r="O186" i="2"/>
  <c r="R117" i="2"/>
  <c r="V180" i="2"/>
  <c r="W180" i="2" s="1"/>
  <c r="X180" i="2" s="1"/>
  <c r="G186" i="2"/>
  <c r="E27" i="14"/>
  <c r="M574" i="2"/>
  <c r="M676" i="2" s="1"/>
  <c r="T459" i="2"/>
  <c r="T674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L31" i="30" s="1"/>
  <c r="S345" i="2"/>
  <c r="S745" i="2"/>
  <c r="S102" i="30" s="1"/>
  <c r="M129" i="2"/>
  <c r="M174" i="2" s="1"/>
  <c r="D14" i="19" s="1"/>
  <c r="J516" i="2"/>
  <c r="T59" i="2"/>
  <c r="T773" i="2"/>
  <c r="T130" i="30" s="1"/>
  <c r="Q117" i="2"/>
  <c r="Q773" i="2"/>
  <c r="Q130" i="30" s="1"/>
  <c r="Q59" i="2"/>
  <c r="K516" i="2"/>
  <c r="K773" i="2"/>
  <c r="K130" i="30" s="1"/>
  <c r="K59" i="2"/>
  <c r="K15" i="2"/>
  <c r="H759" i="2"/>
  <c r="H116" i="30" s="1"/>
  <c r="H660" i="2"/>
  <c r="H17" i="30" s="1"/>
  <c r="H756" i="2"/>
  <c r="H113" i="30" s="1"/>
  <c r="H659" i="2"/>
  <c r="H16" i="30" s="1"/>
  <c r="I745" i="2"/>
  <c r="I102" i="30" s="1"/>
  <c r="I345" i="2"/>
  <c r="I574" i="2"/>
  <c r="I676" i="2" s="1"/>
  <c r="P756" i="2"/>
  <c r="P113" i="30" s="1"/>
  <c r="P759" i="2"/>
  <c r="P116" i="30" s="1"/>
  <c r="P659" i="2"/>
  <c r="P16" i="30" s="1"/>
  <c r="P660" i="2"/>
  <c r="P17" i="30" s="1"/>
  <c r="E13" i="14"/>
  <c r="V123" i="2"/>
  <c r="W123" i="2" s="1"/>
  <c r="X123" i="2" s="1"/>
  <c r="G129" i="2"/>
  <c r="G918" i="2" s="1"/>
  <c r="G529" i="2"/>
  <c r="V523" i="2"/>
  <c r="W523" i="2" s="1"/>
  <c r="X523" i="2" s="1"/>
  <c r="O129" i="2"/>
  <c r="O174" i="2" s="1"/>
  <c r="L636" i="2"/>
  <c r="R174" i="2"/>
  <c r="R685" i="2" s="1"/>
  <c r="R42" i="30" s="1"/>
  <c r="R129" i="30" s="1"/>
  <c r="S288" i="2"/>
  <c r="N129" i="2"/>
  <c r="N174" i="2" s="1"/>
  <c r="D14" i="20" s="1"/>
  <c r="Q660" i="2"/>
  <c r="Q17" i="30" s="1"/>
  <c r="Q759" i="2"/>
  <c r="Q116" i="30" s="1"/>
  <c r="Q659" i="2"/>
  <c r="Q16" i="30" s="1"/>
  <c r="Q756" i="2"/>
  <c r="Q113" i="30" s="1"/>
  <c r="H459" i="2"/>
  <c r="H674" i="2" s="1"/>
  <c r="H31" i="30" s="1"/>
  <c r="I402" i="2"/>
  <c r="P186" i="2"/>
  <c r="O345" i="2"/>
  <c r="O745" i="2"/>
  <c r="O102" i="30" s="1"/>
  <c r="L660" i="2"/>
  <c r="L17" i="30" s="1"/>
  <c r="L759" i="2"/>
  <c r="L116" i="30" s="1"/>
  <c r="L756" i="2"/>
  <c r="L113" i="30" s="1"/>
  <c r="L659" i="2"/>
  <c r="L16" i="30" s="1"/>
  <c r="H773" i="2"/>
  <c r="H130" i="30" s="1"/>
  <c r="H59" i="2"/>
  <c r="H15" i="2"/>
  <c r="G414" i="2"/>
  <c r="V408" i="2"/>
  <c r="W408" i="2" s="1"/>
  <c r="X408" i="2" s="1"/>
  <c r="L186" i="2"/>
  <c r="M459" i="2"/>
  <c r="M674" i="2" s="1"/>
  <c r="M31" i="30" s="1"/>
  <c r="T756" i="2"/>
  <c r="T113" i="30" s="1"/>
  <c r="T660" i="2"/>
  <c r="T17" i="30" s="1"/>
  <c r="T759" i="2"/>
  <c r="T116" i="30" s="1"/>
  <c r="T659" i="2"/>
  <c r="T16" i="30" s="1"/>
  <c r="P745" i="2"/>
  <c r="P345" i="2"/>
  <c r="L745" i="2"/>
  <c r="L345" i="2"/>
  <c r="R745" i="2"/>
  <c r="R102" i="30" s="1"/>
  <c r="R345" i="2"/>
  <c r="M15" i="2"/>
  <c r="M59" i="2"/>
  <c r="M773" i="2"/>
  <c r="M130" i="30" s="1"/>
  <c r="N759" i="2"/>
  <c r="N116" i="30" s="1"/>
  <c r="N660" i="2"/>
  <c r="N17" i="30" s="1"/>
  <c r="N756" i="2"/>
  <c r="N113" i="30" s="1"/>
  <c r="N659" i="2"/>
  <c r="N16" i="30" s="1"/>
  <c r="J459" i="2"/>
  <c r="J674" i="2" s="1"/>
  <c r="J31" i="30" s="1"/>
  <c r="J402" i="2"/>
  <c r="T402" i="2"/>
  <c r="T745" i="2"/>
  <c r="T102" i="30" s="1"/>
  <c r="T345" i="2"/>
  <c r="T117" i="2"/>
  <c r="Q459" i="2"/>
  <c r="Q674" i="2" s="1"/>
  <c r="Q31" i="30" s="1"/>
  <c r="Q288" i="2"/>
  <c r="Q186" i="2"/>
  <c r="K574" i="2"/>
  <c r="K676" i="2" s="1"/>
  <c r="K459" i="2"/>
  <c r="K674" i="2" s="1"/>
  <c r="H402" i="2"/>
  <c r="I459" i="2"/>
  <c r="I674" i="2" s="1"/>
  <c r="I117" i="2"/>
  <c r="P288" i="2"/>
  <c r="P636" i="2"/>
  <c r="G20" i="2"/>
  <c r="V17" i="2"/>
  <c r="W17" i="2" s="1"/>
  <c r="X17" i="2" s="1"/>
  <c r="G14" i="2"/>
  <c r="V8" i="2"/>
  <c r="W8" i="2" s="1"/>
  <c r="X8" i="2" s="1"/>
  <c r="O516" i="2"/>
  <c r="L516" i="2"/>
  <c r="L402" i="2"/>
  <c r="L288" i="2"/>
  <c r="R636" i="2"/>
  <c r="S459" i="2"/>
  <c r="S674" i="2" s="1"/>
  <c r="S231" i="2"/>
  <c r="M660" i="2"/>
  <c r="M17" i="30" s="1"/>
  <c r="M759" i="2"/>
  <c r="M116" i="30" s="1"/>
  <c r="M659" i="2"/>
  <c r="M16" i="30" s="1"/>
  <c r="M756" i="2"/>
  <c r="M113" i="30" s="1"/>
  <c r="M117" i="2"/>
  <c r="N745" i="2"/>
  <c r="N345" i="2"/>
  <c r="G420" i="2"/>
  <c r="V417" i="2"/>
  <c r="W417" i="2" s="1"/>
  <c r="X417" i="2" s="1"/>
  <c r="O459" i="2"/>
  <c r="O674" i="2" s="1"/>
  <c r="O31" i="30" s="1"/>
  <c r="S59" i="2"/>
  <c r="S773" i="2"/>
  <c r="S130" i="30" s="1"/>
  <c r="J759" i="2"/>
  <c r="J116" i="30" s="1"/>
  <c r="J660" i="2"/>
  <c r="J17" i="30" s="1"/>
  <c r="J659" i="2"/>
  <c r="J16" i="30" s="1"/>
  <c r="J756" i="2"/>
  <c r="J113" i="30" s="1"/>
  <c r="G249" i="2"/>
  <c r="V249" i="2" s="1"/>
  <c r="W249" i="2" s="1"/>
  <c r="X249" i="2" s="1"/>
  <c r="V246" i="2"/>
  <c r="W246" i="2" s="1"/>
  <c r="X246" i="2" s="1"/>
  <c r="O574" i="2"/>
  <c r="O676" i="2" s="1"/>
  <c r="H129" i="2"/>
  <c r="H174" i="2" s="1"/>
  <c r="D14" i="27" s="1"/>
  <c r="G135" i="2"/>
  <c r="V132" i="2"/>
  <c r="W132" i="2" s="1"/>
  <c r="X132" i="2" s="1"/>
  <c r="J745" i="2"/>
  <c r="J345" i="2"/>
  <c r="Q745" i="2"/>
  <c r="Q345" i="2"/>
  <c r="P773" i="2"/>
  <c r="P130" i="30" s="1"/>
  <c r="P59" i="2"/>
  <c r="O59" i="2"/>
  <c r="O773" i="2"/>
  <c r="O130" i="30" s="1"/>
  <c r="S636" i="2"/>
  <c r="M186" i="2"/>
  <c r="J288" i="2"/>
  <c r="J117" i="2"/>
  <c r="J636" i="2"/>
  <c r="T516" i="2"/>
  <c r="Q636" i="2"/>
  <c r="Q402" i="2"/>
  <c r="K759" i="2"/>
  <c r="K116" i="30" s="1"/>
  <c r="K660" i="2"/>
  <c r="K17" i="30" s="1"/>
  <c r="K659" i="2"/>
  <c r="K16" i="30" s="1"/>
  <c r="K756" i="2"/>
  <c r="K113" i="30" s="1"/>
  <c r="H516" i="2"/>
  <c r="H345" i="2"/>
  <c r="H745" i="2"/>
  <c r="P129" i="2"/>
  <c r="P174" i="2" s="1"/>
  <c r="D14" i="25" s="1"/>
  <c r="E37" i="25" s="1"/>
  <c r="P117" i="2"/>
  <c r="P459" i="2"/>
  <c r="P674" i="2" s="1"/>
  <c r="P31" i="30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116" i="30" s="1"/>
  <c r="O660" i="2"/>
  <c r="O17" i="30" s="1"/>
  <c r="O659" i="2"/>
  <c r="O16" i="30" s="1"/>
  <c r="O756" i="2"/>
  <c r="O113" i="30" s="1"/>
  <c r="L129" i="2"/>
  <c r="L174" i="2" s="1"/>
  <c r="D14" i="17" s="1"/>
  <c r="L773" i="2"/>
  <c r="L130" i="30" s="1"/>
  <c r="L15" i="2"/>
  <c r="L59" i="2"/>
  <c r="R59" i="2"/>
  <c r="R773" i="2"/>
  <c r="R130" i="30" s="1"/>
  <c r="R288" i="2"/>
  <c r="R516" i="2"/>
  <c r="M745" i="2"/>
  <c r="M345" i="2"/>
  <c r="F819" i="2"/>
  <c r="N15" i="2"/>
  <c r="N59" i="2"/>
  <c r="N773" i="2"/>
  <c r="N130" i="30" s="1"/>
  <c r="D32" i="27" l="1"/>
  <c r="H102" i="30"/>
  <c r="D32" i="19"/>
  <c r="M102" i="30"/>
  <c r="O739" i="2"/>
  <c r="O96" i="30" s="1"/>
  <c r="O33" i="30"/>
  <c r="D32" i="17"/>
  <c r="L102" i="30"/>
  <c r="I737" i="2"/>
  <c r="I94" i="30" s="1"/>
  <c r="I31" i="30"/>
  <c r="I739" i="2"/>
  <c r="I96" i="30" s="1"/>
  <c r="I33" i="30"/>
  <c r="T737" i="2"/>
  <c r="T94" i="30" s="1"/>
  <c r="T31" i="30"/>
  <c r="Q739" i="2"/>
  <c r="Q96" i="30" s="1"/>
  <c r="Q33" i="30"/>
  <c r="D32" i="25"/>
  <c r="P102" i="30"/>
  <c r="M739" i="2"/>
  <c r="M96" i="30" s="1"/>
  <c r="M33" i="30"/>
  <c r="P739" i="2"/>
  <c r="P96" i="30" s="1"/>
  <c r="P33" i="30"/>
  <c r="R739" i="2"/>
  <c r="R96" i="30" s="1"/>
  <c r="R33" i="30"/>
  <c r="T772" i="2"/>
  <c r="T42" i="30"/>
  <c r="T129" i="30" s="1"/>
  <c r="K772" i="2"/>
  <c r="K42" i="30"/>
  <c r="K129" i="30" s="1"/>
  <c r="D32" i="26"/>
  <c r="E32" i="26" s="1"/>
  <c r="Q102" i="30"/>
  <c r="R737" i="2"/>
  <c r="R94" i="30" s="1"/>
  <c r="R31" i="30"/>
  <c r="J739" i="2"/>
  <c r="J96" i="30" s="1"/>
  <c r="J33" i="30"/>
  <c r="D22" i="27"/>
  <c r="H62" i="30"/>
  <c r="K737" i="2"/>
  <c r="K94" i="30" s="1"/>
  <c r="K31" i="30"/>
  <c r="N739" i="2"/>
  <c r="N96" i="30" s="1"/>
  <c r="N33" i="30"/>
  <c r="D32" i="29"/>
  <c r="E32" i="29" s="1"/>
  <c r="J102" i="30"/>
  <c r="S737" i="2"/>
  <c r="S94" i="30" s="1"/>
  <c r="S31" i="30"/>
  <c r="K739" i="2"/>
  <c r="K96" i="30" s="1"/>
  <c r="K33" i="30"/>
  <c r="K789" i="2"/>
  <c r="K62" i="30"/>
  <c r="T739" i="2"/>
  <c r="T96" i="30" s="1"/>
  <c r="T33" i="30"/>
  <c r="T789" i="2"/>
  <c r="T62" i="30"/>
  <c r="D22" i="20"/>
  <c r="N62" i="30"/>
  <c r="D32" i="20"/>
  <c r="N102" i="30"/>
  <c r="H739" i="2"/>
  <c r="H96" i="30" s="1"/>
  <c r="H33" i="30"/>
  <c r="I789" i="2"/>
  <c r="I62" i="30"/>
  <c r="S739" i="2"/>
  <c r="S96" i="30" s="1"/>
  <c r="S33" i="30"/>
  <c r="L739" i="2"/>
  <c r="L96" i="30" s="1"/>
  <c r="L33" i="30"/>
  <c r="I772" i="2"/>
  <c r="I42" i="30"/>
  <c r="I129" i="30" s="1"/>
  <c r="G72" i="2"/>
  <c r="G243" i="2"/>
  <c r="G288" i="2" s="1"/>
  <c r="K30" i="19"/>
  <c r="D34" i="19"/>
  <c r="G34" i="19" s="1"/>
  <c r="K34" i="19" s="1"/>
  <c r="L34" i="19" s="1"/>
  <c r="K30" i="26"/>
  <c r="E37" i="19"/>
  <c r="G37" i="19"/>
  <c r="E32" i="19"/>
  <c r="J37" i="17"/>
  <c r="H37" i="17"/>
  <c r="I37" i="17"/>
  <c r="F37" i="17"/>
  <c r="J37" i="19"/>
  <c r="H37" i="19"/>
  <c r="I37" i="19"/>
  <c r="F37" i="19"/>
  <c r="L14" i="19"/>
  <c r="K30" i="17"/>
  <c r="G37" i="17"/>
  <c r="E37" i="17"/>
  <c r="D34" i="17"/>
  <c r="G34" i="17" s="1"/>
  <c r="K34" i="17" s="1"/>
  <c r="L34" i="17" s="1"/>
  <c r="D34" i="26"/>
  <c r="G34" i="26" s="1"/>
  <c r="K34" i="26" s="1"/>
  <c r="L34" i="26" s="1"/>
  <c r="L14" i="17"/>
  <c r="E32" i="17"/>
  <c r="K30" i="21"/>
  <c r="K30" i="25"/>
  <c r="K29" i="21"/>
  <c r="L14" i="26"/>
  <c r="E37" i="26"/>
  <c r="G37" i="26"/>
  <c r="K28" i="21"/>
  <c r="K32" i="26"/>
  <c r="L32" i="26" s="1"/>
  <c r="H37" i="26"/>
  <c r="I37" i="26"/>
  <c r="J37" i="26"/>
  <c r="F37" i="26"/>
  <c r="D30" i="25"/>
  <c r="D34" i="25"/>
  <c r="G34" i="25" s="1"/>
  <c r="K34" i="25" s="1"/>
  <c r="L34" i="25" s="1"/>
  <c r="K14" i="21"/>
  <c r="J37" i="25"/>
  <c r="H37" i="25"/>
  <c r="I37" i="25"/>
  <c r="F37" i="25"/>
  <c r="G37" i="25"/>
  <c r="D34" i="20"/>
  <c r="G34" i="20" s="1"/>
  <c r="K34" i="20" s="1"/>
  <c r="L34" i="20" s="1"/>
  <c r="D14" i="21"/>
  <c r="E37" i="21" s="1"/>
  <c r="K14" i="25"/>
  <c r="G22" i="20"/>
  <c r="D34" i="21"/>
  <c r="G34" i="21" s="1"/>
  <c r="K34" i="21" s="1"/>
  <c r="L34" i="21" s="1"/>
  <c r="D32" i="21"/>
  <c r="E32" i="21" s="1"/>
  <c r="K28" i="25"/>
  <c r="J22" i="20"/>
  <c r="J37" i="20"/>
  <c r="H22" i="20"/>
  <c r="H37" i="20"/>
  <c r="I22" i="20"/>
  <c r="I37" i="20"/>
  <c r="F22" i="20"/>
  <c r="F37" i="20"/>
  <c r="L14" i="20"/>
  <c r="E37" i="20"/>
  <c r="E32" i="20"/>
  <c r="E22" i="20"/>
  <c r="G37" i="20"/>
  <c r="E37" i="29"/>
  <c r="G37" i="29"/>
  <c r="L14" i="29"/>
  <c r="D34" i="27"/>
  <c r="G34" i="27" s="1"/>
  <c r="K34" i="27" s="1"/>
  <c r="L34" i="27" s="1"/>
  <c r="J37" i="29"/>
  <c r="H37" i="29"/>
  <c r="I37" i="29"/>
  <c r="F37" i="29"/>
  <c r="D34" i="29"/>
  <c r="G34" i="29" s="1"/>
  <c r="K32" i="29"/>
  <c r="L32" i="29" s="1"/>
  <c r="K30" i="29"/>
  <c r="L14" i="27"/>
  <c r="J22" i="27"/>
  <c r="J37" i="27"/>
  <c r="H22" i="27"/>
  <c r="H37" i="27"/>
  <c r="I22" i="27"/>
  <c r="I37" i="27"/>
  <c r="F22" i="27"/>
  <c r="F37" i="27"/>
  <c r="E22" i="27"/>
  <c r="G37" i="27"/>
  <c r="G22" i="27"/>
  <c r="E32" i="27"/>
  <c r="E37" i="27"/>
  <c r="G471" i="2"/>
  <c r="V294" i="2"/>
  <c r="W294" i="2" s="1"/>
  <c r="X294" i="2" s="1"/>
  <c r="G357" i="2"/>
  <c r="S658" i="2"/>
  <c r="S15" i="30" s="1"/>
  <c r="N658" i="2"/>
  <c r="H658" i="2"/>
  <c r="H789" i="2"/>
  <c r="N789" i="2"/>
  <c r="M736" i="2"/>
  <c r="M93" i="30" s="1"/>
  <c r="R673" i="2"/>
  <c r="R30" i="30" s="1"/>
  <c r="O658" i="2"/>
  <c r="O15" i="30" s="1"/>
  <c r="Q922" i="2"/>
  <c r="Q923" i="2" s="1"/>
  <c r="Q918" i="2"/>
  <c r="O918" i="2"/>
  <c r="G922" i="2"/>
  <c r="G923" i="2" s="1"/>
  <c r="G925" i="2" s="1"/>
  <c r="O922" i="2"/>
  <c r="O923" i="2" s="1"/>
  <c r="I760" i="2"/>
  <c r="I117" i="30" s="1"/>
  <c r="I757" i="2"/>
  <c r="I114" i="30" s="1"/>
  <c r="R752" i="2"/>
  <c r="R109" i="30" s="1"/>
  <c r="R751" i="2"/>
  <c r="R108" i="30" s="1"/>
  <c r="L751" i="2"/>
  <c r="L108" i="30" s="1"/>
  <c r="L752" i="2"/>
  <c r="L109" i="30" s="1"/>
  <c r="J918" i="2"/>
  <c r="N922" i="2"/>
  <c r="N923" i="2" s="1"/>
  <c r="M752" i="2"/>
  <c r="M109" i="30" s="1"/>
  <c r="M751" i="2"/>
  <c r="M108" i="30" s="1"/>
  <c r="N752" i="2"/>
  <c r="N109" i="30" s="1"/>
  <c r="N751" i="2"/>
  <c r="N108" i="30" s="1"/>
  <c r="P752" i="2"/>
  <c r="P109" i="30" s="1"/>
  <c r="P751" i="2"/>
  <c r="P108" i="30" s="1"/>
  <c r="Q751" i="2"/>
  <c r="Q108" i="30" s="1"/>
  <c r="Q752" i="2"/>
  <c r="Q109" i="30" s="1"/>
  <c r="I752" i="2"/>
  <c r="I109" i="30" s="1"/>
  <c r="I751" i="2"/>
  <c r="I108" i="30" s="1"/>
  <c r="M922" i="2"/>
  <c r="M923" i="2" s="1"/>
  <c r="L918" i="2"/>
  <c r="H751" i="2"/>
  <c r="H108" i="30" s="1"/>
  <c r="H752" i="2"/>
  <c r="H109" i="30" s="1"/>
  <c r="R914" i="2"/>
  <c r="R775" i="2" s="1"/>
  <c r="R132" i="30" s="1"/>
  <c r="R760" i="2"/>
  <c r="R117" i="30" s="1"/>
  <c r="R757" i="2"/>
  <c r="R114" i="30" s="1"/>
  <c r="K760" i="2"/>
  <c r="K117" i="30" s="1"/>
  <c r="K757" i="2"/>
  <c r="K114" i="30" s="1"/>
  <c r="J752" i="2"/>
  <c r="J109" i="30" s="1"/>
  <c r="J751" i="2"/>
  <c r="J108" i="30" s="1"/>
  <c r="P918" i="2"/>
  <c r="T914" i="2"/>
  <c r="T775" i="2" s="1"/>
  <c r="T132" i="30" s="1"/>
  <c r="T760" i="2"/>
  <c r="T117" i="30" s="1"/>
  <c r="T757" i="2"/>
  <c r="T114" i="30" s="1"/>
  <c r="S760" i="2"/>
  <c r="S117" i="30" s="1"/>
  <c r="S757" i="2"/>
  <c r="S114" i="30" s="1"/>
  <c r="P922" i="2"/>
  <c r="P923" i="2" s="1"/>
  <c r="N918" i="2"/>
  <c r="T751" i="2"/>
  <c r="T108" i="30" s="1"/>
  <c r="T752" i="2"/>
  <c r="T109" i="30" s="1"/>
  <c r="O752" i="2"/>
  <c r="O109" i="30" s="1"/>
  <c r="O751" i="2"/>
  <c r="O108" i="30" s="1"/>
  <c r="K752" i="2"/>
  <c r="K109" i="30" s="1"/>
  <c r="K751" i="2"/>
  <c r="K108" i="30" s="1"/>
  <c r="H922" i="2"/>
  <c r="H923" i="2" s="1"/>
  <c r="L922" i="2"/>
  <c r="L923" i="2" s="1"/>
  <c r="M918" i="2"/>
  <c r="S751" i="2"/>
  <c r="S108" i="30" s="1"/>
  <c r="S752" i="2"/>
  <c r="S109" i="30" s="1"/>
  <c r="H918" i="2"/>
  <c r="J922" i="2"/>
  <c r="J923" i="2" s="1"/>
  <c r="T787" i="2"/>
  <c r="T671" i="2"/>
  <c r="T28" i="30" s="1"/>
  <c r="T734" i="2"/>
  <c r="T91" i="30" s="1"/>
  <c r="O705" i="2"/>
  <c r="O62" i="30" s="1"/>
  <c r="N787" i="2"/>
  <c r="H753" i="2"/>
  <c r="H110" i="30" s="1"/>
  <c r="I787" i="2"/>
  <c r="O758" i="2"/>
  <c r="O115" i="30" s="1"/>
  <c r="S673" i="2"/>
  <c r="S30" i="30" s="1"/>
  <c r="N753" i="2"/>
  <c r="N110" i="30" s="1"/>
  <c r="S753" i="2"/>
  <c r="S110" i="30" s="1"/>
  <c r="S758" i="2"/>
  <c r="S115" i="30" s="1"/>
  <c r="H758" i="2"/>
  <c r="H115" i="30" s="1"/>
  <c r="R671" i="2"/>
  <c r="R28" i="30" s="1"/>
  <c r="R734" i="2"/>
  <c r="R91" i="30" s="1"/>
  <c r="M705" i="2"/>
  <c r="P738" i="2"/>
  <c r="P95" i="30" s="1"/>
  <c r="H787" i="2"/>
  <c r="N758" i="2"/>
  <c r="N115" i="30" s="1"/>
  <c r="P736" i="2"/>
  <c r="P93" i="30" s="1"/>
  <c r="F19" i="23"/>
  <c r="S738" i="2"/>
  <c r="S95" i="30" s="1"/>
  <c r="K787" i="2"/>
  <c r="K673" i="2"/>
  <c r="K30" i="30" s="1"/>
  <c r="O736" i="2"/>
  <c r="O93" i="30" s="1"/>
  <c r="Q738" i="2"/>
  <c r="Q95" i="30" s="1"/>
  <c r="I925" i="2"/>
  <c r="I653" i="2" s="1"/>
  <c r="I10" i="30" s="1"/>
  <c r="I25" i="30" s="1"/>
  <c r="T925" i="2"/>
  <c r="T653" i="2" s="1"/>
  <c r="T10" i="30" s="1"/>
  <c r="K734" i="2"/>
  <c r="K91" i="30" s="1"/>
  <c r="K671" i="2"/>
  <c r="K28" i="30" s="1"/>
  <c r="K914" i="2"/>
  <c r="K775" i="2" s="1"/>
  <c r="K132" i="30" s="1"/>
  <c r="L658" i="2"/>
  <c r="L753" i="2"/>
  <c r="L110" i="30" s="1"/>
  <c r="L758" i="2"/>
  <c r="L115" i="30" s="1"/>
  <c r="M758" i="2"/>
  <c r="M115" i="30" s="1"/>
  <c r="M753" i="2"/>
  <c r="M110" i="30" s="1"/>
  <c r="M658" i="2"/>
  <c r="O675" i="2"/>
  <c r="O738" i="2"/>
  <c r="O95" i="30" s="1"/>
  <c r="J737" i="2"/>
  <c r="J94" i="30" s="1"/>
  <c r="H735" i="2"/>
  <c r="H92" i="30" s="1"/>
  <c r="H774" i="2"/>
  <c r="H131" i="30" s="1"/>
  <c r="H750" i="2"/>
  <c r="H107" i="30" s="1"/>
  <c r="H672" i="2"/>
  <c r="V129" i="2"/>
  <c r="W129" i="2" s="1"/>
  <c r="X129" i="2" s="1"/>
  <c r="G174" i="2"/>
  <c r="G754" i="2" s="1"/>
  <c r="G111" i="30" s="1"/>
  <c r="H231" i="2"/>
  <c r="H187" i="2"/>
  <c r="I734" i="2"/>
  <c r="I91" i="30" s="1"/>
  <c r="I671" i="2"/>
  <c r="I28" i="30" s="1"/>
  <c r="I914" i="2"/>
  <c r="I775" i="2" s="1"/>
  <c r="I132" i="30" s="1"/>
  <c r="N673" i="2"/>
  <c r="N30" i="30" s="1"/>
  <c r="N736" i="2"/>
  <c r="N93" i="30" s="1"/>
  <c r="N737" i="2"/>
  <c r="N94" i="30" s="1"/>
  <c r="E28" i="14"/>
  <c r="G745" i="2"/>
  <c r="G102" i="30" s="1"/>
  <c r="V300" i="2"/>
  <c r="W300" i="2" s="1"/>
  <c r="X300" i="2" s="1"/>
  <c r="G345" i="2"/>
  <c r="F821" i="2"/>
  <c r="G27" i="14"/>
  <c r="K27" i="14" s="1"/>
  <c r="V192" i="2"/>
  <c r="W192" i="2" s="1"/>
  <c r="X192" i="2" s="1"/>
  <c r="Q787" i="2"/>
  <c r="Q705" i="2"/>
  <c r="H685" i="2"/>
  <c r="H42" i="30" s="1"/>
  <c r="H129" i="30" s="1"/>
  <c r="L675" i="2"/>
  <c r="L32" i="30" s="1"/>
  <c r="L738" i="2"/>
  <c r="L95" i="30" s="1"/>
  <c r="G15" i="2"/>
  <c r="V14" i="2"/>
  <c r="W14" i="2" s="1"/>
  <c r="X14" i="2" s="1"/>
  <c r="G59" i="2"/>
  <c r="V59" i="2" s="1"/>
  <c r="W59" i="2" s="1"/>
  <c r="X59" i="2" s="1"/>
  <c r="G773" i="2"/>
  <c r="G130" i="30" s="1"/>
  <c r="T735" i="2"/>
  <c r="T92" i="30" s="1"/>
  <c r="T774" i="2"/>
  <c r="T131" i="30" s="1"/>
  <c r="T672" i="2"/>
  <c r="T29" i="30" s="1"/>
  <c r="T750" i="2"/>
  <c r="T107" i="30" s="1"/>
  <c r="I736" i="2"/>
  <c r="I93" i="30" s="1"/>
  <c r="I673" i="2"/>
  <c r="I30" i="30" s="1"/>
  <c r="F17" i="23"/>
  <c r="R772" i="2"/>
  <c r="L737" i="2"/>
  <c r="L94" i="30" s="1"/>
  <c r="R758" i="2"/>
  <c r="R115" i="30" s="1"/>
  <c r="R753" i="2"/>
  <c r="R110" i="30" s="1"/>
  <c r="R658" i="2"/>
  <c r="R15" i="30" s="1"/>
  <c r="O727" i="2"/>
  <c r="O84" i="30" s="1"/>
  <c r="H754" i="2"/>
  <c r="H111" i="30" s="1"/>
  <c r="K754" i="2"/>
  <c r="K111" i="30" s="1"/>
  <c r="I727" i="2"/>
  <c r="I84" i="30" s="1"/>
  <c r="J727" i="2"/>
  <c r="J84" i="30" s="1"/>
  <c r="I754" i="2"/>
  <c r="I111" i="30" s="1"/>
  <c r="Q754" i="2"/>
  <c r="Q111" i="30" s="1"/>
  <c r="H727" i="2"/>
  <c r="H84" i="30" s="1"/>
  <c r="L727" i="2"/>
  <c r="L84" i="30" s="1"/>
  <c r="M754" i="2"/>
  <c r="M111" i="30" s="1"/>
  <c r="S727" i="2"/>
  <c r="S84" i="30" s="1"/>
  <c r="R727" i="2"/>
  <c r="R84" i="30" s="1"/>
  <c r="S754" i="2"/>
  <c r="S111" i="30" s="1"/>
  <c r="K727" i="2"/>
  <c r="K84" i="30" s="1"/>
  <c r="M727" i="2"/>
  <c r="M84" i="30" s="1"/>
  <c r="Q727" i="2"/>
  <c r="Q84" i="30" s="1"/>
  <c r="J754" i="2"/>
  <c r="J111" i="30" s="1"/>
  <c r="P727" i="2"/>
  <c r="P84" i="30" s="1"/>
  <c r="P754" i="2"/>
  <c r="P111" i="30" s="1"/>
  <c r="R754" i="2"/>
  <c r="R111" i="30" s="1"/>
  <c r="O754" i="2"/>
  <c r="O111" i="30" s="1"/>
  <c r="T727" i="2"/>
  <c r="T84" i="30" s="1"/>
  <c r="N754" i="2"/>
  <c r="N111" i="30" s="1"/>
  <c r="N727" i="2"/>
  <c r="N84" i="30" s="1"/>
  <c r="T754" i="2"/>
  <c r="T111" i="30" s="1"/>
  <c r="L754" i="2"/>
  <c r="L111" i="30" s="1"/>
  <c r="F685" i="2"/>
  <c r="F42" i="30" s="1"/>
  <c r="F129" i="30" s="1"/>
  <c r="F133" i="30" s="1"/>
  <c r="F135" i="30" s="1"/>
  <c r="I675" i="2"/>
  <c r="I32" i="30" s="1"/>
  <c r="I738" i="2"/>
  <c r="I95" i="30" s="1"/>
  <c r="Q685" i="2"/>
  <c r="Q42" i="30" s="1"/>
  <c r="Q129" i="30" s="1"/>
  <c r="Q737" i="2"/>
  <c r="Q94" i="30" s="1"/>
  <c r="F29" i="14"/>
  <c r="V529" i="2"/>
  <c r="W529" i="2" s="1"/>
  <c r="X529" i="2" s="1"/>
  <c r="G574" i="2"/>
  <c r="S672" i="2"/>
  <c r="S29" i="30" s="1"/>
  <c r="S774" i="2"/>
  <c r="S131" i="30" s="1"/>
  <c r="S133" i="30" s="1"/>
  <c r="S735" i="2"/>
  <c r="S92" i="30" s="1"/>
  <c r="S750" i="2"/>
  <c r="S107" i="30" s="1"/>
  <c r="L736" i="2"/>
  <c r="L93" i="30" s="1"/>
  <c r="L673" i="2"/>
  <c r="L30" i="30" s="1"/>
  <c r="L774" i="2"/>
  <c r="L131" i="30" s="1"/>
  <c r="L750" i="2"/>
  <c r="L107" i="30" s="1"/>
  <c r="L735" i="2"/>
  <c r="L92" i="30" s="1"/>
  <c r="L672" i="2"/>
  <c r="M737" i="2"/>
  <c r="M94" i="30" s="1"/>
  <c r="G459" i="2"/>
  <c r="V414" i="2"/>
  <c r="W414" i="2" s="1"/>
  <c r="X414" i="2" s="1"/>
  <c r="H737" i="2"/>
  <c r="H94" i="30" s="1"/>
  <c r="L787" i="2"/>
  <c r="L705" i="2"/>
  <c r="I774" i="2"/>
  <c r="I131" i="30" s="1"/>
  <c r="I735" i="2"/>
  <c r="I92" i="30" s="1"/>
  <c r="I672" i="2"/>
  <c r="I29" i="30" s="1"/>
  <c r="I750" i="2"/>
  <c r="I107" i="30" s="1"/>
  <c r="O187" i="2"/>
  <c r="O231" i="2"/>
  <c r="J685" i="2"/>
  <c r="J42" i="30" s="1"/>
  <c r="J129" i="30" s="1"/>
  <c r="M675" i="2"/>
  <c r="M738" i="2"/>
  <c r="M95" i="30" s="1"/>
  <c r="K753" i="2"/>
  <c r="K110" i="30" s="1"/>
  <c r="K758" i="2"/>
  <c r="K115" i="30" s="1"/>
  <c r="K658" i="2"/>
  <c r="K15" i="30" s="1"/>
  <c r="R675" i="2"/>
  <c r="R32" i="30" s="1"/>
  <c r="R738" i="2"/>
  <c r="R95" i="30" s="1"/>
  <c r="V420" i="2"/>
  <c r="W420" i="2" s="1"/>
  <c r="X420" i="2" s="1"/>
  <c r="G29" i="14"/>
  <c r="R735" i="2"/>
  <c r="R92" i="30" s="1"/>
  <c r="R672" i="2"/>
  <c r="R29" i="30" s="1"/>
  <c r="R750" i="2"/>
  <c r="R107" i="30" s="1"/>
  <c r="R774" i="2"/>
  <c r="R131" i="30" s="1"/>
  <c r="R133" i="30" s="1"/>
  <c r="F18" i="23"/>
  <c r="S772" i="2"/>
  <c r="Q736" i="2"/>
  <c r="Q93" i="30" s="1"/>
  <c r="Q673" i="2"/>
  <c r="M187" i="2"/>
  <c r="M231" i="2"/>
  <c r="Q774" i="2"/>
  <c r="Q131" i="30" s="1"/>
  <c r="Q735" i="2"/>
  <c r="Q92" i="30" s="1"/>
  <c r="Q750" i="2"/>
  <c r="Q107" i="30" s="1"/>
  <c r="Q672" i="2"/>
  <c r="H736" i="2"/>
  <c r="H93" i="30" s="1"/>
  <c r="H673" i="2"/>
  <c r="H30" i="30" s="1"/>
  <c r="T753" i="2"/>
  <c r="T110" i="30" s="1"/>
  <c r="T758" i="2"/>
  <c r="T115" i="30" s="1"/>
  <c r="T658" i="2"/>
  <c r="T15" i="30" s="1"/>
  <c r="P737" i="2"/>
  <c r="P94" i="30" s="1"/>
  <c r="T738" i="2"/>
  <c r="T95" i="30" s="1"/>
  <c r="T675" i="2"/>
  <c r="T32" i="30" s="1"/>
  <c r="S705" i="2"/>
  <c r="S787" i="2"/>
  <c r="G756" i="2"/>
  <c r="G113" i="30" s="1"/>
  <c r="G759" i="2"/>
  <c r="G659" i="2"/>
  <c r="G16" i="30" s="1"/>
  <c r="V20" i="2"/>
  <c r="W20" i="2" s="1"/>
  <c r="X20" i="2" s="1"/>
  <c r="G660" i="2"/>
  <c r="Q187" i="2"/>
  <c r="Q231" i="2"/>
  <c r="T736" i="2"/>
  <c r="T93" i="30" s="1"/>
  <c r="T673" i="2"/>
  <c r="T30" i="30" s="1"/>
  <c r="N685" i="2"/>
  <c r="N42" i="30" s="1"/>
  <c r="N129" i="30" s="1"/>
  <c r="V72" i="2"/>
  <c r="W72" i="2" s="1"/>
  <c r="X72" i="2" s="1"/>
  <c r="G117" i="2"/>
  <c r="K675" i="2"/>
  <c r="K32" i="30" s="1"/>
  <c r="K738" i="2"/>
  <c r="K95" i="30" s="1"/>
  <c r="J675" i="2"/>
  <c r="J32" i="30" s="1"/>
  <c r="J738" i="2"/>
  <c r="J95" i="30" s="1"/>
  <c r="G187" i="2"/>
  <c r="V186" i="2"/>
  <c r="W186" i="2" s="1"/>
  <c r="X186" i="2" s="1"/>
  <c r="G231" i="2"/>
  <c r="S925" i="2"/>
  <c r="J753" i="2"/>
  <c r="J110" i="30" s="1"/>
  <c r="J758" i="2"/>
  <c r="J115" i="30" s="1"/>
  <c r="J658" i="2"/>
  <c r="R705" i="2"/>
  <c r="R787" i="2"/>
  <c r="I753" i="2"/>
  <c r="I110" i="30" s="1"/>
  <c r="I658" i="2"/>
  <c r="I15" i="30" s="1"/>
  <c r="I758" i="2"/>
  <c r="I115" i="30" s="1"/>
  <c r="P774" i="2"/>
  <c r="P131" i="30" s="1"/>
  <c r="P735" i="2"/>
  <c r="P92" i="30" s="1"/>
  <c r="P750" i="2"/>
  <c r="P107" i="30" s="1"/>
  <c r="P672" i="2"/>
  <c r="O774" i="2"/>
  <c r="O131" i="30" s="1"/>
  <c r="O750" i="2"/>
  <c r="O107" i="30" s="1"/>
  <c r="O735" i="2"/>
  <c r="O92" i="30" s="1"/>
  <c r="O672" i="2"/>
  <c r="O29" i="30" s="1"/>
  <c r="Q753" i="2"/>
  <c r="Q110" i="30" s="1"/>
  <c r="Q758" i="2"/>
  <c r="Q115" i="30" s="1"/>
  <c r="Q658" i="2"/>
  <c r="N675" i="2"/>
  <c r="N32" i="30" s="1"/>
  <c r="N738" i="2"/>
  <c r="N95" i="30" s="1"/>
  <c r="P187" i="2"/>
  <c r="P231" i="2"/>
  <c r="H675" i="2"/>
  <c r="H32" i="30" s="1"/>
  <c r="H738" i="2"/>
  <c r="H95" i="30" s="1"/>
  <c r="G13" i="14"/>
  <c r="V135" i="2"/>
  <c r="W135" i="2" s="1"/>
  <c r="X135" i="2" s="1"/>
  <c r="M750" i="2"/>
  <c r="M107" i="30" s="1"/>
  <c r="M735" i="2"/>
  <c r="M92" i="30" s="1"/>
  <c r="M774" i="2"/>
  <c r="M131" i="30" s="1"/>
  <c r="M672" i="2"/>
  <c r="P758" i="2"/>
  <c r="P115" i="30" s="1"/>
  <c r="P753" i="2"/>
  <c r="P110" i="30" s="1"/>
  <c r="P658" i="2"/>
  <c r="J774" i="2"/>
  <c r="J131" i="30" s="1"/>
  <c r="J735" i="2"/>
  <c r="J92" i="30" s="1"/>
  <c r="J750" i="2"/>
  <c r="J107" i="30" s="1"/>
  <c r="J672" i="2"/>
  <c r="O737" i="2"/>
  <c r="O94" i="30" s="1"/>
  <c r="S734" i="2"/>
  <c r="S91" i="30" s="1"/>
  <c r="S914" i="2"/>
  <c r="S775" i="2" s="1"/>
  <c r="S132" i="30" s="1"/>
  <c r="S671" i="2"/>
  <c r="S28" i="30" s="1"/>
  <c r="P787" i="2"/>
  <c r="P705" i="2"/>
  <c r="J736" i="2"/>
  <c r="J93" i="30" s="1"/>
  <c r="J673" i="2"/>
  <c r="J30" i="30" s="1"/>
  <c r="L231" i="2"/>
  <c r="L187" i="2"/>
  <c r="O685" i="2"/>
  <c r="O42" i="30" s="1"/>
  <c r="O129" i="30" s="1"/>
  <c r="M685" i="2"/>
  <c r="M42" i="30" s="1"/>
  <c r="M129" i="30" s="1"/>
  <c r="V591" i="2"/>
  <c r="W591" i="2" s="1"/>
  <c r="X591" i="2" s="1"/>
  <c r="G636" i="2"/>
  <c r="K925" i="2"/>
  <c r="K672" i="2"/>
  <c r="K29" i="30" s="1"/>
  <c r="K774" i="2"/>
  <c r="K131" i="30" s="1"/>
  <c r="K750" i="2"/>
  <c r="K107" i="30" s="1"/>
  <c r="K735" i="2"/>
  <c r="K92" i="30" s="1"/>
  <c r="J231" i="2"/>
  <c r="J187" i="2"/>
  <c r="N187" i="2"/>
  <c r="N231" i="2"/>
  <c r="L685" i="2"/>
  <c r="L42" i="30" s="1"/>
  <c r="L129" i="30" s="1"/>
  <c r="P685" i="2"/>
  <c r="P42" i="30" s="1"/>
  <c r="P129" i="30" s="1"/>
  <c r="J787" i="2"/>
  <c r="J705" i="2"/>
  <c r="N735" i="2"/>
  <c r="N92" i="30" s="1"/>
  <c r="N750" i="2"/>
  <c r="N107" i="30" s="1"/>
  <c r="N774" i="2"/>
  <c r="N131" i="30" s="1"/>
  <c r="N672" i="2"/>
  <c r="V306" i="2"/>
  <c r="W306" i="2" s="1"/>
  <c r="X306" i="2" s="1"/>
  <c r="G28" i="14"/>
  <c r="R925" i="2"/>
  <c r="S60" i="30" l="1"/>
  <c r="D45" i="25"/>
  <c r="J45" i="25" s="1"/>
  <c r="J46" i="25" s="1"/>
  <c r="P15" i="30"/>
  <c r="D29" i="26"/>
  <c r="L29" i="26" s="1"/>
  <c r="Q29" i="30"/>
  <c r="I60" i="30"/>
  <c r="T60" i="30"/>
  <c r="D45" i="26"/>
  <c r="G45" i="26" s="1"/>
  <c r="G46" i="26" s="1"/>
  <c r="Q15" i="30"/>
  <c r="D22" i="29"/>
  <c r="G22" i="29" s="1"/>
  <c r="J62" i="30"/>
  <c r="V660" i="2"/>
  <c r="W660" i="2" s="1"/>
  <c r="X660" i="2" s="1"/>
  <c r="G17" i="30"/>
  <c r="K133" i="30"/>
  <c r="D45" i="17"/>
  <c r="G45" i="17" s="1"/>
  <c r="G46" i="17" s="1"/>
  <c r="L15" i="30"/>
  <c r="D22" i="19"/>
  <c r="E22" i="19" s="1"/>
  <c r="M62" i="30"/>
  <c r="D45" i="29"/>
  <c r="F45" i="29" s="1"/>
  <c r="J15" i="30"/>
  <c r="S789" i="2"/>
  <c r="S62" i="30"/>
  <c r="D29" i="19"/>
  <c r="L29" i="19" s="1"/>
  <c r="M29" i="30"/>
  <c r="D22" i="26"/>
  <c r="J22" i="26" s="1"/>
  <c r="Q62" i="30"/>
  <c r="T133" i="30"/>
  <c r="D29" i="29"/>
  <c r="L29" i="29" s="1"/>
  <c r="J29" i="30"/>
  <c r="V759" i="2"/>
  <c r="W759" i="2" s="1"/>
  <c r="G116" i="30"/>
  <c r="D29" i="17"/>
  <c r="L29" i="17" s="1"/>
  <c r="L29" i="30"/>
  <c r="D30" i="21"/>
  <c r="L30" i="21" s="1"/>
  <c r="O32" i="30"/>
  <c r="K60" i="30"/>
  <c r="R60" i="30"/>
  <c r="D45" i="19"/>
  <c r="H45" i="19" s="1"/>
  <c r="H46" i="19" s="1"/>
  <c r="M15" i="30"/>
  <c r="I133" i="30"/>
  <c r="D29" i="20"/>
  <c r="L29" i="20" s="1"/>
  <c r="N29" i="30"/>
  <c r="D22" i="25"/>
  <c r="J22" i="25" s="1"/>
  <c r="P62" i="30"/>
  <c r="D29" i="25"/>
  <c r="L29" i="25" s="1"/>
  <c r="P29" i="30"/>
  <c r="R789" i="2"/>
  <c r="R62" i="30"/>
  <c r="D30" i="26"/>
  <c r="Q30" i="30"/>
  <c r="D30" i="19"/>
  <c r="M32" i="30"/>
  <c r="D22" i="17"/>
  <c r="J22" i="17" s="1"/>
  <c r="L62" i="30"/>
  <c r="D29" i="27"/>
  <c r="L29" i="27" s="1"/>
  <c r="H29" i="30"/>
  <c r="T25" i="30"/>
  <c r="D45" i="27"/>
  <c r="J45" i="27" s="1"/>
  <c r="J46" i="27" s="1"/>
  <c r="H15" i="30"/>
  <c r="I58" i="30"/>
  <c r="I64" i="30" s="1"/>
  <c r="I71" i="30"/>
  <c r="D45" i="20"/>
  <c r="G45" i="20" s="1"/>
  <c r="G46" i="20" s="1"/>
  <c r="N15" i="30"/>
  <c r="L30" i="19"/>
  <c r="V243" i="2"/>
  <c r="W243" i="2" s="1"/>
  <c r="X243" i="2" s="1"/>
  <c r="L30" i="26"/>
  <c r="K32" i="19"/>
  <c r="L32" i="19" s="1"/>
  <c r="I22" i="19"/>
  <c r="J22" i="19"/>
  <c r="G45" i="19"/>
  <c r="G46" i="19" s="1"/>
  <c r="K37" i="19"/>
  <c r="L37" i="19" s="1"/>
  <c r="G22" i="19"/>
  <c r="F22" i="17"/>
  <c r="H45" i="17"/>
  <c r="H46" i="17" s="1"/>
  <c r="K37" i="17"/>
  <c r="L37" i="17" s="1"/>
  <c r="D30" i="17"/>
  <c r="L30" i="17" s="1"/>
  <c r="H22" i="17"/>
  <c r="F45" i="17"/>
  <c r="E22" i="17"/>
  <c r="K32" i="17"/>
  <c r="L32" i="17" s="1"/>
  <c r="E45" i="17"/>
  <c r="I22" i="26"/>
  <c r="E22" i="26"/>
  <c r="I37" i="21"/>
  <c r="H45" i="26"/>
  <c r="H46" i="26" s="1"/>
  <c r="F22" i="26"/>
  <c r="H22" i="26"/>
  <c r="K37" i="26"/>
  <c r="L37" i="26" s="1"/>
  <c r="G22" i="26"/>
  <c r="F45" i="26"/>
  <c r="E45" i="26"/>
  <c r="I45" i="26"/>
  <c r="I46" i="26" s="1"/>
  <c r="J37" i="21"/>
  <c r="D22" i="21"/>
  <c r="E22" i="21" s="1"/>
  <c r="D29" i="21"/>
  <c r="L29" i="21" s="1"/>
  <c r="H45" i="20"/>
  <c r="H46" i="20" s="1"/>
  <c r="G37" i="21"/>
  <c r="L14" i="25"/>
  <c r="D30" i="29"/>
  <c r="L30" i="29" s="1"/>
  <c r="F37" i="21"/>
  <c r="L30" i="25"/>
  <c r="E32" i="25"/>
  <c r="D45" i="21"/>
  <c r="I45" i="21" s="1"/>
  <c r="I46" i="21" s="1"/>
  <c r="F45" i="25"/>
  <c r="D30" i="20"/>
  <c r="L30" i="20" s="1"/>
  <c r="L14" i="21"/>
  <c r="I45" i="25"/>
  <c r="I46" i="25" s="1"/>
  <c r="I22" i="25"/>
  <c r="F22" i="25"/>
  <c r="K37" i="25"/>
  <c r="L37" i="25" s="1"/>
  <c r="H37" i="21"/>
  <c r="K32" i="21"/>
  <c r="L32" i="21" s="1"/>
  <c r="J45" i="20"/>
  <c r="J46" i="20" s="1"/>
  <c r="J45" i="29"/>
  <c r="J46" i="29" s="1"/>
  <c r="K22" i="20"/>
  <c r="L22" i="20" s="1"/>
  <c r="K37" i="20"/>
  <c r="L37" i="20" s="1"/>
  <c r="E45" i="20"/>
  <c r="K32" i="20"/>
  <c r="L32" i="20" s="1"/>
  <c r="K34" i="29"/>
  <c r="L34" i="29" s="1"/>
  <c r="F22" i="29"/>
  <c r="H45" i="29"/>
  <c r="H46" i="29" s="1"/>
  <c r="K37" i="29"/>
  <c r="L37" i="29" s="1"/>
  <c r="H22" i="29"/>
  <c r="E22" i="29"/>
  <c r="D30" i="27"/>
  <c r="L30" i="27" s="1"/>
  <c r="I22" i="29"/>
  <c r="J22" i="29"/>
  <c r="K32" i="27"/>
  <c r="L32" i="27" s="1"/>
  <c r="K13" i="14"/>
  <c r="K22" i="27"/>
  <c r="L22" i="27" s="1"/>
  <c r="K37" i="27"/>
  <c r="L37" i="27" s="1"/>
  <c r="G45" i="27"/>
  <c r="G46" i="27" s="1"/>
  <c r="G516" i="2"/>
  <c r="G738" i="2" s="1"/>
  <c r="V471" i="2"/>
  <c r="W471" i="2" s="1"/>
  <c r="X471" i="2" s="1"/>
  <c r="N925" i="2"/>
  <c r="N722" i="2" s="1"/>
  <c r="N79" i="30" s="1"/>
  <c r="E29" i="14"/>
  <c r="K29" i="14" s="1"/>
  <c r="G402" i="2"/>
  <c r="G673" i="2" s="1"/>
  <c r="V357" i="2"/>
  <c r="W357" i="2" s="1"/>
  <c r="X357" i="2" s="1"/>
  <c r="Q789" i="2"/>
  <c r="J789" i="2"/>
  <c r="P789" i="2"/>
  <c r="O789" i="2"/>
  <c r="L789" i="2"/>
  <c r="M789" i="2"/>
  <c r="G727" i="2"/>
  <c r="O925" i="2"/>
  <c r="O653" i="2" s="1"/>
  <c r="O10" i="30" s="1"/>
  <c r="O25" i="30" s="1"/>
  <c r="K776" i="2"/>
  <c r="K823" i="2" s="1"/>
  <c r="M925" i="2"/>
  <c r="M653" i="2" s="1"/>
  <c r="J925" i="2"/>
  <c r="J721" i="2" s="1"/>
  <c r="J78" i="30" s="1"/>
  <c r="H925" i="2"/>
  <c r="H722" i="2" s="1"/>
  <c r="H79" i="30" s="1"/>
  <c r="Q925" i="2"/>
  <c r="Q722" i="2" s="1"/>
  <c r="Q79" i="30" s="1"/>
  <c r="P925" i="2"/>
  <c r="P722" i="2" s="1"/>
  <c r="P79" i="30" s="1"/>
  <c r="T776" i="2"/>
  <c r="F40" i="23" s="1"/>
  <c r="L925" i="2"/>
  <c r="L722" i="2" s="1"/>
  <c r="L79" i="30" s="1"/>
  <c r="I668" i="2"/>
  <c r="I701" i="2" s="1"/>
  <c r="V918" i="2"/>
  <c r="W918" i="2" s="1"/>
  <c r="X918" i="2" s="1"/>
  <c r="T668" i="2"/>
  <c r="C19" i="23" s="1"/>
  <c r="V754" i="2"/>
  <c r="W754" i="2" s="1"/>
  <c r="I776" i="2"/>
  <c r="I823" i="2" s="1"/>
  <c r="K28" i="14"/>
  <c r="G760" i="2"/>
  <c r="G117" i="30" s="1"/>
  <c r="G757" i="2"/>
  <c r="G114" i="30" s="1"/>
  <c r="V288" i="2"/>
  <c r="W288" i="2" s="1"/>
  <c r="X288" i="2" s="1"/>
  <c r="G752" i="2"/>
  <c r="G751" i="2"/>
  <c r="R776" i="2"/>
  <c r="F38" i="23" s="1"/>
  <c r="N760" i="2"/>
  <c r="N117" i="30" s="1"/>
  <c r="N757" i="2"/>
  <c r="N114" i="30" s="1"/>
  <c r="V922" i="2"/>
  <c r="W922" i="2" s="1"/>
  <c r="X922" i="2" s="1"/>
  <c r="J760" i="2"/>
  <c r="J117" i="30" s="1"/>
  <c r="J757" i="2"/>
  <c r="J114" i="30" s="1"/>
  <c r="S776" i="2"/>
  <c r="F39" i="23" s="1"/>
  <c r="F16" i="23"/>
  <c r="O760" i="2"/>
  <c r="O117" i="30" s="1"/>
  <c r="O757" i="2"/>
  <c r="O114" i="30" s="1"/>
  <c r="L760" i="2"/>
  <c r="L117" i="30" s="1"/>
  <c r="L757" i="2"/>
  <c r="L114" i="30" s="1"/>
  <c r="Q757" i="2"/>
  <c r="Q114" i="30" s="1"/>
  <c r="Q760" i="2"/>
  <c r="Q117" i="30" s="1"/>
  <c r="M760" i="2"/>
  <c r="M117" i="30" s="1"/>
  <c r="M757" i="2"/>
  <c r="M114" i="30" s="1"/>
  <c r="H760" i="2"/>
  <c r="H117" i="30" s="1"/>
  <c r="H757" i="2"/>
  <c r="H114" i="30" s="1"/>
  <c r="P757" i="2"/>
  <c r="P114" i="30" s="1"/>
  <c r="P760" i="2"/>
  <c r="P117" i="30" s="1"/>
  <c r="I721" i="2"/>
  <c r="I78" i="30" s="1"/>
  <c r="I722" i="2"/>
  <c r="I79" i="30" s="1"/>
  <c r="N723" i="2"/>
  <c r="N80" i="30" s="1"/>
  <c r="N721" i="2"/>
  <c r="N78" i="30" s="1"/>
  <c r="R703" i="2"/>
  <c r="N653" i="2"/>
  <c r="T703" i="2"/>
  <c r="T721" i="2"/>
  <c r="T78" i="30" s="1"/>
  <c r="T722" i="2"/>
  <c r="T79" i="30" s="1"/>
  <c r="T723" i="2"/>
  <c r="T80" i="30" s="1"/>
  <c r="I723" i="2"/>
  <c r="I80" i="30" s="1"/>
  <c r="G735" i="2"/>
  <c r="G92" i="30" s="1"/>
  <c r="G750" i="2"/>
  <c r="G107" i="30" s="1"/>
  <c r="G672" i="2"/>
  <c r="G29" i="30" s="1"/>
  <c r="G774" i="2"/>
  <c r="V345" i="2"/>
  <c r="V574" i="2"/>
  <c r="W574" i="2" s="1"/>
  <c r="X574" i="2" s="1"/>
  <c r="G676" i="2"/>
  <c r="G33" i="30" s="1"/>
  <c r="V659" i="2"/>
  <c r="W659" i="2" s="1"/>
  <c r="X659" i="2" s="1"/>
  <c r="M914" i="2"/>
  <c r="M775" i="2" s="1"/>
  <c r="M734" i="2"/>
  <c r="M91" i="30" s="1"/>
  <c r="M671" i="2"/>
  <c r="F13" i="23"/>
  <c r="O772" i="2"/>
  <c r="V773" i="2"/>
  <c r="W773" i="2" s="1"/>
  <c r="N671" i="2"/>
  <c r="N734" i="2"/>
  <c r="N91" i="30" s="1"/>
  <c r="N914" i="2"/>
  <c r="N775" i="2" s="1"/>
  <c r="G705" i="2"/>
  <c r="V636" i="2"/>
  <c r="W636" i="2" s="1"/>
  <c r="X636" i="2" s="1"/>
  <c r="G787" i="2"/>
  <c r="V787" i="2" s="1"/>
  <c r="W787" i="2" s="1"/>
  <c r="X787" i="2" s="1"/>
  <c r="S721" i="2"/>
  <c r="S78" i="30" s="1"/>
  <c r="S722" i="2"/>
  <c r="S79" i="30" s="1"/>
  <c r="S723" i="2"/>
  <c r="S80" i="30" s="1"/>
  <c r="S653" i="2"/>
  <c r="G753" i="2"/>
  <c r="G658" i="2"/>
  <c r="V117" i="2"/>
  <c r="W117" i="2" s="1"/>
  <c r="X117" i="2" s="1"/>
  <c r="G758" i="2"/>
  <c r="D33" i="14"/>
  <c r="G33" i="14" s="1"/>
  <c r="V756" i="2"/>
  <c r="W756" i="2" s="1"/>
  <c r="O734" i="2"/>
  <c r="O91" i="30" s="1"/>
  <c r="O671" i="2"/>
  <c r="O28" i="30" s="1"/>
  <c r="O914" i="2"/>
  <c r="O775" i="2" s="1"/>
  <c r="F8" i="23"/>
  <c r="H772" i="2"/>
  <c r="H914" i="2"/>
  <c r="H775" i="2" s="1"/>
  <c r="H671" i="2"/>
  <c r="H734" i="2"/>
  <c r="H91" i="30" s="1"/>
  <c r="K703" i="2"/>
  <c r="F14" i="23"/>
  <c r="P772" i="2"/>
  <c r="K722" i="2"/>
  <c r="K79" i="30" s="1"/>
  <c r="K723" i="2"/>
  <c r="K80" i="30" s="1"/>
  <c r="K653" i="2"/>
  <c r="K721" i="2"/>
  <c r="K78" i="30" s="1"/>
  <c r="F11" i="23"/>
  <c r="M772" i="2"/>
  <c r="I703" i="2"/>
  <c r="V174" i="2"/>
  <c r="W174" i="2" s="1"/>
  <c r="X174" i="2" s="1"/>
  <c r="G685" i="2"/>
  <c r="G42" i="30" s="1"/>
  <c r="G129" i="30" s="1"/>
  <c r="D13" i="14"/>
  <c r="G36" i="14" s="1"/>
  <c r="F772" i="2"/>
  <c r="G734" i="2"/>
  <c r="G91" i="30" s="1"/>
  <c r="G914" i="2"/>
  <c r="G671" i="2"/>
  <c r="G28" i="30" s="1"/>
  <c r="V231" i="2"/>
  <c r="F15" i="23"/>
  <c r="Q772" i="2"/>
  <c r="G674" i="2"/>
  <c r="G31" i="30" s="1"/>
  <c r="V459" i="2"/>
  <c r="W459" i="2" s="1"/>
  <c r="X459" i="2" s="1"/>
  <c r="D31" i="14"/>
  <c r="V745" i="2"/>
  <c r="W745" i="2" s="1"/>
  <c r="X745" i="2" s="1"/>
  <c r="P914" i="2"/>
  <c r="P775" i="2" s="1"/>
  <c r="P671" i="2"/>
  <c r="P734" i="2"/>
  <c r="P91" i="30" s="1"/>
  <c r="F9" i="23"/>
  <c r="J772" i="2"/>
  <c r="L914" i="2"/>
  <c r="L775" i="2" s="1"/>
  <c r="L671" i="2"/>
  <c r="L734" i="2"/>
  <c r="L91" i="30" s="1"/>
  <c r="Q671" i="2"/>
  <c r="Q914" i="2"/>
  <c r="Q775" i="2" s="1"/>
  <c r="Q734" i="2"/>
  <c r="Q91" i="30" s="1"/>
  <c r="R723" i="2"/>
  <c r="R80" i="30" s="1"/>
  <c r="R722" i="2"/>
  <c r="R79" i="30" s="1"/>
  <c r="R653" i="2"/>
  <c r="R721" i="2"/>
  <c r="R78" i="30" s="1"/>
  <c r="J914" i="2"/>
  <c r="J775" i="2" s="1"/>
  <c r="J671" i="2"/>
  <c r="J734" i="2"/>
  <c r="J91" i="30" s="1"/>
  <c r="L772" i="2"/>
  <c r="F10" i="23"/>
  <c r="G722" i="2"/>
  <c r="G79" i="30" s="1"/>
  <c r="G721" i="2"/>
  <c r="G78" i="30" s="1"/>
  <c r="G653" i="2"/>
  <c r="G723" i="2"/>
  <c r="G80" i="30" s="1"/>
  <c r="S703" i="2"/>
  <c r="N772" i="2"/>
  <c r="F12" i="23"/>
  <c r="D15" i="20" l="1"/>
  <c r="N132" i="30"/>
  <c r="N133" i="30" s="1"/>
  <c r="D15" i="25"/>
  <c r="P132" i="30"/>
  <c r="P133" i="30" s="1"/>
  <c r="I45" i="27"/>
  <c r="I46" i="27" s="1"/>
  <c r="H22" i="19"/>
  <c r="D15" i="29"/>
  <c r="J132" i="30"/>
  <c r="J133" i="30" s="1"/>
  <c r="O58" i="30"/>
  <c r="O71" i="30"/>
  <c r="E45" i="29"/>
  <c r="I45" i="29"/>
  <c r="I46" i="29" s="1"/>
  <c r="H22" i="25"/>
  <c r="J45" i="26"/>
  <c r="J46" i="26" s="1"/>
  <c r="E45" i="19"/>
  <c r="I45" i="19"/>
  <c r="I46" i="19" s="1"/>
  <c r="T58" i="30"/>
  <c r="T64" i="30" s="1"/>
  <c r="T71" i="30"/>
  <c r="T86" i="30" s="1"/>
  <c r="D28" i="19"/>
  <c r="M28" i="30"/>
  <c r="G789" i="2"/>
  <c r="V789" i="2" s="1"/>
  <c r="W789" i="2" s="1"/>
  <c r="X789" i="2" s="1"/>
  <c r="G62" i="30"/>
  <c r="D15" i="26"/>
  <c r="Q132" i="30"/>
  <c r="Q133" i="30" s="1"/>
  <c r="D28" i="25"/>
  <c r="P28" i="30"/>
  <c r="D44" i="19"/>
  <c r="M10" i="30"/>
  <c r="M25" i="30" s="1"/>
  <c r="F45" i="19"/>
  <c r="D28" i="29"/>
  <c r="J28" i="30"/>
  <c r="D28" i="26"/>
  <c r="L28" i="26" s="1"/>
  <c r="Q28" i="30"/>
  <c r="D28" i="20"/>
  <c r="N28" i="30"/>
  <c r="D43" i="14"/>
  <c r="G10" i="30"/>
  <c r="D28" i="17"/>
  <c r="L28" i="30"/>
  <c r="L60" i="30" s="1"/>
  <c r="D28" i="27"/>
  <c r="H28" i="30"/>
  <c r="V727" i="2"/>
  <c r="W727" i="2" s="1"/>
  <c r="G84" i="30"/>
  <c r="V673" i="2"/>
  <c r="W673" i="2" s="1"/>
  <c r="X673" i="2" s="1"/>
  <c r="G30" i="30"/>
  <c r="H45" i="27"/>
  <c r="H46" i="27" s="1"/>
  <c r="F45" i="20"/>
  <c r="I45" i="20"/>
  <c r="I46" i="20" s="1"/>
  <c r="J45" i="17"/>
  <c r="J46" i="17" s="1"/>
  <c r="I22" i="17"/>
  <c r="J45" i="19"/>
  <c r="J46" i="19" s="1"/>
  <c r="I86" i="30"/>
  <c r="D15" i="19"/>
  <c r="M132" i="30"/>
  <c r="M133" i="30" s="1"/>
  <c r="S668" i="2"/>
  <c r="S10" i="30"/>
  <c r="S25" i="30" s="1"/>
  <c r="R668" i="2"/>
  <c r="R10" i="30"/>
  <c r="R25" i="30" s="1"/>
  <c r="D15" i="17"/>
  <c r="L132" i="30"/>
  <c r="L133" i="30" s="1"/>
  <c r="K668" i="2"/>
  <c r="K10" i="30"/>
  <c r="K25" i="30" s="1"/>
  <c r="D15" i="27"/>
  <c r="H132" i="30"/>
  <c r="H133" i="30" s="1"/>
  <c r="V758" i="2"/>
  <c r="W758" i="2" s="1"/>
  <c r="X758" i="2" s="1"/>
  <c r="G115" i="30"/>
  <c r="V774" i="2"/>
  <c r="W774" i="2" s="1"/>
  <c r="G131" i="30"/>
  <c r="F45" i="27"/>
  <c r="G45" i="29"/>
  <c r="G46" i="29" s="1"/>
  <c r="E45" i="27"/>
  <c r="E46" i="27" s="1"/>
  <c r="I45" i="17"/>
  <c r="I46" i="17" s="1"/>
  <c r="F22" i="19"/>
  <c r="K22" i="19" s="1"/>
  <c r="L22" i="19" s="1"/>
  <c r="O60" i="30"/>
  <c r="D44" i="20"/>
  <c r="N10" i="30"/>
  <c r="N25" i="30" s="1"/>
  <c r="D44" i="14"/>
  <c r="G15" i="30"/>
  <c r="V738" i="2"/>
  <c r="W738" i="2" s="1"/>
  <c r="X738" i="2" s="1"/>
  <c r="G95" i="30"/>
  <c r="G22" i="17"/>
  <c r="D15" i="21"/>
  <c r="O132" i="30"/>
  <c r="O133" i="30" s="1"/>
  <c r="V753" i="2"/>
  <c r="W753" i="2" s="1"/>
  <c r="G110" i="30"/>
  <c r="V751" i="2"/>
  <c r="W751" i="2" s="1"/>
  <c r="X751" i="2" s="1"/>
  <c r="G108" i="30"/>
  <c r="V752" i="2"/>
  <c r="W752" i="2" s="1"/>
  <c r="X752" i="2" s="1"/>
  <c r="G109" i="30"/>
  <c r="G15" i="19"/>
  <c r="G16" i="19" s="1"/>
  <c r="E15" i="19"/>
  <c r="D16" i="19"/>
  <c r="H15" i="19"/>
  <c r="H16" i="19" s="1"/>
  <c r="F15" i="19"/>
  <c r="F16" i="19" s="1"/>
  <c r="J15" i="19"/>
  <c r="J16" i="19" s="1"/>
  <c r="I15" i="19"/>
  <c r="I16" i="19" s="1"/>
  <c r="F44" i="19"/>
  <c r="D46" i="19"/>
  <c r="E46" i="19"/>
  <c r="L28" i="19"/>
  <c r="K22" i="17"/>
  <c r="L22" i="17" s="1"/>
  <c r="L28" i="17"/>
  <c r="E46" i="17"/>
  <c r="I15" i="17"/>
  <c r="I16" i="17" s="1"/>
  <c r="G15" i="17"/>
  <c r="G16" i="17" s="1"/>
  <c r="E15" i="17"/>
  <c r="D16" i="17"/>
  <c r="J15" i="17"/>
  <c r="J16" i="17" s="1"/>
  <c r="F15" i="17"/>
  <c r="F16" i="17" s="1"/>
  <c r="H15" i="17"/>
  <c r="H16" i="17" s="1"/>
  <c r="K22" i="26"/>
  <c r="L22" i="26" s="1"/>
  <c r="J22" i="21"/>
  <c r="J45" i="21"/>
  <c r="J46" i="21" s="1"/>
  <c r="K37" i="21"/>
  <c r="L37" i="21" s="1"/>
  <c r="G22" i="21"/>
  <c r="G15" i="26"/>
  <c r="G16" i="26" s="1"/>
  <c r="H15" i="26"/>
  <c r="H16" i="26" s="1"/>
  <c r="D16" i="26"/>
  <c r="E15" i="26"/>
  <c r="I15" i="26"/>
  <c r="I16" i="26" s="1"/>
  <c r="J15" i="26"/>
  <c r="J16" i="26" s="1"/>
  <c r="F15" i="26"/>
  <c r="F16" i="26" s="1"/>
  <c r="K45" i="26"/>
  <c r="L45" i="26" s="1"/>
  <c r="E46" i="26"/>
  <c r="E45" i="21"/>
  <c r="E46" i="21" s="1"/>
  <c r="D28" i="21"/>
  <c r="L28" i="21" s="1"/>
  <c r="G45" i="21"/>
  <c r="G46" i="21" s="1"/>
  <c r="F22" i="21"/>
  <c r="H22" i="21"/>
  <c r="I22" i="21"/>
  <c r="K32" i="25"/>
  <c r="L32" i="25" s="1"/>
  <c r="E22" i="25"/>
  <c r="G22" i="25"/>
  <c r="H45" i="21"/>
  <c r="H46" i="21" s="1"/>
  <c r="D44" i="21"/>
  <c r="F44" i="21" s="1"/>
  <c r="G45" i="25"/>
  <c r="G46" i="25" s="1"/>
  <c r="E45" i="25"/>
  <c r="F45" i="21"/>
  <c r="H45" i="25"/>
  <c r="H46" i="25" s="1"/>
  <c r="E15" i="21"/>
  <c r="I15" i="21"/>
  <c r="I16" i="21" s="1"/>
  <c r="H15" i="21"/>
  <c r="H16" i="21" s="1"/>
  <c r="G15" i="21"/>
  <c r="G16" i="21" s="1"/>
  <c r="D16" i="21"/>
  <c r="F15" i="21"/>
  <c r="F16" i="21" s="1"/>
  <c r="J15" i="21"/>
  <c r="J16" i="21" s="1"/>
  <c r="H15" i="20"/>
  <c r="H16" i="20" s="1"/>
  <c r="G15" i="20"/>
  <c r="G16" i="20" s="1"/>
  <c r="E15" i="20"/>
  <c r="I15" i="20"/>
  <c r="I16" i="20" s="1"/>
  <c r="J15" i="20"/>
  <c r="J16" i="20" s="1"/>
  <c r="D16" i="20"/>
  <c r="F15" i="20"/>
  <c r="F16" i="20" s="1"/>
  <c r="F44" i="20"/>
  <c r="D46" i="20"/>
  <c r="L28" i="20"/>
  <c r="K45" i="20"/>
  <c r="L45" i="20" s="1"/>
  <c r="E46" i="20"/>
  <c r="L28" i="29"/>
  <c r="K22" i="29"/>
  <c r="L22" i="29" s="1"/>
  <c r="E15" i="29"/>
  <c r="I15" i="29"/>
  <c r="I16" i="29" s="1"/>
  <c r="H15" i="29"/>
  <c r="H16" i="29" s="1"/>
  <c r="G15" i="29"/>
  <c r="G16" i="29" s="1"/>
  <c r="F15" i="29"/>
  <c r="F16" i="29" s="1"/>
  <c r="D16" i="29"/>
  <c r="J15" i="29"/>
  <c r="J16" i="29" s="1"/>
  <c r="K45" i="29"/>
  <c r="L45" i="29" s="1"/>
  <c r="E46" i="29"/>
  <c r="L28" i="27"/>
  <c r="H15" i="27"/>
  <c r="H16" i="27" s="1"/>
  <c r="F15" i="27"/>
  <c r="F16" i="27" s="1"/>
  <c r="J15" i="27"/>
  <c r="J16" i="27" s="1"/>
  <c r="E15" i="27"/>
  <c r="I15" i="27"/>
  <c r="I16" i="27" s="1"/>
  <c r="G15" i="27"/>
  <c r="G16" i="27" s="1"/>
  <c r="D16" i="27"/>
  <c r="L13" i="14"/>
  <c r="J36" i="14"/>
  <c r="H36" i="14"/>
  <c r="I36" i="14"/>
  <c r="F36" i="14"/>
  <c r="E36" i="14"/>
  <c r="V516" i="2"/>
  <c r="W516" i="2" s="1"/>
  <c r="X516" i="2" s="1"/>
  <c r="K45" i="27"/>
  <c r="L45" i="27" s="1"/>
  <c r="E31" i="14"/>
  <c r="K31" i="14" s="1"/>
  <c r="L31" i="14" s="1"/>
  <c r="G675" i="2"/>
  <c r="M668" i="2"/>
  <c r="C11" i="23" s="1"/>
  <c r="V402" i="2"/>
  <c r="W402" i="2" s="1"/>
  <c r="X402" i="2" s="1"/>
  <c r="G736" i="2"/>
  <c r="O723" i="2"/>
  <c r="O80" i="30" s="1"/>
  <c r="O722" i="2"/>
  <c r="O79" i="30" s="1"/>
  <c r="M722" i="2"/>
  <c r="M79" i="30" s="1"/>
  <c r="O721" i="2"/>
  <c r="O78" i="30" s="1"/>
  <c r="J723" i="2"/>
  <c r="J80" i="30" s="1"/>
  <c r="J653" i="2"/>
  <c r="M721" i="2"/>
  <c r="M78" i="30" s="1"/>
  <c r="M723" i="2"/>
  <c r="M80" i="30" s="1"/>
  <c r="Q723" i="2"/>
  <c r="Q80" i="30" s="1"/>
  <c r="Q653" i="2"/>
  <c r="H723" i="2"/>
  <c r="H80" i="30" s="1"/>
  <c r="H721" i="2"/>
  <c r="H78" i="30" s="1"/>
  <c r="H653" i="2"/>
  <c r="T823" i="2"/>
  <c r="F61" i="23" s="1"/>
  <c r="J722" i="2"/>
  <c r="J79" i="30" s="1"/>
  <c r="P723" i="2"/>
  <c r="P80" i="30" s="1"/>
  <c r="L721" i="2"/>
  <c r="L78" i="30" s="1"/>
  <c r="L653" i="2"/>
  <c r="L723" i="2"/>
  <c r="L80" i="30" s="1"/>
  <c r="P721" i="2"/>
  <c r="P78" i="30" s="1"/>
  <c r="P653" i="2"/>
  <c r="V925" i="2"/>
  <c r="W925" i="2" s="1"/>
  <c r="X925" i="2" s="1"/>
  <c r="Q721" i="2"/>
  <c r="Q78" i="30" s="1"/>
  <c r="T714" i="2"/>
  <c r="T729" i="2" s="1"/>
  <c r="C40" i="23" s="1"/>
  <c r="I714" i="2"/>
  <c r="I729" i="2" s="1"/>
  <c r="T701" i="2"/>
  <c r="T707" i="2" s="1"/>
  <c r="R823" i="2"/>
  <c r="F59" i="23" s="1"/>
  <c r="J776" i="2"/>
  <c r="J823" i="2" s="1"/>
  <c r="F51" i="23" s="1"/>
  <c r="L776" i="2"/>
  <c r="F31" i="23" s="1"/>
  <c r="V757" i="2"/>
  <c r="W757" i="2" s="1"/>
  <c r="X757" i="2" s="1"/>
  <c r="V760" i="2"/>
  <c r="W760" i="2" s="1"/>
  <c r="X760" i="2" s="1"/>
  <c r="N776" i="2"/>
  <c r="F33" i="23" s="1"/>
  <c r="Q776" i="2"/>
  <c r="F36" i="23" s="1"/>
  <c r="P776" i="2"/>
  <c r="P823" i="2" s="1"/>
  <c r="F56" i="23" s="1"/>
  <c r="H776" i="2"/>
  <c r="H823" i="2" s="1"/>
  <c r="F50" i="23" s="1"/>
  <c r="V914" i="2"/>
  <c r="W914" i="2" s="1"/>
  <c r="X914" i="2" s="1"/>
  <c r="G775" i="2"/>
  <c r="M776" i="2"/>
  <c r="M823" i="2" s="1"/>
  <c r="F53" i="23" s="1"/>
  <c r="S823" i="2"/>
  <c r="F60" i="23" s="1"/>
  <c r="F37" i="23"/>
  <c r="O776" i="2"/>
  <c r="F34" i="23" s="1"/>
  <c r="N668" i="2"/>
  <c r="C12" i="23" s="1"/>
  <c r="H703" i="2"/>
  <c r="K33" i="14"/>
  <c r="L33" i="14" s="1"/>
  <c r="W345" i="2"/>
  <c r="X345" i="2" s="1"/>
  <c r="V735" i="2"/>
  <c r="W735" i="2" s="1"/>
  <c r="X735" i="2" s="1"/>
  <c r="Q703" i="2"/>
  <c r="I44" i="14"/>
  <c r="I45" i="14" s="1"/>
  <c r="V658" i="2"/>
  <c r="W658" i="2" s="1"/>
  <c r="X658" i="2" s="1"/>
  <c r="V705" i="2"/>
  <c r="W705" i="2" s="1"/>
  <c r="X705" i="2" s="1"/>
  <c r="D21" i="14"/>
  <c r="I21" i="14" s="1"/>
  <c r="G739" i="2"/>
  <c r="G96" i="30" s="1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I707" i="2"/>
  <c r="D28" i="14"/>
  <c r="L28" i="14" s="1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F43" i="14"/>
  <c r="G668" i="2"/>
  <c r="V671" i="2"/>
  <c r="W671" i="2" s="1"/>
  <c r="X671" i="2" s="1"/>
  <c r="D27" i="14"/>
  <c r="O703" i="2"/>
  <c r="D44" i="29" l="1"/>
  <c r="J10" i="30"/>
  <c r="J25" i="30" s="1"/>
  <c r="V775" i="2"/>
  <c r="W775" i="2" s="1"/>
  <c r="G132" i="30"/>
  <c r="G133" i="30" s="1"/>
  <c r="D44" i="25"/>
  <c r="P10" i="30"/>
  <c r="P25" i="30" s="1"/>
  <c r="D44" i="27"/>
  <c r="H10" i="30"/>
  <c r="H25" i="30" s="1"/>
  <c r="R71" i="30"/>
  <c r="R86" i="30" s="1"/>
  <c r="R58" i="30"/>
  <c r="R64" i="30" s="1"/>
  <c r="G25" i="30"/>
  <c r="V675" i="2"/>
  <c r="W675" i="2" s="1"/>
  <c r="X675" i="2" s="1"/>
  <c r="G32" i="30"/>
  <c r="G60" i="30" s="1"/>
  <c r="M71" i="30"/>
  <c r="M86" i="30" s="1"/>
  <c r="M58" i="30"/>
  <c r="N60" i="30"/>
  <c r="M60" i="30"/>
  <c r="V737" i="2"/>
  <c r="W737" i="2" s="1"/>
  <c r="X737" i="2" s="1"/>
  <c r="G94" i="30"/>
  <c r="D44" i="17"/>
  <c r="L10" i="30"/>
  <c r="L25" i="30" s="1"/>
  <c r="D44" i="26"/>
  <c r="D46" i="26" s="1"/>
  <c r="Q10" i="30"/>
  <c r="Q25" i="30" s="1"/>
  <c r="K45" i="19"/>
  <c r="L45" i="19" s="1"/>
  <c r="S58" i="30"/>
  <c r="S64" i="30" s="1"/>
  <c r="S71" i="30"/>
  <c r="S86" i="30" s="1"/>
  <c r="K58" i="30"/>
  <c r="K64" i="30" s="1"/>
  <c r="K71" i="30"/>
  <c r="K86" i="30" s="1"/>
  <c r="H60" i="30"/>
  <c r="Q60" i="30"/>
  <c r="P60" i="30"/>
  <c r="O86" i="30"/>
  <c r="V736" i="2"/>
  <c r="W736" i="2" s="1"/>
  <c r="X736" i="2" s="1"/>
  <c r="G93" i="30"/>
  <c r="K45" i="17"/>
  <c r="L45" i="17" s="1"/>
  <c r="N58" i="30"/>
  <c r="N71" i="30"/>
  <c r="N86" i="30" s="1"/>
  <c r="J60" i="30"/>
  <c r="O64" i="30"/>
  <c r="F46" i="19"/>
  <c r="K46" i="19" s="1"/>
  <c r="L46" i="19" s="1"/>
  <c r="K44" i="19"/>
  <c r="L44" i="19" s="1"/>
  <c r="E16" i="19"/>
  <c r="K15" i="19"/>
  <c r="D46" i="17"/>
  <c r="F44" i="17"/>
  <c r="K15" i="17"/>
  <c r="E16" i="17"/>
  <c r="K45" i="21"/>
  <c r="L45" i="21" s="1"/>
  <c r="K22" i="21"/>
  <c r="L22" i="21" s="1"/>
  <c r="K15" i="26"/>
  <c r="E16" i="26"/>
  <c r="D46" i="21"/>
  <c r="K45" i="25"/>
  <c r="L45" i="25" s="1"/>
  <c r="E46" i="25"/>
  <c r="D46" i="25"/>
  <c r="F44" i="25"/>
  <c r="L28" i="25"/>
  <c r="E15" i="25"/>
  <c r="G15" i="25"/>
  <c r="G16" i="25" s="1"/>
  <c r="I15" i="25"/>
  <c r="I16" i="25" s="1"/>
  <c r="H15" i="25"/>
  <c r="H16" i="25" s="1"/>
  <c r="D16" i="25"/>
  <c r="J15" i="25"/>
  <c r="J16" i="25" s="1"/>
  <c r="F15" i="25"/>
  <c r="F16" i="25" s="1"/>
  <c r="K22" i="25"/>
  <c r="L22" i="25" s="1"/>
  <c r="E16" i="21"/>
  <c r="K15" i="21"/>
  <c r="K36" i="14"/>
  <c r="L36" i="14" s="1"/>
  <c r="F46" i="21"/>
  <c r="K46" i="21" s="1"/>
  <c r="K44" i="21"/>
  <c r="L44" i="21" s="1"/>
  <c r="K44" i="20"/>
  <c r="L44" i="20" s="1"/>
  <c r="F46" i="20"/>
  <c r="K46" i="20" s="1"/>
  <c r="L46" i="20" s="1"/>
  <c r="E16" i="20"/>
  <c r="K15" i="20"/>
  <c r="E16" i="29"/>
  <c r="K15" i="29"/>
  <c r="F44" i="29"/>
  <c r="D46" i="29"/>
  <c r="K15" i="27"/>
  <c r="E16" i="27"/>
  <c r="F44" i="27"/>
  <c r="D46" i="27"/>
  <c r="M714" i="2"/>
  <c r="M729" i="2" s="1"/>
  <c r="C32" i="23" s="1"/>
  <c r="D29" i="14"/>
  <c r="L29" i="14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5" i="23"/>
  <c r="V723" i="2"/>
  <c r="W723" i="2" s="1"/>
  <c r="X723" i="2" s="1"/>
  <c r="N823" i="2"/>
  <c r="F54" i="23" s="1"/>
  <c r="F32" i="23"/>
  <c r="F29" i="23"/>
  <c r="V721" i="2"/>
  <c r="W721" i="2" s="1"/>
  <c r="X721" i="2" s="1"/>
  <c r="P668" i="2"/>
  <c r="P701" i="2" s="1"/>
  <c r="P707" i="2" s="1"/>
  <c r="I800" i="2"/>
  <c r="I806" i="2" s="1"/>
  <c r="I783" i="2"/>
  <c r="F58" i="23"/>
  <c r="O823" i="2"/>
  <c r="F55" i="23" s="1"/>
  <c r="F30" i="23"/>
  <c r="T800" i="2"/>
  <c r="T806" i="2" s="1"/>
  <c r="C61" i="23" s="1"/>
  <c r="Q823" i="2"/>
  <c r="F57" i="23" s="1"/>
  <c r="D14" i="14"/>
  <c r="F14" i="14" s="1"/>
  <c r="F15" i="14" s="1"/>
  <c r="L823" i="2"/>
  <c r="F52" i="23" s="1"/>
  <c r="T783" i="2"/>
  <c r="D45" i="14"/>
  <c r="K763" i="2"/>
  <c r="K120" i="30" s="1"/>
  <c r="K740" i="2"/>
  <c r="K97" i="30" s="1"/>
  <c r="K762" i="2"/>
  <c r="K119" i="30" s="1"/>
  <c r="K677" i="2"/>
  <c r="K761" i="2"/>
  <c r="K118" i="30" s="1"/>
  <c r="T763" i="2"/>
  <c r="T120" i="30" s="1"/>
  <c r="T740" i="2"/>
  <c r="T97" i="30" s="1"/>
  <c r="T762" i="2"/>
  <c r="T119" i="30" s="1"/>
  <c r="T761" i="2"/>
  <c r="T118" i="30" s="1"/>
  <c r="T677" i="2"/>
  <c r="S677" i="2"/>
  <c r="S762" i="2"/>
  <c r="S119" i="30" s="1"/>
  <c r="S740" i="2"/>
  <c r="S97" i="30" s="1"/>
  <c r="S125" i="30" s="1"/>
  <c r="S763" i="2"/>
  <c r="S120" i="30" s="1"/>
  <c r="S761" i="2"/>
  <c r="S118" i="30" s="1"/>
  <c r="I761" i="2"/>
  <c r="I118" i="30" s="1"/>
  <c r="I762" i="2"/>
  <c r="I119" i="30" s="1"/>
  <c r="I677" i="2"/>
  <c r="I763" i="2"/>
  <c r="I120" i="30" s="1"/>
  <c r="I121" i="30" s="1"/>
  <c r="I740" i="2"/>
  <c r="I97" i="30" s="1"/>
  <c r="R762" i="2"/>
  <c r="R119" i="30" s="1"/>
  <c r="R761" i="2"/>
  <c r="R118" i="30" s="1"/>
  <c r="R740" i="2"/>
  <c r="R97" i="30" s="1"/>
  <c r="R125" i="30" s="1"/>
  <c r="R763" i="2"/>
  <c r="R120" i="30" s="1"/>
  <c r="R677" i="2"/>
  <c r="N701" i="2"/>
  <c r="N707" i="2" s="1"/>
  <c r="E44" i="14"/>
  <c r="E45" i="14" s="1"/>
  <c r="N714" i="2"/>
  <c r="N729" i="2" s="1"/>
  <c r="F44" i="14"/>
  <c r="F45" i="14" s="1"/>
  <c r="G44" i="14"/>
  <c r="G45" i="14" s="1"/>
  <c r="H21" i="14"/>
  <c r="H44" i="14"/>
  <c r="H45" i="14" s="1"/>
  <c r="J44" i="14"/>
  <c r="J45" i="14" s="1"/>
  <c r="S783" i="2"/>
  <c r="C39" i="23"/>
  <c r="S800" i="2"/>
  <c r="S806" i="2" s="1"/>
  <c r="L27" i="14"/>
  <c r="C7" i="23"/>
  <c r="G714" i="2"/>
  <c r="G701" i="2"/>
  <c r="E21" i="14"/>
  <c r="K783" i="2"/>
  <c r="K800" i="2"/>
  <c r="K806" i="2" s="1"/>
  <c r="O714" i="2"/>
  <c r="O729" i="2" s="1"/>
  <c r="O701" i="2"/>
  <c r="O707" i="2" s="1"/>
  <c r="C13" i="23"/>
  <c r="K42" i="14"/>
  <c r="L42" i="14" s="1"/>
  <c r="G21" i="14"/>
  <c r="F21" i="14"/>
  <c r="V772" i="2"/>
  <c r="W772" i="2" s="1"/>
  <c r="X772" i="2" s="1"/>
  <c r="G776" i="2"/>
  <c r="C16" i="23"/>
  <c r="F823" i="2"/>
  <c r="F778" i="2"/>
  <c r="J21" i="14"/>
  <c r="K43" i="14"/>
  <c r="L43" i="14" s="1"/>
  <c r="R783" i="2"/>
  <c r="C38" i="23"/>
  <c r="R800" i="2"/>
  <c r="R806" i="2" s="1"/>
  <c r="V739" i="2"/>
  <c r="W739" i="2" s="1"/>
  <c r="X739" i="2" s="1"/>
  <c r="W676" i="2"/>
  <c r="X676" i="2" s="1"/>
  <c r="I681" i="2" l="1"/>
  <c r="I34" i="30"/>
  <c r="I38" i="30" s="1"/>
  <c r="I40" i="30" s="1"/>
  <c r="T681" i="2"/>
  <c r="T34" i="30"/>
  <c r="T38" i="30" s="1"/>
  <c r="T40" i="30" s="1"/>
  <c r="K125" i="30"/>
  <c r="F44" i="26"/>
  <c r="K44" i="26" s="1"/>
  <c r="L44" i="26" s="1"/>
  <c r="S127" i="30"/>
  <c r="S135" i="30" s="1"/>
  <c r="R681" i="2"/>
  <c r="R34" i="30"/>
  <c r="R38" i="30" s="1"/>
  <c r="R40" i="30" s="1"/>
  <c r="K121" i="30"/>
  <c r="P71" i="30"/>
  <c r="P86" i="30" s="1"/>
  <c r="P58" i="30"/>
  <c r="P64" i="30" s="1"/>
  <c r="R121" i="30"/>
  <c r="T125" i="30"/>
  <c r="T127" i="30" s="1"/>
  <c r="T135" i="30" s="1"/>
  <c r="S121" i="30"/>
  <c r="T121" i="30"/>
  <c r="Q58" i="30"/>
  <c r="Q64" i="30" s="1"/>
  <c r="Q71" i="30"/>
  <c r="Q86" i="30" s="1"/>
  <c r="G58" i="30"/>
  <c r="G64" i="30" s="1"/>
  <c r="G71" i="30"/>
  <c r="G86" i="30" s="1"/>
  <c r="K127" i="30"/>
  <c r="K135" i="30" s="1"/>
  <c r="J71" i="30"/>
  <c r="J86" i="30" s="1"/>
  <c r="J58" i="30"/>
  <c r="J64" i="30" s="1"/>
  <c r="I125" i="30"/>
  <c r="I127" i="30" s="1"/>
  <c r="I135" i="30" s="1"/>
  <c r="K681" i="2"/>
  <c r="K34" i="30"/>
  <c r="K38" i="30" s="1"/>
  <c r="K40" i="30" s="1"/>
  <c r="L58" i="30"/>
  <c r="L64" i="30" s="1"/>
  <c r="L71" i="30"/>
  <c r="L86" i="30" s="1"/>
  <c r="R127" i="30"/>
  <c r="R135" i="30" s="1"/>
  <c r="S681" i="2"/>
  <c r="S34" i="30"/>
  <c r="S38" i="30" s="1"/>
  <c r="S40" i="30" s="1"/>
  <c r="N64" i="30"/>
  <c r="M64" i="30"/>
  <c r="H58" i="30"/>
  <c r="H64" i="30" s="1"/>
  <c r="H71" i="30"/>
  <c r="H86" i="30" s="1"/>
  <c r="L15" i="19"/>
  <c r="K16" i="19"/>
  <c r="L16" i="19" s="1"/>
  <c r="K44" i="17"/>
  <c r="L44" i="17" s="1"/>
  <c r="F46" i="17"/>
  <c r="K46" i="17" s="1"/>
  <c r="L46" i="17" s="1"/>
  <c r="L15" i="17"/>
  <c r="K16" i="17"/>
  <c r="L16" i="17" s="1"/>
  <c r="L15" i="26"/>
  <c r="K16" i="26"/>
  <c r="L16" i="26" s="1"/>
  <c r="F46" i="26"/>
  <c r="K46" i="26" s="1"/>
  <c r="L46" i="26" s="1"/>
  <c r="L46" i="21"/>
  <c r="K44" i="25"/>
  <c r="L44" i="25" s="1"/>
  <c r="F46" i="25"/>
  <c r="K46" i="25" s="1"/>
  <c r="L46" i="25" s="1"/>
  <c r="K15" i="25"/>
  <c r="E16" i="25"/>
  <c r="L15" i="21"/>
  <c r="K16" i="21"/>
  <c r="L16" i="21" s="1"/>
  <c r="L15" i="20"/>
  <c r="K16" i="20"/>
  <c r="L16" i="20" s="1"/>
  <c r="K44" i="29"/>
  <c r="L44" i="29" s="1"/>
  <c r="F46" i="29"/>
  <c r="K46" i="29" s="1"/>
  <c r="L46" i="29" s="1"/>
  <c r="L15" i="29"/>
  <c r="K16" i="29"/>
  <c r="L16" i="29" s="1"/>
  <c r="K44" i="27"/>
  <c r="L44" i="27" s="1"/>
  <c r="F46" i="27"/>
  <c r="K46" i="27" s="1"/>
  <c r="L46" i="27" s="1"/>
  <c r="L15" i="27"/>
  <c r="K16" i="27"/>
  <c r="L16" i="27" s="1"/>
  <c r="C9" i="23"/>
  <c r="J701" i="2"/>
  <c r="J707" i="2" s="1"/>
  <c r="J762" i="2" s="1"/>
  <c r="J119" i="30" s="1"/>
  <c r="H714" i="2"/>
  <c r="H729" i="2" s="1"/>
  <c r="H800" i="2" s="1"/>
  <c r="H806" i="2" s="1"/>
  <c r="C48" i="27" s="1"/>
  <c r="C8" i="23"/>
  <c r="M783" i="2"/>
  <c r="Q701" i="2"/>
  <c r="Q707" i="2" s="1"/>
  <c r="Q763" i="2" s="1"/>
  <c r="Q120" i="30" s="1"/>
  <c r="Q714" i="2"/>
  <c r="Q729" i="2" s="1"/>
  <c r="C36" i="23" s="1"/>
  <c r="C10" i="23"/>
  <c r="L714" i="2"/>
  <c r="L729" i="2" s="1"/>
  <c r="L783" i="2" s="1"/>
  <c r="M800" i="2"/>
  <c r="M806" i="2" s="1"/>
  <c r="C48" i="19" s="1"/>
  <c r="H14" i="14"/>
  <c r="H15" i="14" s="1"/>
  <c r="C14" i="23"/>
  <c r="P714" i="2"/>
  <c r="P729" i="2" s="1"/>
  <c r="P800" i="2" s="1"/>
  <c r="P806" i="2" s="1"/>
  <c r="C48" i="25" s="1"/>
  <c r="V668" i="2"/>
  <c r="W668" i="2" s="1"/>
  <c r="X668" i="2" s="1"/>
  <c r="E14" i="14"/>
  <c r="E15" i="14" s="1"/>
  <c r="J14" i="14"/>
  <c r="J15" i="14" s="1"/>
  <c r="I14" i="14"/>
  <c r="I15" i="14" s="1"/>
  <c r="G14" i="14"/>
  <c r="G15" i="14" s="1"/>
  <c r="D15" i="14"/>
  <c r="K764" i="2"/>
  <c r="K813" i="2" s="1"/>
  <c r="S764" i="2"/>
  <c r="S813" i="2" s="1"/>
  <c r="I768" i="2"/>
  <c r="I770" i="2" s="1"/>
  <c r="I778" i="2" s="1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118" i="30" s="1"/>
  <c r="L740" i="2"/>
  <c r="L762" i="2"/>
  <c r="L119" i="30" s="1"/>
  <c r="L677" i="2"/>
  <c r="L763" i="2"/>
  <c r="L120" i="30" s="1"/>
  <c r="D18" i="23"/>
  <c r="E18" i="23" s="1"/>
  <c r="G18" i="23" s="1"/>
  <c r="S683" i="2"/>
  <c r="S811" i="2"/>
  <c r="T768" i="2"/>
  <c r="K811" i="2"/>
  <c r="K683" i="2"/>
  <c r="O763" i="2"/>
  <c r="O120" i="30" s="1"/>
  <c r="O762" i="2"/>
  <c r="O119" i="30" s="1"/>
  <c r="O677" i="2"/>
  <c r="O740" i="2"/>
  <c r="O97" i="30" s="1"/>
  <c r="O761" i="2"/>
  <c r="O118" i="30" s="1"/>
  <c r="N763" i="2"/>
  <c r="N120" i="30" s="1"/>
  <c r="N677" i="2"/>
  <c r="N740" i="2"/>
  <c r="N762" i="2"/>
  <c r="N119" i="30" s="1"/>
  <c r="N761" i="2"/>
  <c r="N118" i="30" s="1"/>
  <c r="N121" i="30" s="1"/>
  <c r="I811" i="2"/>
  <c r="I683" i="2"/>
  <c r="H762" i="2"/>
  <c r="H119" i="30" s="1"/>
  <c r="H763" i="2"/>
  <c r="H120" i="30" s="1"/>
  <c r="H677" i="2"/>
  <c r="H761" i="2"/>
  <c r="H118" i="30" s="1"/>
  <c r="H121" i="30" s="1"/>
  <c r="H740" i="2"/>
  <c r="D17" i="23"/>
  <c r="R811" i="2"/>
  <c r="R683" i="2"/>
  <c r="K768" i="2"/>
  <c r="K770" i="2" s="1"/>
  <c r="K778" i="2" s="1"/>
  <c r="M740" i="2"/>
  <c r="M761" i="2"/>
  <c r="M118" i="30" s="1"/>
  <c r="M677" i="2"/>
  <c r="M763" i="2"/>
  <c r="M120" i="30" s="1"/>
  <c r="M762" i="2"/>
  <c r="M119" i="30" s="1"/>
  <c r="K45" i="14"/>
  <c r="L45" i="14" s="1"/>
  <c r="K44" i="14"/>
  <c r="L44" i="14" s="1"/>
  <c r="P761" i="2"/>
  <c r="P118" i="30" s="1"/>
  <c r="P740" i="2"/>
  <c r="P762" i="2"/>
  <c r="P119" i="30" s="1"/>
  <c r="P677" i="2"/>
  <c r="P763" i="2"/>
  <c r="P120" i="30" s="1"/>
  <c r="R768" i="2"/>
  <c r="N783" i="2"/>
  <c r="N800" i="2"/>
  <c r="N806" i="2" s="1"/>
  <c r="C48" i="20" s="1"/>
  <c r="C33" i="23"/>
  <c r="C59" i="23"/>
  <c r="C34" i="23"/>
  <c r="O783" i="2"/>
  <c r="O800" i="2"/>
  <c r="O806" i="2" s="1"/>
  <c r="F825" i="2"/>
  <c r="K21" i="14"/>
  <c r="L21" i="14" s="1"/>
  <c r="G729" i="2"/>
  <c r="F28" i="23"/>
  <c r="F41" i="23" s="1"/>
  <c r="G823" i="2"/>
  <c r="F49" i="23" s="1"/>
  <c r="F62" i="23" s="1"/>
  <c r="V776" i="2"/>
  <c r="G707" i="2"/>
  <c r="J800" i="2"/>
  <c r="J806" i="2" s="1"/>
  <c r="C48" i="29" s="1"/>
  <c r="J783" i="2"/>
  <c r="C30" i="23"/>
  <c r="C60" i="23"/>
  <c r="C37" i="23"/>
  <c r="D26" i="27" l="1"/>
  <c r="H97" i="30"/>
  <c r="H125" i="30" s="1"/>
  <c r="L681" i="2"/>
  <c r="L34" i="30"/>
  <c r="L38" i="30" s="1"/>
  <c r="L40" i="30" s="1"/>
  <c r="D26" i="20"/>
  <c r="N97" i="30"/>
  <c r="N125" i="30" s="1"/>
  <c r="N127" i="30" s="1"/>
  <c r="N135" i="30" s="1"/>
  <c r="H681" i="2"/>
  <c r="H34" i="30"/>
  <c r="H38" i="30" s="1"/>
  <c r="H40" i="30" s="1"/>
  <c r="N681" i="2"/>
  <c r="N34" i="30"/>
  <c r="N38" i="30" s="1"/>
  <c r="N40" i="30" s="1"/>
  <c r="D26" i="17"/>
  <c r="L97" i="30"/>
  <c r="L125" i="30" s="1"/>
  <c r="L127" i="30" s="1"/>
  <c r="L135" i="30" s="1"/>
  <c r="M681" i="2"/>
  <c r="M34" i="30"/>
  <c r="M38" i="30" s="1"/>
  <c r="M40" i="30" s="1"/>
  <c r="D26" i="19"/>
  <c r="M97" i="30"/>
  <c r="M125" i="30" s="1"/>
  <c r="M127" i="30" s="1"/>
  <c r="M135" i="30" s="1"/>
  <c r="L121" i="30"/>
  <c r="O121" i="30"/>
  <c r="P681" i="2"/>
  <c r="P34" i="30"/>
  <c r="P38" i="30" s="1"/>
  <c r="P40" i="30" s="1"/>
  <c r="D26" i="25"/>
  <c r="P97" i="30"/>
  <c r="P125" i="30" s="1"/>
  <c r="P127" i="30" s="1"/>
  <c r="P135" i="30" s="1"/>
  <c r="P121" i="30"/>
  <c r="O125" i="30"/>
  <c r="O127" i="30" s="1"/>
  <c r="O135" i="30" s="1"/>
  <c r="M121" i="30"/>
  <c r="O681" i="2"/>
  <c r="O34" i="30"/>
  <c r="O38" i="30" s="1"/>
  <c r="O40" i="30" s="1"/>
  <c r="H127" i="30"/>
  <c r="H135" i="30" s="1"/>
  <c r="L15" i="25"/>
  <c r="K16" i="25"/>
  <c r="L16" i="25" s="1"/>
  <c r="C48" i="21"/>
  <c r="D26" i="21"/>
  <c r="J677" i="2"/>
  <c r="J763" i="2"/>
  <c r="J120" i="30" s="1"/>
  <c r="J761" i="2"/>
  <c r="J118" i="30" s="1"/>
  <c r="J740" i="2"/>
  <c r="C53" i="23"/>
  <c r="C54" i="23"/>
  <c r="C29" i="23"/>
  <c r="H783" i="2"/>
  <c r="Q762" i="2"/>
  <c r="Q119" i="30" s="1"/>
  <c r="Q677" i="2"/>
  <c r="Q740" i="2"/>
  <c r="Q761" i="2"/>
  <c r="Q118" i="30" s="1"/>
  <c r="Q121" i="30" s="1"/>
  <c r="V701" i="2"/>
  <c r="W701" i="2" s="1"/>
  <c r="X701" i="2" s="1"/>
  <c r="Q783" i="2"/>
  <c r="Q800" i="2"/>
  <c r="Q806" i="2" s="1"/>
  <c r="C48" i="26" s="1"/>
  <c r="C31" i="23"/>
  <c r="C20" i="23"/>
  <c r="L800" i="2"/>
  <c r="L806" i="2" s="1"/>
  <c r="C48" i="17" s="1"/>
  <c r="C35" i="23"/>
  <c r="P783" i="2"/>
  <c r="V714" i="2"/>
  <c r="W714" i="2" s="1"/>
  <c r="X714" i="2" s="1"/>
  <c r="K14" i="14"/>
  <c r="L14" i="14" s="1"/>
  <c r="I785" i="2"/>
  <c r="I791" i="2" s="1"/>
  <c r="K785" i="2"/>
  <c r="K791" i="2" s="1"/>
  <c r="S785" i="2"/>
  <c r="S791" i="2" s="1"/>
  <c r="S819" i="2"/>
  <c r="D60" i="23" s="1"/>
  <c r="E60" i="23" s="1"/>
  <c r="G60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39" i="23"/>
  <c r="E39" i="23" s="1"/>
  <c r="G39" i="23" s="1"/>
  <c r="S770" i="2"/>
  <c r="S778" i="2" s="1"/>
  <c r="V707" i="2"/>
  <c r="W707" i="2" s="1"/>
  <c r="X707" i="2" s="1"/>
  <c r="G740" i="2"/>
  <c r="G97" i="30" s="1"/>
  <c r="G677" i="2"/>
  <c r="G34" i="30" s="1"/>
  <c r="G38" i="30" s="1"/>
  <c r="G40" i="30" s="1"/>
  <c r="G763" i="2"/>
  <c r="G120" i="30" s="1"/>
  <c r="G762" i="2"/>
  <c r="G119" i="30" s="1"/>
  <c r="G761" i="2"/>
  <c r="G118" i="30" s="1"/>
  <c r="G121" i="30" s="1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I821" i="2" s="1"/>
  <c r="I825" i="2" s="1"/>
  <c r="D38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0" i="23"/>
  <c r="E40" i="23" s="1"/>
  <c r="G40" i="23" s="1"/>
  <c r="T770" i="2"/>
  <c r="T778" i="2" s="1"/>
  <c r="T819" i="2"/>
  <c r="C51" i="23"/>
  <c r="G783" i="2"/>
  <c r="G800" i="2"/>
  <c r="C28" i="23"/>
  <c r="V729" i="2"/>
  <c r="C55" i="23"/>
  <c r="C58" i="23"/>
  <c r="C56" i="23"/>
  <c r="C50" i="23"/>
  <c r="V823" i="2"/>
  <c r="W823" i="2" s="1"/>
  <c r="W776" i="2"/>
  <c r="X776" i="2" s="1"/>
  <c r="D26" i="26" l="1"/>
  <c r="Q97" i="30"/>
  <c r="Q125" i="30" s="1"/>
  <c r="Q127" i="30" s="1"/>
  <c r="Q135" i="30" s="1"/>
  <c r="J121" i="30"/>
  <c r="J681" i="2"/>
  <c r="J811" i="2" s="1"/>
  <c r="J34" i="30"/>
  <c r="J38" i="30" s="1"/>
  <c r="J40" i="30" s="1"/>
  <c r="Q681" i="2"/>
  <c r="Q811" i="2" s="1"/>
  <c r="Q34" i="30"/>
  <c r="Q38" i="30" s="1"/>
  <c r="Q40" i="30" s="1"/>
  <c r="G125" i="30"/>
  <c r="G127" i="30" s="1"/>
  <c r="G135" i="30" s="1"/>
  <c r="D26" i="29"/>
  <c r="J97" i="30"/>
  <c r="J125" i="30" s="1"/>
  <c r="J127" i="30" s="1"/>
  <c r="J135" i="30" s="1"/>
  <c r="J764" i="2"/>
  <c r="J813" i="2" s="1"/>
  <c r="D36" i="29" s="1"/>
  <c r="J768" i="2"/>
  <c r="J770" i="2" s="1"/>
  <c r="J778" i="2" s="1"/>
  <c r="J683" i="2"/>
  <c r="D9" i="23"/>
  <c r="E9" i="23" s="1"/>
  <c r="G9" i="23" s="1"/>
  <c r="V763" i="2"/>
  <c r="W763" i="2" s="1"/>
  <c r="C57" i="23"/>
  <c r="C52" i="23"/>
  <c r="V762" i="2"/>
  <c r="W762" i="2" s="1"/>
  <c r="Q764" i="2"/>
  <c r="Q813" i="2" s="1"/>
  <c r="D36" i="26" s="1"/>
  <c r="D15" i="23"/>
  <c r="E15" i="23" s="1"/>
  <c r="G15" i="23" s="1"/>
  <c r="Q768" i="2"/>
  <c r="D36" i="23" s="1"/>
  <c r="E36" i="23" s="1"/>
  <c r="G36" i="23" s="1"/>
  <c r="K15" i="14"/>
  <c r="L15" i="14" s="1"/>
  <c r="S821" i="2"/>
  <c r="S825" i="2" s="1"/>
  <c r="D59" i="23"/>
  <c r="E59" i="23" s="1"/>
  <c r="G59" i="23" s="1"/>
  <c r="R821" i="2"/>
  <c r="R825" i="2" s="1"/>
  <c r="M813" i="2"/>
  <c r="D36" i="19" s="1"/>
  <c r="M785" i="2"/>
  <c r="M791" i="2" s="1"/>
  <c r="D29" i="23"/>
  <c r="E29" i="23" s="1"/>
  <c r="G29" i="23" s="1"/>
  <c r="H770" i="2"/>
  <c r="H778" i="2" s="1"/>
  <c r="V740" i="2"/>
  <c r="W740" i="2" s="1"/>
  <c r="X740" i="2" s="1"/>
  <c r="D25" i="14"/>
  <c r="G768" i="2"/>
  <c r="D61" i="23"/>
  <c r="T821" i="2"/>
  <c r="T825" i="2" s="1"/>
  <c r="D31" i="23"/>
  <c r="E31" i="23" s="1"/>
  <c r="G31" i="23" s="1"/>
  <c r="L770" i="2"/>
  <c r="L778" i="2" s="1"/>
  <c r="E16" i="23"/>
  <c r="G16" i="23" s="1"/>
  <c r="G17" i="23"/>
  <c r="P813" i="2"/>
  <c r="D36" i="25" s="1"/>
  <c r="P785" i="2"/>
  <c r="P791" i="2" s="1"/>
  <c r="N813" i="2"/>
  <c r="D36" i="20" s="1"/>
  <c r="N785" i="2"/>
  <c r="N791" i="2" s="1"/>
  <c r="V677" i="2"/>
  <c r="W677" i="2" s="1"/>
  <c r="X677" i="2" s="1"/>
  <c r="G681" i="2"/>
  <c r="D37" i="23"/>
  <c r="E38" i="23"/>
  <c r="H813" i="2"/>
  <c r="D36" i="27" s="1"/>
  <c r="H785" i="2"/>
  <c r="H791" i="2" s="1"/>
  <c r="L813" i="2"/>
  <c r="D36" i="17" s="1"/>
  <c r="L785" i="2"/>
  <c r="L791" i="2" s="1"/>
  <c r="D33" i="23"/>
  <c r="E33" i="23" s="1"/>
  <c r="G33" i="23" s="1"/>
  <c r="N770" i="2"/>
  <c r="N778" i="2" s="1"/>
  <c r="D32" i="23"/>
  <c r="E32" i="23" s="1"/>
  <c r="G32" i="23" s="1"/>
  <c r="M770" i="2"/>
  <c r="M778" i="2" s="1"/>
  <c r="D35" i="23"/>
  <c r="E35" i="23" s="1"/>
  <c r="G35" i="23" s="1"/>
  <c r="P770" i="2"/>
  <c r="P778" i="2" s="1"/>
  <c r="D34" i="23"/>
  <c r="E34" i="23" s="1"/>
  <c r="G34" i="23" s="1"/>
  <c r="O770" i="2"/>
  <c r="O778" i="2" s="1"/>
  <c r="V761" i="2"/>
  <c r="W761" i="2" s="1"/>
  <c r="G764" i="2"/>
  <c r="O813" i="2"/>
  <c r="O785" i="2"/>
  <c r="O791" i="2" s="1"/>
  <c r="C41" i="23"/>
  <c r="V783" i="2"/>
  <c r="W783" i="2" s="1"/>
  <c r="X783" i="2" s="1"/>
  <c r="W729" i="2"/>
  <c r="X729" i="2" s="1"/>
  <c r="V800" i="2"/>
  <c r="G806" i="2"/>
  <c r="C47" i="14" s="1"/>
  <c r="Q683" i="2" l="1"/>
  <c r="J36" i="19"/>
  <c r="J39" i="19" s="1"/>
  <c r="G36" i="19"/>
  <c r="G39" i="19" s="1"/>
  <c r="H36" i="19"/>
  <c r="H39" i="19" s="1"/>
  <c r="F36" i="19"/>
  <c r="F39" i="19" s="1"/>
  <c r="I36" i="19"/>
  <c r="I39" i="19" s="1"/>
  <c r="D39" i="19"/>
  <c r="E36" i="19"/>
  <c r="J36" i="17"/>
  <c r="J39" i="17" s="1"/>
  <c r="H36" i="17"/>
  <c r="H39" i="17" s="1"/>
  <c r="F36" i="17"/>
  <c r="F39" i="17" s="1"/>
  <c r="E36" i="17"/>
  <c r="D39" i="17"/>
  <c r="I36" i="17"/>
  <c r="I39" i="17" s="1"/>
  <c r="G36" i="17"/>
  <c r="G39" i="17" s="1"/>
  <c r="D39" i="26"/>
  <c r="J36" i="26"/>
  <c r="J39" i="26" s="1"/>
  <c r="I36" i="26"/>
  <c r="I39" i="26" s="1"/>
  <c r="F36" i="26"/>
  <c r="F39" i="26" s="1"/>
  <c r="G36" i="26"/>
  <c r="G39" i="26" s="1"/>
  <c r="H36" i="26"/>
  <c r="H39" i="26" s="1"/>
  <c r="E36" i="26"/>
  <c r="J785" i="2"/>
  <c r="J791" i="2" s="1"/>
  <c r="D36" i="21"/>
  <c r="D39" i="21" s="1"/>
  <c r="E36" i="20"/>
  <c r="J36" i="20"/>
  <c r="J39" i="20" s="1"/>
  <c r="D39" i="20"/>
  <c r="I36" i="20"/>
  <c r="I39" i="20" s="1"/>
  <c r="H36" i="20"/>
  <c r="H39" i="20" s="1"/>
  <c r="G36" i="20"/>
  <c r="G39" i="20" s="1"/>
  <c r="F36" i="20"/>
  <c r="F39" i="20" s="1"/>
  <c r="D30" i="23"/>
  <c r="E30" i="23" s="1"/>
  <c r="G30" i="23" s="1"/>
  <c r="D39" i="29"/>
  <c r="G36" i="29"/>
  <c r="G39" i="29" s="1"/>
  <c r="E36" i="29"/>
  <c r="I36" i="29"/>
  <c r="I39" i="29" s="1"/>
  <c r="H36" i="29"/>
  <c r="H39" i="29" s="1"/>
  <c r="J36" i="29"/>
  <c r="J39" i="29" s="1"/>
  <c r="F36" i="29"/>
  <c r="F39" i="29" s="1"/>
  <c r="G36" i="27"/>
  <c r="G39" i="27" s="1"/>
  <c r="E36" i="27"/>
  <c r="J36" i="27"/>
  <c r="J39" i="27" s="1"/>
  <c r="F36" i="27"/>
  <c r="F39" i="27" s="1"/>
  <c r="I36" i="27"/>
  <c r="I39" i="27" s="1"/>
  <c r="H36" i="27"/>
  <c r="H39" i="27" s="1"/>
  <c r="D39" i="27"/>
  <c r="Q785" i="2"/>
  <c r="Q791" i="2" s="1"/>
  <c r="Q770" i="2"/>
  <c r="Q778" i="2" s="1"/>
  <c r="P819" i="2"/>
  <c r="D56" i="23" s="1"/>
  <c r="E56" i="23" s="1"/>
  <c r="G56" i="23" s="1"/>
  <c r="H819" i="2"/>
  <c r="H821" i="2" s="1"/>
  <c r="H825" i="2" s="1"/>
  <c r="D18" i="27" s="1"/>
  <c r="Q819" i="2"/>
  <c r="D57" i="23" s="1"/>
  <c r="E57" i="23" s="1"/>
  <c r="G57" i="23" s="1"/>
  <c r="M819" i="2"/>
  <c r="D7" i="23"/>
  <c r="G811" i="2"/>
  <c r="V681" i="2"/>
  <c r="W681" i="2" s="1"/>
  <c r="X681" i="2" s="1"/>
  <c r="G683" i="2"/>
  <c r="L819" i="2"/>
  <c r="O819" i="2"/>
  <c r="G38" i="23"/>
  <c r="E37" i="23"/>
  <c r="G37" i="23" s="1"/>
  <c r="N819" i="2"/>
  <c r="V764" i="2"/>
  <c r="W764" i="2" s="1"/>
  <c r="X764" i="2" s="1"/>
  <c r="G813" i="2"/>
  <c r="D35" i="14" s="1"/>
  <c r="D38" i="14" s="1"/>
  <c r="G785" i="2"/>
  <c r="V768" i="2"/>
  <c r="D28" i="23"/>
  <c r="G770" i="2"/>
  <c r="G778" i="2" s="1"/>
  <c r="E61" i="23"/>
  <c r="D58" i="23"/>
  <c r="J819" i="2"/>
  <c r="V806" i="2"/>
  <c r="W806" i="2" s="1"/>
  <c r="W800" i="2"/>
  <c r="C49" i="23"/>
  <c r="V683" i="2" l="1"/>
  <c r="W683" i="2" s="1"/>
  <c r="X683" i="2" s="1"/>
  <c r="K36" i="19"/>
  <c r="L36" i="19" s="1"/>
  <c r="E39" i="19"/>
  <c r="K39" i="19" s="1"/>
  <c r="L39" i="19" s="1"/>
  <c r="K36" i="17"/>
  <c r="L36" i="17" s="1"/>
  <c r="E39" i="17"/>
  <c r="K39" i="17" s="1"/>
  <c r="L39" i="17" s="1"/>
  <c r="H36" i="21"/>
  <c r="H39" i="21" s="1"/>
  <c r="K36" i="26"/>
  <c r="L36" i="26" s="1"/>
  <c r="E39" i="26"/>
  <c r="K39" i="26" s="1"/>
  <c r="L39" i="26" s="1"/>
  <c r="F36" i="21"/>
  <c r="F39" i="21" s="1"/>
  <c r="G36" i="21"/>
  <c r="G39" i="21" s="1"/>
  <c r="E36" i="21"/>
  <c r="E39" i="21" s="1"/>
  <c r="J36" i="21"/>
  <c r="J39" i="21" s="1"/>
  <c r="I36" i="21"/>
  <c r="I39" i="21" s="1"/>
  <c r="E36" i="25"/>
  <c r="G36" i="25"/>
  <c r="G39" i="25" s="1"/>
  <c r="I36" i="25"/>
  <c r="I39" i="25" s="1"/>
  <c r="D39" i="25"/>
  <c r="F36" i="25"/>
  <c r="F39" i="25" s="1"/>
  <c r="H36" i="25"/>
  <c r="H39" i="25" s="1"/>
  <c r="J36" i="25"/>
  <c r="J39" i="25" s="1"/>
  <c r="K36" i="20"/>
  <c r="L36" i="20" s="1"/>
  <c r="E39" i="20"/>
  <c r="K39" i="20" s="1"/>
  <c r="L39" i="20" s="1"/>
  <c r="K36" i="29"/>
  <c r="L36" i="29" s="1"/>
  <c r="E39" i="29"/>
  <c r="K39" i="29" s="1"/>
  <c r="L39" i="29" s="1"/>
  <c r="E18" i="27"/>
  <c r="D20" i="27"/>
  <c r="D24" i="27" s="1"/>
  <c r="D41" i="27" s="1"/>
  <c r="D48" i="27" s="1"/>
  <c r="K36" i="27"/>
  <c r="L36" i="27" s="1"/>
  <c r="E39" i="27"/>
  <c r="K39" i="27" s="1"/>
  <c r="L39" i="27" s="1"/>
  <c r="J35" i="14"/>
  <c r="J38" i="14" s="1"/>
  <c r="E35" i="14"/>
  <c r="E38" i="14" s="1"/>
  <c r="G35" i="14"/>
  <c r="G38" i="14" s="1"/>
  <c r="H35" i="14"/>
  <c r="H38" i="14" s="1"/>
  <c r="I35" i="14"/>
  <c r="I38" i="14" s="1"/>
  <c r="F35" i="14"/>
  <c r="F38" i="14" s="1"/>
  <c r="D50" i="23"/>
  <c r="E50" i="23" s="1"/>
  <c r="G50" i="23" s="1"/>
  <c r="P821" i="2"/>
  <c r="P825" i="2" s="1"/>
  <c r="D18" i="25" s="1"/>
  <c r="Q821" i="2"/>
  <c r="Q825" i="2" s="1"/>
  <c r="D18" i="26" s="1"/>
  <c r="D53" i="23"/>
  <c r="E53" i="23" s="1"/>
  <c r="G53" i="23" s="1"/>
  <c r="M821" i="2"/>
  <c r="M825" i="2" s="1"/>
  <c r="D18" i="19" s="1"/>
  <c r="D54" i="23"/>
  <c r="E54" i="23" s="1"/>
  <c r="G54" i="23" s="1"/>
  <c r="N821" i="2"/>
  <c r="N825" i="2" s="1"/>
  <c r="D18" i="20" s="1"/>
  <c r="D51" i="23"/>
  <c r="E51" i="23" s="1"/>
  <c r="G51" i="23" s="1"/>
  <c r="J821" i="2"/>
  <c r="J825" i="2" s="1"/>
  <c r="D18" i="29" s="1"/>
  <c r="D41" i="23"/>
  <c r="E28" i="23"/>
  <c r="D20" i="23"/>
  <c r="E7" i="23"/>
  <c r="G61" i="23"/>
  <c r="E58" i="23"/>
  <c r="G58" i="23" s="1"/>
  <c r="W768" i="2"/>
  <c r="X768" i="2" s="1"/>
  <c r="V770" i="2"/>
  <c r="D52" i="23"/>
  <c r="E52" i="23" s="1"/>
  <c r="G52" i="23" s="1"/>
  <c r="L821" i="2"/>
  <c r="L825" i="2" s="1"/>
  <c r="D18" i="17" s="1"/>
  <c r="D55" i="23"/>
  <c r="E55" i="23" s="1"/>
  <c r="G55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2" i="23"/>
  <c r="E18" i="19" l="1"/>
  <c r="D20" i="19"/>
  <c r="D24" i="19" s="1"/>
  <c r="D41" i="19" s="1"/>
  <c r="D48" i="19" s="1"/>
  <c r="E18" i="17"/>
  <c r="D20" i="17"/>
  <c r="D24" i="17" s="1"/>
  <c r="D41" i="17" s="1"/>
  <c r="D48" i="17" s="1"/>
  <c r="E18" i="26"/>
  <c r="D20" i="26"/>
  <c r="D24" i="26" s="1"/>
  <c r="D41" i="26" s="1"/>
  <c r="D48" i="26" s="1"/>
  <c r="K39" i="21"/>
  <c r="L39" i="21" s="1"/>
  <c r="K36" i="25"/>
  <c r="L36" i="25" s="1"/>
  <c r="E39" i="25"/>
  <c r="K39" i="25" s="1"/>
  <c r="L39" i="25" s="1"/>
  <c r="D18" i="21"/>
  <c r="D20" i="21" s="1"/>
  <c r="D24" i="21" s="1"/>
  <c r="D41" i="21" s="1"/>
  <c r="D48" i="21" s="1"/>
  <c r="K36" i="21"/>
  <c r="L36" i="21" s="1"/>
  <c r="E18" i="20"/>
  <c r="D20" i="20"/>
  <c r="D24" i="20" s="1"/>
  <c r="D41" i="20" s="1"/>
  <c r="D48" i="20" s="1"/>
  <c r="E18" i="29"/>
  <c r="D20" i="29"/>
  <c r="D24" i="29" s="1"/>
  <c r="D41" i="29" s="1"/>
  <c r="D48" i="29" s="1"/>
  <c r="F18" i="27"/>
  <c r="E20" i="27"/>
  <c r="K35" i="14"/>
  <c r="L35" i="14" s="1"/>
  <c r="G7" i="23"/>
  <c r="E20" i="23"/>
  <c r="G20" i="23" s="1"/>
  <c r="D49" i="23"/>
  <c r="V819" i="2"/>
  <c r="W819" i="2" s="1"/>
  <c r="G821" i="2"/>
  <c r="G28" i="23"/>
  <c r="E41" i="23"/>
  <c r="G41" i="23" s="1"/>
  <c r="V778" i="2"/>
  <c r="W770" i="2"/>
  <c r="X770" i="2" s="1"/>
  <c r="K38" i="14"/>
  <c r="L38" i="14" s="1"/>
  <c r="F18" i="19" l="1"/>
  <c r="E20" i="19"/>
  <c r="F18" i="17"/>
  <c r="E20" i="17"/>
  <c r="F18" i="26"/>
  <c r="E20" i="26"/>
  <c r="E18" i="21"/>
  <c r="E20" i="21" s="1"/>
  <c r="E18" i="25"/>
  <c r="D20" i="25"/>
  <c r="D24" i="25" s="1"/>
  <c r="D41" i="25" s="1"/>
  <c r="D48" i="25" s="1"/>
  <c r="E20" i="20"/>
  <c r="F18" i="20"/>
  <c r="E20" i="29"/>
  <c r="F18" i="29"/>
  <c r="E24" i="27"/>
  <c r="F20" i="27"/>
  <c r="F24" i="27" s="1"/>
  <c r="G18" i="27"/>
  <c r="D62" i="23"/>
  <c r="E49" i="23"/>
  <c r="G825" i="2"/>
  <c r="D17" i="14" s="1"/>
  <c r="V821" i="2"/>
  <c r="W821" i="2" s="1"/>
  <c r="E24" i="19" l="1"/>
  <c r="F20" i="19"/>
  <c r="F24" i="19" s="1"/>
  <c r="G18" i="19"/>
  <c r="F18" i="21"/>
  <c r="F20" i="21" s="1"/>
  <c r="F24" i="21" s="1"/>
  <c r="E24" i="17"/>
  <c r="G18" i="17"/>
  <c r="F20" i="17"/>
  <c r="F24" i="17" s="1"/>
  <c r="E24" i="26"/>
  <c r="G18" i="26"/>
  <c r="F20" i="26"/>
  <c r="F24" i="26" s="1"/>
  <c r="F18" i="25"/>
  <c r="E20" i="25"/>
  <c r="E24" i="21"/>
  <c r="F20" i="20"/>
  <c r="F24" i="20" s="1"/>
  <c r="G18" i="20"/>
  <c r="E24" i="20"/>
  <c r="F20" i="29"/>
  <c r="F24" i="29" s="1"/>
  <c r="G18" i="29"/>
  <c r="E24" i="29"/>
  <c r="H18" i="27"/>
  <c r="G20" i="27"/>
  <c r="G24" i="27" s="1"/>
  <c r="E17" i="14"/>
  <c r="D19" i="14"/>
  <c r="D23" i="14" s="1"/>
  <c r="D40" i="14" s="1"/>
  <c r="D47" i="14" s="1"/>
  <c r="G49" i="23"/>
  <c r="E62" i="23"/>
  <c r="G62" i="23" s="1"/>
  <c r="H18" i="19" l="1"/>
  <c r="G20" i="19"/>
  <c r="G24" i="19" s="1"/>
  <c r="G18" i="21"/>
  <c r="G20" i="21" s="1"/>
  <c r="G20" i="17"/>
  <c r="G24" i="17" s="1"/>
  <c r="H18" i="17"/>
  <c r="H18" i="26"/>
  <c r="G20" i="26"/>
  <c r="G24" i="26" s="1"/>
  <c r="E24" i="25"/>
  <c r="G18" i="25"/>
  <c r="F20" i="25"/>
  <c r="F24" i="25" s="1"/>
  <c r="G20" i="20"/>
  <c r="H18" i="20"/>
  <c r="H18" i="29"/>
  <c r="G20" i="29"/>
  <c r="I18" i="27"/>
  <c r="H20" i="27"/>
  <c r="F17" i="14"/>
  <c r="E19" i="14"/>
  <c r="H18" i="21" l="1"/>
  <c r="H20" i="21" s="1"/>
  <c r="H24" i="21" s="1"/>
  <c r="H20" i="19"/>
  <c r="I18" i="19"/>
  <c r="H20" i="17"/>
  <c r="I18" i="17"/>
  <c r="I18" i="26"/>
  <c r="H20" i="26"/>
  <c r="H24" i="26" s="1"/>
  <c r="G20" i="25"/>
  <c r="G24" i="25" s="1"/>
  <c r="H18" i="25"/>
  <c r="G24" i="21"/>
  <c r="G24" i="20"/>
  <c r="H20" i="20"/>
  <c r="H24" i="20" s="1"/>
  <c r="I18" i="20"/>
  <c r="G24" i="29"/>
  <c r="I18" i="29"/>
  <c r="H20" i="29"/>
  <c r="H24" i="29" s="1"/>
  <c r="H24" i="27"/>
  <c r="I20" i="27"/>
  <c r="I24" i="27" s="1"/>
  <c r="J18" i="27"/>
  <c r="J20" i="27" s="1"/>
  <c r="J24" i="27" s="1"/>
  <c r="E23" i="14"/>
  <c r="G17" i="14"/>
  <c r="F19" i="14"/>
  <c r="F23" i="14" s="1"/>
  <c r="I18" i="21" l="1"/>
  <c r="I20" i="21" s="1"/>
  <c r="I24" i="21" s="1"/>
  <c r="I20" i="19"/>
  <c r="I24" i="19" s="1"/>
  <c r="J18" i="19"/>
  <c r="J20" i="19" s="1"/>
  <c r="J24" i="19" s="1"/>
  <c r="H24" i="19"/>
  <c r="J18" i="17"/>
  <c r="J20" i="17" s="1"/>
  <c r="J24" i="17" s="1"/>
  <c r="I20" i="17"/>
  <c r="I24" i="17" s="1"/>
  <c r="H24" i="17"/>
  <c r="I20" i="26"/>
  <c r="I24" i="26" s="1"/>
  <c r="J18" i="26"/>
  <c r="J20" i="26" s="1"/>
  <c r="J24" i="26" s="1"/>
  <c r="H20" i="25"/>
  <c r="H24" i="25" s="1"/>
  <c r="I18" i="25"/>
  <c r="J18" i="20"/>
  <c r="J20" i="20" s="1"/>
  <c r="J24" i="20" s="1"/>
  <c r="I20" i="20"/>
  <c r="I24" i="20" s="1"/>
  <c r="K20" i="27"/>
  <c r="L20" i="27" s="1"/>
  <c r="J18" i="29"/>
  <c r="J20" i="29" s="1"/>
  <c r="J24" i="29" s="1"/>
  <c r="I20" i="29"/>
  <c r="I24" i="29" s="1"/>
  <c r="K24" i="27"/>
  <c r="H17" i="14"/>
  <c r="G19" i="14"/>
  <c r="G23" i="14" s="1"/>
  <c r="J18" i="21" l="1"/>
  <c r="J20" i="21" s="1"/>
  <c r="J24" i="21" s="1"/>
  <c r="K24" i="21" s="1"/>
  <c r="H26" i="21" s="1"/>
  <c r="H41" i="21" s="1"/>
  <c r="H48" i="21" s="1"/>
  <c r="H52" i="21" s="1"/>
  <c r="K20" i="19"/>
  <c r="L20" i="19" s="1"/>
  <c r="K24" i="19"/>
  <c r="J26" i="19" s="1"/>
  <c r="J41" i="19" s="1"/>
  <c r="J48" i="19" s="1"/>
  <c r="J52" i="19" s="1"/>
  <c r="K24" i="26"/>
  <c r="H26" i="26" s="1"/>
  <c r="H41" i="26" s="1"/>
  <c r="H48" i="26" s="1"/>
  <c r="H52" i="26" s="1"/>
  <c r="K20" i="17"/>
  <c r="L20" i="17" s="1"/>
  <c r="K24" i="17"/>
  <c r="J26" i="17" s="1"/>
  <c r="J41" i="17" s="1"/>
  <c r="J48" i="17" s="1"/>
  <c r="J52" i="17" s="1"/>
  <c r="K20" i="26"/>
  <c r="L20" i="26" s="1"/>
  <c r="I20" i="25"/>
  <c r="J18" i="25"/>
  <c r="J20" i="25" s="1"/>
  <c r="J24" i="25" s="1"/>
  <c r="K24" i="29"/>
  <c r="G26" i="29" s="1"/>
  <c r="G41" i="29" s="1"/>
  <c r="G48" i="29" s="1"/>
  <c r="G52" i="29" s="1"/>
  <c r="K20" i="20"/>
  <c r="L20" i="20" s="1"/>
  <c r="K20" i="29"/>
  <c r="L20" i="29" s="1"/>
  <c r="K24" i="20"/>
  <c r="I26" i="20" s="1"/>
  <c r="I41" i="20" s="1"/>
  <c r="I48" i="20" s="1"/>
  <c r="I52" i="20" s="1"/>
  <c r="I26" i="27"/>
  <c r="I41" i="27" s="1"/>
  <c r="I48" i="27" s="1"/>
  <c r="I52" i="27" s="1"/>
  <c r="L24" i="27"/>
  <c r="F26" i="27"/>
  <c r="F41" i="27" s="1"/>
  <c r="F48" i="27" s="1"/>
  <c r="F52" i="27" s="1"/>
  <c r="K56" i="27" s="1"/>
  <c r="E26" i="27"/>
  <c r="G26" i="27"/>
  <c r="G41" i="27" s="1"/>
  <c r="G48" i="27" s="1"/>
  <c r="G52" i="27" s="1"/>
  <c r="H26" i="27"/>
  <c r="H41" i="27" s="1"/>
  <c r="H48" i="27" s="1"/>
  <c r="H52" i="27" s="1"/>
  <c r="J26" i="27"/>
  <c r="J41" i="27" s="1"/>
  <c r="J48" i="27" s="1"/>
  <c r="J52" i="27" s="1"/>
  <c r="I17" i="14"/>
  <c r="H19" i="14"/>
  <c r="I26" i="19" l="1"/>
  <c r="I41" i="19" s="1"/>
  <c r="I48" i="19" s="1"/>
  <c r="I52" i="19" s="1"/>
  <c r="K52" i="19" s="1"/>
  <c r="K20" i="21"/>
  <c r="L20" i="21" s="1"/>
  <c r="L24" i="26"/>
  <c r="I26" i="26"/>
  <c r="I41" i="26" s="1"/>
  <c r="I48" i="26" s="1"/>
  <c r="I52" i="26" s="1"/>
  <c r="G26" i="26"/>
  <c r="G41" i="26" s="1"/>
  <c r="G48" i="26" s="1"/>
  <c r="G52" i="26" s="1"/>
  <c r="E26" i="26"/>
  <c r="E41" i="26" s="1"/>
  <c r="F26" i="26"/>
  <c r="F41" i="26" s="1"/>
  <c r="F48" i="26" s="1"/>
  <c r="F52" i="26" s="1"/>
  <c r="K56" i="26" s="1"/>
  <c r="J26" i="26"/>
  <c r="J41" i="26" s="1"/>
  <c r="J48" i="26" s="1"/>
  <c r="J52" i="26" s="1"/>
  <c r="L24" i="19"/>
  <c r="E26" i="19"/>
  <c r="F26" i="19"/>
  <c r="F41" i="19" s="1"/>
  <c r="F48" i="19" s="1"/>
  <c r="F52" i="19" s="1"/>
  <c r="K56" i="19" s="1"/>
  <c r="G26" i="19"/>
  <c r="G41" i="19" s="1"/>
  <c r="G48" i="19" s="1"/>
  <c r="G52" i="19" s="1"/>
  <c r="H26" i="19"/>
  <c r="H41" i="19" s="1"/>
  <c r="H48" i="19" s="1"/>
  <c r="H52" i="19" s="1"/>
  <c r="E26" i="21"/>
  <c r="E41" i="21" s="1"/>
  <c r="I26" i="21"/>
  <c r="I41" i="21" s="1"/>
  <c r="I48" i="21" s="1"/>
  <c r="I52" i="21" s="1"/>
  <c r="F26" i="21"/>
  <c r="F41" i="21" s="1"/>
  <c r="F48" i="21" s="1"/>
  <c r="F52" i="21" s="1"/>
  <c r="K56" i="21" s="1"/>
  <c r="L24" i="21"/>
  <c r="I26" i="17"/>
  <c r="I41" i="17" s="1"/>
  <c r="I48" i="17" s="1"/>
  <c r="I52" i="17" s="1"/>
  <c r="K52" i="17" s="1"/>
  <c r="L24" i="17"/>
  <c r="F26" i="17"/>
  <c r="F41" i="17" s="1"/>
  <c r="F48" i="17" s="1"/>
  <c r="F52" i="17" s="1"/>
  <c r="K56" i="17" s="1"/>
  <c r="E26" i="17"/>
  <c r="G26" i="17"/>
  <c r="G41" i="17" s="1"/>
  <c r="G48" i="17" s="1"/>
  <c r="G52" i="17" s="1"/>
  <c r="J26" i="21"/>
  <c r="J41" i="21" s="1"/>
  <c r="J48" i="21" s="1"/>
  <c r="J52" i="21" s="1"/>
  <c r="H26" i="17"/>
  <c r="H41" i="17" s="1"/>
  <c r="H48" i="17" s="1"/>
  <c r="H52" i="17" s="1"/>
  <c r="G26" i="21"/>
  <c r="G41" i="21" s="1"/>
  <c r="G48" i="21" s="1"/>
  <c r="G52" i="21" s="1"/>
  <c r="H26" i="29"/>
  <c r="H41" i="29" s="1"/>
  <c r="H48" i="29" s="1"/>
  <c r="H52" i="29" s="1"/>
  <c r="F26" i="29"/>
  <c r="F41" i="29" s="1"/>
  <c r="F48" i="29" s="1"/>
  <c r="F52" i="29" s="1"/>
  <c r="K56" i="29" s="1"/>
  <c r="J26" i="29"/>
  <c r="J41" i="29" s="1"/>
  <c r="J48" i="29" s="1"/>
  <c r="J52" i="29" s="1"/>
  <c r="I26" i="29"/>
  <c r="I41" i="29" s="1"/>
  <c r="I48" i="29" s="1"/>
  <c r="I52" i="29" s="1"/>
  <c r="E26" i="29"/>
  <c r="E41" i="29" s="1"/>
  <c r="L24" i="29"/>
  <c r="I24" i="25"/>
  <c r="K20" i="25"/>
  <c r="L20" i="25" s="1"/>
  <c r="J26" i="20"/>
  <c r="J41" i="20" s="1"/>
  <c r="J48" i="20" s="1"/>
  <c r="J52" i="20" s="1"/>
  <c r="K54" i="20" s="1"/>
  <c r="K52" i="27"/>
  <c r="H26" i="20"/>
  <c r="H41" i="20" s="1"/>
  <c r="H48" i="20" s="1"/>
  <c r="H52" i="20" s="1"/>
  <c r="L24" i="20"/>
  <c r="E26" i="20"/>
  <c r="F26" i="20"/>
  <c r="F41" i="20" s="1"/>
  <c r="F48" i="20" s="1"/>
  <c r="F52" i="20" s="1"/>
  <c r="K56" i="20" s="1"/>
  <c r="G26" i="20"/>
  <c r="G41" i="20" s="1"/>
  <c r="G48" i="20" s="1"/>
  <c r="G52" i="20" s="1"/>
  <c r="K54" i="27"/>
  <c r="K59" i="27" s="1"/>
  <c r="K60" i="27" s="1"/>
  <c r="K26" i="27"/>
  <c r="L26" i="27" s="1"/>
  <c r="E41" i="27"/>
  <c r="H23" i="14"/>
  <c r="J17" i="14"/>
  <c r="J19" i="14" s="1"/>
  <c r="J23" i="14" s="1"/>
  <c r="I19" i="14"/>
  <c r="I23" i="14" s="1"/>
  <c r="K54" i="19" l="1"/>
  <c r="K52" i="26"/>
  <c r="K52" i="21"/>
  <c r="K54" i="21"/>
  <c r="K26" i="26"/>
  <c r="L26" i="26" s="1"/>
  <c r="K54" i="26"/>
  <c r="K26" i="19"/>
  <c r="L26" i="19" s="1"/>
  <c r="E41" i="19"/>
  <c r="K54" i="29"/>
  <c r="K59" i="29" s="1"/>
  <c r="K60" i="29" s="1"/>
  <c r="K54" i="17"/>
  <c r="K26" i="17"/>
  <c r="L26" i="17" s="1"/>
  <c r="E41" i="17"/>
  <c r="K26" i="21"/>
  <c r="L26" i="21" s="1"/>
  <c r="K52" i="29"/>
  <c r="K41" i="26"/>
  <c r="L41" i="26" s="1"/>
  <c r="E48" i="26"/>
  <c r="K26" i="29"/>
  <c r="L26" i="29" s="1"/>
  <c r="K52" i="20"/>
  <c r="K24" i="25"/>
  <c r="K41" i="21"/>
  <c r="L41" i="21" s="1"/>
  <c r="E48" i="21"/>
  <c r="K26" i="20"/>
  <c r="L26" i="20" s="1"/>
  <c r="E41" i="20"/>
  <c r="K41" i="29"/>
  <c r="L41" i="29" s="1"/>
  <c r="E48" i="29"/>
  <c r="K41" i="27"/>
  <c r="L41" i="27" s="1"/>
  <c r="E48" i="27"/>
  <c r="K19" i="14"/>
  <c r="L19" i="14" s="1"/>
  <c r="K23" i="14"/>
  <c r="K41" i="19" l="1"/>
  <c r="L41" i="19" s="1"/>
  <c r="E48" i="19"/>
  <c r="K41" i="17"/>
  <c r="L41" i="17" s="1"/>
  <c r="E48" i="17"/>
  <c r="E52" i="26"/>
  <c r="K55" i="26" s="1"/>
  <c r="K48" i="26"/>
  <c r="L48" i="26" s="1"/>
  <c r="J26" i="25"/>
  <c r="J41" i="25" s="1"/>
  <c r="J48" i="25" s="1"/>
  <c r="J52" i="25" s="1"/>
  <c r="L24" i="25"/>
  <c r="F26" i="25"/>
  <c r="F41" i="25" s="1"/>
  <c r="F48" i="25" s="1"/>
  <c r="F52" i="25" s="1"/>
  <c r="K56" i="25" s="1"/>
  <c r="E26" i="25"/>
  <c r="G26" i="25"/>
  <c r="G41" i="25" s="1"/>
  <c r="G48" i="25" s="1"/>
  <c r="G52" i="25" s="1"/>
  <c r="H26" i="25"/>
  <c r="H41" i="25" s="1"/>
  <c r="H48" i="25" s="1"/>
  <c r="H52" i="25" s="1"/>
  <c r="I26" i="25"/>
  <c r="I41" i="25" s="1"/>
  <c r="I48" i="25" s="1"/>
  <c r="I52" i="25" s="1"/>
  <c r="K48" i="21"/>
  <c r="L48" i="21" s="1"/>
  <c r="E52" i="21"/>
  <c r="K55" i="21" s="1"/>
  <c r="K41" i="20"/>
  <c r="L41" i="20" s="1"/>
  <c r="E48" i="20"/>
  <c r="E52" i="29"/>
  <c r="K55" i="29" s="1"/>
  <c r="K62" i="29" s="1"/>
  <c r="L62" i="29" s="1"/>
  <c r="K48" i="29"/>
  <c r="L48" i="29" s="1"/>
  <c r="K48" i="27"/>
  <c r="L48" i="27" s="1"/>
  <c r="E52" i="27"/>
  <c r="K55" i="27" s="1"/>
  <c r="K62" i="27" s="1"/>
  <c r="L62" i="27" s="1"/>
  <c r="L23" i="14"/>
  <c r="F25" i="14"/>
  <c r="F40" i="14" s="1"/>
  <c r="F47" i="14" s="1"/>
  <c r="E25" i="14"/>
  <c r="G25" i="14"/>
  <c r="G40" i="14" s="1"/>
  <c r="G47" i="14" s="1"/>
  <c r="H25" i="14"/>
  <c r="H40" i="14" s="1"/>
  <c r="H47" i="14" s="1"/>
  <c r="J25" i="14"/>
  <c r="J40" i="14" s="1"/>
  <c r="J47" i="14" s="1"/>
  <c r="I25" i="14"/>
  <c r="I40" i="14" s="1"/>
  <c r="I47" i="14" s="1"/>
  <c r="I51" i="14" s="1"/>
  <c r="F51" i="14" l="1"/>
  <c r="K56" i="14" s="1"/>
  <c r="J51" i="14"/>
  <c r="K52" i="14" s="1"/>
  <c r="K60" i="14" s="1"/>
  <c r="K61" i="14" s="1"/>
  <c r="H51" i="14"/>
  <c r="G51" i="14"/>
  <c r="E52" i="19"/>
  <c r="K55" i="19" s="1"/>
  <c r="K48" i="19"/>
  <c r="L48" i="19" s="1"/>
  <c r="K48" i="17"/>
  <c r="L48" i="17" s="1"/>
  <c r="E52" i="17"/>
  <c r="K55" i="17" s="1"/>
  <c r="K26" i="25"/>
  <c r="L26" i="25" s="1"/>
  <c r="E41" i="25"/>
  <c r="K54" i="25"/>
  <c r="K52" i="25"/>
  <c r="E52" i="20"/>
  <c r="K55" i="20" s="1"/>
  <c r="K48" i="20"/>
  <c r="L48" i="20" s="1"/>
  <c r="K25" i="14"/>
  <c r="L25" i="14" s="1"/>
  <c r="E40" i="14"/>
  <c r="K51" i="14" l="1"/>
  <c r="K41" i="25"/>
  <c r="L41" i="25" s="1"/>
  <c r="E48" i="25"/>
  <c r="K40" i="14"/>
  <c r="L40" i="14" s="1"/>
  <c r="E47" i="14"/>
  <c r="E52" i="25" l="1"/>
  <c r="K55" i="25" s="1"/>
  <c r="K48" i="25"/>
  <c r="L48" i="25" s="1"/>
  <c r="E51" i="14"/>
  <c r="K53" i="14" s="1"/>
  <c r="K47" i="14"/>
  <c r="L47" i="14" s="1"/>
  <c r="K63" i="14" l="1"/>
  <c r="L63" i="14" s="1"/>
  <c r="K55" i="14"/>
</calcChain>
</file>

<file path=xl/sharedStrings.xml><?xml version="1.0" encoding="utf-8"?>
<sst xmlns="http://schemas.openxmlformats.org/spreadsheetml/2006/main" count="6114" uniqueCount="2456">
  <si>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</si>
  <si>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</si>
  <si>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</si>
  <si>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</si>
  <si>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</si>
  <si>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</si>
  <si>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</si>
  <si>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</si>
  <si>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</si>
  <si>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</si>
  <si>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</si>
  <si>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</si>
  <si>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</si>
  <si>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</si>
  <si>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</si>
  <si>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</si>
  <si>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</si>
  <si>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</si>
  <si>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</si>
  <si>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</si>
  <si>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</si>
  <si>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</si>
  <si>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</si>
  <si>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</si>
  <si>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</si>
  <si>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</si>
  <si>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</si>
  <si>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</si>
  <si>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</si>
  <si>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</si>
  <si>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</si>
  <si>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</si>
  <si>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</si>
  <si>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</si>
  <si>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</si>
  <si>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</si>
  <si>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</si>
  <si>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</si>
  <si>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</si>
  <si>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</si>
  <si>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</si>
  <si>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</si>
  <si>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</si>
  <si>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</si>
  <si>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</si>
  <si>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</si>
  <si>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</si>
  <si>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</si>
  <si>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</si>
  <si>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</si>
  <si>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</si>
  <si>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</si>
  <si>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</si>
  <si>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</si>
  <si>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</si>
  <si>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</si>
  <si>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</si>
  <si>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</si>
  <si>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</si>
  <si>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</si>
  <si>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</si>
  <si>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</si>
  <si>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</si>
  <si>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</si>
  <si>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</si>
  <si>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</si>
  <si>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</si>
  <si>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</si>
  <si>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</si>
  <si>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</si>
  <si>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</si>
  <si>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</si>
  <si>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</si>
  <si>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</si>
  <si>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</si>
  <si>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</si>
  <si>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</si>
  <si>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</si>
  <si>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</si>
  <si>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</si>
  <si>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</si>
  <si>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</si>
  <si>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</si>
  <si>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</si>
  <si>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</si>
  <si>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</si>
  <si>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</si>
  <si>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</si>
  <si>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</si>
  <si>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</si>
  <si>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</si>
  <si>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</si>
  <si>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</si>
  <si>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</si>
  <si>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</si>
  <si>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</si>
  <si>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</si>
  <si>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</si>
  <si>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</si>
  <si>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</si>
  <si>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</si>
  <si>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</si>
  <si>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</si>
  <si>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</si>
  <si>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</si>
  <si>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</si>
  <si>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</si>
  <si>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</si>
  <si>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</si>
  <si>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</si>
  <si>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</si>
  <si>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</si>
  <si>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</si>
  <si>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</si>
  <si>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</si>
  <si>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</si>
  <si>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</si>
  <si>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</si>
  <si>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</si>
  <si>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</si>
  <si>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</si>
  <si>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</si>
  <si>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</si>
  <si>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</si>
  <si>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</si>
  <si>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</si>
  <si>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</si>
  <si>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</si>
  <si>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</si>
  <si>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</si>
  <si>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</si>
  <si>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</si>
  <si>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</si>
  <si>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</si>
  <si>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</si>
  <si>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</si>
  <si>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</si>
  <si>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</si>
  <si>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</si>
  <si>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</si>
  <si>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</si>
  <si>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</si>
  <si>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</si>
  <si>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</si>
  <si>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</si>
  <si>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</si>
  <si>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</si>
  <si>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</si>
  <si>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</si>
  <si>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</si>
  <si>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</si>
  <si>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</si>
  <si>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</si>
  <si>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</si>
  <si>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</si>
  <si>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</si>
  <si>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</si>
  <si>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</si>
  <si>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</si>
  <si>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</si>
  <si>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</si>
  <si>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</si>
  <si>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</si>
  <si>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</si>
  <si>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</si>
  <si>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</si>
  <si>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</si>
  <si>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</si>
  <si>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</si>
  <si>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</si>
  <si>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</si>
  <si>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</si>
  <si>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</si>
  <si>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</si>
  <si>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</si>
  <si>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</si>
  <si>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</si>
  <si>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</si>
  <si>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</si>
  <si>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</si>
  <si>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</si>
  <si>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</si>
  <si>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</si>
  <si>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</si>
  <si>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</si>
  <si>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</si>
  <si>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</si>
  <si>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</si>
  <si>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</si>
  <si>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</si>
  <si>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</si>
  <si>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</si>
  <si>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</si>
  <si>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</si>
  <si>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</si>
  <si>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</si>
  <si>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</si>
  <si>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</si>
  <si>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</si>
  <si>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</si>
  <si>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</si>
  <si>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</si>
  <si>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</si>
  <si>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</si>
  <si>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</si>
  <si>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</si>
  <si>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</si>
  <si>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</si>
  <si>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</si>
  <si>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</si>
  <si>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</si>
  <si>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</si>
  <si>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</si>
  <si>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</si>
  <si>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</si>
  <si>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</si>
  <si>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</si>
  <si>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</si>
  <si>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</si>
  <si>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</si>
  <si>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</si>
  <si>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</si>
  <si>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</si>
  <si>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</si>
  <si>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</si>
  <si>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</si>
  <si>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</si>
  <si>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</si>
  <si>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</si>
  <si>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</si>
  <si>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</si>
  <si>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</si>
  <si>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</si>
  <si>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</si>
  <si>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</si>
  <si>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</si>
  <si>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</si>
  <si>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</si>
  <si>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</si>
  <si>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</si>
  <si>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</si>
  <si>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</si>
  <si>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</si>
  <si>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</si>
  <si>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</si>
  <si>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</si>
  <si>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</si>
  <si>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</si>
  <si>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</si>
  <si>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</si>
  <si>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</si>
  <si>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</si>
  <si>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</si>
  <si>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</si>
  <si>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</si>
  <si>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</si>
  <si>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</si>
  <si>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</si>
  <si>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</si>
  <si>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</si>
  <si>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</si>
  <si>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</si>
  <si>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</si>
  <si>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</si>
  <si>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</si>
  <si>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</si>
  <si>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</si>
  <si>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</si>
  <si>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</si>
  <si>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</si>
  <si>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</si>
  <si>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</si>
  <si>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</si>
  <si>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</si>
  <si>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</si>
  <si>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</si>
  <si>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</si>
  <si>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</si>
  <si>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</si>
  <si>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</si>
  <si>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</si>
  <si>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</si>
  <si>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</si>
  <si>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</si>
  <si>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</si>
  <si>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</si>
  <si>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</si>
  <si>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</si>
  <si>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</si>
  <si>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</si>
  <si>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</si>
  <si>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</si>
  <si>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</si>
  <si>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</si>
  <si>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</si>
  <si>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</si>
  <si>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</si>
  <si>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</si>
  <si>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</si>
  <si>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</si>
  <si>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</si>
  <si>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</si>
  <si>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</si>
  <si>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</si>
  <si>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</si>
  <si>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</si>
  <si>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</si>
  <si>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</si>
  <si>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</si>
  <si>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</si>
  <si>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</si>
  <si>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</si>
  <si>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</si>
  <si>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</si>
  <si>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</si>
  <si>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</si>
  <si>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</si>
  <si>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</si>
  <si>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</si>
  <si>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</si>
  <si>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</si>
  <si>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</si>
  <si>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</si>
  <si>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</si>
  <si>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</si>
  <si>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</si>
  <si>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</si>
  <si>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</si>
  <si>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</si>
  <si>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</si>
  <si>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</si>
  <si>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</si>
  <si>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</si>
  <si>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</si>
  <si>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</si>
  <si>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</si>
  <si>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</si>
  <si>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</si>
  <si>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</si>
  <si>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</si>
  <si>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</si>
  <si>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</si>
  <si>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</si>
  <si>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</si>
  <si>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</si>
  <si>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</si>
  <si>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</si>
  <si>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</si>
  <si>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</si>
  <si>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</si>
  <si>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</si>
  <si>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</si>
  <si>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</si>
  <si>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</si>
  <si>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</si>
  <si>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</si>
  <si>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</si>
  <si>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</si>
  <si>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</si>
  <si>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</si>
  <si>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</si>
  <si>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</si>
  <si>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</si>
  <si>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</si>
  <si>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</si>
  <si>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</si>
  <si>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</si>
  <si>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</si>
  <si>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</si>
  <si>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</si>
  <si>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</si>
  <si>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</si>
  <si>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</si>
  <si>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</si>
  <si>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</si>
  <si>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</si>
  <si>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</si>
  <si>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</si>
  <si>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</si>
  <si>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</si>
  <si>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</si>
  <si>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</si>
  <si>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</si>
  <si>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</si>
  <si>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</si>
  <si>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</si>
  <si>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</si>
  <si>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</si>
  <si>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</si>
  <si>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</si>
  <si>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</si>
  <si>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</si>
  <si>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</si>
  <si>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</si>
  <si>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</si>
  <si>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</si>
  <si>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</si>
  <si>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</si>
  <si>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</si>
  <si>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</si>
  <si>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</si>
  <si>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</si>
  <si>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</si>
  <si>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</si>
  <si>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</si>
  <si>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</si>
  <si>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</si>
  <si>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</si>
  <si>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</si>
  <si>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</si>
  <si>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</si>
  <si>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</si>
  <si>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</si>
  <si>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</si>
  <si>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</si>
  <si>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</si>
  <si>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</si>
  <si>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</si>
  <si>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</si>
  <si>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</si>
  <si>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</si>
  <si>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</si>
  <si>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</si>
  <si>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</si>
  <si>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</si>
  <si>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</si>
  <si>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</si>
  <si>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</si>
  <si>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</si>
  <si>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</si>
  <si>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</si>
  <si>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</si>
  <si>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</si>
  <si>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</si>
  <si>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</si>
  <si>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</si>
  <si>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</si>
  <si>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</si>
  <si>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</si>
  <si>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</si>
  <si>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</si>
  <si>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</si>
  <si>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</si>
  <si>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</si>
  <si>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</si>
  <si>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</si>
  <si>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</si>
  <si>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</si>
  <si>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</si>
  <si>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</si>
  <si>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</si>
  <si>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</si>
  <si>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</si>
  <si>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</si>
  <si>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</si>
  <si>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</si>
  <si>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</si>
  <si>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</si>
  <si>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</si>
  <si>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</si>
  <si>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</si>
  <si>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</si>
  <si>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</si>
  <si>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</si>
  <si>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</si>
  <si>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</si>
  <si>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</si>
  <si>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</si>
  <si>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</si>
  <si>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</si>
  <si>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</si>
  <si>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</si>
  <si>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</si>
  <si>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</si>
  <si>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</si>
  <si>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</si>
  <si>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</si>
  <si>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</si>
  <si>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</si>
  <si>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</si>
  <si>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</si>
  <si>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</si>
  <si>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</si>
  <si>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</si>
  <si>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</si>
  <si>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</si>
  <si>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</si>
  <si>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</si>
  <si>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</si>
  <si>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</si>
  <si>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</si>
  <si>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</si>
  <si>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</si>
  <si>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</si>
  <si>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</si>
  <si>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</si>
  <si>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</si>
  <si>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</si>
  <si>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</si>
  <si>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</si>
  <si>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</si>
  <si>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</si>
  <si>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</si>
  <si>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</si>
  <si>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</si>
  <si>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</si>
  <si>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</si>
  <si>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</si>
  <si>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</si>
  <si>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</si>
  <si>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</si>
  <si>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</si>
  <si>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</si>
  <si>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</si>
  <si>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</si>
  <si>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</si>
  <si>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</si>
  <si>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</si>
  <si>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</si>
  <si>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</si>
  <si>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</si>
  <si>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</si>
  <si>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</si>
  <si>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</si>
  <si>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</si>
  <si>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</si>
  <si>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</si>
  <si>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</si>
  <si>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</si>
  <si>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</si>
  <si>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</si>
  <si>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</si>
  <si>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</si>
  <si>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</si>
  <si>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</si>
  <si>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</si>
  <si>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</si>
  <si>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</si>
  <si>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</si>
  <si>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</si>
  <si>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</si>
  <si>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</si>
  <si>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</si>
  <si>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</si>
  <si>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</si>
  <si>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</si>
  <si>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</si>
  <si>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</si>
  <si>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</si>
  <si>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</si>
  <si>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</si>
  <si>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</si>
  <si>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</si>
  <si>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</si>
  <si>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</si>
  <si>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</si>
  <si>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</si>
  <si>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</si>
  <si>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</si>
  <si>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</si>
  <si>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</si>
  <si>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</si>
  <si>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</si>
  <si>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</si>
  <si>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</si>
  <si>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</si>
  <si>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</si>
  <si>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</si>
  <si>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</si>
  <si>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</si>
  <si>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</si>
  <si>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</si>
  <si>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</si>
  <si>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</si>
  <si>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</si>
  <si>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</si>
  <si>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</si>
  <si>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</si>
  <si>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</si>
  <si>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</si>
  <si>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</si>
  <si>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</si>
  <si>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</si>
  <si>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</si>
  <si>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</si>
  <si>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</si>
  <si>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</si>
  <si>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</si>
  <si>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</si>
  <si>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</si>
  <si>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</si>
  <si>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</si>
  <si>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</si>
  <si>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</si>
  <si>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</si>
  <si>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</si>
  <si>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</si>
  <si>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</si>
  <si>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</si>
  <si>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</si>
  <si>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</si>
  <si>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</si>
  <si>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</si>
  <si>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</si>
  <si>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</si>
  <si>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</si>
  <si>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</si>
  <si>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</si>
  <si>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</si>
  <si>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</si>
  <si>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</si>
  <si>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</si>
  <si>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</si>
  <si>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</si>
  <si>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</si>
  <si>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</si>
  <si>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</si>
  <si>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</si>
  <si>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</si>
  <si>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</si>
  <si>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</si>
  <si>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</si>
  <si>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</si>
  <si>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</si>
  <si>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</si>
  <si>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</si>
  <si>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</si>
  <si>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</si>
  <si>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</si>
  <si>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</si>
  <si>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</si>
  <si>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</si>
  <si>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</si>
  <si>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</si>
  <si>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</si>
  <si>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</si>
  <si>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</si>
  <si>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</si>
  <si>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</si>
  <si>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</si>
  <si>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</si>
  <si>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</si>
  <si>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</si>
  <si>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</si>
  <si>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</si>
  <si>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</si>
  <si>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</si>
  <si>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</si>
  <si>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</si>
  <si>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</si>
  <si>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</si>
  <si>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</si>
  <si>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</si>
  <si>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</si>
  <si>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</si>
  <si>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</si>
  <si>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</si>
  <si>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</si>
  <si>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</si>
  <si>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</si>
  <si>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</si>
  <si>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</si>
  <si>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</si>
  <si>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</si>
  <si>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</si>
  <si>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</si>
  <si>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</si>
  <si>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</si>
  <si>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</si>
  <si>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</si>
  <si>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</si>
  <si>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</si>
  <si>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</si>
  <si>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</si>
  <si>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</si>
  <si>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</si>
  <si>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</si>
  <si>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</si>
  <si>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</si>
  <si>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</si>
  <si>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</si>
  <si>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</si>
  <si>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</si>
  <si>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</si>
  <si>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</si>
  <si>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</si>
  <si>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</si>
  <si>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</si>
  <si>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</si>
  <si>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</si>
  <si>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</si>
  <si>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</si>
  <si>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</si>
  <si>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</si>
  <si>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</si>
  <si>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</si>
  <si>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</si>
  <si>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</si>
  <si>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</si>
  <si>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</si>
  <si>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</si>
  <si>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</si>
  <si>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</si>
  <si>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</si>
  <si>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</si>
  <si>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</si>
  <si>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</si>
  <si>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</si>
  <si>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</si>
  <si>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</si>
  <si>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</si>
  <si>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</si>
  <si>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</si>
  <si>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</si>
  <si>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</si>
  <si>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</si>
  <si>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</si>
  <si>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</si>
  <si>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</si>
  <si>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</si>
  <si>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</si>
  <si>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</si>
  <si>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</si>
  <si>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</si>
  <si>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</si>
  <si>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</si>
  <si>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</si>
  <si>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</si>
  <si>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</si>
  <si>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</si>
  <si>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</si>
  <si>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</si>
  <si>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</si>
  <si>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</si>
  <si>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</si>
  <si>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</si>
  <si>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</si>
  <si>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</si>
  <si>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</si>
  <si>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</si>
  <si>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</si>
  <si>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</si>
  <si>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</si>
  <si>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</si>
  <si>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</si>
  <si>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</si>
  <si>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</si>
  <si>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</si>
  <si>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</si>
  <si>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</si>
  <si>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</si>
  <si>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</si>
  <si>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</si>
  <si>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</si>
  <si>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</si>
  <si>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</si>
  <si>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</si>
  <si>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</si>
  <si>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</si>
  <si>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</si>
  <si>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</si>
  <si>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</si>
  <si>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</si>
  <si>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</si>
  <si>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</si>
  <si>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</si>
  <si>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</si>
  <si>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</si>
  <si>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</si>
  <si>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</si>
  <si>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</si>
  <si>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</si>
  <si>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</si>
  <si>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</si>
  <si>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</si>
  <si>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</si>
  <si>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</si>
  <si>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</si>
  <si>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</si>
  <si>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</si>
  <si>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</si>
  <si>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</si>
  <si>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</si>
  <si>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</si>
  <si>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</si>
  <si>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</si>
  <si>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</si>
  <si>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</si>
  <si>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</si>
  <si>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</si>
  <si>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</si>
  <si>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</si>
  <si>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</si>
  <si>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</si>
  <si>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</si>
  <si>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</si>
  <si>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</si>
  <si>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</si>
  <si>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</si>
  <si>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</si>
  <si>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</si>
  <si>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</si>
  <si>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</si>
  <si>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</si>
  <si>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</si>
  <si>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</si>
  <si>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</si>
  <si>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</si>
  <si>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</si>
  <si>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</si>
  <si>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</si>
  <si>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</si>
  <si>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</si>
  <si>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</si>
  <si>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</si>
  <si>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</si>
  <si>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</si>
  <si>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</si>
  <si>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</si>
  <si>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</si>
  <si>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</si>
  <si>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</si>
  <si>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</si>
  <si>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</si>
  <si>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</si>
  <si>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</si>
  <si>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</si>
  <si>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</si>
  <si>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</si>
  <si>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</si>
  <si>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</si>
  <si>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</si>
  <si>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</si>
  <si>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</si>
  <si>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</si>
  <si>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</si>
  <si>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</si>
  <si>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</si>
  <si>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</si>
  <si>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</si>
  <si>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</si>
  <si>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</si>
  <si>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</si>
  <si>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</si>
  <si>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</si>
  <si>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</si>
  <si>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</si>
  <si>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</si>
  <si>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</si>
  <si>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</si>
  <si>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</si>
  <si>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</si>
  <si>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</si>
  <si>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</si>
  <si>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</si>
  <si>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</si>
  <si>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</si>
  <si>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</si>
  <si>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</si>
  <si>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</si>
  <si>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</si>
  <si>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</si>
  <si>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</si>
  <si>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</si>
  <si>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</si>
  <si>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</si>
  <si>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</si>
  <si>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</si>
  <si>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</si>
  <si>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</si>
  <si>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</si>
  <si>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</si>
  <si>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</si>
  <si>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</si>
  <si>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</si>
  <si>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</si>
  <si>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</si>
  <si>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</si>
  <si>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</si>
  <si>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</si>
  <si>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</si>
  <si>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</si>
  <si>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</si>
  <si>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</si>
  <si>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</si>
  <si>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</si>
  <si>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</si>
  <si>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</si>
  <si>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</si>
  <si>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</si>
  <si>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</si>
  <si>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</si>
  <si>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</si>
  <si>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</si>
  <si>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</si>
  <si>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</si>
  <si>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</si>
  <si>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</si>
  <si>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</si>
  <si>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</si>
  <si>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</si>
  <si>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</si>
  <si>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</si>
  <si>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</si>
  <si>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</si>
  <si>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</si>
  <si>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</si>
  <si>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</si>
  <si>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</si>
  <si>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</si>
  <si>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</si>
  <si>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</si>
  <si>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</si>
  <si>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</si>
  <si>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</si>
  <si>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</si>
  <si>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</si>
  <si>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</si>
  <si>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</si>
  <si>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</si>
  <si>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</si>
  <si>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</si>
  <si>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</si>
  <si>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</si>
  <si>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</si>
  <si>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</si>
  <si>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</si>
  <si>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</si>
  <si>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</si>
  <si>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</si>
  <si>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</si>
  <si>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</si>
  <si>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</si>
  <si>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</si>
  <si>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</si>
  <si>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</si>
  <si>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</si>
  <si>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</si>
  <si>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</si>
  <si>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</si>
  <si>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</si>
  <si>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</si>
  <si>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</si>
  <si>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</si>
  <si>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</si>
  <si>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</si>
  <si>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</si>
  <si>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</si>
  <si>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</si>
  <si>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</si>
  <si>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</si>
  <si>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</si>
  <si>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</si>
  <si>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</si>
  <si>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</si>
  <si>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</si>
  <si>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</si>
  <si>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</si>
  <si>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</si>
  <si>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</si>
  <si>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</si>
  <si>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</si>
  <si>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</si>
  <si>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</si>
  <si>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</si>
  <si>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</si>
  <si>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</si>
  <si>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</si>
  <si>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</si>
  <si>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</si>
  <si>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</si>
  <si>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</si>
  <si>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</si>
  <si>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</si>
  <si>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</si>
  <si>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</si>
  <si>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</si>
  <si>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</si>
  <si>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</si>
  <si>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</si>
  <si>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</si>
  <si>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</si>
  <si>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</si>
  <si>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</si>
  <si>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</si>
  <si>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</si>
  <si>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</si>
  <si>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</si>
  <si>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</si>
  <si>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</si>
  <si>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</si>
  <si>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</si>
  <si>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</si>
  <si>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</si>
  <si>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</si>
  <si>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</si>
  <si>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</si>
  <si>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</si>
  <si>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</si>
  <si>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</si>
  <si>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</si>
  <si>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</si>
  <si>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</si>
  <si>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</si>
  <si>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</si>
  <si>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</si>
  <si>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</si>
  <si>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</si>
  <si>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</si>
  <si>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</si>
  <si>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</si>
  <si>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</si>
  <si>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</si>
  <si>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</si>
  <si>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</si>
  <si>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</si>
  <si>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</si>
  <si>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</si>
  <si>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</si>
  <si>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</si>
  <si>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</si>
  <si>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</si>
  <si>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</si>
  <si>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</si>
  <si>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</si>
  <si>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</si>
  <si>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</si>
  <si>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</si>
  <si>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</si>
  <si>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</si>
  <si>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</si>
  <si>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</si>
  <si>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</si>
  <si>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</si>
  <si>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</si>
  <si>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</si>
  <si>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</si>
  <si>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</si>
  <si>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</si>
  <si>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</si>
  <si>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</si>
  <si>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</si>
  <si>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</si>
  <si>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</si>
  <si>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</si>
  <si>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</si>
  <si>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</si>
  <si>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</si>
  <si>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</si>
  <si>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</si>
  <si>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</si>
  <si>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</si>
  <si>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</si>
  <si>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</si>
  <si>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</si>
  <si>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</si>
  <si>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</si>
  <si>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</si>
  <si>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</si>
  <si>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</si>
  <si>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</si>
  <si>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</si>
  <si>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</si>
  <si>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</si>
  <si>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</si>
  <si>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</si>
  <si>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</si>
  <si>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</si>
  <si>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</si>
  <si>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</si>
  <si>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</si>
  <si>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</si>
  <si>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</si>
  <si>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</si>
  <si>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</si>
  <si>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</si>
  <si>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</si>
  <si>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</si>
  <si>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</si>
  <si>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</si>
  <si>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</si>
  <si>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</si>
  <si>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</si>
  <si>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</si>
  <si>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</si>
  <si>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</si>
  <si>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</si>
  <si>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</si>
  <si>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</si>
  <si>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</si>
  <si>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</si>
  <si>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</si>
  <si>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</si>
  <si>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</si>
  <si>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</si>
  <si>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</si>
  <si>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</si>
  <si>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</si>
  <si>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</si>
  <si>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</si>
  <si>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</si>
  <si>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</si>
  <si>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</si>
  <si>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</si>
  <si>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</si>
  <si>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</si>
  <si>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</si>
  <si>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</si>
  <si>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</si>
  <si>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</si>
  <si>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</si>
  <si>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</si>
  <si>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</si>
  <si>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</si>
  <si>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</si>
  <si>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</si>
  <si>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</si>
  <si>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</si>
  <si>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</si>
  <si>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</si>
  <si>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</si>
  <si>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</si>
  <si>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</si>
  <si>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</si>
  <si>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</si>
  <si>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</si>
  <si>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</si>
  <si>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</si>
  <si>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</si>
  <si>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</si>
  <si>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</si>
  <si>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</si>
  <si>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</si>
  <si>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</si>
  <si>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</si>
  <si>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</si>
  <si>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</si>
  <si>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</si>
  <si>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</si>
  <si>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</si>
  <si>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</si>
  <si>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</si>
  <si>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</si>
  <si>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</si>
  <si>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</si>
  <si>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</si>
  <si>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</si>
  <si>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</si>
  <si>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</si>
  <si>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</si>
  <si>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</si>
  <si>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</si>
  <si>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</si>
  <si>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</si>
  <si>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</si>
  <si>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</si>
  <si>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</si>
  <si>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</si>
  <si>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</si>
  <si>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</si>
  <si>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</si>
  <si>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</si>
  <si>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</si>
  <si>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</si>
  <si>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</si>
  <si>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</si>
  <si>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</si>
  <si>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</si>
  <si>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</si>
  <si>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</si>
  <si>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</si>
  <si>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</si>
  <si>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</si>
  <si>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</si>
  <si>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</si>
  <si>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</si>
  <si>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</si>
  <si>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</si>
  <si>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</si>
  <si>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</si>
  <si>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</si>
  <si>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</si>
  <si>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</si>
  <si>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</si>
  <si>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</si>
  <si>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</si>
  <si>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</si>
  <si>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</si>
  <si>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</si>
  <si>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</si>
  <si>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</si>
  <si>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</si>
  <si>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</si>
  <si>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</si>
  <si>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</si>
  <si>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</si>
  <si>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</si>
  <si>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</si>
  <si>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</si>
  <si>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</si>
  <si>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</si>
  <si>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</si>
  <si>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</si>
  <si>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</si>
  <si>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</si>
  <si>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</si>
  <si>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</si>
  <si>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</si>
  <si>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</si>
  <si>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</si>
  <si>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</si>
  <si>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</si>
  <si>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</si>
  <si>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</si>
  <si>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</si>
  <si>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</si>
  <si>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</si>
  <si>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</si>
  <si>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</si>
  <si>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</si>
  <si>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</si>
  <si>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</si>
  <si>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</si>
  <si>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</si>
  <si>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</si>
  <si>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</si>
  <si>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</si>
  <si>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</si>
  <si>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</si>
  <si>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</si>
  <si>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</si>
  <si>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</si>
  <si>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</si>
  <si>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</si>
  <si>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</si>
  <si>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</si>
  <si>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</si>
  <si>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</si>
  <si>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</si>
  <si>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</si>
  <si>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</si>
  <si>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</si>
  <si>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</si>
  <si>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</si>
  <si>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</si>
  <si>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</si>
  <si>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</si>
  <si>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</si>
  <si>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</si>
  <si>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</si>
  <si>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</si>
  <si>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</si>
  <si>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</si>
  <si>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</si>
  <si>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</si>
  <si>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</si>
  <si>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</si>
  <si>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</si>
  <si>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</si>
  <si>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</si>
  <si>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</si>
  <si>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</si>
  <si>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</si>
  <si>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</si>
  <si>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</si>
  <si>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</si>
  <si>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</si>
  <si>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</si>
  <si>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</si>
  <si>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</si>
  <si>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</si>
  <si>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</si>
  <si>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</si>
  <si>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</si>
  <si>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</si>
  <si>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</si>
  <si>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</si>
  <si>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</si>
  <si>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</si>
  <si>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</si>
  <si>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</si>
  <si>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</si>
  <si>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</si>
  <si>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</si>
  <si>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</si>
  <si>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</si>
  <si>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</si>
  <si>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</si>
  <si>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</si>
  <si>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</si>
  <si>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</si>
  <si>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</si>
  <si>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</si>
  <si>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</si>
  <si>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</si>
  <si>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</si>
  <si>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</si>
  <si>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</si>
  <si>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</si>
  <si>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</si>
  <si>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</si>
  <si>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</si>
  <si>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</si>
  <si>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</si>
  <si>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</si>
  <si>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</si>
  <si>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</si>
  <si>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</si>
  <si>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</si>
  <si>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</si>
  <si>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</si>
  <si>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</si>
  <si>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</si>
  <si>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</si>
  <si>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</si>
  <si>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</si>
  <si>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</si>
  <si>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</si>
  <si>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</si>
  <si>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</si>
  <si>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</si>
  <si>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</si>
  <si>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</si>
  <si>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</si>
  <si>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</si>
  <si>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</si>
  <si>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</si>
  <si>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</si>
  <si>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</si>
  <si>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</si>
  <si>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</si>
  <si>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</si>
  <si>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</si>
  <si>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</si>
  <si>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</si>
  <si>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</si>
  <si>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</si>
  <si>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</si>
  <si>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</si>
  <si>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</si>
  <si>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</si>
  <si>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</si>
  <si>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</si>
  <si>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</si>
  <si>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</si>
  <si>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</si>
  <si>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</si>
  <si>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</si>
  <si>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</si>
  <si>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</si>
  <si>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</si>
  <si>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</si>
  <si>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</si>
  <si>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</si>
  <si>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</si>
  <si>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</si>
  <si>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</si>
  <si>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</si>
  <si>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</si>
  <si>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</si>
  <si>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</si>
  <si>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</si>
  <si>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</si>
  <si>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</si>
  <si>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</si>
  <si>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</si>
  <si>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</si>
  <si>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</si>
  <si>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</si>
  <si>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</si>
  <si>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</si>
  <si>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</si>
  <si>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</si>
  <si>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</si>
  <si>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</si>
  <si>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</si>
  <si>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</si>
  <si>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</si>
  <si>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</si>
  <si>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</si>
  <si>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</si>
  <si>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</si>
  <si>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</si>
  <si>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</si>
  <si>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</si>
  <si>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</si>
  <si>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</si>
  <si>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</si>
  <si>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</si>
  <si>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</si>
  <si>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</si>
  <si>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</si>
  <si>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</si>
  <si>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</si>
  <si>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</si>
  <si>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</si>
  <si>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</si>
  <si>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</si>
  <si>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</si>
  <si>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</si>
  <si>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</si>
  <si>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</si>
  <si>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</si>
  <si>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</si>
  <si>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</si>
  <si>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</si>
  <si>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</si>
  <si>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</si>
  <si>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</si>
  <si>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</si>
  <si>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</si>
  <si>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</si>
  <si>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</si>
  <si>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</si>
  <si>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</si>
  <si>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</si>
  <si>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</si>
  <si>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</si>
  <si>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</si>
  <si>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</si>
  <si>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</si>
  <si>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</si>
  <si>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</si>
  <si>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</si>
  <si>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</si>
  <si>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</si>
  <si>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</si>
  <si>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</si>
  <si>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</si>
  <si>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</si>
  <si>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</si>
  <si>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</si>
  <si>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</si>
  <si>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</si>
  <si>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</si>
  <si>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</si>
  <si>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</si>
  <si>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</si>
  <si>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</si>
  <si>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</si>
  <si>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</si>
  <si>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</si>
  <si>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</si>
  <si>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</si>
  <si>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</si>
  <si>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</si>
  <si>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</si>
  <si>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</si>
  <si>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</si>
  <si>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</si>
  <si>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</si>
  <si>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</si>
  <si>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</si>
  <si>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</si>
  <si>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</si>
  <si>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</si>
  <si>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</si>
  <si>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</si>
  <si>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</si>
  <si>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</si>
  <si>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</si>
  <si>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</si>
  <si>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</si>
  <si>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</si>
  <si>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</si>
  <si>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</si>
  <si>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</si>
  <si>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</si>
  <si>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</si>
  <si>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</si>
  <si>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</si>
  <si>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</si>
  <si>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</si>
  <si>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</si>
  <si>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</si>
  <si>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</si>
  <si>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</si>
  <si>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</si>
  <si>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</si>
  <si>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</si>
  <si>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</si>
  <si>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</si>
  <si>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</si>
  <si>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</si>
  <si>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</si>
  <si>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</si>
  <si>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</si>
  <si>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</si>
  <si>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</si>
  <si>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</si>
  <si>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</si>
  <si>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</si>
  <si>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</si>
  <si>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</si>
  <si>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</si>
  <si>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</si>
  <si>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</si>
  <si>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</si>
  <si>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</si>
  <si>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</si>
  <si>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</si>
  <si>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</si>
  <si>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</si>
  <si>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</si>
  <si>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</si>
  <si>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</si>
  <si>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</si>
  <si>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</si>
  <si>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</si>
  <si>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</si>
  <si>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</si>
  <si>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</si>
  <si>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</si>
  <si>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</si>
  <si>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</si>
  <si>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</si>
  <si>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</si>
  <si>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</si>
  <si>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</si>
  <si>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</si>
  <si>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</si>
  <si>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</si>
  <si>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</si>
  <si>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</si>
  <si>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</si>
  <si>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</si>
  <si>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</si>
  <si>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</si>
  <si>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</si>
  <si>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</si>
  <si>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</si>
  <si>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</si>
  <si>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</si>
  <si>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</si>
  <si>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</si>
  <si>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</si>
  <si>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</si>
  <si>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</si>
  <si>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</si>
  <si>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</si>
  <si>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</si>
  <si>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</si>
  <si>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</si>
  <si>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</si>
  <si>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</si>
  <si>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</si>
  <si>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</si>
  <si>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</si>
  <si>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</si>
  <si>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</si>
  <si>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</si>
  <si>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</si>
  <si>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</si>
  <si>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</si>
  <si>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</si>
  <si>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</si>
  <si>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</si>
  <si>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</si>
  <si>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</si>
  <si>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</si>
  <si>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</si>
  <si>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</si>
  <si>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</si>
  <si>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</si>
  <si>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</si>
  <si>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</si>
  <si>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</si>
  <si>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</si>
  <si>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</si>
  <si>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</si>
  <si>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</si>
  <si>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</si>
  <si>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</si>
  <si>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</si>
  <si>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</si>
  <si>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</si>
  <si>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</si>
  <si>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</si>
  <si>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</si>
  <si>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</si>
  <si>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</si>
  <si>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</si>
  <si>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</si>
  <si>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</si>
  <si>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</si>
  <si>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</si>
  <si>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</si>
  <si>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</si>
  <si>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</si>
  <si>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</si>
  <si>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</si>
  <si>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</si>
  <si>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</si>
  <si>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</si>
  <si>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</si>
  <si>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</si>
  <si>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</si>
  <si>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</si>
  <si>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</si>
  <si>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</si>
  <si>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</si>
  <si>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</si>
  <si>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</si>
  <si>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</si>
  <si>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</si>
  <si>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</si>
  <si>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</si>
  <si>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</si>
  <si>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</si>
  <si>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</si>
  <si>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</si>
  <si>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</si>
  <si>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</si>
  <si>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</si>
  <si>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</si>
  <si>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</si>
  <si>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</si>
  <si>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</si>
  <si>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</si>
  <si>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</si>
  <si>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</si>
  <si>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</si>
  <si>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</si>
  <si>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</si>
  <si>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</si>
  <si>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</si>
  <si>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</si>
  <si>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</si>
  <si>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</si>
  <si>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</si>
  <si>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</si>
  <si>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</si>
  <si>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</si>
  <si>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</si>
  <si>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</si>
  <si>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</si>
  <si>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</si>
  <si>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</si>
  <si>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</si>
  <si>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</si>
  <si>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</si>
  <si>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</si>
  <si>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</si>
  <si>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</si>
  <si>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</si>
  <si>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</si>
  <si>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</si>
  <si>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</si>
  <si>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</si>
  <si>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</si>
  <si>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</si>
  <si>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</si>
  <si>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</si>
  <si>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</si>
  <si>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</si>
  <si>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</si>
  <si>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</si>
  <si>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</si>
  <si>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</si>
  <si>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</si>
  <si>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</si>
  <si>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</si>
  <si>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</si>
  <si>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</si>
  <si>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</si>
  <si>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</si>
  <si>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</si>
  <si>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</si>
  <si>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</si>
  <si>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</si>
  <si>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</si>
  <si>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</si>
  <si>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</si>
  <si>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</si>
  <si>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</si>
  <si>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</si>
  <si>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</si>
  <si>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</si>
  <si>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</si>
  <si>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</si>
  <si>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</si>
  <si>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</si>
  <si>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</si>
  <si>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</si>
  <si>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</si>
  <si>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</si>
  <si>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</si>
  <si>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</si>
  <si>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</si>
  <si>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</si>
  <si>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</si>
  <si>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</si>
  <si>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</si>
  <si>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</si>
  <si>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</si>
  <si>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</si>
  <si>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</si>
  <si>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</si>
  <si>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</si>
  <si>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</si>
  <si>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</si>
  <si>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</si>
  <si>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</si>
  <si>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</si>
  <si>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</si>
  <si>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</si>
  <si>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</si>
  <si>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</si>
  <si>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</si>
  <si>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</si>
  <si>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</si>
  <si>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</si>
  <si>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</si>
  <si>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</si>
  <si>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</si>
  <si>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</si>
  <si>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</si>
  <si>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</si>
  <si>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</si>
  <si>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</si>
  <si>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</si>
  <si>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</si>
  <si>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</si>
  <si>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</si>
  <si>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</si>
  <si>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</si>
  <si>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</si>
  <si>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</si>
  <si>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</si>
  <si>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</si>
  <si>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</si>
  <si>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</si>
  <si>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</si>
  <si>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</si>
  <si>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</si>
  <si>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</si>
  <si>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</si>
  <si>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</si>
  <si>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</si>
  <si>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</si>
  <si>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</si>
  <si>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</si>
  <si>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</si>
  <si>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</si>
  <si>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</si>
  <si>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</si>
  <si>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</si>
  <si>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</si>
  <si>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</si>
  <si>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</si>
  <si>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</si>
  <si>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</si>
  <si>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</si>
  <si>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</si>
  <si>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</si>
  <si>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</si>
  <si>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</si>
  <si>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</si>
  <si>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</si>
  <si>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</si>
  <si>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</si>
  <si>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</si>
  <si>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</si>
  <si>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</si>
  <si>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</si>
  <si>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</si>
  <si>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</si>
  <si>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</si>
  <si>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</si>
  <si>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</si>
  <si>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</si>
  <si>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</si>
  <si>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</si>
  <si>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</si>
  <si>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</si>
  <si>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</si>
  <si>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</si>
  <si>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</si>
  <si>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</si>
  <si>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</si>
  <si>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</si>
  <si>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</si>
  <si>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</si>
  <si>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</si>
  <si>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</si>
  <si>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</si>
  <si>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</si>
  <si>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</si>
  <si>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</si>
  <si>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</si>
  <si>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</si>
  <si>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</si>
  <si>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</si>
  <si>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</si>
  <si>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</si>
  <si>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</si>
  <si>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</si>
  <si>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</si>
  <si>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</si>
  <si>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</si>
  <si>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</si>
  <si>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</si>
  <si>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</si>
  <si>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</si>
  <si>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</si>
  <si>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</si>
  <si>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</si>
  <si>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</si>
  <si>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</si>
  <si>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</si>
  <si>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</si>
  <si>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</si>
  <si>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</si>
  <si>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</si>
  <si>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</si>
  <si>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</si>
  <si>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</si>
  <si>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</si>
  <si>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</si>
  <si>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</si>
  <si>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</si>
  <si>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</si>
  <si>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</si>
  <si>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</si>
  <si>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</si>
  <si>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</si>
  <si>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</si>
  <si>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</si>
  <si>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</si>
  <si>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</si>
  <si>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</si>
  <si>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</si>
  <si>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</si>
  <si>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</si>
  <si>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</si>
  <si>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</si>
  <si>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</si>
  <si>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</si>
  <si>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</si>
  <si>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</si>
  <si>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</si>
  <si>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</si>
  <si>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</si>
  <si>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</si>
  <si>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</si>
  <si>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</si>
  <si>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</si>
  <si>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</si>
  <si>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</si>
  <si>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</si>
  <si>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</si>
  <si>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</si>
  <si>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</si>
  <si>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</si>
  <si>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</si>
  <si>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</si>
  <si>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</si>
  <si>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</si>
  <si>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</si>
  <si>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</si>
  <si>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</si>
  <si>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</si>
  <si>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</si>
  <si>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</si>
  <si>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</si>
  <si>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</si>
  <si>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</si>
  <si>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</si>
  <si>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</si>
  <si>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</si>
  <si>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</si>
  <si>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</si>
  <si>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</si>
  <si>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</si>
  <si>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</si>
  <si>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</si>
  <si>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</si>
  <si>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</si>
  <si>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</si>
  <si>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</si>
  <si>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</si>
  <si>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</si>
  <si>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</si>
  <si>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</si>
  <si>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</si>
  <si>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</si>
  <si>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</si>
  <si>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</si>
  <si>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</si>
  <si>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</si>
  <si>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</si>
  <si>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</si>
  <si>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</si>
  <si>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</si>
  <si>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</si>
  <si>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</si>
  <si>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</si>
  <si>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</si>
  <si>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</si>
  <si>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</si>
  <si>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</si>
  <si>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</si>
  <si>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</si>
  <si>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</si>
  <si>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</si>
  <si>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</si>
  <si>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</si>
  <si>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</si>
  <si>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</si>
  <si>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</si>
  <si>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</si>
  <si>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</si>
  <si>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</si>
  <si>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</si>
  <si>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</si>
  <si>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</si>
  <si>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</si>
  <si>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</si>
  <si>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</si>
  <si>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</si>
  <si>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</si>
  <si>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</si>
  <si>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</si>
  <si>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</si>
  <si>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</si>
  <si>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</si>
  <si>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</si>
  <si>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</si>
  <si>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</si>
  <si>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</si>
  <si>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</si>
  <si>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</si>
  <si>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</si>
  <si>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</si>
  <si>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</si>
  <si>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</si>
  <si>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</si>
  <si>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</si>
  <si>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</si>
  <si>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</si>
  <si>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</si>
  <si>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</si>
  <si>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</si>
  <si>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</si>
  <si>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Rate PSS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</si>
  <si>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</si>
  <si>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</si>
  <si>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</si>
  <si>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</si>
  <si>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</si>
  <si>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</si>
  <si>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</si>
  <si>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</si>
  <si>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</si>
  <si>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</si>
  <si>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</si>
  <si>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</si>
  <si>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</si>
  <si>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</si>
  <si>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</si>
  <si>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</si>
  <si>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</si>
  <si>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</si>
  <si>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</si>
  <si>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</si>
  <si>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</si>
  <si>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</si>
  <si>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</si>
  <si>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</si>
  <si>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</si>
  <si>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</si>
  <si>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</si>
  <si>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</si>
  <si>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</si>
  <si>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</si>
  <si>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</si>
  <si>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</si>
  <si>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</si>
  <si>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</si>
  <si>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</si>
  <si>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</si>
  <si>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</si>
  <si>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</si>
  <si>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</si>
  <si>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</si>
  <si>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</si>
  <si>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</si>
  <si>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</si>
  <si>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</si>
  <si>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</si>
  <si>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</si>
  <si>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</si>
  <si>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</si>
  <si>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</si>
  <si>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</si>
  <si>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</si>
  <si>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</si>
  <si>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</si>
  <si>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</si>
  <si>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</si>
  <si>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</si>
  <si>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</si>
  <si>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</si>
  <si>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</si>
  <si>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</si>
  <si>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</si>
  <si>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</si>
  <si>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</si>
  <si>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</si>
  <si>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</si>
  <si>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</si>
  <si>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</si>
  <si>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</si>
  <si>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</si>
  <si>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</si>
  <si>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</si>
  <si>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</si>
  <si>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</si>
  <si>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</si>
  <si>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</si>
  <si>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</si>
  <si>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</si>
  <si>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</si>
  <si>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</si>
  <si>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</si>
  <si>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</si>
  <si>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</si>
  <si>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</si>
  <si>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</si>
  <si>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</si>
  <si>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</si>
  <si>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</si>
  <si>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</si>
  <si>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</si>
  <si>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</si>
  <si>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</si>
  <si>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</si>
  <si>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</si>
  <si>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</si>
  <si>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</si>
  <si>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</si>
  <si>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</si>
  <si>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</si>
  <si>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</si>
  <si>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</si>
  <si>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</si>
  <si>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</si>
  <si>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</si>
  <si>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</si>
  <si>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</si>
  <si>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</si>
  <si>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</si>
  <si>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</si>
  <si>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</si>
  <si>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</si>
  <si>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</si>
  <si>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</si>
  <si>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</si>
  <si>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</si>
  <si>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</si>
  <si>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</si>
  <si>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</si>
  <si>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</si>
  <si>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</si>
  <si>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</si>
  <si>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</si>
  <si>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</si>
  <si>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</si>
  <si>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</si>
  <si>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</si>
  <si>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</si>
  <si>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</si>
  <si>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</si>
  <si>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</si>
  <si>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</si>
  <si>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</si>
  <si>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</si>
  <si>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</si>
  <si>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</si>
  <si>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</si>
  <si>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</si>
  <si>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</si>
  <si>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</si>
  <si>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</si>
  <si>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</si>
  <si>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</si>
  <si>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</si>
  <si>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</si>
  <si>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</si>
  <si>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</si>
  <si>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</si>
  <si>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</si>
  <si>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</si>
  <si>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</si>
  <si>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</si>
  <si>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</si>
  <si>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</si>
  <si>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</si>
  <si>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</si>
  <si>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</si>
  <si>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</si>
  <si>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</si>
  <si>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</si>
  <si>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</si>
  <si>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</si>
  <si>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</si>
  <si>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</si>
  <si>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</si>
  <si>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</si>
  <si>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</si>
  <si>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</si>
  <si>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</si>
  <si>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</si>
  <si>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</si>
  <si>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</si>
  <si>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</si>
  <si>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</si>
  <si>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</si>
  <si>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</si>
  <si>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</si>
  <si>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</si>
  <si>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</si>
  <si>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</si>
  <si>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</si>
  <si>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</si>
  <si>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</si>
  <si>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</si>
  <si>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</si>
  <si>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</si>
  <si>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</si>
  <si>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</si>
  <si>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</si>
  <si>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</si>
  <si>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</si>
  <si>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</si>
  <si>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</si>
  <si>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</si>
  <si>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</si>
  <si>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</si>
  <si>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</si>
  <si>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</si>
  <si>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</si>
  <si>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</si>
  <si>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</si>
  <si>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</si>
  <si>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</si>
  <si>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</si>
  <si>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</si>
  <si>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</si>
  <si>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</si>
  <si>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</si>
  <si>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</si>
  <si>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</si>
  <si>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</si>
  <si>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</si>
  <si>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</si>
  <si>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</si>
  <si>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</si>
  <si>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</si>
  <si>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</si>
  <si>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</si>
  <si>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</si>
  <si>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</si>
  <si>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</si>
  <si>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</si>
  <si>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</si>
  <si>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</si>
  <si>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</si>
  <si>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</si>
  <si>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</si>
  <si>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</si>
  <si>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</si>
  <si>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</si>
  <si>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</si>
  <si>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</si>
  <si>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</si>
  <si>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</si>
  <si>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</si>
  <si>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</si>
  <si>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</si>
  <si>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</si>
  <si>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</si>
  <si>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</si>
  <si>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</si>
  <si>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</si>
  <si>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</si>
  <si>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</si>
  <si>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</si>
  <si>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</si>
  <si>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</si>
  <si>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</si>
  <si>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</si>
  <si>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</si>
  <si>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</si>
  <si>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</si>
  <si>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</si>
  <si>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</si>
  <si>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</si>
  <si>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</si>
  <si>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</si>
  <si>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</si>
  <si>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</si>
  <si>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</si>
  <si>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</si>
  <si>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</si>
  <si>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</si>
  <si>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</si>
  <si>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</si>
  <si>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</si>
  <si>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</si>
  <si>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</si>
  <si>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</si>
  <si>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</si>
  <si>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</si>
  <si>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</si>
  <si>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</si>
  <si>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</si>
  <si>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</si>
  <si>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</si>
  <si>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</si>
  <si>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</si>
  <si>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</si>
  <si>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</si>
  <si>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</si>
  <si>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</si>
  <si>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</si>
  <si>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</si>
  <si>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</si>
  <si>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</si>
  <si>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</si>
  <si>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</si>
  <si>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</si>
  <si>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</si>
  <si>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</si>
  <si>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</si>
  <si>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</si>
  <si>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</si>
  <si>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</si>
  <si>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</si>
  <si>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</si>
  <si>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</si>
  <si>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</si>
  <si>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</si>
  <si>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</si>
  <si>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</si>
  <si>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</si>
  <si>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</si>
  <si>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</si>
  <si>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</si>
  <si>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</si>
  <si>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</si>
  <si>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</si>
  <si>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</si>
  <si>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</si>
  <si>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</si>
  <si>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</si>
  <si>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</si>
  <si>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</si>
  <si>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</si>
  <si>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</si>
  <si>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</si>
  <si>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</si>
  <si>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</si>
  <si>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</si>
  <si>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</si>
  <si>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</si>
  <si>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</si>
  <si>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</si>
  <si>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</si>
  <si>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</si>
  <si>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</si>
  <si>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</si>
  <si>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</si>
  <si>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</si>
  <si>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</si>
  <si>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</si>
  <si>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</si>
  <si>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</si>
  <si>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</si>
  <si>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</si>
  <si>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</si>
  <si>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</si>
  <si>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</si>
  <si>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</si>
  <si>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</si>
  <si>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</si>
  <si>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</si>
  <si>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</si>
  <si>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</si>
  <si>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</si>
  <si>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</si>
  <si>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</si>
  <si>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</si>
  <si>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</si>
  <si>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</si>
  <si>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</si>
  <si>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</si>
  <si>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</si>
  <si>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</si>
  <si>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</si>
  <si>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</si>
  <si>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</si>
  <si>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</si>
  <si>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</si>
  <si>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</si>
  <si>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</si>
  <si>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</si>
  <si>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</si>
  <si>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</si>
  <si>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</si>
  <si>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</si>
  <si>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</si>
  <si>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</si>
  <si>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</si>
  <si>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</si>
  <si>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</si>
  <si>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</si>
  <si>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</si>
  <si>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</si>
  <si>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</si>
  <si>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</si>
  <si>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</si>
  <si>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</si>
  <si>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</si>
  <si>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</si>
  <si>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</si>
  <si>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</si>
  <si>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</si>
  <si>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</si>
  <si>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</si>
  <si>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</si>
  <si>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</si>
  <si>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</si>
  <si>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</si>
  <si>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</si>
  <si>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Rate PSP</t>
  </si>
  <si>
    <t>GS</t>
  </si>
  <si>
    <t>Not Used</t>
  </si>
  <si>
    <t>All Electric Schools</t>
  </si>
  <si>
    <t>AES</t>
  </si>
  <si>
    <t>General Service Rate GS</t>
  </si>
  <si>
    <t>Rate GS</t>
  </si>
  <si>
    <t>Rate AES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</si>
  <si>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</si>
  <si>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</si>
  <si>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</si>
  <si>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</si>
  <si>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</si>
  <si>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</si>
  <si>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</si>
  <si>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</si>
  <si>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</si>
  <si>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</si>
  <si>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</si>
  <si>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</si>
  <si>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</si>
  <si>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</si>
  <si>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</si>
  <si>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</si>
  <si>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</si>
  <si>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</si>
  <si>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</si>
  <si>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</si>
  <si>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</si>
  <si>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</si>
  <si>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</si>
  <si>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</si>
  <si>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</si>
  <si>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</si>
  <si>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</si>
  <si>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</si>
  <si>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</si>
  <si>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</si>
  <si>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</si>
  <si>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</si>
  <si>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</si>
  <si>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</si>
  <si>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</si>
  <si>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</si>
  <si>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</si>
  <si>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</si>
  <si>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</si>
  <si>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</si>
  <si>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</si>
  <si>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</si>
  <si>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</si>
  <si>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</si>
  <si>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</si>
  <si>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</si>
  <si>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</si>
  <si>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</si>
  <si>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</si>
  <si>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</si>
  <si>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</si>
  <si>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</si>
  <si>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</si>
  <si>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</si>
  <si>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</si>
  <si>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</si>
  <si>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</si>
  <si>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</si>
  <si>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</si>
  <si>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</si>
  <si>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</si>
  <si>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</si>
  <si>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</si>
  <si>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</si>
  <si>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</si>
  <si>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</si>
  <si>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</si>
  <si>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</si>
  <si>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</si>
  <si>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</si>
  <si>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</si>
  <si>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</si>
  <si>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</si>
  <si>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</si>
  <si>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</si>
  <si>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</si>
  <si>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</si>
  <si>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</si>
  <si>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</si>
  <si>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</si>
  <si>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</si>
  <si>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</si>
  <si>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</si>
  <si>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</si>
  <si>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</si>
  <si>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</si>
  <si>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</si>
  <si>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</si>
  <si>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</si>
  <si>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</si>
  <si>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</si>
  <si>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</si>
  <si>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</si>
  <si>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</si>
  <si>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</si>
  <si>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</si>
  <si>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</si>
  <si>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</si>
  <si>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</si>
  <si>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</si>
  <si>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Rate TODS</t>
  </si>
  <si>
    <t>Revenue Adjustments</t>
  </si>
  <si>
    <t>Demand Cost</t>
  </si>
  <si>
    <t>(27)</t>
  </si>
  <si>
    <t>Rate TODP</t>
  </si>
  <si>
    <t>Rate RTS</t>
  </si>
  <si>
    <t>Rate FLS</t>
  </si>
  <si>
    <t>Energy Cost</t>
  </si>
  <si>
    <t>Total Infrastructure Energy Cost</t>
  </si>
  <si>
    <t>ECR  Base Rates</t>
  </si>
  <si>
    <t>Cust Service Expenses</t>
  </si>
  <si>
    <t>Average 5 Monthly CP</t>
  </si>
  <si>
    <t>5CP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</si>
</sst>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61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  <xf numFmtId="43" fontId="59" fillId="0" borderId="0" applyFont="0" applyFill="0" applyBorder="0" applyAlignment="0" applyProtection="0"/>
    <xf numFmtId="0" fontId="2" fillId="0" borderId="0"/>
  </cellStyleXfs>
  <cellXfs count="441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44" fontId="13" fillId="0" borderId="11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72" fontId="13" fillId="0" borderId="0" xfId="33" applyNumberFormat="1" applyFont="1"/>
    <xf numFmtId="166" fontId="13" fillId="0" borderId="0" xfId="33" applyNumberFormat="1" applyFont="1"/>
    <xf numFmtId="2" fontId="13" fillId="0" borderId="0" xfId="0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0" xfId="36" applyFont="1" applyBorder="1"/>
    <xf numFmtId="44" fontId="13" fillId="0" borderId="9" xfId="36" applyNumberFormat="1" applyFont="1" applyBorder="1"/>
    <xf numFmtId="44" fontId="13" fillId="0" borderId="0" xfId="0" applyNumberFormat="1" applyFont="1"/>
    <xf numFmtId="167" fontId="13" fillId="0" borderId="0" xfId="0" applyNumberFormat="1" applyFont="1"/>
    <xf numFmtId="44" fontId="13" fillId="0" borderId="0" xfId="36" applyFont="1"/>
    <xf numFmtId="0" fontId="13" fillId="0" borderId="12" xfId="0" applyFont="1" applyBorder="1"/>
    <xf numFmtId="172" fontId="13" fillId="0" borderId="24" xfId="33" applyNumberFormat="1" applyFont="1" applyBorder="1"/>
    <xf numFmtId="43" fontId="13" fillId="0" borderId="24" xfId="33" applyFont="1" applyBorder="1"/>
    <xf numFmtId="189" fontId="0" fillId="0" borderId="0" xfId="67" applyNumberFormat="1" applyFont="1"/>
    <xf numFmtId="171" fontId="0" fillId="22" borderId="0" xfId="92" applyNumberFormat="1" applyFont="1" applyFill="1" applyAlignment="1"/>
    <xf numFmtId="0" fontId="2" fillId="22" borderId="0" xfId="0" applyFont="1" applyFill="1" applyBorder="1"/>
    <xf numFmtId="171" fontId="0" fillId="22" borderId="0" xfId="92" applyNumberFormat="1" applyFont="1" applyFill="1"/>
    <xf numFmtId="171" fontId="60" fillId="22" borderId="0" xfId="33" applyNumberFormat="1" applyFont="1" applyFill="1" applyBorder="1"/>
    <xf numFmtId="0" fontId="2" fillId="23" borderId="0" xfId="0" applyFont="1" applyFill="1"/>
    <xf numFmtId="0" fontId="2" fillId="0" borderId="0" xfId="93" applyFont="1" applyFill="1" applyAlignment="1">
      <alignment horizontal="centerContinuous"/>
    </xf>
    <xf numFmtId="0" fontId="2" fillId="0" borderId="0" xfId="93" applyFont="1" applyFill="1"/>
    <xf numFmtId="0" fontId="1" fillId="0" borderId="0" xfId="93" applyFont="1" applyFill="1" applyAlignment="1">
      <alignment wrapText="1"/>
    </xf>
    <xf numFmtId="0" fontId="1" fillId="0" borderId="0" xfId="93" applyFont="1" applyFill="1" applyAlignment="1">
      <alignment horizontal="right" wrapText="1"/>
    </xf>
    <xf numFmtId="0" fontId="1" fillId="0" borderId="0" xfId="93" applyFont="1" applyFill="1" applyAlignment="1">
      <alignment horizontal="left" wrapText="1"/>
    </xf>
    <xf numFmtId="0" fontId="1" fillId="0" borderId="0" xfId="93" applyFont="1" applyFill="1" applyBorder="1" applyAlignment="1">
      <alignment horizontal="right" wrapText="1"/>
    </xf>
    <xf numFmtId="0" fontId="2" fillId="0" borderId="0" xfId="93" applyFont="1" applyFill="1" applyAlignment="1">
      <alignment wrapText="1"/>
    </xf>
    <xf numFmtId="0" fontId="1" fillId="0" borderId="9" xfId="93" applyFont="1" applyFill="1" applyBorder="1"/>
    <xf numFmtId="0" fontId="1" fillId="0" borderId="9" xfId="93" applyFont="1" applyFill="1" applyBorder="1" applyAlignment="1">
      <alignment horizontal="center"/>
    </xf>
    <xf numFmtId="0" fontId="1" fillId="0" borderId="9" xfId="93" applyFont="1" applyFill="1" applyBorder="1" applyAlignment="1">
      <alignment horizontal="left"/>
    </xf>
    <xf numFmtId="0" fontId="1" fillId="0" borderId="9" xfId="93" applyFont="1" applyFill="1" applyBorder="1" applyAlignment="1">
      <alignment horizontal="right"/>
    </xf>
    <xf numFmtId="0" fontId="6" fillId="0" borderId="0" xfId="93" applyFont="1" applyFill="1"/>
    <xf numFmtId="164" fontId="2" fillId="0" borderId="0" xfId="93" applyNumberFormat="1" applyFont="1" applyFill="1"/>
    <xf numFmtId="0" fontId="1" fillId="0" borderId="0" xfId="93" applyFont="1" applyFill="1"/>
    <xf numFmtId="0" fontId="2" fillId="0" borderId="0" xfId="93" quotePrefix="1" applyFont="1" applyFill="1"/>
    <xf numFmtId="166" fontId="2" fillId="0" borderId="0" xfId="93" applyNumberFormat="1" applyFont="1" applyFill="1"/>
    <xf numFmtId="44" fontId="2" fillId="0" borderId="0" xfId="93" applyNumberFormat="1" applyFont="1" applyFill="1"/>
    <xf numFmtId="0" fontId="1" fillId="0" borderId="0" xfId="93" applyFont="1" applyFill="1" applyBorder="1"/>
    <xf numFmtId="10" fontId="1" fillId="0" borderId="0" xfId="67" applyNumberFormat="1" applyFont="1" applyFill="1" applyBorder="1"/>
    <xf numFmtId="43" fontId="2" fillId="0" borderId="0" xfId="93" applyNumberFormat="1" applyFont="1" applyFill="1"/>
    <xf numFmtId="43" fontId="2" fillId="0" borderId="0" xfId="93" applyNumberFormat="1" applyFont="1" applyFill="1" applyAlignment="1">
      <alignment horizontal="right"/>
    </xf>
    <xf numFmtId="167" fontId="2" fillId="0" borderId="0" xfId="93" applyNumberFormat="1" applyFont="1" applyFill="1"/>
    <xf numFmtId="164" fontId="2" fillId="0" borderId="10" xfId="93" applyNumberFormat="1" applyFont="1" applyFill="1" applyBorder="1"/>
    <xf numFmtId="166" fontId="2" fillId="0" borderId="0" xfId="93" applyNumberFormat="1" applyFont="1" applyFill="1" applyBorder="1"/>
    <xf numFmtId="0" fontId="2" fillId="0" borderId="0" xfId="93" applyFont="1" applyFill="1" applyAlignment="1">
      <alignment horizontal="left"/>
    </xf>
    <xf numFmtId="0" fontId="1" fillId="0" borderId="0" xfId="93" applyFont="1"/>
    <xf numFmtId="0" fontId="2" fillId="0" borderId="0" xfId="93" applyFont="1"/>
    <xf numFmtId="164" fontId="2" fillId="0" borderId="0" xfId="93" applyNumberFormat="1" applyFont="1"/>
    <xf numFmtId="0" fontId="1" fillId="0" borderId="12" xfId="93" applyFont="1" applyFill="1" applyBorder="1"/>
    <xf numFmtId="0" fontId="1" fillId="0" borderId="13" xfId="93" applyFont="1" applyFill="1" applyBorder="1"/>
    <xf numFmtId="10" fontId="1" fillId="0" borderId="11" xfId="67" applyNumberFormat="1" applyFont="1" applyFill="1" applyBorder="1"/>
    <xf numFmtId="0" fontId="1" fillId="0" borderId="0" xfId="93" quotePrefix="1" applyFont="1" applyFill="1" applyAlignment="1">
      <alignment horizontal="right" wrapText="1"/>
    </xf>
    <xf numFmtId="0" fontId="1" fillId="0" borderId="9" xfId="93" quotePrefix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2" xfId="92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2" xfId="93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zoomScale="85" zoomScaleNormal="85" zoomScaleSheetLayoutView="90" workbookViewId="0">
      <pane ySplit="22" topLeftCell="A23" activePane="bottomLeft" state="frozen"/>
      <selection pane="bottomLeft" activeCell="A13" sqref="A13"/>
    </sheetView>
  </sheetViews>
  <sheetFormatPr defaultColWidth="9.109375" defaultRowHeight="10.199999999999999" x14ac:dyDescent="0.2"/>
  <cols>
    <col min="1" max="1" width="3.5546875" style="35" customWidth="1"/>
    <col min="2" max="2" width="45.6640625" style="35" bestFit="1" customWidth="1"/>
    <col min="3" max="3" width="13.88671875" style="35" bestFit="1" customWidth="1"/>
    <col min="4" max="4" width="13.44140625" style="36" bestFit="1" customWidth="1"/>
    <col min="5" max="5" width="3.5546875" style="35" customWidth="1"/>
    <col min="6" max="6" width="20.6640625" style="35" customWidth="1"/>
    <col min="7" max="7" width="1.109375" style="35" customWidth="1"/>
    <col min="8" max="9" width="13.5546875" style="36" bestFit="1" customWidth="1"/>
    <col min="10" max="10" width="1" style="36" customWidth="1"/>
    <col min="11" max="11" width="0.88671875" style="36" customWidth="1"/>
    <col min="12" max="12" width="13.5546875" style="36" bestFit="1" customWidth="1"/>
    <col min="13" max="13" width="1.109375" style="36" customWidth="1"/>
    <col min="14" max="14" width="13.5546875" style="36" bestFit="1" customWidth="1"/>
    <col min="15" max="15" width="12.33203125" style="36" bestFit="1" customWidth="1"/>
    <col min="16" max="16" width="14.6640625" style="36" bestFit="1" customWidth="1"/>
    <col min="17" max="17" width="12.88671875" style="36" bestFit="1" customWidth="1"/>
    <col min="18" max="19" width="1.33203125" style="35" customWidth="1"/>
    <col min="20" max="20" width="18.5546875" style="36" customWidth="1"/>
    <col min="21" max="21" width="11.6640625" style="35" bestFit="1" customWidth="1"/>
    <col min="22" max="22" width="17.44140625" style="35" customWidth="1"/>
    <col min="23" max="23" width="13.5546875" style="35" customWidth="1"/>
    <col min="24" max="24" width="15.44140625" style="35" bestFit="1" customWidth="1"/>
    <col min="25" max="25" width="19.44140625" style="35" bestFit="1" customWidth="1"/>
    <col min="26" max="26" width="31.44140625" style="35" bestFit="1" customWidth="1"/>
    <col min="27" max="27" width="11.6640625" style="35" bestFit="1" customWidth="1"/>
    <col min="28" max="28" width="4.6640625" style="35" bestFit="1" customWidth="1"/>
    <col min="29" max="29" width="14.33203125" style="35" bestFit="1" customWidth="1"/>
    <col min="30" max="30" width="6.33203125" style="35" bestFit="1" customWidth="1"/>
    <col min="31" max="31" width="38.33203125" style="35" bestFit="1" customWidth="1"/>
    <col min="32" max="32" width="18" style="35" bestFit="1" customWidth="1"/>
    <col min="33" max="42" width="9.109375" style="35"/>
    <col min="43" max="43" width="6.44140625" style="35" bestFit="1" customWidth="1"/>
    <col min="44" max="44" width="41.44140625" style="35" bestFit="1" customWidth="1"/>
    <col min="45" max="45" width="18" style="35" bestFit="1" customWidth="1"/>
    <col min="46" max="58" width="9.109375" style="35"/>
    <col min="59" max="59" width="6.44140625" style="35" bestFit="1" customWidth="1"/>
    <col min="60" max="60" width="41.44140625" style="35" bestFit="1" customWidth="1"/>
    <col min="61" max="61" width="18" style="35" bestFit="1" customWidth="1"/>
    <col min="62" max="66" width="9.109375" style="35"/>
    <col min="67" max="67" width="6.44140625" style="35" bestFit="1" customWidth="1"/>
    <col min="68" max="68" width="41.109375" style="35" bestFit="1" customWidth="1"/>
    <col min="69" max="69" width="18" style="35" bestFit="1" customWidth="1"/>
    <col min="70" max="74" width="9.109375" style="35"/>
    <col min="75" max="75" width="6.33203125" style="35" bestFit="1" customWidth="1"/>
    <col min="76" max="76" width="41.33203125" style="35" bestFit="1" customWidth="1"/>
    <col min="77" max="77" width="18" style="35" bestFit="1" customWidth="1"/>
    <col min="78" max="82" width="9.109375" style="35"/>
    <col min="83" max="83" width="6.44140625" style="35" bestFit="1" customWidth="1"/>
    <col min="84" max="84" width="40.88671875" style="35" bestFit="1" customWidth="1"/>
    <col min="85" max="85" width="18" style="35" bestFit="1" customWidth="1"/>
    <col min="86" max="90" width="9.109375" style="35"/>
    <col min="91" max="91" width="6.33203125" style="35" bestFit="1" customWidth="1"/>
    <col min="92" max="92" width="41.33203125" style="35" bestFit="1" customWidth="1"/>
    <col min="93" max="93" width="18" style="35" bestFit="1" customWidth="1"/>
    <col min="94" max="98" width="9.109375" style="35"/>
    <col min="99" max="99" width="6.44140625" style="35" bestFit="1" customWidth="1"/>
    <col min="100" max="100" width="41.109375" style="35" bestFit="1" customWidth="1"/>
    <col min="101" max="101" width="18" style="35" bestFit="1" customWidth="1"/>
    <col min="102" max="112" width="9.109375" style="35"/>
    <col min="113" max="113" width="6.44140625" style="35" bestFit="1" customWidth="1"/>
    <col min="114" max="114" width="38" style="35" bestFit="1" customWidth="1"/>
    <col min="115" max="115" width="18" style="35" bestFit="1" customWidth="1"/>
    <col min="116" max="126" width="9.109375" style="35"/>
    <col min="127" max="127" width="4.109375" style="35" bestFit="1" customWidth="1"/>
    <col min="128" max="128" width="47.88671875" style="35" bestFit="1" customWidth="1"/>
    <col min="129" max="134" width="9.109375" style="35"/>
    <col min="135" max="135" width="6.88671875" style="35" bestFit="1" customWidth="1"/>
    <col min="136" max="136" width="28.6640625" style="35" bestFit="1" customWidth="1"/>
    <col min="137" max="137" width="53.6640625" style="35" bestFit="1" customWidth="1"/>
    <col min="138" max="142" width="9.109375" style="35"/>
    <col min="143" max="143" width="7.6640625" style="35" bestFit="1" customWidth="1"/>
    <col min="144" max="144" width="56.109375" style="35" bestFit="1" customWidth="1"/>
    <col min="145" max="145" width="60.6640625" style="35" bestFit="1" customWidth="1"/>
    <col min="146" max="153" width="9.109375" style="35"/>
    <col min="154" max="154" width="37.6640625" style="35" bestFit="1" customWidth="1"/>
    <col min="155" max="158" width="9.109375" style="35"/>
    <col min="159" max="159" width="4.88671875" style="35" bestFit="1" customWidth="1"/>
    <col min="160" max="160" width="93.6640625" style="35" bestFit="1" customWidth="1"/>
    <col min="161" max="166" width="9.109375" style="35"/>
    <col min="167" max="167" width="6.88671875" style="35" bestFit="1" customWidth="1"/>
    <col min="168" max="168" width="7" style="35" bestFit="1" customWidth="1"/>
    <col min="169" max="171" width="9.109375" style="35"/>
    <col min="172" max="172" width="2.88671875" style="35" bestFit="1" customWidth="1"/>
    <col min="173" max="173" width="116.33203125" style="35" bestFit="1" customWidth="1"/>
    <col min="174" max="16384" width="9.10937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2382</v>
      </c>
    </row>
    <row r="17" spans="1:20" x14ac:dyDescent="0.2">
      <c r="B17" s="35" t="s">
        <v>1953</v>
      </c>
      <c r="E17" s="35" t="s">
        <v>2383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1954</v>
      </c>
      <c r="C37" s="35" t="s">
        <v>1955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2268</v>
      </c>
      <c r="C39" s="35" t="s">
        <v>2269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1956</v>
      </c>
      <c r="C42" s="35" t="s">
        <v>1957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1958</v>
      </c>
      <c r="C43" s="35" t="s">
        <v>1959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1960</v>
      </c>
      <c r="C44" s="35" t="s">
        <v>1961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1962</v>
      </c>
      <c r="C45" s="35" t="s">
        <v>1963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1964</v>
      </c>
      <c r="C46" s="35" t="s">
        <v>1965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1966</v>
      </c>
      <c r="C47" s="35" t="s">
        <v>1967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1968</v>
      </c>
      <c r="C48" s="35" t="s">
        <v>1969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1970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1971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1972</v>
      </c>
      <c r="C51" s="35" t="s">
        <v>1973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1974</v>
      </c>
      <c r="C52" s="35" t="s">
        <v>1975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1976</v>
      </c>
      <c r="C53" s="35" t="s">
        <v>1977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2343</v>
      </c>
      <c r="C54" s="35" t="s">
        <v>2344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1978</v>
      </c>
      <c r="C55" s="35" t="s">
        <v>1979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1980</v>
      </c>
      <c r="C56" s="35" t="s">
        <v>1981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1982</v>
      </c>
      <c r="C57" s="35" t="s">
        <v>1983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1984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1985</v>
      </c>
      <c r="C59" s="35" t="s">
        <v>1986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1987</v>
      </c>
      <c r="C60" s="35" t="s">
        <v>1988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1989</v>
      </c>
      <c r="C61" s="35" t="s">
        <v>1990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1991</v>
      </c>
      <c r="C62" s="35" t="s">
        <v>1992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1993</v>
      </c>
      <c r="C63" s="35" t="s">
        <v>1994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1995</v>
      </c>
      <c r="C64" s="35" t="s">
        <v>1996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1997</v>
      </c>
      <c r="C65" s="35" t="s">
        <v>1998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1999</v>
      </c>
      <c r="C66" s="35" t="s">
        <v>2000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2001</v>
      </c>
      <c r="C67" s="35" t="s">
        <v>2002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2345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2346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2003</v>
      </c>
      <c r="C72" s="35" t="s">
        <v>2004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2384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2005</v>
      </c>
      <c r="C73" s="35" t="s">
        <v>2006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2347</v>
      </c>
      <c r="V73" s="35">
        <v>6803.8320000000003</v>
      </c>
      <c r="W73" s="35">
        <v>2763.36</v>
      </c>
      <c r="X73" s="35">
        <v>4040.4720000000002</v>
      </c>
      <c r="Y73" s="35" t="s">
        <v>2385</v>
      </c>
    </row>
    <row r="74" spans="1:25" x14ac:dyDescent="0.2">
      <c r="A74" s="35">
        <v>44</v>
      </c>
      <c r="B74" s="35" t="s">
        <v>2007</v>
      </c>
      <c r="C74" s="35" t="s">
        <v>2008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2348</v>
      </c>
      <c r="V74" s="35">
        <v>0</v>
      </c>
      <c r="W74" s="35">
        <v>0</v>
      </c>
      <c r="X74" s="35">
        <v>0</v>
      </c>
      <c r="Y74" s="35" t="s">
        <v>2386</v>
      </c>
    </row>
    <row r="75" spans="1:25" x14ac:dyDescent="0.2">
      <c r="A75" s="35">
        <v>45</v>
      </c>
      <c r="B75" s="35" t="s">
        <v>2009</v>
      </c>
      <c r="C75" s="35" t="s">
        <v>2010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2011</v>
      </c>
      <c r="C76" s="35" t="s">
        <v>2012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2013</v>
      </c>
      <c r="C77" s="35" t="s">
        <v>2014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2015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2016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2017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2018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2019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2020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2021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2022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2270</v>
      </c>
      <c r="C138" s="35" t="s">
        <v>2271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2023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2024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2025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2026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2027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2028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2029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2030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2031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2032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2033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2034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2272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2035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2036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2037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2038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2039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2040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2041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2042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2043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2044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2045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2046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2047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2349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2273</v>
      </c>
      <c r="C218" s="35" t="s">
        <v>2274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2275</v>
      </c>
      <c r="C219" s="35" t="s">
        <v>2276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2277</v>
      </c>
      <c r="C220" s="35" t="s">
        <v>2278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2048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2279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2049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2050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2051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2052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2053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2054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2055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2056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1954</v>
      </c>
      <c r="C286" s="35" t="s">
        <v>1955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2268</v>
      </c>
      <c r="C288" s="35" t="s">
        <v>2269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1956</v>
      </c>
      <c r="C291" s="35" t="s">
        <v>1957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1958</v>
      </c>
      <c r="C292" s="35" t="s">
        <v>1959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1960</v>
      </c>
      <c r="C293" s="35" t="s">
        <v>1961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1962</v>
      </c>
      <c r="C294" s="35" t="s">
        <v>1963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1964</v>
      </c>
      <c r="C295" s="35" t="s">
        <v>1965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1966</v>
      </c>
      <c r="C296" s="35" t="s">
        <v>1967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1968</v>
      </c>
      <c r="C297" s="35" t="s">
        <v>1969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1970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1971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3.2" x14ac:dyDescent="0.25">
      <c r="A300" s="35">
        <v>21</v>
      </c>
      <c r="B300" s="35" t="s">
        <v>1972</v>
      </c>
      <c r="C300" s="35" t="s">
        <v>1973</v>
      </c>
      <c r="D300" s="338">
        <v>1</v>
      </c>
      <c r="E300" s="339"/>
      <c r="F300" s="338">
        <v>0</v>
      </c>
      <c r="G300" s="338"/>
      <c r="H300" s="338">
        <v>1</v>
      </c>
      <c r="I300" s="338">
        <v>0</v>
      </c>
      <c r="J300" s="339"/>
      <c r="K300" s="338"/>
      <c r="L300" s="338">
        <v>0</v>
      </c>
      <c r="M300" s="338"/>
      <c r="N300" s="338">
        <v>0</v>
      </c>
      <c r="O300" s="338">
        <v>0</v>
      </c>
      <c r="P300" s="338">
        <v>0</v>
      </c>
      <c r="Q300" s="338">
        <v>0</v>
      </c>
    </row>
    <row r="301" spans="1:17" ht="13.2" x14ac:dyDescent="0.25">
      <c r="A301" s="35">
        <v>22</v>
      </c>
      <c r="B301" s="35" t="s">
        <v>1974</v>
      </c>
      <c r="C301" s="35" t="s">
        <v>1975</v>
      </c>
      <c r="D301" s="338">
        <v>1</v>
      </c>
      <c r="E301" s="339"/>
      <c r="F301" s="338">
        <v>0</v>
      </c>
      <c r="G301" s="338"/>
      <c r="H301" s="338">
        <v>1</v>
      </c>
      <c r="I301" s="338">
        <v>0</v>
      </c>
      <c r="J301" s="339"/>
      <c r="K301" s="338"/>
      <c r="L301" s="338">
        <v>0</v>
      </c>
      <c r="M301" s="338"/>
      <c r="N301" s="338">
        <v>0</v>
      </c>
      <c r="O301" s="338">
        <v>0</v>
      </c>
      <c r="P301" s="338">
        <v>0</v>
      </c>
      <c r="Q301" s="338">
        <v>0</v>
      </c>
    </row>
    <row r="302" spans="1:17" x14ac:dyDescent="0.2">
      <c r="A302" s="35">
        <v>23</v>
      </c>
      <c r="B302" s="35" t="s">
        <v>1976</v>
      </c>
      <c r="C302" s="35" t="s">
        <v>1977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2343</v>
      </c>
      <c r="C303" s="35" t="s">
        <v>2344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1978</v>
      </c>
      <c r="C304" s="35" t="s">
        <v>1979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1980</v>
      </c>
      <c r="C305" s="35" t="s">
        <v>1981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1982</v>
      </c>
      <c r="C306" s="35" t="s">
        <v>1983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1984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1985</v>
      </c>
      <c r="C308" s="35" t="s">
        <v>1986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1987</v>
      </c>
      <c r="C309" s="35" t="s">
        <v>1988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1989</v>
      </c>
      <c r="C310" s="35" t="s">
        <v>1990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1991</v>
      </c>
      <c r="C311" s="35" t="s">
        <v>1992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1993</v>
      </c>
      <c r="C312" s="35" t="s">
        <v>1994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1995</v>
      </c>
      <c r="C313" s="35" t="s">
        <v>1996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1997</v>
      </c>
      <c r="C314" s="35" t="s">
        <v>1998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1999</v>
      </c>
      <c r="C315" s="35" t="s">
        <v>2000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2001</v>
      </c>
      <c r="C316" s="35" t="s">
        <v>2002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2003</v>
      </c>
      <c r="C321" s="35" t="s">
        <v>2004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2005</v>
      </c>
      <c r="C322" s="35" t="s">
        <v>2006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2007</v>
      </c>
      <c r="C323" s="35" t="s">
        <v>2008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2057</v>
      </c>
      <c r="C324" s="35" t="s">
        <v>2010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2058</v>
      </c>
      <c r="C325" s="35" t="s">
        <v>2012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2059</v>
      </c>
      <c r="C326" s="35" t="s">
        <v>2014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2020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2021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2022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2270</v>
      </c>
      <c r="C387" s="35" t="s">
        <v>2271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2023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2024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2025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2026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2027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2028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2029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2030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2031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2032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2033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2034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2272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2035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2036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2037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2038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2039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2040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2041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2042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2043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2044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2045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2046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2047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2273</v>
      </c>
      <c r="C467" s="35" t="s">
        <v>2274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2275</v>
      </c>
      <c r="C468" s="35" t="s">
        <v>2276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2277</v>
      </c>
      <c r="C469" s="35" t="s">
        <v>2278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2048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2279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2049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2050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2051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2052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2053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2054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2055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2056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2060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2061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2265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2266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2267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2350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2062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2063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2064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2065</v>
      </c>
      <c r="F604" s="36"/>
      <c r="W604" s="35" t="s">
        <v>2093</v>
      </c>
    </row>
    <row r="605" spans="1:23" x14ac:dyDescent="0.2">
      <c r="A605" s="35">
        <v>5</v>
      </c>
      <c r="B605" s="35" t="s">
        <v>2066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2067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2068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2069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2070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2071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2072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2073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2074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2075</v>
      </c>
      <c r="F616" s="36"/>
    </row>
    <row r="617" spans="1:23" x14ac:dyDescent="0.2">
      <c r="A617" s="35">
        <v>15</v>
      </c>
      <c r="B617" s="35" t="s">
        <v>2076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2077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2078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2079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2080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2081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2082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2083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2073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2074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2084</v>
      </c>
      <c r="F629" s="36"/>
    </row>
    <row r="630" spans="1:23" x14ac:dyDescent="0.2">
      <c r="A630" s="35">
        <v>26</v>
      </c>
      <c r="B630" s="35" t="s">
        <v>2085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2086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2087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2088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2089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2090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2091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2092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2073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2074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2093</v>
      </c>
    </row>
    <row r="648" spans="1:23" x14ac:dyDescent="0.2">
      <c r="A648" s="35">
        <v>1</v>
      </c>
      <c r="B648" s="35" t="s">
        <v>2094</v>
      </c>
      <c r="C648" s="35" t="s">
        <v>1955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2095</v>
      </c>
      <c r="C649" s="35" t="s">
        <v>1955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2096</v>
      </c>
      <c r="C650" s="35" t="s">
        <v>1955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2097</v>
      </c>
      <c r="C651" s="35" t="s">
        <v>1955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2098</v>
      </c>
      <c r="C652" s="35" t="s">
        <v>1955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2099</v>
      </c>
      <c r="C653" s="35" t="s">
        <v>1955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2100</v>
      </c>
      <c r="C654" s="35" t="s">
        <v>1955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2101</v>
      </c>
      <c r="C655" s="35" t="s">
        <v>1955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2102</v>
      </c>
      <c r="C656" s="35" t="s">
        <v>1955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2073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2074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2103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2104</v>
      </c>
      <c r="F661" s="36"/>
      <c r="W661" s="35" t="s">
        <v>1108</v>
      </c>
    </row>
    <row r="662" spans="1:24" x14ac:dyDescent="0.2">
      <c r="A662" s="35">
        <v>13</v>
      </c>
      <c r="B662" s="35" t="s">
        <v>2094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2095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2096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2097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2098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2099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2073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2074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2105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2106</v>
      </c>
      <c r="F672" s="36"/>
    </row>
    <row r="673" spans="1:21" x14ac:dyDescent="0.2">
      <c r="A673" s="35">
        <v>22</v>
      </c>
      <c r="B673" s="35" t="s">
        <v>2094</v>
      </c>
      <c r="C673" s="35" t="s">
        <v>2269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2097</v>
      </c>
      <c r="C674" s="35" t="s">
        <v>2269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2098</v>
      </c>
      <c r="C675" s="35" t="s">
        <v>2269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2099</v>
      </c>
      <c r="C676" s="35" t="s">
        <v>2269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2073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2074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2107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2108</v>
      </c>
      <c r="C687" s="35" t="s">
        <v>1957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2109</v>
      </c>
      <c r="C688" s="35" t="s">
        <v>1959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2110</v>
      </c>
      <c r="C689" s="35" t="s">
        <v>1961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2111</v>
      </c>
      <c r="C690" s="35" t="s">
        <v>1963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2112</v>
      </c>
      <c r="C691" s="35" t="s">
        <v>1965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2113</v>
      </c>
      <c r="C692" s="35" t="s">
        <v>1967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2114</v>
      </c>
      <c r="C693" s="35" t="s">
        <v>1969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2115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2387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2116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2117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2118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2119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2120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2108</v>
      </c>
      <c r="C706" s="35" t="s">
        <v>1973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2109</v>
      </c>
      <c r="C707" s="35" t="s">
        <v>1975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2110</v>
      </c>
      <c r="C708" s="35" t="s">
        <v>1977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2111</v>
      </c>
      <c r="C709" s="35" t="s">
        <v>1979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2112</v>
      </c>
      <c r="C710" s="35" t="s">
        <v>1981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2114</v>
      </c>
      <c r="C711" s="35" t="s">
        <v>1983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2115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2388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2116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2117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2118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2119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2120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2121</v>
      </c>
      <c r="F722" s="36"/>
    </row>
    <row r="723" spans="1:21" x14ac:dyDescent="0.2">
      <c r="A723" s="35">
        <v>31</v>
      </c>
      <c r="B723" s="35" t="s">
        <v>2108</v>
      </c>
      <c r="C723" s="35" t="s">
        <v>1986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2109</v>
      </c>
      <c r="C724" s="35" t="s">
        <v>1988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2110</v>
      </c>
      <c r="C725" s="35" t="s">
        <v>1990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2111</v>
      </c>
      <c r="C726" s="35" t="s">
        <v>1992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2112</v>
      </c>
      <c r="C727" s="35" t="s">
        <v>1994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2115</v>
      </c>
      <c r="C728" s="35" t="s">
        <v>1996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2117</v>
      </c>
      <c r="C729" s="35" t="s">
        <v>1998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2118</v>
      </c>
      <c r="C730" s="35" t="s">
        <v>2000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2119</v>
      </c>
      <c r="C731" s="35" t="s">
        <v>2002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2122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2123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2124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2125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2126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2127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2128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2129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2130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2131</v>
      </c>
      <c r="F747" s="36"/>
    </row>
    <row r="748" spans="1:21" x14ac:dyDescent="0.2">
      <c r="A748" s="35">
        <v>9</v>
      </c>
      <c r="B748" s="35" t="s">
        <v>2280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2281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2132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2133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2134</v>
      </c>
      <c r="F754" s="36"/>
    </row>
    <row r="755" spans="1:25" x14ac:dyDescent="0.2">
      <c r="A755" s="35">
        <v>14</v>
      </c>
      <c r="B755" s="35" t="s">
        <v>2135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2136</v>
      </c>
      <c r="C756" s="35" t="s">
        <v>1955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2137</v>
      </c>
      <c r="C757" s="35" t="s">
        <v>2344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2389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2138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2139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2278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2140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2141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2021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2142</v>
      </c>
    </row>
    <row r="802" spans="1:22" x14ac:dyDescent="0.2">
      <c r="A802" s="35">
        <v>24</v>
      </c>
      <c r="B802" s="35" t="s">
        <v>24</v>
      </c>
      <c r="C802" s="35" t="s">
        <v>2022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2278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2278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2143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2282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2390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2390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2271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2390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2390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2390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2390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2144</v>
      </c>
      <c r="C848" s="35" t="s">
        <v>2023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2390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2024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2351</v>
      </c>
      <c r="X849" s="35">
        <v>2129646.4599999897</v>
      </c>
      <c r="Y849" s="35" t="s">
        <v>2390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2391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2390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2278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2269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2271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2145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2392</v>
      </c>
    </row>
    <row r="897" spans="1:22" x14ac:dyDescent="0.2">
      <c r="A897" s="35">
        <v>24</v>
      </c>
      <c r="B897" s="35" t="s">
        <v>2146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2393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2394</v>
      </c>
    </row>
    <row r="899" spans="1:22" x14ac:dyDescent="0.2">
      <c r="A899" s="35">
        <v>26</v>
      </c>
      <c r="B899" s="35" t="s">
        <v>2147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2395</v>
      </c>
    </row>
    <row r="900" spans="1:22" x14ac:dyDescent="0.2">
      <c r="A900" s="35">
        <v>27</v>
      </c>
      <c r="B900" s="35" t="s">
        <v>2283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2284</v>
      </c>
    </row>
    <row r="901" spans="1:22" x14ac:dyDescent="0.2">
      <c r="A901" s="35">
        <v>28</v>
      </c>
      <c r="B901" s="35" t="s">
        <v>2285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2286</v>
      </c>
    </row>
    <row r="902" spans="1:22" x14ac:dyDescent="0.2">
      <c r="A902" s="35">
        <v>29</v>
      </c>
      <c r="B902" s="35" t="s">
        <v>2287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2288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2148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2289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2149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2150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2151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2152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2352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2396</v>
      </c>
    </row>
    <row r="918" spans="1:23" x14ac:dyDescent="0.2">
      <c r="A918" s="35">
        <v>8</v>
      </c>
      <c r="B918" s="35" t="s">
        <v>2153</v>
      </c>
      <c r="F918" s="36"/>
    </row>
    <row r="919" spans="1:23" x14ac:dyDescent="0.2">
      <c r="A919" s="35">
        <v>9</v>
      </c>
      <c r="B919" s="35" t="s">
        <v>2154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2155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2156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2157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2158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2159</v>
      </c>
      <c r="C928" s="35" t="s">
        <v>2020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2160</v>
      </c>
      <c r="C929" s="35" t="s">
        <v>2010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2161</v>
      </c>
      <c r="C930" s="35" t="s">
        <v>2012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2162</v>
      </c>
      <c r="C931" s="35" t="s">
        <v>2004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2164</v>
      </c>
      <c r="C932" s="35" t="s">
        <v>1955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2290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2397</v>
      </c>
    </row>
    <row r="934" spans="1:23" x14ac:dyDescent="0.2">
      <c r="A934" s="35">
        <v>20</v>
      </c>
      <c r="B934" s="35" t="s">
        <v>2165</v>
      </c>
      <c r="C934" s="35" t="s">
        <v>2024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2166</v>
      </c>
      <c r="C935" s="35" t="s">
        <v>2014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2167</v>
      </c>
      <c r="C936" s="35" t="s">
        <v>2008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2168</v>
      </c>
      <c r="C937" s="35" t="s">
        <v>2006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2169</v>
      </c>
      <c r="C938" s="35" t="s">
        <v>2024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2353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2354</v>
      </c>
      <c r="C940" s="35" t="s">
        <v>2024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2355</v>
      </c>
      <c r="C941" s="35" t="s">
        <v>2024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2356</v>
      </c>
      <c r="C942" s="35" t="s">
        <v>2024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2398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2163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2357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2358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2359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2360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2361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2362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2363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2291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2271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2271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2271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2271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2271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2271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2271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2399</v>
      </c>
    </row>
    <row r="1024" spans="1:31" x14ac:dyDescent="0.2">
      <c r="A1024" s="35">
        <v>9</v>
      </c>
      <c r="B1024" s="35" t="s">
        <v>2170</v>
      </c>
      <c r="C1024" s="35" t="s">
        <v>2271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2400</v>
      </c>
    </row>
    <row r="1026" spans="1:25" x14ac:dyDescent="0.2">
      <c r="A1026" s="35">
        <v>11</v>
      </c>
      <c r="B1026" s="35" t="s">
        <v>1144</v>
      </c>
      <c r="C1026" s="35" t="s">
        <v>2271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2401</v>
      </c>
    </row>
    <row r="1027" spans="1:25" x14ac:dyDescent="0.2">
      <c r="A1027" s="35">
        <v>12</v>
      </c>
      <c r="B1027" s="35" t="s">
        <v>1145</v>
      </c>
      <c r="C1027" s="35" t="s">
        <v>2271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2402</v>
      </c>
    </row>
    <row r="1028" spans="1:25" x14ac:dyDescent="0.2">
      <c r="A1028" s="35">
        <v>13</v>
      </c>
      <c r="B1028" s="35" t="s">
        <v>1146</v>
      </c>
      <c r="C1028" s="35" t="s">
        <v>2271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2292</v>
      </c>
    </row>
    <row r="1029" spans="1:25" x14ac:dyDescent="0.2">
      <c r="A1029" s="35">
        <v>14</v>
      </c>
      <c r="B1029" s="35" t="s">
        <v>1147</v>
      </c>
      <c r="C1029" s="35" t="s">
        <v>2271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2271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2271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2026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2026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2025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2027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2028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2029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2030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2026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2026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2293</v>
      </c>
    </row>
    <row r="1051" spans="1:25" x14ac:dyDescent="0.2">
      <c r="A1051" s="35">
        <v>33</v>
      </c>
      <c r="B1051" s="35" t="s">
        <v>780</v>
      </c>
      <c r="C1051" s="35" t="s">
        <v>2025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2027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2292</v>
      </c>
    </row>
    <row r="1053" spans="1:25" x14ac:dyDescent="0.2">
      <c r="A1053" s="35">
        <v>35</v>
      </c>
      <c r="B1053" s="35" t="s">
        <v>782</v>
      </c>
      <c r="C1053" s="35" t="s">
        <v>2031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2028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2403</v>
      </c>
    </row>
    <row r="1055" spans="1:25" x14ac:dyDescent="0.2">
      <c r="A1055" s="35">
        <v>37</v>
      </c>
      <c r="B1055" s="35" t="s">
        <v>784</v>
      </c>
      <c r="C1055" s="35" t="s">
        <v>2029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2032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2033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2034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2294</v>
      </c>
      <c r="AF1098" s="35" t="s">
        <v>2295</v>
      </c>
    </row>
    <row r="1099" spans="1:33" x14ac:dyDescent="0.2">
      <c r="A1099" s="35">
        <v>25</v>
      </c>
      <c r="B1099" s="35" t="s">
        <v>2364</v>
      </c>
      <c r="C1099" s="35" t="s">
        <v>2175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2404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2365</v>
      </c>
      <c r="C1100" s="35" t="s">
        <v>2175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2405</v>
      </c>
      <c r="AE1100" s="35" t="s">
        <v>2171</v>
      </c>
      <c r="AF1100" s="35" t="s">
        <v>2172</v>
      </c>
    </row>
    <row r="1101" spans="1:33" x14ac:dyDescent="0.2">
      <c r="A1101" s="35">
        <v>27</v>
      </c>
      <c r="B1101" s="35" t="s">
        <v>2366</v>
      </c>
      <c r="C1101" s="35" t="s">
        <v>2175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2173</v>
      </c>
      <c r="AF1101" s="35" t="s">
        <v>2174</v>
      </c>
    </row>
    <row r="1102" spans="1:33" x14ac:dyDescent="0.2">
      <c r="A1102" s="35">
        <v>27</v>
      </c>
      <c r="B1102" s="35" t="s">
        <v>2367</v>
      </c>
      <c r="C1102" s="35" t="s">
        <v>2175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2368</v>
      </c>
      <c r="C1103" s="35" t="s">
        <v>2276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2369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2406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2407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2296</v>
      </c>
      <c r="AF1105" s="35" t="s">
        <v>2297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2176</v>
      </c>
      <c r="AF1107" s="35" t="s">
        <v>2177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2370</v>
      </c>
      <c r="C1110" s="35" t="s">
        <v>2175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2175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2298</v>
      </c>
      <c r="AG1112" s="35">
        <v>102440.04000000001</v>
      </c>
      <c r="AH1112" s="35" t="s">
        <v>2299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2408</v>
      </c>
      <c r="AG1114" s="35">
        <v>102440.04000000001</v>
      </c>
    </row>
    <row r="1115" spans="1:34" x14ac:dyDescent="0.2">
      <c r="F1115" s="36"/>
      <c r="Y1115" s="35" t="s">
        <v>2409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2278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2178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2179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2180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2022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2021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2371</v>
      </c>
      <c r="F1172" s="36"/>
    </row>
    <row r="1173" spans="1:25" x14ac:dyDescent="0.2">
      <c r="F1173" s="36"/>
    </row>
    <row r="1174" spans="1:25" x14ac:dyDescent="0.2">
      <c r="B1174" s="35" t="s">
        <v>2372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2410</v>
      </c>
    </row>
    <row r="1177" spans="1:25" x14ac:dyDescent="0.2">
      <c r="A1177" s="35">
        <v>1</v>
      </c>
      <c r="B1177" s="35" t="s">
        <v>8</v>
      </c>
      <c r="C1177" s="35" t="s">
        <v>2175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2411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2412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2278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2411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2411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2373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2413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2278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2413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2413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2414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40"/>
      <c r="E1217" s="341"/>
      <c r="F1217" s="36"/>
      <c r="G1217" s="341"/>
      <c r="H1217" s="340"/>
      <c r="I1217" s="340"/>
      <c r="J1217" s="340"/>
      <c r="K1217" s="340"/>
      <c r="L1217" s="340"/>
      <c r="M1217" s="340"/>
      <c r="N1217" s="340"/>
      <c r="O1217" s="340"/>
      <c r="P1217" s="340"/>
      <c r="Q1217" s="340"/>
      <c r="R1217" s="341"/>
      <c r="S1217" s="341"/>
      <c r="T1217" s="340"/>
      <c r="U1217" s="341"/>
      <c r="V1217" s="341"/>
      <c r="W1217" s="341"/>
      <c r="X1217" s="341"/>
      <c r="Y1217" s="341"/>
      <c r="Z1217" s="341"/>
    </row>
    <row r="1218" spans="1:26" x14ac:dyDescent="0.2">
      <c r="A1218" s="35">
        <v>22</v>
      </c>
      <c r="B1218" s="35" t="s">
        <v>834</v>
      </c>
      <c r="D1218" s="340">
        <v>0</v>
      </c>
      <c r="E1218" s="341"/>
      <c r="F1218" s="340">
        <v>0</v>
      </c>
      <c r="G1218" s="341"/>
      <c r="H1218" s="340">
        <v>0</v>
      </c>
      <c r="I1218" s="340">
        <v>0</v>
      </c>
      <c r="J1218" s="340"/>
      <c r="K1218" s="340"/>
      <c r="L1218" s="340">
        <v>0</v>
      </c>
      <c r="M1218" s="340"/>
      <c r="N1218" s="340">
        <v>0</v>
      </c>
      <c r="O1218" s="340">
        <v>0</v>
      </c>
      <c r="P1218" s="340">
        <v>0</v>
      </c>
      <c r="Q1218" s="340">
        <v>0</v>
      </c>
      <c r="R1218" s="341"/>
      <c r="S1218" s="341"/>
      <c r="T1218" s="340"/>
      <c r="U1218" s="341"/>
      <c r="V1218" s="341"/>
      <c r="W1218" s="341"/>
      <c r="X1218" s="341"/>
      <c r="Y1218" s="341"/>
      <c r="Z1218" s="341"/>
    </row>
    <row r="1219" spans="1:26" x14ac:dyDescent="0.2">
      <c r="D1219" s="340"/>
      <c r="E1219" s="341"/>
      <c r="F1219" s="36"/>
      <c r="G1219" s="341"/>
      <c r="H1219" s="340"/>
      <c r="I1219" s="340"/>
      <c r="J1219" s="340"/>
      <c r="K1219" s="340"/>
      <c r="L1219" s="340"/>
      <c r="M1219" s="340"/>
      <c r="N1219" s="340"/>
      <c r="O1219" s="340"/>
      <c r="P1219" s="340"/>
      <c r="Q1219" s="340"/>
      <c r="R1219" s="341"/>
      <c r="S1219" s="341"/>
      <c r="T1219" s="340"/>
      <c r="U1219" s="341"/>
      <c r="V1219" s="341"/>
      <c r="W1219" s="341"/>
      <c r="X1219" s="341"/>
      <c r="Y1219" s="341"/>
      <c r="Z1219" s="341"/>
    </row>
    <row r="1220" spans="1:26" x14ac:dyDescent="0.2">
      <c r="B1220" s="35" t="s">
        <v>835</v>
      </c>
      <c r="D1220" s="340"/>
      <c r="E1220" s="341"/>
      <c r="F1220" s="340"/>
      <c r="G1220" s="341"/>
      <c r="H1220" s="340"/>
      <c r="I1220" s="340"/>
      <c r="J1220" s="340"/>
      <c r="K1220" s="340"/>
      <c r="L1220" s="340"/>
      <c r="M1220" s="340"/>
      <c r="N1220" s="340"/>
      <c r="O1220" s="340"/>
      <c r="P1220" s="340"/>
      <c r="Q1220" s="340"/>
      <c r="R1220" s="341"/>
      <c r="S1220" s="341"/>
      <c r="T1220" s="340"/>
      <c r="U1220" s="341"/>
      <c r="V1220" s="341"/>
      <c r="W1220" s="341"/>
      <c r="X1220" s="341"/>
      <c r="Y1220" s="341"/>
      <c r="Z1220" s="341"/>
    </row>
    <row r="1221" spans="1:26" x14ac:dyDescent="0.2">
      <c r="D1221" s="340"/>
      <c r="E1221" s="341"/>
      <c r="F1221" s="340"/>
      <c r="G1221" s="341"/>
      <c r="H1221" s="340"/>
      <c r="I1221" s="340"/>
      <c r="J1221" s="340"/>
      <c r="K1221" s="340"/>
      <c r="L1221" s="340"/>
      <c r="M1221" s="340"/>
      <c r="N1221" s="340"/>
      <c r="O1221" s="340"/>
      <c r="P1221" s="340"/>
      <c r="Q1221" s="340"/>
      <c r="R1221" s="341"/>
      <c r="S1221" s="341"/>
      <c r="T1221" s="340"/>
      <c r="U1221" s="341"/>
      <c r="V1221" s="341"/>
      <c r="W1221" s="341"/>
      <c r="X1221" s="341"/>
      <c r="Y1221" s="341"/>
      <c r="Z1221" s="341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2415</v>
      </c>
    </row>
    <row r="1224" spans="1:26" x14ac:dyDescent="0.2">
      <c r="A1224" s="35">
        <v>2</v>
      </c>
      <c r="B1224" s="35" t="s">
        <v>325</v>
      </c>
      <c r="C1224" s="35" t="s">
        <v>2024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2300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2416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2417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2418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2181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2271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2301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2186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2182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2183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2374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2419</v>
      </c>
      <c r="Y1273" s="35">
        <v>257803</v>
      </c>
    </row>
    <row r="1274" spans="1:28" x14ac:dyDescent="0.2">
      <c r="A1274" s="35">
        <v>11</v>
      </c>
      <c r="B1274" s="35" t="s">
        <v>2184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2185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2302</v>
      </c>
    </row>
    <row r="1277" spans="1:28" x14ac:dyDescent="0.2">
      <c r="F1277" s="36"/>
    </row>
    <row r="1278" spans="1:28" x14ac:dyDescent="0.2">
      <c r="A1278" s="35">
        <v>14</v>
      </c>
      <c r="B1278" s="35" t="s">
        <v>2187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2375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2420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2421</v>
      </c>
    </row>
    <row r="1282" spans="1:27" x14ac:dyDescent="0.2">
      <c r="A1282" s="35">
        <v>17</v>
      </c>
      <c r="B1282" s="35" t="s">
        <v>2303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2304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2188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2189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2190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2305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2376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2307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2308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9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2309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2422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2306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2377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2271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2271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2271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2271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2271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2271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2271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2271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2271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2271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2271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2271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2271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2045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2045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2045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2045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2045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2046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2046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2046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2046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2046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2046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2046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45.44140625" bestFit="1" customWidth="1"/>
    <col min="3" max="3" width="19" hidden="1" customWidth="1"/>
    <col min="4" max="4" width="23.6640625" customWidth="1"/>
    <col min="5" max="5" width="24.88671875" bestFit="1" customWidth="1"/>
    <col min="6" max="6" width="23.3320312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1944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2" thickBot="1" x14ac:dyDescent="0.35">
      <c r="A9" s="279"/>
      <c r="B9" s="280"/>
      <c r="C9" s="281"/>
      <c r="D9" s="279"/>
      <c r="E9" s="437" t="s">
        <v>1907</v>
      </c>
      <c r="F9" s="438"/>
      <c r="G9" s="282" t="s">
        <v>459</v>
      </c>
      <c r="H9" s="437" t="s">
        <v>118</v>
      </c>
      <c r="I9" s="438"/>
      <c r="J9" s="282" t="s">
        <v>1912</v>
      </c>
      <c r="K9" s="281"/>
      <c r="L9" s="283"/>
      <c r="M9" s="28"/>
      <c r="N9" s="28"/>
    </row>
    <row r="10" spans="1:14" ht="15.6" x14ac:dyDescent="0.3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6" x14ac:dyDescent="0.3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2" thickBot="1" x14ac:dyDescent="0.35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6" x14ac:dyDescent="0.3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6" x14ac:dyDescent="0.3">
      <c r="A14" s="362" t="s">
        <v>1166</v>
      </c>
      <c r="B14" s="297" t="s">
        <v>193</v>
      </c>
      <c r="C14" s="298"/>
      <c r="D14" s="299">
        <f>'Allocation ProForma'!L174</f>
        <v>347387075.53153688</v>
      </c>
      <c r="E14" s="300">
        <f>'Allocation ProForma'!L123+'Allocation ProForma'!L124+'Allocation ProForma'!L125</f>
        <v>236236845.74281073</v>
      </c>
      <c r="F14" s="301">
        <f>'Allocation ProForma'!L126</f>
        <v>8511291.2882750928</v>
      </c>
      <c r="G14" s="301">
        <f>'Allocation ProForma'!L135</f>
        <v>59286066.255382665</v>
      </c>
      <c r="H14" s="301">
        <f>'Allocation ProForma'!L145+'Allocation ProForma'!L147+'Allocation ProForma'!L152+'Allocation ProForma'!L141</f>
        <v>36404729.547614038</v>
      </c>
      <c r="I14" s="301">
        <f>'Allocation ProForma'!L146+'Allocation ProForma'!L148+'Allocation ProForma'!L153+'Allocation ProForma'!L157+'Allocation ProForma'!L160+'Allocation ProForma'!L163</f>
        <v>6714283.3131043864</v>
      </c>
      <c r="J14" s="301">
        <f>'Allocation ProForma'!L166+'Allocation ProForma'!L169</f>
        <v>233859.38434995105</v>
      </c>
      <c r="K14" s="302">
        <f>SUM(E14:J14)</f>
        <v>347387075.53153688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1323</v>
      </c>
      <c r="B15" s="297" t="s">
        <v>1888</v>
      </c>
      <c r="C15" s="298"/>
      <c r="D15" s="299">
        <f>'Allocation ProForma'!L773+'Allocation ProForma'!L774+'Allocation ProForma'!L775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6" x14ac:dyDescent="0.3">
      <c r="A16" s="362" t="s">
        <v>1889</v>
      </c>
      <c r="B16" s="297" t="s">
        <v>1890</v>
      </c>
      <c r="C16" s="298"/>
      <c r="D16" s="306">
        <f>D14+D15</f>
        <v>347387075.53153688</v>
      </c>
      <c r="E16" s="306">
        <f t="shared" ref="E16:K16" si="1">E14+E15</f>
        <v>236236845.74281073</v>
      </c>
      <c r="F16" s="307">
        <f t="shared" si="1"/>
        <v>8511291.2882750928</v>
      </c>
      <c r="G16" s="307">
        <f t="shared" si="1"/>
        <v>59286066.255382665</v>
      </c>
      <c r="H16" s="307">
        <f t="shared" si="1"/>
        <v>36404729.547614038</v>
      </c>
      <c r="I16" s="307">
        <f t="shared" si="1"/>
        <v>6714283.3131043864</v>
      </c>
      <c r="J16" s="307">
        <f t="shared" si="1"/>
        <v>233859.38434995105</v>
      </c>
      <c r="K16" s="302">
        <f t="shared" si="1"/>
        <v>347387075.53153688</v>
      </c>
      <c r="L16" s="303" t="str">
        <f>IF(ABS(K16-D16)&lt;0.01,"ok","err")</f>
        <v>ok</v>
      </c>
      <c r="M16" s="28"/>
      <c r="N16" s="28"/>
    </row>
    <row r="17" spans="1:14" ht="15.6" x14ac:dyDescent="0.3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6" x14ac:dyDescent="0.3">
      <c r="A18" s="362" t="s">
        <v>1891</v>
      </c>
      <c r="B18" s="297" t="s">
        <v>441</v>
      </c>
      <c r="C18" s="298"/>
      <c r="D18" s="311">
        <f>'Allocation ProForma'!L825</f>
        <v>0.10973392943697015</v>
      </c>
      <c r="E18" s="311">
        <f t="shared" ref="E18:J18" si="2">D18</f>
        <v>0.10973392943697015</v>
      </c>
      <c r="F18" s="312">
        <f t="shared" si="2"/>
        <v>0.10973392943697015</v>
      </c>
      <c r="G18" s="312">
        <f t="shared" si="2"/>
        <v>0.10973392943697015</v>
      </c>
      <c r="H18" s="312">
        <f t="shared" si="2"/>
        <v>0.10973392943697015</v>
      </c>
      <c r="I18" s="312">
        <f t="shared" si="2"/>
        <v>0.10973392943697015</v>
      </c>
      <c r="J18" s="312">
        <f t="shared" si="2"/>
        <v>0.10973392943697015</v>
      </c>
      <c r="K18" s="302"/>
      <c r="L18" s="303"/>
      <c r="M18" s="28"/>
      <c r="N18" s="28"/>
    </row>
    <row r="19" spans="1:14" ht="15.6" x14ac:dyDescent="0.3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6" x14ac:dyDescent="0.3">
      <c r="A20" s="362" t="s">
        <v>1892</v>
      </c>
      <c r="B20" s="297" t="s">
        <v>1893</v>
      </c>
      <c r="C20" s="298"/>
      <c r="D20" s="306">
        <f>D18*D16</f>
        <v>38120148.833693087</v>
      </c>
      <c r="E20" s="306">
        <f t="shared" ref="E20:J20" si="3">E18*E16</f>
        <v>25923197.361153994</v>
      </c>
      <c r="F20" s="307">
        <f t="shared" si="3"/>
        <v>933977.43764507782</v>
      </c>
      <c r="G20" s="307">
        <f t="shared" si="3"/>
        <v>6505693.0110636987</v>
      </c>
      <c r="H20" s="307">
        <f t="shared" si="3"/>
        <v>3994834.0233498611</v>
      </c>
      <c r="I20" s="307">
        <f t="shared" si="3"/>
        <v>736784.69130002288</v>
      </c>
      <c r="J20" s="307">
        <f t="shared" si="3"/>
        <v>25662.30918043081</v>
      </c>
      <c r="K20" s="302">
        <f>SUM(E20:J20)</f>
        <v>38120148.83369308</v>
      </c>
      <c r="L20" s="303" t="str">
        <f>IF(ABS(K20-D20)&lt;0.01,"ok","err")</f>
        <v>ok</v>
      </c>
      <c r="M20" s="28"/>
      <c r="N20" s="28"/>
    </row>
    <row r="21" spans="1:14" ht="15.6" x14ac:dyDescent="0.3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6" x14ac:dyDescent="0.3">
      <c r="A22" s="362" t="s">
        <v>1324</v>
      </c>
      <c r="B22" s="297" t="s">
        <v>1894</v>
      </c>
      <c r="C22" s="298"/>
      <c r="D22" s="306">
        <f>'Allocation ProForma'!L705</f>
        <v>8266800.717887775</v>
      </c>
      <c r="E22" s="306">
        <f t="shared" ref="E22:J22" si="4">(E14/$D$14)*$D$22</f>
        <v>5621748.9467333928</v>
      </c>
      <c r="F22" s="307">
        <f t="shared" si="4"/>
        <v>202543.94560996527</v>
      </c>
      <c r="G22" s="307">
        <f t="shared" si="4"/>
        <v>1410835.7207326391</v>
      </c>
      <c r="H22" s="307">
        <f t="shared" si="4"/>
        <v>866326.54337597766</v>
      </c>
      <c r="I22" s="307">
        <f t="shared" si="4"/>
        <v>159780.38914644156</v>
      </c>
      <c r="J22" s="307">
        <f t="shared" si="4"/>
        <v>5565.1722893572651</v>
      </c>
      <c r="K22" s="302">
        <f>SUM(E22:J22)</f>
        <v>8266800.7178877741</v>
      </c>
      <c r="L22" s="303" t="str">
        <f>IF(ABS(K22-D22)&lt;0.01,"ok","err")</f>
        <v>ok</v>
      </c>
      <c r="M22" s="28"/>
      <c r="N22" s="28"/>
    </row>
    <row r="23" spans="1:14" ht="15.6" x14ac:dyDescent="0.3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6" x14ac:dyDescent="0.3">
      <c r="A24" s="362" t="s">
        <v>1325</v>
      </c>
      <c r="B24" s="297" t="s">
        <v>209</v>
      </c>
      <c r="C24" s="298"/>
      <c r="D24" s="306">
        <f>D20-D22</f>
        <v>29853348.115805313</v>
      </c>
      <c r="E24" s="306">
        <f t="shared" ref="E24:J24" si="5">E20-E22</f>
        <v>20301448.414420601</v>
      </c>
      <c r="F24" s="307">
        <f t="shared" si="5"/>
        <v>731433.49203511258</v>
      </c>
      <c r="G24" s="307">
        <f t="shared" si="5"/>
        <v>5094857.2903310601</v>
      </c>
      <c r="H24" s="307">
        <f t="shared" si="5"/>
        <v>3128507.4799738834</v>
      </c>
      <c r="I24" s="307">
        <f t="shared" si="5"/>
        <v>577004.30215358129</v>
      </c>
      <c r="J24" s="307">
        <f t="shared" si="5"/>
        <v>20097.136891073544</v>
      </c>
      <c r="K24" s="302">
        <f>SUM(E24:J24)</f>
        <v>29853348.115805313</v>
      </c>
      <c r="L24" s="303" t="str">
        <f>IF(ABS(K24-D24)&lt;0.01,"ok","err")</f>
        <v>ok</v>
      </c>
      <c r="M24" s="28"/>
      <c r="N24" s="28"/>
    </row>
    <row r="25" spans="1:14" ht="15.6" x14ac:dyDescent="0.3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6" x14ac:dyDescent="0.3">
      <c r="A26" s="362" t="s">
        <v>1326</v>
      </c>
      <c r="B26" s="297" t="s">
        <v>553</v>
      </c>
      <c r="C26" s="298"/>
      <c r="D26" s="306">
        <f>'Allocation ProForma'!L740+'Allocation ProForma'!L817</f>
        <v>20921638.314644128</v>
      </c>
      <c r="E26" s="306">
        <f t="shared" ref="E26:J26" si="6">$D$26*(E24/$K$24)</f>
        <v>14227535.194454208</v>
      </c>
      <c r="F26" s="307">
        <f t="shared" si="6"/>
        <v>512598.68448303058</v>
      </c>
      <c r="G26" s="307">
        <f t="shared" si="6"/>
        <v>3570546.294490857</v>
      </c>
      <c r="H26" s="307">
        <f t="shared" si="6"/>
        <v>2192501.2131560273</v>
      </c>
      <c r="I26" s="307">
        <f t="shared" si="6"/>
        <v>404372.57720046578</v>
      </c>
      <c r="J26" s="307">
        <f t="shared" si="6"/>
        <v>14084.350859538084</v>
      </c>
      <c r="K26" s="302">
        <f>SUM(E26:J26)</f>
        <v>20921638.314644124</v>
      </c>
      <c r="L26" s="303" t="str">
        <f>IF(ABS(K26-D26)&lt;0.01,"ok","err")</f>
        <v>ok</v>
      </c>
      <c r="M26" s="28"/>
      <c r="N26" s="28"/>
    </row>
    <row r="27" spans="1:14" ht="15.6" x14ac:dyDescent="0.3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6" x14ac:dyDescent="0.3">
      <c r="A28" s="362" t="s">
        <v>1327</v>
      </c>
      <c r="B28" s="297" t="s">
        <v>795</v>
      </c>
      <c r="C28" s="298"/>
      <c r="D28" s="306">
        <f>'Allocation ProForma'!L671</f>
        <v>99088940.765030891</v>
      </c>
      <c r="E28" s="306">
        <f>'Allocation ProForma'!L180+'Allocation ProForma'!L181+'Allocation ProForma'!L182</f>
        <v>12507024.007553276</v>
      </c>
      <c r="F28" s="307">
        <f>'Allocation ProForma'!L183</f>
        <v>75809703.775081843</v>
      </c>
      <c r="G28" s="307">
        <f>'Allocation ProForma'!L192</f>
        <v>5028261.6436272506</v>
      </c>
      <c r="H28" s="307">
        <f>'Allocation ProForma'!L198+'Allocation ProForma'!L202+'Allocation ProForma'!L204+'Allocation ProForma'!L209</f>
        <v>2473154.0436976724</v>
      </c>
      <c r="I28" s="307">
        <f>'Allocation ProForma'!L203+'Allocation ProForma'!L205+'Allocation ProForma'!L210+'Allocation ProForma'!L214+'Allocation ProForma'!L217</f>
        <v>1328748.7261468687</v>
      </c>
      <c r="J28" s="307">
        <f>'Allocation ProForma'!L223+'Allocation ProForma'!L226</f>
        <v>1942048.568923983</v>
      </c>
      <c r="K28" s="302">
        <f>SUM(E28:J28)</f>
        <v>99088940.765030891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1895</v>
      </c>
      <c r="B29" s="297" t="s">
        <v>843</v>
      </c>
      <c r="C29" s="298"/>
      <c r="D29" s="306">
        <f>'Allocation ProForma'!L672</f>
        <v>22530219.621316772</v>
      </c>
      <c r="E29" s="306">
        <f>'Allocation ProForma'!L300</f>
        <v>17555033.192183394</v>
      </c>
      <c r="F29" s="307">
        <v>0</v>
      </c>
      <c r="G29" s="307">
        <f>'Allocation ProForma'!L306</f>
        <v>2747634.92002352</v>
      </c>
      <c r="H29" s="307">
        <f>'Allocation ProForma'!L312+'Allocation ProForma'!L316+'Allocation ProForma'!L318+'Allocation ProForma'!L323</f>
        <v>1885398.2010307217</v>
      </c>
      <c r="I29" s="307">
        <f>'Allocation ProForma'!L317+'Allocation ProForma'!L319+'Allocation ProForma'!L324+'Allocation ProForma'!L328+'Allocation ProForma'!L331</f>
        <v>342153.3080791363</v>
      </c>
      <c r="J29" s="307">
        <v>0</v>
      </c>
      <c r="K29" s="302">
        <f>SUM(E29:J29)</f>
        <v>22530219.621316768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1896</v>
      </c>
      <c r="B30" s="297" t="s">
        <v>428</v>
      </c>
      <c r="C30" s="298"/>
      <c r="D30" s="306">
        <f>'Allocation ProForma'!L674+'Allocation ProForma'!L675+'Allocation ProForma'!L676+'Allocation ProForma'!L673</f>
        <v>3631533.8929315582</v>
      </c>
      <c r="E30" s="306">
        <f>'Allocation ProForma'!L414+'Allocation ProForma'!L471+'Allocation ProForma'!L357</f>
        <v>2615713.8343029078</v>
      </c>
      <c r="F30" s="307">
        <f>'Allocation ProForma'!L529</f>
        <v>0</v>
      </c>
      <c r="G30" s="307">
        <f>'Allocation ProForma'!L420+'Allocation ProForma'!L477+'Allocation ProForma'!L363</f>
        <v>580045.55812123313</v>
      </c>
      <c r="H30" s="307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368839.26407612645</v>
      </c>
      <c r="I30" s="307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66935.236431290308</v>
      </c>
      <c r="J30" s="307">
        <v>0</v>
      </c>
      <c r="K30" s="302">
        <f>SUM(E30:J30)</f>
        <v>3631533.8929315577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1897</v>
      </c>
      <c r="B31" s="297" t="s">
        <v>1933</v>
      </c>
      <c r="C31" s="298"/>
      <c r="D31" s="306">
        <f>'Allocation ProForma'!L679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6" x14ac:dyDescent="0.3">
      <c r="A32" s="362" t="s">
        <v>1898</v>
      </c>
      <c r="B32" s="297" t="s">
        <v>1915</v>
      </c>
      <c r="C32" s="298"/>
      <c r="D32" s="306">
        <f>'Allocation ProForma'!L745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6" x14ac:dyDescent="0.3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1901</v>
      </c>
      <c r="B34" s="297" t="s">
        <v>1918</v>
      </c>
      <c r="C34" s="298"/>
      <c r="D34" s="306">
        <f>'Allocation ProForma'!L756+'Allocation ProForma'!L759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1905</v>
      </c>
      <c r="B36" s="297" t="s">
        <v>1917</v>
      </c>
      <c r="C36" s="298"/>
      <c r="D36" s="306">
        <f>SUM('Allocation ProForma'!L813:L815)-'Allocation ProForma'!L721</f>
        <v>62061.37513397618</v>
      </c>
      <c r="E36" s="306">
        <f t="shared" ref="E36:J36" si="9">(E14/($D$14)*$D$36)</f>
        <v>42204.170899791723</v>
      </c>
      <c r="F36" s="307">
        <f t="shared" si="9"/>
        <v>1520.5587044594304</v>
      </c>
      <c r="G36" s="307">
        <f t="shared" si="9"/>
        <v>10591.570778686166</v>
      </c>
      <c r="H36" s="307">
        <f t="shared" si="9"/>
        <v>6503.7755755548051</v>
      </c>
      <c r="I36" s="307">
        <f t="shared" si="9"/>
        <v>1199.5197426754544</v>
      </c>
      <c r="J36" s="307">
        <f t="shared" si="9"/>
        <v>41.779432808591743</v>
      </c>
      <c r="K36" s="302">
        <f t="shared" si="8"/>
        <v>62061.375133976173</v>
      </c>
      <c r="L36" s="303" t="str">
        <f t="shared" si="7"/>
        <v>ok</v>
      </c>
      <c r="M36" s="28"/>
      <c r="N36" s="28"/>
    </row>
    <row r="37" spans="1:14" ht="15.6" x14ac:dyDescent="0.3">
      <c r="A37" s="364" t="s">
        <v>1919</v>
      </c>
      <c r="B37" s="297" t="s">
        <v>2444</v>
      </c>
      <c r="C37" s="381"/>
      <c r="D37" s="306">
        <f>-'Allocation ProForma'!L802-'Allocation ProForma'!L803</f>
        <v>-992301.14782422723</v>
      </c>
      <c r="E37" s="306">
        <f>-'Allocation ProForma'!L802-'Allocation ProForma'!$L$803*(E14/$D$14)</f>
        <v>-992297.15148403717</v>
      </c>
      <c r="F37" s="383">
        <f>-'Allocation ProForma'!$L$803*(F14/$D$14)</f>
        <v>-0.30601839969008404</v>
      </c>
      <c r="G37" s="383">
        <f>-'Allocation ProForma'!$L$803*(G14/$D$14)</f>
        <v>-2.1315951369664963</v>
      </c>
      <c r="H37" s="383">
        <f>-'Allocation ProForma'!$L$803*(H14/$D$14)</f>
        <v>-1.3089103286428485</v>
      </c>
      <c r="I37" s="383">
        <f>-'Allocation ProForma'!$L$803*(I14/$D$14)</f>
        <v>-0.24140805019474856</v>
      </c>
      <c r="J37" s="383">
        <f>-'Allocation ProForma'!$L$803*(J14/$D$14)</f>
        <v>-8.4082746233660847E-3</v>
      </c>
      <c r="K37" s="302">
        <f t="shared" si="8"/>
        <v>-992301.14782422723</v>
      </c>
      <c r="L37" s="303" t="str">
        <f t="shared" si="7"/>
        <v>ok</v>
      </c>
      <c r="M37" s="28"/>
      <c r="N37" s="28"/>
    </row>
    <row r="38" spans="1:14" ht="15.6" x14ac:dyDescent="0.3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6" x14ac:dyDescent="0.3">
      <c r="A39" s="362" t="s">
        <v>1920</v>
      </c>
      <c r="B39" s="297" t="s">
        <v>1924</v>
      </c>
      <c r="C39" s="298"/>
      <c r="D39" s="306">
        <f t="shared" ref="D39:J39" si="10">SUM(D32:D37)</f>
        <v>-930239.772690251</v>
      </c>
      <c r="E39" s="306">
        <f t="shared" si="10"/>
        <v>-950092.98058424541</v>
      </c>
      <c r="F39" s="307">
        <f t="shared" si="10"/>
        <v>1520.2526860597402</v>
      </c>
      <c r="G39" s="307">
        <f t="shared" si="10"/>
        <v>10589.439183549199</v>
      </c>
      <c r="H39" s="307">
        <f t="shared" si="10"/>
        <v>6502.4666652261621</v>
      </c>
      <c r="I39" s="307">
        <f t="shared" si="10"/>
        <v>1199.2783346252597</v>
      </c>
      <c r="J39" s="307">
        <f t="shared" si="10"/>
        <v>41.771024533968379</v>
      </c>
      <c r="K39" s="302">
        <f t="shared" si="8"/>
        <v>-930239.77269025112</v>
      </c>
      <c r="L39" s="303" t="str">
        <f t="shared" si="7"/>
        <v>ok</v>
      </c>
      <c r="M39" s="28"/>
      <c r="N39" s="28"/>
    </row>
    <row r="40" spans="1:14" ht="15.6" x14ac:dyDescent="0.3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6" x14ac:dyDescent="0.3">
      <c r="A41" s="362" t="s">
        <v>1921</v>
      </c>
      <c r="B41" s="297" t="s">
        <v>1899</v>
      </c>
      <c r="C41" s="313"/>
      <c r="D41" s="306">
        <f>SUM(D28:D31)+D22+D26+D39+D24</f>
        <v>183362241.65492624</v>
      </c>
      <c r="E41" s="306">
        <f t="shared" ref="E41:J41" si="11">SUM(E28:E31)+E22+E26+E39+E24</f>
        <v>71878410.609063536</v>
      </c>
      <c r="F41" s="307">
        <f t="shared" si="11"/>
        <v>77257800.149896011</v>
      </c>
      <c r="G41" s="307">
        <f t="shared" si="11"/>
        <v>18442770.866510108</v>
      </c>
      <c r="H41" s="307">
        <f t="shared" si="11"/>
        <v>10921229.211975634</v>
      </c>
      <c r="I41" s="307">
        <f t="shared" si="11"/>
        <v>2880193.8174924091</v>
      </c>
      <c r="J41" s="307">
        <f t="shared" si="11"/>
        <v>1981836.9999884861</v>
      </c>
      <c r="K41" s="302">
        <f>SUM(E41:J41)</f>
        <v>183362241.65492615</v>
      </c>
      <c r="L41" s="303" t="str">
        <f>IF(ABS(K41-D41)&lt;0.01,"ok","err")</f>
        <v>ok</v>
      </c>
      <c r="M41" s="28"/>
      <c r="N41" s="28"/>
    </row>
    <row r="42" spans="1:14" ht="15.6" x14ac:dyDescent="0.3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6" x14ac:dyDescent="0.3">
      <c r="A43" s="362" t="s">
        <v>1922</v>
      </c>
      <c r="B43" s="297" t="s">
        <v>2432</v>
      </c>
      <c r="C43" s="298"/>
      <c r="D43" s="306">
        <f>-'Allocation ProForma'!L654</f>
        <v>1986750.25159457</v>
      </c>
      <c r="E43" s="306">
        <f>D43</f>
        <v>1986750.25159457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1986750.25159457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1923</v>
      </c>
      <c r="B44" s="297" t="s">
        <v>1925</v>
      </c>
      <c r="C44" s="298"/>
      <c r="D44" s="306">
        <f>-('Allocation ProForma'!L652+'Allocation ProForma'!L653)</f>
        <v>-997111.51906858548</v>
      </c>
      <c r="E44" s="306">
        <v>0</v>
      </c>
      <c r="F44" s="307">
        <f>D44</f>
        <v>-997111.51906858548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-997111.51906858548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1927</v>
      </c>
      <c r="B45" s="297" t="s">
        <v>1926</v>
      </c>
      <c r="C45" s="298"/>
      <c r="D45" s="306">
        <f>-('Allocation ProForma'!L655+'Allocation ProForma'!L656+'Allocation ProForma'!L657+'Allocation ProForma'!L658+'Allocation ProForma'!L661+'Allocation ProForma'!L662+'Allocation ProForma'!L663+'Allocation ProForma'!L664+'Allocation ProForma'!L665)</f>
        <v>-414132.27324339078</v>
      </c>
      <c r="E45" s="306">
        <f t="shared" ref="E45:J45" si="12">(E14/($D$14)*$D$45)</f>
        <v>-281626.19982802682</v>
      </c>
      <c r="F45" s="307">
        <f t="shared" si="12"/>
        <v>-10146.607797819583</v>
      </c>
      <c r="G45" s="307">
        <f t="shared" si="12"/>
        <v>-70676.991515681686</v>
      </c>
      <c r="H45" s="307">
        <f t="shared" si="12"/>
        <v>-43399.350368161751</v>
      </c>
      <c r="I45" s="307">
        <f t="shared" si="12"/>
        <v>-8004.3317886869781</v>
      </c>
      <c r="J45" s="307">
        <f t="shared" si="12"/>
        <v>-278.79194501394983</v>
      </c>
      <c r="K45" s="302">
        <f>SUM(E45:J45)</f>
        <v>-414132.27324339078</v>
      </c>
      <c r="L45" s="303" t="str">
        <f>IF(ABS(K45-D45)&lt;0.01,"ok","err")</f>
        <v>ok</v>
      </c>
      <c r="M45" s="28"/>
      <c r="N45" s="28"/>
    </row>
    <row r="46" spans="1:14" ht="15.6" x14ac:dyDescent="0.3">
      <c r="A46" s="362" t="s">
        <v>1928</v>
      </c>
      <c r="B46" s="297" t="s">
        <v>1929</v>
      </c>
      <c r="C46" s="298"/>
      <c r="D46" s="306">
        <f>SUM(D43:D45)</f>
        <v>575506.4592825938</v>
      </c>
      <c r="E46" s="306">
        <f t="shared" ref="E46:J46" si="13">SUM(E43:E45)</f>
        <v>1705124.0517665432</v>
      </c>
      <c r="F46" s="307">
        <f t="shared" si="13"/>
        <v>-1007258.126866405</v>
      </c>
      <c r="G46" s="307">
        <f t="shared" si="13"/>
        <v>-70676.991515681686</v>
      </c>
      <c r="H46" s="307">
        <f t="shared" si="13"/>
        <v>-43399.350368161751</v>
      </c>
      <c r="I46" s="307">
        <f t="shared" si="13"/>
        <v>-8004.3317886869781</v>
      </c>
      <c r="J46" s="307">
        <f t="shared" si="13"/>
        <v>-278.79194501394983</v>
      </c>
      <c r="K46" s="302">
        <f>SUM(E46:J46)</f>
        <v>575506.45928259369</v>
      </c>
      <c r="L46" s="303" t="str">
        <f>IF(ABS(K46-D46)&lt;0.01,"ok","err")</f>
        <v>ok</v>
      </c>
      <c r="M46" s="28"/>
      <c r="N46" s="28"/>
    </row>
    <row r="47" spans="1:14" ht="15.6" x14ac:dyDescent="0.3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6" x14ac:dyDescent="0.3">
      <c r="A48" s="362" t="s">
        <v>1934</v>
      </c>
      <c r="B48" s="297" t="s">
        <v>1902</v>
      </c>
      <c r="C48" s="315">
        <f>'Allocation ProForma'!L806-SUM('Allocation ProForma'!L652:L665)-'Allocation ProForma'!L721-'Allocation ProForma'!L802-'Allocation ProForma'!L803</f>
        <v>183937748.00000003</v>
      </c>
      <c r="D48" s="306">
        <f>D41+D46</f>
        <v>183937748.11420885</v>
      </c>
      <c r="E48" s="306">
        <f t="shared" ref="E48:J48" si="14">E41+E46</f>
        <v>73583534.660830081</v>
      </c>
      <c r="F48" s="307">
        <f t="shared" si="14"/>
        <v>76250542.023029611</v>
      </c>
      <c r="G48" s="307">
        <f t="shared" si="14"/>
        <v>18372093.874994427</v>
      </c>
      <c r="H48" s="307">
        <f t="shared" si="14"/>
        <v>10877829.861607471</v>
      </c>
      <c r="I48" s="307">
        <f t="shared" si="14"/>
        <v>2872189.4857037221</v>
      </c>
      <c r="J48" s="307">
        <f t="shared" si="14"/>
        <v>1981558.2080434721</v>
      </c>
      <c r="K48" s="302">
        <f>SUM(E48:J48)</f>
        <v>183937748.11420882</v>
      </c>
      <c r="L48" s="303" t="str">
        <f>IF(ABS(K48-D48)&lt;0.01,"ok","err")</f>
        <v>ok</v>
      </c>
      <c r="M48" s="28"/>
      <c r="N48" s="28"/>
    </row>
    <row r="49" spans="1:14" ht="15.6" x14ac:dyDescent="0.3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6" x14ac:dyDescent="0.3">
      <c r="A50" s="362" t="s">
        <v>1935</v>
      </c>
      <c r="B50" s="297" t="s">
        <v>1904</v>
      </c>
      <c r="C50" s="298"/>
      <c r="D50" s="316"/>
      <c r="E50" s="317">
        <v>6098096</v>
      </c>
      <c r="F50" s="318">
        <f>'Billing Det'!C18</f>
        <v>2146594132.2992384</v>
      </c>
      <c r="G50" s="318">
        <f>E50</f>
        <v>6098096</v>
      </c>
      <c r="H50" s="318">
        <f>G50</f>
        <v>6098096</v>
      </c>
      <c r="I50" s="318">
        <f>'Allocation ProForma'!L848</f>
        <v>54034</v>
      </c>
      <c r="J50" s="318">
        <f>I50</f>
        <v>54034</v>
      </c>
      <c r="K50" s="287"/>
      <c r="L50" s="310"/>
      <c r="M50" s="28"/>
      <c r="N50" s="28"/>
    </row>
    <row r="51" spans="1:14" ht="16.2" thickBot="1" x14ac:dyDescent="0.35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2" thickBot="1" x14ac:dyDescent="0.35">
      <c r="A52" s="365" t="s">
        <v>2446</v>
      </c>
      <c r="B52" s="319" t="s">
        <v>1906</v>
      </c>
      <c r="C52" s="320"/>
      <c r="D52" s="321"/>
      <c r="E52" s="384">
        <f t="shared" ref="E52:J52" si="15">E48/E50</f>
        <v>12.066640909036211</v>
      </c>
      <c r="F52" s="323">
        <f t="shared" si="15"/>
        <v>3.5521639081980014E-2</v>
      </c>
      <c r="G52" s="324">
        <f t="shared" si="15"/>
        <v>3.012759043969532</v>
      </c>
      <c r="H52" s="324">
        <f t="shared" si="15"/>
        <v>1.7838075788914232</v>
      </c>
      <c r="I52" s="324">
        <f>I48/I50</f>
        <v>53.155226074392459</v>
      </c>
      <c r="J52" s="324">
        <f t="shared" si="15"/>
        <v>36.672432321195402</v>
      </c>
      <c r="K52" s="325">
        <f>I52+J52</f>
        <v>89.827658395587861</v>
      </c>
      <c r="L52" s="326"/>
      <c r="M52" s="28"/>
      <c r="N52" s="28"/>
    </row>
    <row r="53" spans="1:14" ht="15.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6" x14ac:dyDescent="0.3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89.827658395587861</v>
      </c>
      <c r="L54" s="28"/>
      <c r="M54" s="28"/>
      <c r="N54" s="28"/>
    </row>
    <row r="55" spans="1:14" ht="15.6" x14ac:dyDescent="0.3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16.863207531897167</v>
      </c>
      <c r="L55" s="28"/>
      <c r="M55" s="28"/>
      <c r="N55" s="28"/>
    </row>
    <row r="56" spans="1:14" ht="15.6" x14ac:dyDescent="0.3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3.5521639081980014E-2</v>
      </c>
      <c r="L56" s="28"/>
      <c r="M56" s="28"/>
      <c r="N56" s="28"/>
    </row>
    <row r="57" spans="1:14" ht="15.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6" x14ac:dyDescent="0.3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6" x14ac:dyDescent="0.3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6" x14ac:dyDescent="0.3">
      <c r="J61" s="373"/>
      <c r="K61" s="34"/>
    </row>
    <row r="62" spans="1:14" ht="15.6" x14ac:dyDescent="0.3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45.44140625" bestFit="1" customWidth="1"/>
    <col min="3" max="3" width="19" hidden="1" customWidth="1"/>
    <col min="4" max="4" width="23.6640625" customWidth="1"/>
    <col min="5" max="5" width="24.88671875" bestFit="1" customWidth="1"/>
    <col min="6" max="6" width="23.3320312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2335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2" thickBot="1" x14ac:dyDescent="0.35">
      <c r="A9" s="279"/>
      <c r="B9" s="280"/>
      <c r="C9" s="281"/>
      <c r="D9" s="279"/>
      <c r="E9" s="437" t="s">
        <v>1907</v>
      </c>
      <c r="F9" s="438"/>
      <c r="G9" s="282" t="s">
        <v>459</v>
      </c>
      <c r="H9" s="437" t="s">
        <v>118</v>
      </c>
      <c r="I9" s="438"/>
      <c r="J9" s="282" t="s">
        <v>1912</v>
      </c>
      <c r="K9" s="281"/>
      <c r="L9" s="283"/>
      <c r="M9" s="28"/>
      <c r="N9" s="28"/>
    </row>
    <row r="10" spans="1:14" ht="15.6" x14ac:dyDescent="0.3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6" x14ac:dyDescent="0.3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2" thickBot="1" x14ac:dyDescent="0.35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6" x14ac:dyDescent="0.3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6" x14ac:dyDescent="0.3">
      <c r="A14" s="362" t="s">
        <v>1166</v>
      </c>
      <c r="B14" s="297" t="s">
        <v>193</v>
      </c>
      <c r="C14" s="298"/>
      <c r="D14" s="299">
        <f>'Allocation ProForma'!M174</f>
        <v>25275870.378223237</v>
      </c>
      <c r="E14" s="300">
        <f>'Allocation ProForma'!M123+'Allocation ProForma'!M124+'Allocation ProForma'!M125</f>
        <v>17395281.40324368</v>
      </c>
      <c r="F14" s="301">
        <f>'Allocation ProForma'!M126</f>
        <v>656812.91705090401</v>
      </c>
      <c r="G14" s="301">
        <f>'Allocation ProForma'!M135</f>
        <v>4365524.7874690015</v>
      </c>
      <c r="H14" s="301">
        <f>'Allocation ProForma'!M145+'Allocation ProForma'!M147+'Allocation ProForma'!M152+'Allocation ProForma'!M141</f>
        <v>2103342.357652247</v>
      </c>
      <c r="I14" s="301">
        <f>'Allocation ProForma'!M146+'Allocation ProForma'!M148+'Allocation ProForma'!M153+'Allocation ProForma'!M157+'Allocation ProForma'!M160+'Allocation ProForma'!M163</f>
        <v>745924.30843419663</v>
      </c>
      <c r="J14" s="301">
        <f>'Allocation ProForma'!M166+'Allocation ProForma'!M169</f>
        <v>8984.6043732048711</v>
      </c>
      <c r="K14" s="302">
        <f>SUM(E14:J14)</f>
        <v>25275870.378223237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1323</v>
      </c>
      <c r="B15" s="297" t="s">
        <v>1888</v>
      </c>
      <c r="C15" s="298"/>
      <c r="D15" s="299">
        <f>'Allocation ProForma'!M773+'Allocation ProForma'!M774+'Allocation ProForma'!M775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6" x14ac:dyDescent="0.3">
      <c r="A16" s="362" t="s">
        <v>1889</v>
      </c>
      <c r="B16" s="297" t="s">
        <v>1890</v>
      </c>
      <c r="C16" s="298"/>
      <c r="D16" s="306">
        <f>D14+D15</f>
        <v>25275870.378223237</v>
      </c>
      <c r="E16" s="306">
        <f t="shared" ref="E16:K16" si="1">E14+E15</f>
        <v>17395281.40324368</v>
      </c>
      <c r="F16" s="307">
        <f t="shared" si="1"/>
        <v>656812.91705090401</v>
      </c>
      <c r="G16" s="307">
        <f t="shared" si="1"/>
        <v>4365524.7874690015</v>
      </c>
      <c r="H16" s="307">
        <f t="shared" si="1"/>
        <v>2103342.357652247</v>
      </c>
      <c r="I16" s="307">
        <f t="shared" si="1"/>
        <v>745924.30843419663</v>
      </c>
      <c r="J16" s="307">
        <f t="shared" si="1"/>
        <v>8984.6043732048711</v>
      </c>
      <c r="K16" s="302">
        <f t="shared" si="1"/>
        <v>25275870.378223237</v>
      </c>
      <c r="L16" s="303" t="str">
        <f>IF(ABS(K16-D16)&lt;0.01,"ok","err")</f>
        <v>ok</v>
      </c>
      <c r="M16" s="28"/>
      <c r="N16" s="28"/>
    </row>
    <row r="17" spans="1:14" ht="15.6" x14ac:dyDescent="0.3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6" x14ac:dyDescent="0.3">
      <c r="A18" s="362" t="s">
        <v>1891</v>
      </c>
      <c r="B18" s="297" t="s">
        <v>441</v>
      </c>
      <c r="C18" s="298"/>
      <c r="D18" s="311">
        <f>'Allocation ProForma'!M825</f>
        <v>0.12888131835737809</v>
      </c>
      <c r="E18" s="311">
        <f t="shared" ref="E18:J18" si="2">D18</f>
        <v>0.12888131835737809</v>
      </c>
      <c r="F18" s="312">
        <f t="shared" si="2"/>
        <v>0.12888131835737809</v>
      </c>
      <c r="G18" s="312">
        <f t="shared" si="2"/>
        <v>0.12888131835737809</v>
      </c>
      <c r="H18" s="312">
        <f t="shared" si="2"/>
        <v>0.12888131835737809</v>
      </c>
      <c r="I18" s="312">
        <f t="shared" si="2"/>
        <v>0.12888131835737809</v>
      </c>
      <c r="J18" s="312">
        <f t="shared" si="2"/>
        <v>0.12888131835737809</v>
      </c>
      <c r="K18" s="302"/>
      <c r="L18" s="303"/>
      <c r="M18" s="28"/>
      <c r="N18" s="28"/>
    </row>
    <row r="19" spans="1:14" ht="15.6" x14ac:dyDescent="0.3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6" x14ac:dyDescent="0.3">
      <c r="A20" s="362" t="s">
        <v>1892</v>
      </c>
      <c r="B20" s="297" t="s">
        <v>1893</v>
      </c>
      <c r="C20" s="298"/>
      <c r="D20" s="306">
        <f>D18*D16</f>
        <v>3257587.4969756114</v>
      </c>
      <c r="E20" s="306">
        <f t="shared" ref="E20:J20" si="3">E18*E16</f>
        <v>2241926.8004476274</v>
      </c>
      <c r="F20" s="307">
        <f t="shared" si="3"/>
        <v>84650.914663675736</v>
      </c>
      <c r="G20" s="307">
        <f t="shared" si="3"/>
        <v>562634.58993081772</v>
      </c>
      <c r="H20" s="307">
        <f t="shared" si="3"/>
        <v>271081.53601113748</v>
      </c>
      <c r="I20" s="307">
        <f t="shared" si="3"/>
        <v>96135.708265814785</v>
      </c>
      <c r="J20" s="307">
        <f t="shared" si="3"/>
        <v>1157.9476565381085</v>
      </c>
      <c r="K20" s="302">
        <f>SUM(E20:J20)</f>
        <v>3257587.4969756114</v>
      </c>
      <c r="L20" s="303" t="str">
        <f>IF(ABS(K20-D20)&lt;0.01,"ok","err")</f>
        <v>ok</v>
      </c>
      <c r="M20" s="28"/>
      <c r="N20" s="28"/>
    </row>
    <row r="21" spans="1:14" ht="15.6" x14ac:dyDescent="0.3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6" x14ac:dyDescent="0.3">
      <c r="A22" s="362" t="s">
        <v>1324</v>
      </c>
      <c r="B22" s="297" t="s">
        <v>1894</v>
      </c>
      <c r="C22" s="298"/>
      <c r="D22" s="306">
        <f>'Allocation ProForma'!M705</f>
        <v>600722.80339447141</v>
      </c>
      <c r="E22" s="306">
        <f t="shared" ref="E22:J22" si="4">(E14/$D$14)*$D$22</f>
        <v>413427.59137566132</v>
      </c>
      <c r="F22" s="307">
        <f t="shared" si="4"/>
        <v>15610.243719894213</v>
      </c>
      <c r="G22" s="307">
        <f t="shared" si="4"/>
        <v>103753.90636897145</v>
      </c>
      <c r="H22" s="307">
        <f t="shared" si="4"/>
        <v>49989.404862425712</v>
      </c>
      <c r="I22" s="307">
        <f t="shared" si="4"/>
        <v>17728.123106246585</v>
      </c>
      <c r="J22" s="307">
        <f t="shared" si="4"/>
        <v>213.53396127208882</v>
      </c>
      <c r="K22" s="302">
        <f>SUM(E22:J22)</f>
        <v>600722.80339447141</v>
      </c>
      <c r="L22" s="303" t="str">
        <f>IF(ABS(K22-D22)&lt;0.01,"ok","err")</f>
        <v>ok</v>
      </c>
      <c r="M22" s="28"/>
      <c r="N22" s="28"/>
    </row>
    <row r="23" spans="1:14" ht="15.6" x14ac:dyDescent="0.3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6" x14ac:dyDescent="0.3">
      <c r="A24" s="362" t="s">
        <v>1325</v>
      </c>
      <c r="B24" s="297" t="s">
        <v>209</v>
      </c>
      <c r="C24" s="298"/>
      <c r="D24" s="306">
        <f>D20-D22</f>
        <v>2656864.6935811401</v>
      </c>
      <c r="E24" s="306">
        <f t="shared" ref="E24:J24" si="5">E20-E22</f>
        <v>1828499.2090719661</v>
      </c>
      <c r="F24" s="307">
        <f t="shared" si="5"/>
        <v>69040.67094378153</v>
      </c>
      <c r="G24" s="307">
        <f t="shared" si="5"/>
        <v>458880.68356184626</v>
      </c>
      <c r="H24" s="307">
        <f t="shared" si="5"/>
        <v>221092.13114871178</v>
      </c>
      <c r="I24" s="307">
        <f t="shared" si="5"/>
        <v>78407.585159568203</v>
      </c>
      <c r="J24" s="307">
        <f t="shared" si="5"/>
        <v>944.41369526601966</v>
      </c>
      <c r="K24" s="302">
        <f>SUM(E24:J24)</f>
        <v>2656864.6935811397</v>
      </c>
      <c r="L24" s="303" t="str">
        <f>IF(ABS(K24-D24)&lt;0.01,"ok","err")</f>
        <v>ok</v>
      </c>
      <c r="M24" s="28"/>
      <c r="N24" s="28"/>
    </row>
    <row r="25" spans="1:14" ht="15.6" x14ac:dyDescent="0.3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6" x14ac:dyDescent="0.3">
      <c r="A26" s="362" t="s">
        <v>1326</v>
      </c>
      <c r="B26" s="297" t="s">
        <v>553</v>
      </c>
      <c r="C26" s="298"/>
      <c r="D26" s="306">
        <f>'Allocation ProForma'!M740+'Allocation ProForma'!M817</f>
        <v>1869898.6232092432</v>
      </c>
      <c r="E26" s="306">
        <f t="shared" ref="E26:J26" si="6">$D$26*(E24/$K$24)</f>
        <v>1286895.8520331369</v>
      </c>
      <c r="F26" s="307">
        <f t="shared" si="6"/>
        <v>48590.752797881178</v>
      </c>
      <c r="G26" s="307">
        <f t="shared" si="6"/>
        <v>322959.75044669991</v>
      </c>
      <c r="H26" s="307">
        <f t="shared" si="6"/>
        <v>155604.4132153875</v>
      </c>
      <c r="I26" s="307">
        <f t="shared" si="6"/>
        <v>55183.177334265907</v>
      </c>
      <c r="J26" s="307">
        <f t="shared" si="6"/>
        <v>664.67738187208226</v>
      </c>
      <c r="K26" s="302">
        <f>SUM(E26:J26)</f>
        <v>1869898.6232092436</v>
      </c>
      <c r="L26" s="303" t="str">
        <f>IF(ABS(K26-D26)&lt;0.01,"ok","err")</f>
        <v>ok</v>
      </c>
      <c r="M26" s="28"/>
      <c r="N26" s="28"/>
    </row>
    <row r="27" spans="1:14" ht="15.6" x14ac:dyDescent="0.3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6" x14ac:dyDescent="0.3">
      <c r="A28" s="362" t="s">
        <v>1327</v>
      </c>
      <c r="B28" s="297" t="s">
        <v>795</v>
      </c>
      <c r="C28" s="298"/>
      <c r="D28" s="306">
        <f>'Allocation ProForma'!M671</f>
        <v>7651162.2855686005</v>
      </c>
      <c r="E28" s="306">
        <f>'Allocation ProForma'!M180+'Allocation ProForma'!M181+'Allocation ProForma'!M182</f>
        <v>920953.72101849527</v>
      </c>
      <c r="F28" s="307">
        <f>'Allocation ProForma'!M183</f>
        <v>5850204.2746286383</v>
      </c>
      <c r="G28" s="307">
        <f>'Allocation ProForma'!M192</f>
        <v>370255.64739912929</v>
      </c>
      <c r="H28" s="307">
        <f>'Allocation ProForma'!M198+'Allocation ProForma'!M202+'Allocation ProForma'!M204+'Allocation ProForma'!M209</f>
        <v>180207.37550542879</v>
      </c>
      <c r="I28" s="307">
        <f>'Allocation ProForma'!M203+'Allocation ProForma'!M205+'Allocation ProForma'!M210+'Allocation ProForma'!M214+'Allocation ProForma'!M217</f>
        <v>254930.02952549219</v>
      </c>
      <c r="J28" s="307">
        <f>'Allocation ProForma'!M223+'Allocation ProForma'!M226</f>
        <v>74611.237491416628</v>
      </c>
      <c r="K28" s="302">
        <f>SUM(E28:J28)</f>
        <v>7651162.2855686005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1895</v>
      </c>
      <c r="B29" s="297" t="s">
        <v>843</v>
      </c>
      <c r="C29" s="298"/>
      <c r="D29" s="306">
        <f>'Allocation ProForma'!M672</f>
        <v>1641041.2910282558</v>
      </c>
      <c r="E29" s="306">
        <f>'Allocation ProForma'!M300</f>
        <v>1292663.477033437</v>
      </c>
      <c r="F29" s="307">
        <v>0</v>
      </c>
      <c r="G29" s="307">
        <f>'Allocation ProForma'!M306</f>
        <v>202321.87945492257</v>
      </c>
      <c r="H29" s="307">
        <f>'Allocation ProForma'!M312+'Allocation ProForma'!M316+'Allocation ProForma'!M318+'Allocation ProForma'!M323</f>
        <v>108740.98705731312</v>
      </c>
      <c r="I29" s="307">
        <f>'Allocation ProForma'!M317+'Allocation ProForma'!M319+'Allocation ProForma'!M324+'Allocation ProForma'!M328+'Allocation ProForma'!M331</f>
        <v>37314.947482583069</v>
      </c>
      <c r="J29" s="307">
        <v>0</v>
      </c>
      <c r="K29" s="302">
        <f>SUM(E29:J29)</f>
        <v>1641041.2910282558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1896</v>
      </c>
      <c r="B30" s="297" t="s">
        <v>428</v>
      </c>
      <c r="C30" s="298"/>
      <c r="D30" s="306">
        <f>'Allocation ProForma'!M674+'Allocation ProForma'!M675+'Allocation ProForma'!M676+'Allocation ProForma'!M673</f>
        <v>263892.32004388794</v>
      </c>
      <c r="E30" s="306">
        <f>'Allocation ProForma'!M414+'Allocation ProForma'!M471+'Allocation ProForma'!M357</f>
        <v>192607.88076891814</v>
      </c>
      <c r="F30" s="307">
        <f>'Allocation ProForma'!M529</f>
        <v>0</v>
      </c>
      <c r="G30" s="307">
        <f>'Allocation ProForma'!M420+'Allocation ProForma'!M477+'Allocation ProForma'!M363</f>
        <v>42711.608676003736</v>
      </c>
      <c r="H30" s="307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21272.930895555372</v>
      </c>
      <c r="I30" s="307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7299.8997034107069</v>
      </c>
      <c r="J30" s="307">
        <v>0</v>
      </c>
      <c r="K30" s="302">
        <f>SUM(E30:J30)</f>
        <v>263892.32004388794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1897</v>
      </c>
      <c r="B31" s="297" t="s">
        <v>1933</v>
      </c>
      <c r="C31" s="298"/>
      <c r="D31" s="306">
        <f>'Allocation ProForma'!M679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6" x14ac:dyDescent="0.3">
      <c r="A32" s="362" t="s">
        <v>1898</v>
      </c>
      <c r="B32" s="297" t="s">
        <v>1915</v>
      </c>
      <c r="C32" s="298"/>
      <c r="D32" s="306">
        <f>'Allocation ProForma'!M745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6" x14ac:dyDescent="0.3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1901</v>
      </c>
      <c r="B34" s="297" t="s">
        <v>1918</v>
      </c>
      <c r="C34" s="298"/>
      <c r="D34" s="306">
        <f>'Allocation ProForma'!M756+'Allocation ProForma'!M759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1905</v>
      </c>
      <c r="B36" s="297" t="s">
        <v>1917</v>
      </c>
      <c r="C36" s="298"/>
      <c r="D36" s="306">
        <f>SUM('Allocation ProForma'!M813:M815)-'Allocation ProForma'!M721</f>
        <v>4595.7641988562518</v>
      </c>
      <c r="E36" s="306">
        <f t="shared" ref="E36:J36" si="9">(E14/($D$14)*$D$36)</f>
        <v>3162.8826349313217</v>
      </c>
      <c r="F36" s="307">
        <f t="shared" si="9"/>
        <v>119.4244646914143</v>
      </c>
      <c r="G36" s="307">
        <f t="shared" si="9"/>
        <v>793.75792909410802</v>
      </c>
      <c r="H36" s="307">
        <f t="shared" si="9"/>
        <v>382.43848225952172</v>
      </c>
      <c r="I36" s="307">
        <f t="shared" si="9"/>
        <v>135.62706963048868</v>
      </c>
      <c r="J36" s="307">
        <f t="shared" si="9"/>
        <v>1.6336182493971474</v>
      </c>
      <c r="K36" s="302">
        <f t="shared" si="8"/>
        <v>4595.7641988562509</v>
      </c>
      <c r="L36" s="303" t="str">
        <f t="shared" si="7"/>
        <v>ok</v>
      </c>
      <c r="M36" s="28"/>
      <c r="N36" s="28"/>
    </row>
    <row r="37" spans="1:14" ht="15.6" x14ac:dyDescent="0.3">
      <c r="A37" s="364" t="s">
        <v>1919</v>
      </c>
      <c r="B37" s="297" t="s">
        <v>2444</v>
      </c>
      <c r="C37" s="381"/>
      <c r="D37" s="306">
        <f>-'Allocation ProForma'!M802-'Allocation ProForma'!M803</f>
        <v>-73067.575111432307</v>
      </c>
      <c r="E37" s="306">
        <f>-'Allocation ProForma'!M802-'Allocation ProForma'!$M$803*(E14/$D$14)</f>
        <v>-73067.425927679957</v>
      </c>
      <c r="F37" s="383">
        <f>-'Allocation ProForma'!$M$803*(F14/$D$14)</f>
        <v>-1.243381882612821E-2</v>
      </c>
      <c r="G37" s="383">
        <f>-'Allocation ProForma'!$M$803*(G14/$D$14)</f>
        <v>-8.2641712547432494E-2</v>
      </c>
      <c r="H37" s="383">
        <f>-'Allocation ProForma'!$M$803*(H14/$D$14)</f>
        <v>-3.9817392632585116E-2</v>
      </c>
      <c r="I37" s="383">
        <f>-'Allocation ProForma'!$M$803*(I14/$D$14)</f>
        <v>-1.412074499192131E-2</v>
      </c>
      <c r="J37" s="383">
        <f>-'Allocation ProForma'!$M$803*(J14/$D$14)</f>
        <v>-1.7008335265764976E-4</v>
      </c>
      <c r="K37" s="302">
        <f t="shared" si="8"/>
        <v>-73067.575111432321</v>
      </c>
      <c r="L37" s="303" t="str">
        <f t="shared" si="7"/>
        <v>ok</v>
      </c>
      <c r="M37" s="28"/>
      <c r="N37" s="28"/>
    </row>
    <row r="38" spans="1:14" ht="15.6" x14ac:dyDescent="0.3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6" x14ac:dyDescent="0.3">
      <c r="A39" s="362" t="s">
        <v>1920</v>
      </c>
      <c r="B39" s="297" t="s">
        <v>1924</v>
      </c>
      <c r="C39" s="298"/>
      <c r="D39" s="306">
        <f t="shared" ref="D39:J39" si="10">SUM(D32:D37)</f>
        <v>-68471.810912576053</v>
      </c>
      <c r="E39" s="306">
        <f t="shared" si="10"/>
        <v>-69904.54329274864</v>
      </c>
      <c r="F39" s="307">
        <f t="shared" si="10"/>
        <v>119.41203087258818</v>
      </c>
      <c r="G39" s="307">
        <f t="shared" si="10"/>
        <v>793.67528738156057</v>
      </c>
      <c r="H39" s="307">
        <f t="shared" si="10"/>
        <v>382.39866486688913</v>
      </c>
      <c r="I39" s="307">
        <f t="shared" si="10"/>
        <v>135.61294888549676</v>
      </c>
      <c r="J39" s="307">
        <f t="shared" si="10"/>
        <v>1.6334481660444897</v>
      </c>
      <c r="K39" s="302">
        <f t="shared" si="8"/>
        <v>-68471.810912576067</v>
      </c>
      <c r="L39" s="303" t="str">
        <f t="shared" si="7"/>
        <v>ok</v>
      </c>
      <c r="M39" s="28"/>
      <c r="N39" s="28"/>
    </row>
    <row r="40" spans="1:14" ht="15.6" x14ac:dyDescent="0.3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6" x14ac:dyDescent="0.3">
      <c r="A41" s="362" t="s">
        <v>1921</v>
      </c>
      <c r="B41" s="297" t="s">
        <v>1899</v>
      </c>
      <c r="C41" s="313"/>
      <c r="D41" s="306">
        <f>SUM(D28:D31)+D22+D26+D39+D24</f>
        <v>14615110.205913024</v>
      </c>
      <c r="E41" s="306">
        <f t="shared" ref="E41:J41" si="11">SUM(E28:E31)+E22+E26+E39+E24</f>
        <v>5865143.1880088663</v>
      </c>
      <c r="F41" s="307">
        <f t="shared" si="11"/>
        <v>5983565.3541210685</v>
      </c>
      <c r="G41" s="307">
        <f t="shared" si="11"/>
        <v>1501677.1511949548</v>
      </c>
      <c r="H41" s="307">
        <f t="shared" si="11"/>
        <v>737289.6413496891</v>
      </c>
      <c r="I41" s="307">
        <f t="shared" si="11"/>
        <v>450999.37526045216</v>
      </c>
      <c r="J41" s="307">
        <f t="shared" si="11"/>
        <v>76435.495977992861</v>
      </c>
      <c r="K41" s="302">
        <f>SUM(E41:J41)</f>
        <v>14615110.205913022</v>
      </c>
      <c r="L41" s="303" t="str">
        <f>IF(ABS(K41-D41)&lt;0.01,"ok","err")</f>
        <v>ok</v>
      </c>
      <c r="M41" s="28"/>
      <c r="N41" s="28"/>
    </row>
    <row r="42" spans="1:14" ht="15.6" x14ac:dyDescent="0.3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6" x14ac:dyDescent="0.3">
      <c r="A43" s="362" t="s">
        <v>1922</v>
      </c>
      <c r="B43" s="297" t="s">
        <v>2432</v>
      </c>
      <c r="C43" s="298"/>
      <c r="D43" s="306">
        <f>-'Allocation ProForma'!M654</f>
        <v>146294.19723152765</v>
      </c>
      <c r="E43" s="306">
        <f>D43</f>
        <v>146294.19723152765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146294.19723152765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1923</v>
      </c>
      <c r="B44" s="297" t="s">
        <v>1925</v>
      </c>
      <c r="C44" s="298"/>
      <c r="D44" s="306">
        <f>-('Allocation ProForma'!M652+'Allocation ProForma'!M653)</f>
        <v>-76946.693901392908</v>
      </c>
      <c r="E44" s="306">
        <v>0</v>
      </c>
      <c r="F44" s="307">
        <f>D44</f>
        <v>-76946.693901392908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-76946.693901392908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1927</v>
      </c>
      <c r="B45" s="297" t="s">
        <v>1926</v>
      </c>
      <c r="C45" s="298"/>
      <c r="D45" s="306">
        <f>-('Allocation ProForma'!M655+'Allocation ProForma'!M656+'Allocation ProForma'!M657+'Allocation ProForma'!M658+'Allocation ProForma'!M661+'Allocation ProForma'!M662+'Allocation ProForma'!M663+'Allocation ProForma'!M664+'Allocation ProForma'!M665)</f>
        <v>-27955.700833406405</v>
      </c>
      <c r="E45" s="306">
        <f t="shared" ref="E45:J45" si="12">(E14/($D$14)*$D$45)</f>
        <v>-19239.586037795725</v>
      </c>
      <c r="F45" s="307">
        <f t="shared" si="12"/>
        <v>-726.45037095979831</v>
      </c>
      <c r="G45" s="307">
        <f t="shared" si="12"/>
        <v>-4828.3720051219207</v>
      </c>
      <c r="H45" s="307">
        <f t="shared" si="12"/>
        <v>-2326.3455944693478</v>
      </c>
      <c r="I45" s="307">
        <f t="shared" si="12"/>
        <v>-825.00964354200858</v>
      </c>
      <c r="J45" s="307">
        <f t="shared" si="12"/>
        <v>-9.9371815176038361</v>
      </c>
      <c r="K45" s="302">
        <f>SUM(E45:J45)</f>
        <v>-27955.700833406408</v>
      </c>
      <c r="L45" s="303" t="str">
        <f>IF(ABS(K45-D45)&lt;0.01,"ok","err")</f>
        <v>ok</v>
      </c>
      <c r="M45" s="28"/>
      <c r="N45" s="28"/>
    </row>
    <row r="46" spans="1:14" ht="15.6" x14ac:dyDescent="0.3">
      <c r="A46" s="362" t="s">
        <v>1928</v>
      </c>
      <c r="B46" s="297" t="s">
        <v>1929</v>
      </c>
      <c r="C46" s="298"/>
      <c r="D46" s="306">
        <f>SUM(D43:D45)</f>
        <v>41391.802496728342</v>
      </c>
      <c r="E46" s="306">
        <f t="shared" ref="E46:J46" si="13">SUM(E43:E45)</f>
        <v>127054.61119373192</v>
      </c>
      <c r="F46" s="307">
        <f t="shared" si="13"/>
        <v>-77673.1442723527</v>
      </c>
      <c r="G46" s="307">
        <f t="shared" si="13"/>
        <v>-4828.3720051219207</v>
      </c>
      <c r="H46" s="307">
        <f t="shared" si="13"/>
        <v>-2326.3455944693478</v>
      </c>
      <c r="I46" s="307">
        <f t="shared" si="13"/>
        <v>-825.00964354200858</v>
      </c>
      <c r="J46" s="307">
        <f t="shared" si="13"/>
        <v>-9.9371815176038361</v>
      </c>
      <c r="K46" s="302">
        <f>SUM(E46:J46)</f>
        <v>41391.802496728342</v>
      </c>
      <c r="L46" s="303" t="str">
        <f>IF(ABS(K46-D46)&lt;0.01,"ok","err")</f>
        <v>ok</v>
      </c>
      <c r="M46" s="28"/>
      <c r="N46" s="28"/>
    </row>
    <row r="47" spans="1:14" ht="15.6" x14ac:dyDescent="0.3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6" x14ac:dyDescent="0.3">
      <c r="A48" s="362" t="s">
        <v>1934</v>
      </c>
      <c r="B48" s="297" t="s">
        <v>1902</v>
      </c>
      <c r="C48" s="315">
        <f>'Allocation ProForma'!M806-SUM('Allocation ProForma'!M652:M665)-'Allocation ProForma'!M721-'Allocation ProForma'!M802-'Allocation ProForma'!M803</f>
        <v>14656501.999999998</v>
      </c>
      <c r="D48" s="306">
        <f>D41+D46</f>
        <v>14656502.008409752</v>
      </c>
      <c r="E48" s="306">
        <f t="shared" ref="E48:J48" si="14">E41+E46</f>
        <v>5992197.7992025986</v>
      </c>
      <c r="F48" s="307">
        <f t="shared" si="14"/>
        <v>5905892.2098487159</v>
      </c>
      <c r="G48" s="307">
        <f t="shared" si="14"/>
        <v>1496848.7791898327</v>
      </c>
      <c r="H48" s="307">
        <f t="shared" si="14"/>
        <v>734963.29575521976</v>
      </c>
      <c r="I48" s="307">
        <f t="shared" si="14"/>
        <v>450174.36561691016</v>
      </c>
      <c r="J48" s="307">
        <f t="shared" si="14"/>
        <v>76425.558796475263</v>
      </c>
      <c r="K48" s="302">
        <f>SUM(E48:J48)</f>
        <v>14656502.008409753</v>
      </c>
      <c r="L48" s="303" t="str">
        <f>IF(ABS(K48-D48)&lt;0.01,"ok","err")</f>
        <v>ok</v>
      </c>
      <c r="M48" s="28"/>
      <c r="N48" s="28"/>
    </row>
    <row r="49" spans="1:14" ht="15.6" x14ac:dyDescent="0.3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6" x14ac:dyDescent="0.3">
      <c r="A50" s="362" t="s">
        <v>1935</v>
      </c>
      <c r="B50" s="297" t="s">
        <v>1904</v>
      </c>
      <c r="C50" s="298"/>
      <c r="D50" s="316"/>
      <c r="E50" s="317">
        <v>486738</v>
      </c>
      <c r="F50" s="318">
        <f>'Billing Det'!C20</f>
        <v>169814470.8207581</v>
      </c>
      <c r="G50" s="318">
        <f>E50</f>
        <v>486738</v>
      </c>
      <c r="H50" s="318">
        <f>G50</f>
        <v>486738</v>
      </c>
      <c r="I50" s="318">
        <f>'Allocation ProForma'!M848</f>
        <v>2070</v>
      </c>
      <c r="J50" s="318">
        <f>I50</f>
        <v>2070</v>
      </c>
      <c r="K50" s="287"/>
      <c r="L50" s="310"/>
      <c r="M50" s="28"/>
      <c r="N50" s="28"/>
    </row>
    <row r="51" spans="1:14" ht="16.2" thickBot="1" x14ac:dyDescent="0.35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2" thickBot="1" x14ac:dyDescent="0.35">
      <c r="A52" s="365" t="s">
        <v>2446</v>
      </c>
      <c r="B52" s="319" t="s">
        <v>1906</v>
      </c>
      <c r="C52" s="320"/>
      <c r="D52" s="321"/>
      <c r="E52" s="384">
        <f t="shared" ref="E52:J52" si="15">E48/E50</f>
        <v>12.310930724953874</v>
      </c>
      <c r="F52" s="323">
        <f t="shared" si="15"/>
        <v>3.4778497858892601E-2</v>
      </c>
      <c r="G52" s="324">
        <f t="shared" si="15"/>
        <v>3.0752659114140108</v>
      </c>
      <c r="H52" s="324">
        <f t="shared" si="15"/>
        <v>1.5099772274924492</v>
      </c>
      <c r="I52" s="324">
        <f>I48/I50</f>
        <v>217.47553894536722</v>
      </c>
      <c r="J52" s="324">
        <f t="shared" si="15"/>
        <v>36.920559805060513</v>
      </c>
      <c r="K52" s="325">
        <f>I52+J52</f>
        <v>254.39609875042774</v>
      </c>
      <c r="L52" s="326"/>
      <c r="M52" s="28"/>
      <c r="N52" s="28"/>
    </row>
    <row r="53" spans="1:14" ht="15.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6" x14ac:dyDescent="0.3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254.39609875042774</v>
      </c>
      <c r="L54" s="28"/>
      <c r="M54" s="28"/>
      <c r="N54" s="28"/>
    </row>
    <row r="55" spans="1:14" ht="15.6" x14ac:dyDescent="0.3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16.896173863860334</v>
      </c>
      <c r="L55" s="28"/>
      <c r="M55" s="28"/>
      <c r="N55" s="28"/>
    </row>
    <row r="56" spans="1:14" ht="15.6" x14ac:dyDescent="0.3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3.4778497858892601E-2</v>
      </c>
      <c r="L56" s="28"/>
      <c r="M56" s="28"/>
      <c r="N56" s="28"/>
    </row>
    <row r="57" spans="1:14" ht="15.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6" x14ac:dyDescent="0.3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6" x14ac:dyDescent="0.3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6" x14ac:dyDescent="0.3">
      <c r="J61" s="373"/>
      <c r="K61" s="34"/>
    </row>
    <row r="62" spans="1:14" ht="15.6" x14ac:dyDescent="0.3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45.44140625" bestFit="1" customWidth="1"/>
    <col min="3" max="3" width="19" hidden="1" customWidth="1"/>
    <col min="4" max="4" width="23.6640625" customWidth="1"/>
    <col min="5" max="5" width="24.88671875" bestFit="1" customWidth="1"/>
    <col min="6" max="6" width="23.3320312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2443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2" thickBot="1" x14ac:dyDescent="0.35">
      <c r="A9" s="279"/>
      <c r="B9" s="280"/>
      <c r="C9" s="281"/>
      <c r="D9" s="279"/>
      <c r="E9" s="437" t="s">
        <v>1907</v>
      </c>
      <c r="F9" s="438"/>
      <c r="G9" s="282" t="s">
        <v>459</v>
      </c>
      <c r="H9" s="437" t="s">
        <v>118</v>
      </c>
      <c r="I9" s="438"/>
      <c r="J9" s="282" t="s">
        <v>1912</v>
      </c>
      <c r="K9" s="281"/>
      <c r="L9" s="283"/>
      <c r="M9" s="28"/>
      <c r="N9" s="28"/>
    </row>
    <row r="10" spans="1:14" ht="15.6" x14ac:dyDescent="0.3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6" x14ac:dyDescent="0.3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2" thickBot="1" x14ac:dyDescent="0.35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6" x14ac:dyDescent="0.3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6" x14ac:dyDescent="0.3">
      <c r="A14" s="362" t="s">
        <v>1166</v>
      </c>
      <c r="B14" s="297" t="s">
        <v>193</v>
      </c>
      <c r="C14" s="298"/>
      <c r="D14" s="299">
        <f>'Allocation ProForma'!N174</f>
        <v>248673397.50148326</v>
      </c>
      <c r="E14" s="300">
        <f>'Allocation ProForma'!N123+'Allocation ProForma'!N124+'Allocation ProForma'!N125</f>
        <v>172517053.43028069</v>
      </c>
      <c r="F14" s="301">
        <f>'Allocation ProForma'!N126</f>
        <v>6626069.5399611192</v>
      </c>
      <c r="G14" s="301">
        <f>'Allocation ProForma'!N135</f>
        <v>43294928.984050207</v>
      </c>
      <c r="H14" s="301">
        <f>'Allocation ProForma'!N145+'Allocation ProForma'!N147+'Allocation ProForma'!N152+'Allocation ProForma'!N141</f>
        <v>24998823.819233175</v>
      </c>
      <c r="I14" s="301">
        <f>'Allocation ProForma'!N146+'Allocation ProForma'!N148+'Allocation ProForma'!N153+'Allocation ProForma'!N157+'Allocation ProForma'!N160+'Allocation ProForma'!N163</f>
        <v>1076045.2683441597</v>
      </c>
      <c r="J14" s="301">
        <f>'Allocation ProForma'!N166+'Allocation ProForma'!N169</f>
        <v>160476.45961389047</v>
      </c>
      <c r="K14" s="302">
        <f>SUM(E14:J14)</f>
        <v>248673397.50148326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1323</v>
      </c>
      <c r="B15" s="297" t="s">
        <v>1888</v>
      </c>
      <c r="C15" s="298"/>
      <c r="D15" s="299">
        <f>'Allocation ProForma'!N773+'Allocation ProForma'!N774+'Allocation ProForma'!N775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6" x14ac:dyDescent="0.3">
      <c r="A16" s="362" t="s">
        <v>1889</v>
      </c>
      <c r="B16" s="297" t="s">
        <v>1890</v>
      </c>
      <c r="C16" s="298"/>
      <c r="D16" s="306">
        <f>D14+D15</f>
        <v>248673397.50148326</v>
      </c>
      <c r="E16" s="306">
        <f t="shared" ref="E16:K16" si="1">E14+E15</f>
        <v>172517053.43028069</v>
      </c>
      <c r="F16" s="307">
        <f t="shared" si="1"/>
        <v>6626069.5399611192</v>
      </c>
      <c r="G16" s="307">
        <f t="shared" si="1"/>
        <v>43294928.984050207</v>
      </c>
      <c r="H16" s="307">
        <f t="shared" si="1"/>
        <v>24998823.819233175</v>
      </c>
      <c r="I16" s="307">
        <f t="shared" si="1"/>
        <v>1076045.2683441597</v>
      </c>
      <c r="J16" s="307">
        <f t="shared" si="1"/>
        <v>160476.45961389047</v>
      </c>
      <c r="K16" s="302">
        <f t="shared" si="1"/>
        <v>248673397.50148326</v>
      </c>
      <c r="L16" s="303" t="str">
        <f>IF(ABS(K16-D16)&lt;0.01,"ok","err")</f>
        <v>ok</v>
      </c>
      <c r="M16" s="28"/>
      <c r="N16" s="28"/>
    </row>
    <row r="17" spans="1:14" ht="15.6" x14ac:dyDescent="0.3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6" x14ac:dyDescent="0.3">
      <c r="A18" s="362" t="s">
        <v>1891</v>
      </c>
      <c r="B18" s="297" t="s">
        <v>441</v>
      </c>
      <c r="C18" s="298"/>
      <c r="D18" s="311">
        <f>'Allocation ProForma'!N825</f>
        <v>8.1346155900467745E-2</v>
      </c>
      <c r="E18" s="311">
        <f t="shared" ref="E18:J18" si="2">D18</f>
        <v>8.1346155900467745E-2</v>
      </c>
      <c r="F18" s="312">
        <f t="shared" si="2"/>
        <v>8.1346155900467745E-2</v>
      </c>
      <c r="G18" s="312">
        <f t="shared" si="2"/>
        <v>8.1346155900467745E-2</v>
      </c>
      <c r="H18" s="312">
        <f t="shared" si="2"/>
        <v>8.1346155900467745E-2</v>
      </c>
      <c r="I18" s="312">
        <f t="shared" si="2"/>
        <v>8.1346155900467745E-2</v>
      </c>
      <c r="J18" s="312">
        <f t="shared" si="2"/>
        <v>8.1346155900467745E-2</v>
      </c>
      <c r="K18" s="302"/>
      <c r="L18" s="303"/>
      <c r="M18" s="28"/>
      <c r="N18" s="28"/>
    </row>
    <row r="19" spans="1:14" ht="15.6" x14ac:dyDescent="0.3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6" x14ac:dyDescent="0.3">
      <c r="A20" s="362" t="s">
        <v>1892</v>
      </c>
      <c r="B20" s="297" t="s">
        <v>1893</v>
      </c>
      <c r="C20" s="298"/>
      <c r="D20" s="306">
        <f>D18*D16</f>
        <v>20228624.961454645</v>
      </c>
      <c r="E20" s="306">
        <f t="shared" ref="E20:J20" si="3">E18*E16</f>
        <v>14033599.123828936</v>
      </c>
      <c r="F20" s="307">
        <f t="shared" si="3"/>
        <v>539005.2858050178</v>
      </c>
      <c r="G20" s="307">
        <f t="shared" si="3"/>
        <v>3521876.0428362279</v>
      </c>
      <c r="H20" s="307">
        <f t="shared" si="3"/>
        <v>2033558.2197276684</v>
      </c>
      <c r="I20" s="307">
        <f t="shared" si="3"/>
        <v>87532.146154684669</v>
      </c>
      <c r="J20" s="307">
        <f t="shared" si="3"/>
        <v>13054.143102106651</v>
      </c>
      <c r="K20" s="302">
        <f>SUM(E20:J20)</f>
        <v>20228624.961454641</v>
      </c>
      <c r="L20" s="303" t="str">
        <f>IF(ABS(K20-D20)&lt;0.01,"ok","err")</f>
        <v>ok</v>
      </c>
      <c r="M20" s="28"/>
      <c r="N20" s="28"/>
    </row>
    <row r="21" spans="1:14" ht="15.6" x14ac:dyDescent="0.3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6" x14ac:dyDescent="0.3">
      <c r="A22" s="362" t="s">
        <v>1324</v>
      </c>
      <c r="B22" s="297" t="s">
        <v>1894</v>
      </c>
      <c r="C22" s="298"/>
      <c r="D22" s="306">
        <f>'Allocation ProForma'!N705</f>
        <v>5913421.431592077</v>
      </c>
      <c r="E22" s="306">
        <f t="shared" ref="E22:J22" si="4">(E14/$D$14)*$D$22</f>
        <v>4102433.3576479657</v>
      </c>
      <c r="F22" s="307">
        <f t="shared" si="4"/>
        <v>157567.08203816542</v>
      </c>
      <c r="G22" s="307">
        <f t="shared" si="4"/>
        <v>1029547.846717349</v>
      </c>
      <c r="H22" s="307">
        <f t="shared" si="4"/>
        <v>594468.81742292596</v>
      </c>
      <c r="I22" s="307">
        <f t="shared" si="4"/>
        <v>25588.218181446802</v>
      </c>
      <c r="J22" s="307">
        <f t="shared" si="4"/>
        <v>3816.109584223379</v>
      </c>
      <c r="K22" s="302">
        <f>SUM(E22:J22)</f>
        <v>5913421.4315920761</v>
      </c>
      <c r="L22" s="303" t="str">
        <f>IF(ABS(K22-D22)&lt;0.01,"ok","err")</f>
        <v>ok</v>
      </c>
      <c r="M22" s="28"/>
      <c r="N22" s="28"/>
    </row>
    <row r="23" spans="1:14" ht="15.6" x14ac:dyDescent="0.3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6" x14ac:dyDescent="0.3">
      <c r="A24" s="362" t="s">
        <v>1325</v>
      </c>
      <c r="B24" s="297" t="s">
        <v>209</v>
      </c>
      <c r="C24" s="298"/>
      <c r="D24" s="306">
        <f>D20-D22</f>
        <v>14315203.529862568</v>
      </c>
      <c r="E24" s="306">
        <f t="shared" ref="E24:J24" si="5">E20-E22</f>
        <v>9931165.7661809698</v>
      </c>
      <c r="F24" s="307">
        <f t="shared" si="5"/>
        <v>381438.20376685238</v>
      </c>
      <c r="G24" s="307">
        <f t="shared" si="5"/>
        <v>2492328.1961188791</v>
      </c>
      <c r="H24" s="307">
        <f t="shared" si="5"/>
        <v>1439089.4023047425</v>
      </c>
      <c r="I24" s="307">
        <f t="shared" si="5"/>
        <v>61943.927973237864</v>
      </c>
      <c r="J24" s="307">
        <f t="shared" si="5"/>
        <v>9238.033517883272</v>
      </c>
      <c r="K24" s="302">
        <f>SUM(E24:J24)</f>
        <v>14315203.529862568</v>
      </c>
      <c r="L24" s="303" t="str">
        <f>IF(ABS(K24-D24)&lt;0.01,"ok","err")</f>
        <v>ok</v>
      </c>
      <c r="M24" s="28"/>
      <c r="N24" s="28"/>
    </row>
    <row r="25" spans="1:14" ht="15.6" x14ac:dyDescent="0.3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6" x14ac:dyDescent="0.3">
      <c r="A26" s="362" t="s">
        <v>1326</v>
      </c>
      <c r="B26" s="297" t="s">
        <v>553</v>
      </c>
      <c r="C26" s="298"/>
      <c r="D26" s="306">
        <f>'Allocation ProForma'!N740+'Allocation ProForma'!N817</f>
        <v>9896227.3951710649</v>
      </c>
      <c r="E26" s="306">
        <f t="shared" ref="E26:J26" si="6">$D$26*(E24/$K$24)</f>
        <v>6865503.1356168706</v>
      </c>
      <c r="F26" s="307">
        <f t="shared" si="6"/>
        <v>263691.61945953884</v>
      </c>
      <c r="G26" s="307">
        <f t="shared" si="6"/>
        <v>1722968.6270779641</v>
      </c>
      <c r="H26" s="307">
        <f t="shared" si="6"/>
        <v>994855.29056430189</v>
      </c>
      <c r="I26" s="307">
        <f t="shared" si="6"/>
        <v>42822.387798711577</v>
      </c>
      <c r="J26" s="307">
        <f t="shared" si="6"/>
        <v>6386.3346536759054</v>
      </c>
      <c r="K26" s="302">
        <f>SUM(E26:J26)</f>
        <v>9896227.395171063</v>
      </c>
      <c r="L26" s="303" t="str">
        <f>IF(ABS(K26-D26)&lt;0.01,"ok","err")</f>
        <v>ok</v>
      </c>
      <c r="M26" s="28"/>
      <c r="N26" s="28"/>
    </row>
    <row r="27" spans="1:14" ht="15.6" x14ac:dyDescent="0.3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6" x14ac:dyDescent="0.3">
      <c r="A28" s="362" t="s">
        <v>1327</v>
      </c>
      <c r="B28" s="297" t="s">
        <v>795</v>
      </c>
      <c r="C28" s="298"/>
      <c r="D28" s="306">
        <f>'Allocation ProForma'!N671</f>
        <v>75124152.589057371</v>
      </c>
      <c r="E28" s="306">
        <f>'Allocation ProForma'!N180+'Allocation ProForma'!N181+'Allocation ProForma'!N182</f>
        <v>9133524.1214400437</v>
      </c>
      <c r="F28" s="307">
        <f>'Allocation ProForma'!N183</f>
        <v>59018115.113687538</v>
      </c>
      <c r="G28" s="307">
        <f>'Allocation ProForma'!N192</f>
        <v>3671996.5503580743</v>
      </c>
      <c r="H28" s="307">
        <f>'Allocation ProForma'!N198+'Allocation ProForma'!N202+'Allocation ProForma'!N204+'Allocation ProForma'!N209</f>
        <v>1731140.7627557232</v>
      </c>
      <c r="I28" s="307">
        <f>'Allocation ProForma'!N203+'Allocation ProForma'!N205+'Allocation ProForma'!N210+'Allocation ProForma'!N214+'Allocation ProForma'!N217</f>
        <v>236724.45787681555</v>
      </c>
      <c r="J28" s="307">
        <f>'Allocation ProForma'!N223+'Allocation ProForma'!N226</f>
        <v>1332651.5829391754</v>
      </c>
      <c r="K28" s="302">
        <f>SUM(E28:J28)</f>
        <v>75124152.589057371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1895</v>
      </c>
      <c r="B29" s="297" t="s">
        <v>843</v>
      </c>
      <c r="C29" s="298"/>
      <c r="D29" s="306">
        <f>'Allocation ProForma'!N672</f>
        <v>16175658.255553182</v>
      </c>
      <c r="E29" s="306">
        <f>'Allocation ProForma'!N300</f>
        <v>12819941.739670051</v>
      </c>
      <c r="F29" s="307">
        <v>0</v>
      </c>
      <c r="G29" s="307">
        <f>'Allocation ProForma'!N306</f>
        <v>2006519.6807641857</v>
      </c>
      <c r="H29" s="307">
        <f>'Allocation ProForma'!N312+'Allocation ProForma'!N316+'Allocation ProForma'!N318+'Allocation ProForma'!N323</f>
        <v>1294519.1226848233</v>
      </c>
      <c r="I29" s="307">
        <f>'Allocation ProForma'!N317+'Allocation ProForma'!N319+'Allocation ProForma'!N324+'Allocation ProForma'!N328+'Allocation ProForma'!N331</f>
        <v>54677.712434123212</v>
      </c>
      <c r="J29" s="307">
        <v>0</v>
      </c>
      <c r="K29" s="302">
        <f>SUM(E29:J29)</f>
        <v>16175658.255553182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1896</v>
      </c>
      <c r="B30" s="297" t="s">
        <v>428</v>
      </c>
      <c r="C30" s="298"/>
      <c r="D30" s="306">
        <f>'Allocation ProForma'!N674+'Allocation ProForma'!N675+'Allocation ProForma'!N676+'Allocation ProForma'!N673</f>
        <v>2597714.7732068999</v>
      </c>
      <c r="E30" s="306">
        <f>'Allocation ProForma'!N414+'Allocation ProForma'!N471+'Allocation ProForma'!N357</f>
        <v>1910181.4617099883</v>
      </c>
      <c r="F30" s="307">
        <f>'Allocation ProForma'!N529</f>
        <v>0</v>
      </c>
      <c r="G30" s="307">
        <f>'Allocation ProForma'!N420+'Allocation ProForma'!N477+'Allocation ProForma'!N363</f>
        <v>423590.78334181954</v>
      </c>
      <c r="H30" s="307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253245.96166609105</v>
      </c>
      <c r="I30" s="307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10696.566489001041</v>
      </c>
      <c r="J30" s="307">
        <v>0</v>
      </c>
      <c r="K30" s="302">
        <f>SUM(E30:J30)</f>
        <v>2597714.7732068999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1897</v>
      </c>
      <c r="B31" s="297" t="s">
        <v>1933</v>
      </c>
      <c r="C31" s="298"/>
      <c r="D31" s="306">
        <f>'Allocation ProForma'!N679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6" x14ac:dyDescent="0.3">
      <c r="A32" s="362" t="s">
        <v>1898</v>
      </c>
      <c r="B32" s="297" t="s">
        <v>1915</v>
      </c>
      <c r="C32" s="298"/>
      <c r="D32" s="306">
        <f>'Allocation ProForma'!N745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6" x14ac:dyDescent="0.3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1901</v>
      </c>
      <c r="B34" s="297" t="s">
        <v>1918</v>
      </c>
      <c r="C34" s="298"/>
      <c r="D34" s="306">
        <f>'Allocation ProForma'!N756+'Allocation ProForma'!N759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1905</v>
      </c>
      <c r="B36" s="297" t="s">
        <v>1917</v>
      </c>
      <c r="C36" s="298"/>
      <c r="D36" s="306">
        <f>SUM('Allocation ProForma'!N813:N815)-'Allocation ProForma'!N721</f>
        <v>41452.223904555045</v>
      </c>
      <c r="E36" s="306">
        <f t="shared" ref="E36:J36" si="9">(E14/($D$14)*$D$36)</f>
        <v>28757.460982948229</v>
      </c>
      <c r="F36" s="307">
        <f t="shared" si="9"/>
        <v>1104.5223209932701</v>
      </c>
      <c r="G36" s="307">
        <f t="shared" si="9"/>
        <v>7216.9806187972099</v>
      </c>
      <c r="H36" s="307">
        <f t="shared" si="9"/>
        <v>4167.1399221510874</v>
      </c>
      <c r="I36" s="307">
        <f t="shared" si="9"/>
        <v>179.36968667737398</v>
      </c>
      <c r="J36" s="307">
        <f t="shared" si="9"/>
        <v>26.750372987868939</v>
      </c>
      <c r="K36" s="302">
        <f t="shared" si="8"/>
        <v>41452.223904555038</v>
      </c>
      <c r="L36" s="303" t="str">
        <f t="shared" si="7"/>
        <v>ok</v>
      </c>
      <c r="M36" s="28"/>
      <c r="N36" s="28"/>
    </row>
    <row r="37" spans="1:14" ht="15.6" x14ac:dyDescent="0.3">
      <c r="A37" s="364" t="s">
        <v>1919</v>
      </c>
      <c r="B37" s="297" t="s">
        <v>2444</v>
      </c>
      <c r="C37" s="381"/>
      <c r="D37" s="306">
        <f>-'Allocation ProForma'!N802-'Allocation ProForma'!N803</f>
        <v>-724649.38510380452</v>
      </c>
      <c r="E37" s="306">
        <f>-'Allocation ProForma'!N802-'Allocation ProForma'!$N$803*(E14/$D$14)</f>
        <v>-724646.57246909465</v>
      </c>
      <c r="F37" s="383">
        <f>-'Allocation ProForma'!$N$803*(F14/$D$14)</f>
        <v>-0.24471648955201686</v>
      </c>
      <c r="G37" s="383">
        <f>-'Allocation ProForma'!$N$803*(G14/$D$14)</f>
        <v>-1.5989845824109485</v>
      </c>
      <c r="H37" s="383">
        <f>-'Allocation ProForma'!$N$803*(H14/$D$14)</f>
        <v>-0.9232659529268965</v>
      </c>
      <c r="I37" s="383">
        <f>-'Allocation ProForma'!$N$803*(I14/$D$14)</f>
        <v>-3.9740908102480599E-2</v>
      </c>
      <c r="J37" s="383">
        <f>-'Allocation ProForma'!$N$803*(J14/$D$14)</f>
        <v>-5.9267768947498436E-3</v>
      </c>
      <c r="K37" s="302">
        <f t="shared" si="8"/>
        <v>-724649.38510380464</v>
      </c>
      <c r="L37" s="303" t="str">
        <f t="shared" si="7"/>
        <v>ok</v>
      </c>
      <c r="M37" s="28"/>
      <c r="N37" s="28"/>
    </row>
    <row r="38" spans="1:14" ht="15.6" x14ac:dyDescent="0.3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6" x14ac:dyDescent="0.3">
      <c r="A39" s="362" t="s">
        <v>1920</v>
      </c>
      <c r="B39" s="297" t="s">
        <v>1924</v>
      </c>
      <c r="C39" s="298"/>
      <c r="D39" s="306">
        <f t="shared" ref="D39:J39" si="10">SUM(D32:D37)</f>
        <v>-683197.16119924944</v>
      </c>
      <c r="E39" s="306">
        <f t="shared" si="10"/>
        <v>-695889.11148614646</v>
      </c>
      <c r="F39" s="307">
        <f t="shared" si="10"/>
        <v>1104.2776045037181</v>
      </c>
      <c r="G39" s="307">
        <f t="shared" si="10"/>
        <v>7215.3816342147993</v>
      </c>
      <c r="H39" s="307">
        <f t="shared" si="10"/>
        <v>4166.2166561981603</v>
      </c>
      <c r="I39" s="307">
        <f t="shared" si="10"/>
        <v>179.32994576927149</v>
      </c>
      <c r="J39" s="307">
        <f t="shared" si="10"/>
        <v>26.744446210974189</v>
      </c>
      <c r="K39" s="302">
        <f t="shared" si="8"/>
        <v>-683197.16119924956</v>
      </c>
      <c r="L39" s="303" t="str">
        <f t="shared" si="7"/>
        <v>ok</v>
      </c>
      <c r="M39" s="28"/>
      <c r="N39" s="28"/>
    </row>
    <row r="40" spans="1:14" ht="15.6" x14ac:dyDescent="0.3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6" x14ac:dyDescent="0.3">
      <c r="A41" s="362" t="s">
        <v>1921</v>
      </c>
      <c r="B41" s="297" t="s">
        <v>1899</v>
      </c>
      <c r="C41" s="313"/>
      <c r="D41" s="306">
        <f>SUM(D28:D31)+D22+D26+D39+D24</f>
        <v>123339180.81324391</v>
      </c>
      <c r="E41" s="306">
        <f t="shared" ref="E41:J41" si="11">SUM(E28:E31)+E22+E26+E39+E24</f>
        <v>44066860.470779747</v>
      </c>
      <c r="F41" s="307">
        <f t="shared" si="11"/>
        <v>59821916.296556599</v>
      </c>
      <c r="G41" s="307">
        <f t="shared" si="11"/>
        <v>11354167.066012487</v>
      </c>
      <c r="H41" s="307">
        <f t="shared" si="11"/>
        <v>6311485.5740548056</v>
      </c>
      <c r="I41" s="307">
        <f t="shared" si="11"/>
        <v>432632.6006991053</v>
      </c>
      <c r="J41" s="307">
        <f t="shared" si="11"/>
        <v>1352118.8051411691</v>
      </c>
      <c r="K41" s="302">
        <f>SUM(E41:J41)</f>
        <v>123339180.81324391</v>
      </c>
      <c r="L41" s="303" t="str">
        <f>IF(ABS(K41-D41)&lt;0.01,"ok","err")</f>
        <v>ok</v>
      </c>
      <c r="M41" s="28"/>
      <c r="N41" s="28"/>
    </row>
    <row r="42" spans="1:14" ht="15.6" x14ac:dyDescent="0.3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6" x14ac:dyDescent="0.3">
      <c r="A43" s="362" t="s">
        <v>1922</v>
      </c>
      <c r="B43" s="297" t="s">
        <v>2432</v>
      </c>
      <c r="C43" s="298"/>
      <c r="D43" s="306">
        <f>-'Allocation ProForma'!N654</f>
        <v>1450867.2355036079</v>
      </c>
      <c r="E43" s="306">
        <f>D43</f>
        <v>1450867.2355036079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1450867.2355036079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1923</v>
      </c>
      <c r="B44" s="297" t="s">
        <v>1925</v>
      </c>
      <c r="C44" s="298"/>
      <c r="D44" s="306">
        <f>-('Allocation ProForma'!N652+'Allocation ProForma'!N653)</f>
        <v>-776254.74686152849</v>
      </c>
      <c r="E44" s="306">
        <v>0</v>
      </c>
      <c r="F44" s="307">
        <f>D44</f>
        <v>-776254.74686152849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-776254.74686152849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1927</v>
      </c>
      <c r="B45" s="297" t="s">
        <v>1926</v>
      </c>
      <c r="C45" s="298"/>
      <c r="D45" s="306">
        <f>-('Allocation ProForma'!N655+'Allocation ProForma'!N656+'Allocation ProForma'!N657+'Allocation ProForma'!N658+'Allocation ProForma'!N661+'Allocation ProForma'!N662+'Allocation ProForma'!N663+'Allocation ProForma'!N664+'Allocation ProForma'!N665)</f>
        <v>-267899.21848258667</v>
      </c>
      <c r="E45" s="306">
        <f t="shared" ref="E45:J45" si="12">(E14/($D$14)*$D$45)</f>
        <v>-185854.95776087255</v>
      </c>
      <c r="F45" s="307">
        <f t="shared" si="12"/>
        <v>-7138.3544408133494</v>
      </c>
      <c r="G45" s="307">
        <f t="shared" si="12"/>
        <v>-46642.213262948477</v>
      </c>
      <c r="H45" s="307">
        <f t="shared" si="12"/>
        <v>-26931.571416345381</v>
      </c>
      <c r="I45" s="307">
        <f t="shared" si="12"/>
        <v>-1159.238138609363</v>
      </c>
      <c r="J45" s="307">
        <f t="shared" si="12"/>
        <v>-172.88346299751348</v>
      </c>
      <c r="K45" s="302">
        <f>SUM(E45:J45)</f>
        <v>-267899.21848258667</v>
      </c>
      <c r="L45" s="303" t="str">
        <f>IF(ABS(K45-D45)&lt;0.01,"ok","err")</f>
        <v>ok</v>
      </c>
      <c r="M45" s="28"/>
      <c r="N45" s="28"/>
    </row>
    <row r="46" spans="1:14" ht="15.6" x14ac:dyDescent="0.3">
      <c r="A46" s="362" t="s">
        <v>1928</v>
      </c>
      <c r="B46" s="297" t="s">
        <v>1929</v>
      </c>
      <c r="C46" s="298"/>
      <c r="D46" s="306">
        <f>SUM(D43:D45)</f>
        <v>406713.27015949273</v>
      </c>
      <c r="E46" s="306">
        <f t="shared" ref="E46:J46" si="13">SUM(E43:E45)</f>
        <v>1265012.2777427353</v>
      </c>
      <c r="F46" s="307">
        <f t="shared" si="13"/>
        <v>-783393.10130234179</v>
      </c>
      <c r="G46" s="307">
        <f t="shared" si="13"/>
        <v>-46642.213262948477</v>
      </c>
      <c r="H46" s="307">
        <f t="shared" si="13"/>
        <v>-26931.571416345381</v>
      </c>
      <c r="I46" s="307">
        <f t="shared" si="13"/>
        <v>-1159.238138609363</v>
      </c>
      <c r="J46" s="307">
        <f t="shared" si="13"/>
        <v>-172.88346299751348</v>
      </c>
      <c r="K46" s="302">
        <f>SUM(E46:J46)</f>
        <v>406713.27015949279</v>
      </c>
      <c r="L46" s="303" t="str">
        <f>IF(ABS(K46-D46)&lt;0.01,"ok","err")</f>
        <v>ok</v>
      </c>
      <c r="M46" s="28"/>
      <c r="N46" s="28"/>
    </row>
    <row r="47" spans="1:14" ht="15.6" x14ac:dyDescent="0.3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6" x14ac:dyDescent="0.3">
      <c r="A48" s="362" t="s">
        <v>1934</v>
      </c>
      <c r="B48" s="297" t="s">
        <v>1902</v>
      </c>
      <c r="C48" s="315">
        <f>'Allocation ProForma'!N806-SUM('Allocation ProForma'!N652:N665)-'Allocation ProForma'!N721-'Allocation ProForma'!N802-'Allocation ProForma'!N803</f>
        <v>123745894.00000001</v>
      </c>
      <c r="D48" s="306">
        <f>D41+D46</f>
        <v>123745894.08340341</v>
      </c>
      <c r="E48" s="306">
        <f t="shared" ref="E48:J48" si="14">E41+E46</f>
        <v>45331872.748522483</v>
      </c>
      <c r="F48" s="307">
        <f t="shared" si="14"/>
        <v>59038523.195254259</v>
      </c>
      <c r="G48" s="307">
        <f t="shared" si="14"/>
        <v>11307524.852749538</v>
      </c>
      <c r="H48" s="307">
        <f t="shared" si="14"/>
        <v>6284554.0026384601</v>
      </c>
      <c r="I48" s="307">
        <f t="shared" si="14"/>
        <v>431473.36256049591</v>
      </c>
      <c r="J48" s="307">
        <f t="shared" si="14"/>
        <v>1351945.9216781715</v>
      </c>
      <c r="K48" s="302">
        <f>SUM(E48:J48)</f>
        <v>123745894.08340341</v>
      </c>
      <c r="L48" s="303" t="str">
        <f>IF(ABS(K48-D48)&lt;0.01,"ok","err")</f>
        <v>ok</v>
      </c>
      <c r="M48" s="28"/>
      <c r="N48" s="28"/>
    </row>
    <row r="49" spans="1:14" ht="15.6" x14ac:dyDescent="0.3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6" x14ac:dyDescent="0.3">
      <c r="A50" s="362" t="s">
        <v>1935</v>
      </c>
      <c r="B50" s="297" t="s">
        <v>1904</v>
      </c>
      <c r="C50" s="298"/>
      <c r="D50" s="316"/>
      <c r="E50" s="317">
        <v>3908916</v>
      </c>
      <c r="F50" s="318">
        <f>'Billing Det'!C22</f>
        <v>1671130914.5630004</v>
      </c>
      <c r="G50" s="318">
        <v>5210823</v>
      </c>
      <c r="H50" s="318">
        <f>G50</f>
        <v>5210823</v>
      </c>
      <c r="I50" s="318">
        <f>'Allocation ProForma'!N848</f>
        <v>7419</v>
      </c>
      <c r="J50" s="318">
        <f>I50</f>
        <v>7419</v>
      </c>
      <c r="K50" s="287"/>
      <c r="L50" s="310"/>
      <c r="M50" s="28"/>
      <c r="N50" s="28"/>
    </row>
    <row r="51" spans="1:14" ht="16.2" thickBot="1" x14ac:dyDescent="0.35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2" thickBot="1" x14ac:dyDescent="0.35">
      <c r="A52" s="365" t="s">
        <v>2446</v>
      </c>
      <c r="B52" s="319" t="s">
        <v>1906</v>
      </c>
      <c r="C52" s="320"/>
      <c r="D52" s="321"/>
      <c r="E52" s="384">
        <f t="shared" ref="E52:J52" si="15">E48/E50</f>
        <v>11.597044487147455</v>
      </c>
      <c r="F52" s="323">
        <f t="shared" si="15"/>
        <v>3.5328484848652801E-2</v>
      </c>
      <c r="G52" s="324">
        <f t="shared" si="15"/>
        <v>2.1700074734354895</v>
      </c>
      <c r="H52" s="324">
        <f t="shared" si="15"/>
        <v>1.206057853555659</v>
      </c>
      <c r="I52" s="324">
        <f>I48/I50</f>
        <v>58.157886852742408</v>
      </c>
      <c r="J52" s="324">
        <f t="shared" si="15"/>
        <v>182.22751336813204</v>
      </c>
      <c r="K52" s="325">
        <f>I52+J52</f>
        <v>240.38540022087443</v>
      </c>
      <c r="L52" s="326"/>
      <c r="M52" s="28"/>
      <c r="N52" s="28"/>
    </row>
    <row r="53" spans="1:14" ht="15.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6" x14ac:dyDescent="0.3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240.38540022087443</v>
      </c>
      <c r="L54" s="28"/>
      <c r="M54" s="28"/>
      <c r="N54" s="28"/>
    </row>
    <row r="55" spans="1:14" ht="15.6" x14ac:dyDescent="0.3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14.973109814138605</v>
      </c>
      <c r="L55" s="28"/>
      <c r="M55" s="28"/>
      <c r="N55" s="28"/>
    </row>
    <row r="56" spans="1:14" ht="15.6" x14ac:dyDescent="0.3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3.5328484848652801E-2</v>
      </c>
      <c r="L56" s="28"/>
      <c r="M56" s="28"/>
      <c r="N56" s="28"/>
    </row>
    <row r="57" spans="1:14" ht="15.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6" x14ac:dyDescent="0.3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6" x14ac:dyDescent="0.3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6" x14ac:dyDescent="0.3">
      <c r="J61" s="373"/>
      <c r="K61" s="34"/>
    </row>
    <row r="62" spans="1:14" ht="15.6" x14ac:dyDescent="0.3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45.44140625" bestFit="1" customWidth="1"/>
    <col min="3" max="3" width="19" hidden="1" customWidth="1"/>
    <col min="4" max="4" width="23.6640625" customWidth="1"/>
    <col min="5" max="5" width="24.88671875" bestFit="1" customWidth="1"/>
    <col min="6" max="6" width="23.3320312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2447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2" thickBot="1" x14ac:dyDescent="0.35">
      <c r="A9" s="279"/>
      <c r="B9" s="280"/>
      <c r="C9" s="281"/>
      <c r="D9" s="279"/>
      <c r="E9" s="437" t="s">
        <v>1907</v>
      </c>
      <c r="F9" s="438"/>
      <c r="G9" s="282" t="s">
        <v>459</v>
      </c>
      <c r="H9" s="437" t="s">
        <v>118</v>
      </c>
      <c r="I9" s="438"/>
      <c r="J9" s="282" t="s">
        <v>1912</v>
      </c>
      <c r="K9" s="281"/>
      <c r="L9" s="283"/>
      <c r="M9" s="28"/>
      <c r="N9" s="28"/>
    </row>
    <row r="10" spans="1:14" ht="15.6" x14ac:dyDescent="0.3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6" x14ac:dyDescent="0.3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2" thickBot="1" x14ac:dyDescent="0.35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6" x14ac:dyDescent="0.3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6" x14ac:dyDescent="0.3">
      <c r="A14" s="362" t="s">
        <v>1166</v>
      </c>
      <c r="B14" s="297" t="s">
        <v>193</v>
      </c>
      <c r="C14" s="298"/>
      <c r="D14" s="299">
        <f>'Allocation ProForma'!O174</f>
        <v>533415050.36546725</v>
      </c>
      <c r="E14" s="300">
        <f>'Allocation ProForma'!O123+'Allocation ProForma'!O124+'Allocation ProForma'!O125</f>
        <v>377307284.07387853</v>
      </c>
      <c r="F14" s="301">
        <f>'Allocation ProForma'!O126</f>
        <v>15927713.238484414</v>
      </c>
      <c r="G14" s="301">
        <f>'Allocation ProForma'!O135</f>
        <v>94689143.735839963</v>
      </c>
      <c r="H14" s="301">
        <f>'Allocation ProForma'!O145+'Allocation ProForma'!O147+'Allocation ProForma'!O152+'Allocation ProForma'!O141</f>
        <v>43809007.132623091</v>
      </c>
      <c r="I14" s="301">
        <f>'Allocation ProForma'!O146+'Allocation ProForma'!O148+'Allocation ProForma'!O153+'Allocation ProForma'!O157+'Allocation ProForma'!O160+'Allocation ProForma'!O163</f>
        <v>1609973.4155262471</v>
      </c>
      <c r="J14" s="301">
        <f>'Allocation ProForma'!O166+'Allocation ProForma'!O169</f>
        <v>71928.769114963856</v>
      </c>
      <c r="K14" s="302">
        <f>SUM(E14:J14)</f>
        <v>533415050.36546725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1323</v>
      </c>
      <c r="B15" s="297" t="s">
        <v>1888</v>
      </c>
      <c r="C15" s="298"/>
      <c r="D15" s="299">
        <f>'Allocation ProForma'!O773+'Allocation ProForma'!O774+'Allocation ProForma'!O775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6" x14ac:dyDescent="0.3">
      <c r="A16" s="362" t="s">
        <v>1889</v>
      </c>
      <c r="B16" s="297" t="s">
        <v>1890</v>
      </c>
      <c r="C16" s="298"/>
      <c r="D16" s="306">
        <f>D14+D15</f>
        <v>533415050.36546725</v>
      </c>
      <c r="E16" s="306">
        <f t="shared" ref="E16:K16" si="1">E14+E15</f>
        <v>377307284.07387853</v>
      </c>
      <c r="F16" s="307">
        <f t="shared" si="1"/>
        <v>15927713.238484414</v>
      </c>
      <c r="G16" s="307">
        <f t="shared" si="1"/>
        <v>94689143.735839963</v>
      </c>
      <c r="H16" s="307">
        <f t="shared" si="1"/>
        <v>43809007.132623091</v>
      </c>
      <c r="I16" s="307">
        <f t="shared" si="1"/>
        <v>1609973.4155262471</v>
      </c>
      <c r="J16" s="307">
        <f t="shared" si="1"/>
        <v>71928.769114963856</v>
      </c>
      <c r="K16" s="302">
        <f t="shared" si="1"/>
        <v>533415050.36546725</v>
      </c>
      <c r="L16" s="303" t="str">
        <f>IF(ABS(K16-D16)&lt;0.01,"ok","err")</f>
        <v>ok</v>
      </c>
      <c r="M16" s="28"/>
      <c r="N16" s="28"/>
    </row>
    <row r="17" spans="1:14" ht="15.6" x14ac:dyDescent="0.3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6" x14ac:dyDescent="0.3">
      <c r="A18" s="362" t="s">
        <v>1891</v>
      </c>
      <c r="B18" s="297" t="s">
        <v>441</v>
      </c>
      <c r="C18" s="298"/>
      <c r="D18" s="311">
        <f>'Allocation ProForma'!O825</f>
        <v>7.0510376134038419E-2</v>
      </c>
      <c r="E18" s="311">
        <f t="shared" ref="E18:J18" si="2">D18</f>
        <v>7.0510376134038419E-2</v>
      </c>
      <c r="F18" s="312">
        <f t="shared" si="2"/>
        <v>7.0510376134038419E-2</v>
      </c>
      <c r="G18" s="312">
        <f t="shared" si="2"/>
        <v>7.0510376134038419E-2</v>
      </c>
      <c r="H18" s="312">
        <f t="shared" si="2"/>
        <v>7.0510376134038419E-2</v>
      </c>
      <c r="I18" s="312">
        <f t="shared" si="2"/>
        <v>7.0510376134038419E-2</v>
      </c>
      <c r="J18" s="312">
        <f t="shared" si="2"/>
        <v>7.0510376134038419E-2</v>
      </c>
      <c r="K18" s="302"/>
      <c r="L18" s="303"/>
      <c r="M18" s="28"/>
      <c r="N18" s="28"/>
    </row>
    <row r="19" spans="1:14" ht="15.6" x14ac:dyDescent="0.3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6" x14ac:dyDescent="0.3">
      <c r="A20" s="362" t="s">
        <v>1892</v>
      </c>
      <c r="B20" s="297" t="s">
        <v>1893</v>
      </c>
      <c r="C20" s="298"/>
      <c r="D20" s="306">
        <f>D18*D16</f>
        <v>37611295.836826146</v>
      </c>
      <c r="E20" s="306">
        <f t="shared" ref="E20:J20" si="3">E18*E16</f>
        <v>26604078.518161658</v>
      </c>
      <c r="F20" s="307">
        <f t="shared" si="3"/>
        <v>1123069.0514006391</v>
      </c>
      <c r="G20" s="307">
        <f t="shared" si="3"/>
        <v>6676567.1406241031</v>
      </c>
      <c r="H20" s="307">
        <f t="shared" si="3"/>
        <v>3088989.5709800259</v>
      </c>
      <c r="I20" s="307">
        <f t="shared" si="3"/>
        <v>113519.83109455822</v>
      </c>
      <c r="J20" s="307">
        <f t="shared" si="3"/>
        <v>5071.7245651545072</v>
      </c>
      <c r="K20" s="302">
        <f>SUM(E20:J20)</f>
        <v>37611295.836826138</v>
      </c>
      <c r="L20" s="303" t="str">
        <f>IF(ABS(K20-D20)&lt;0.01,"ok","err")</f>
        <v>ok</v>
      </c>
      <c r="M20" s="28"/>
      <c r="N20" s="28"/>
    </row>
    <row r="21" spans="1:14" ht="15.6" x14ac:dyDescent="0.3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6" x14ac:dyDescent="0.3">
      <c r="A22" s="362" t="s">
        <v>1324</v>
      </c>
      <c r="B22" s="297" t="s">
        <v>1894</v>
      </c>
      <c r="C22" s="298"/>
      <c r="D22" s="306">
        <f>'Allocation ProForma'!O705</f>
        <v>12663457.890034882</v>
      </c>
      <c r="E22" s="306">
        <f t="shared" ref="E22:J22" si="4">(E14/$D$14)*$D$22</f>
        <v>8957405.4954005349</v>
      </c>
      <c r="F22" s="307">
        <f t="shared" si="4"/>
        <v>378129.4242483495</v>
      </c>
      <c r="G22" s="307">
        <f t="shared" si="4"/>
        <v>2247953.0405464121</v>
      </c>
      <c r="H22" s="307">
        <f t="shared" si="4"/>
        <v>1040040.9899347785</v>
      </c>
      <c r="I22" s="307">
        <f t="shared" si="4"/>
        <v>38221.326034245976</v>
      </c>
      <c r="J22" s="307">
        <f t="shared" si="4"/>
        <v>1707.6138705597252</v>
      </c>
      <c r="K22" s="302">
        <f>SUM(E22:J22)</f>
        <v>12663457.890034879</v>
      </c>
      <c r="L22" s="303" t="str">
        <f>IF(ABS(K22-D22)&lt;0.01,"ok","err")</f>
        <v>ok</v>
      </c>
      <c r="M22" s="28"/>
      <c r="N22" s="28"/>
    </row>
    <row r="23" spans="1:14" ht="15.6" x14ac:dyDescent="0.3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6" x14ac:dyDescent="0.3">
      <c r="A24" s="362" t="s">
        <v>1325</v>
      </c>
      <c r="B24" s="297" t="s">
        <v>209</v>
      </c>
      <c r="C24" s="298"/>
      <c r="D24" s="306">
        <f>D20-D22</f>
        <v>24947837.946791261</v>
      </c>
      <c r="E24" s="306">
        <f t="shared" ref="E24:J24" si="5">E20-E22</f>
        <v>17646673.022761121</v>
      </c>
      <c r="F24" s="307">
        <f t="shared" si="5"/>
        <v>744939.62715228961</v>
      </c>
      <c r="G24" s="307">
        <f t="shared" si="5"/>
        <v>4428614.1000776906</v>
      </c>
      <c r="H24" s="307">
        <f t="shared" si="5"/>
        <v>2048948.5810452474</v>
      </c>
      <c r="I24" s="307">
        <f t="shared" si="5"/>
        <v>75298.505060312251</v>
      </c>
      <c r="J24" s="307">
        <f t="shared" si="5"/>
        <v>3364.1106945947822</v>
      </c>
      <c r="K24" s="302">
        <f>SUM(E24:J24)</f>
        <v>24947837.946791258</v>
      </c>
      <c r="L24" s="303" t="str">
        <f>IF(ABS(K24-D24)&lt;0.01,"ok","err")</f>
        <v>ok</v>
      </c>
      <c r="M24" s="28"/>
      <c r="N24" s="28"/>
    </row>
    <row r="25" spans="1:14" ht="15.6" x14ac:dyDescent="0.3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6" x14ac:dyDescent="0.3">
      <c r="A26" s="362" t="s">
        <v>1326</v>
      </c>
      <c r="B26" s="297" t="s">
        <v>553</v>
      </c>
      <c r="C26" s="298"/>
      <c r="D26" s="306">
        <f>'Allocation ProForma'!O740+'Allocation ProForma'!O817</f>
        <v>16933662.200466342</v>
      </c>
      <c r="E26" s="306">
        <f t="shared" ref="E26:J26" si="6">$D$26*(E24/$K$24)</f>
        <v>11977903.679142389</v>
      </c>
      <c r="F26" s="307">
        <f t="shared" si="6"/>
        <v>505637.24330912117</v>
      </c>
      <c r="G26" s="307">
        <f t="shared" si="6"/>
        <v>3005978.1271179561</v>
      </c>
      <c r="H26" s="307">
        <f t="shared" si="6"/>
        <v>1390749.9003138109</v>
      </c>
      <c r="I26" s="307">
        <f t="shared" si="6"/>
        <v>51109.817676823222</v>
      </c>
      <c r="J26" s="307">
        <f t="shared" si="6"/>
        <v>2283.4329062399247</v>
      </c>
      <c r="K26" s="302">
        <f>SUM(E26:J26)</f>
        <v>16933662.200466342</v>
      </c>
      <c r="L26" s="303" t="str">
        <f>IF(ABS(K26-D26)&lt;0.01,"ok","err")</f>
        <v>ok</v>
      </c>
      <c r="M26" s="28"/>
      <c r="N26" s="28"/>
    </row>
    <row r="27" spans="1:14" ht="15.6" x14ac:dyDescent="0.3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6" x14ac:dyDescent="0.3">
      <c r="A28" s="362" t="s">
        <v>1327</v>
      </c>
      <c r="B28" s="297" t="s">
        <v>795</v>
      </c>
      <c r="C28" s="298"/>
      <c r="D28" s="306">
        <f>'Allocation ProForma'!O671</f>
        <v>174786954.93278927</v>
      </c>
      <c r="E28" s="306">
        <f>'Allocation ProForma'!O180+'Allocation ProForma'!O181+'Allocation ProForma'!O182</f>
        <v>19975678.414171912</v>
      </c>
      <c r="F28" s="307">
        <f>'Allocation ProForma'!O183</f>
        <v>141867453.65974441</v>
      </c>
      <c r="G28" s="307">
        <f>'Allocation ProForma'!O192</f>
        <v>8030922.2653409531</v>
      </c>
      <c r="H28" s="307">
        <f>'Allocation ProForma'!O198+'Allocation ProForma'!O202+'Allocation ProForma'!O204+'Allocation ProForma'!O209</f>
        <v>3753409.9810934709</v>
      </c>
      <c r="I28" s="307">
        <f>'Allocation ProForma'!O203+'Allocation ProForma'!O205+'Allocation ProForma'!O210+'Allocation ProForma'!O214+'Allocation ProForma'!O217</f>
        <v>562169.4336777475</v>
      </c>
      <c r="J28" s="307">
        <f>'Allocation ProForma'!O223+'Allocation ProForma'!O226</f>
        <v>597321.17876076314</v>
      </c>
      <c r="K28" s="302">
        <f>SUM(E28:J28)</f>
        <v>174786954.93278924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1895</v>
      </c>
      <c r="B29" s="297" t="s">
        <v>843</v>
      </c>
      <c r="C29" s="298"/>
      <c r="D29" s="306">
        <f>'Allocation ProForma'!O672</f>
        <v>34771889.749682277</v>
      </c>
      <c r="E29" s="306">
        <f>'Allocation ProForma'!O300</f>
        <v>28038140.598865837</v>
      </c>
      <c r="F29" s="307">
        <v>0</v>
      </c>
      <c r="G29" s="307">
        <f>'Allocation ProForma'!O306</f>
        <v>4388403.7904454311</v>
      </c>
      <c r="H29" s="307">
        <f>'Allocation ProForma'!O312+'Allocation ProForma'!O316+'Allocation ProForma'!O318+'Allocation ProForma'!O323</f>
        <v>2264887.9105538023</v>
      </c>
      <c r="I29" s="307">
        <f>'Allocation ProForma'!O317+'Allocation ProForma'!O319+'Allocation ProForma'!O324+'Allocation ProForma'!O328+'Allocation ProForma'!O331</f>
        <v>80457.449817205779</v>
      </c>
      <c r="J29" s="307">
        <v>0</v>
      </c>
      <c r="K29" s="302">
        <f>SUM(E29:J29)</f>
        <v>34771889.749682277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1896</v>
      </c>
      <c r="B30" s="297" t="s">
        <v>428</v>
      </c>
      <c r="C30" s="298"/>
      <c r="D30" s="306">
        <f>'Allocation ProForma'!O674+'Allocation ProForma'!O675+'Allocation ProForma'!O676+'Allocation ProForma'!O673</f>
        <v>5562947.2753425036</v>
      </c>
      <c r="E30" s="306">
        <f>'Allocation ProForma'!O414+'Allocation ProForma'!O471+'Allocation ProForma'!O357</f>
        <v>4177705.1316108517</v>
      </c>
      <c r="F30" s="307">
        <f>'Allocation ProForma'!O529</f>
        <v>0</v>
      </c>
      <c r="G30" s="307">
        <f>'Allocation ProForma'!O420+'Allocation ProForma'!O477+'Allocation ProForma'!O363</f>
        <v>926423.70619909919</v>
      </c>
      <c r="H30" s="307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443078.59723579313</v>
      </c>
      <c r="I30" s="307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15739.840296758877</v>
      </c>
      <c r="J30" s="307">
        <v>0</v>
      </c>
      <c r="K30" s="302">
        <f>SUM(E30:J30)</f>
        <v>5562947.2753425036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1897</v>
      </c>
      <c r="B31" s="297" t="s">
        <v>1933</v>
      </c>
      <c r="C31" s="298"/>
      <c r="D31" s="306">
        <f>'Allocation ProForma'!O679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6" x14ac:dyDescent="0.3">
      <c r="A32" s="362" t="s">
        <v>1898</v>
      </c>
      <c r="B32" s="297" t="s">
        <v>1915</v>
      </c>
      <c r="C32" s="298"/>
      <c r="D32" s="306">
        <f>'Allocation ProForma'!O745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6" x14ac:dyDescent="0.3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1901</v>
      </c>
      <c r="B34" s="297" t="s">
        <v>1918</v>
      </c>
      <c r="C34" s="298"/>
      <c r="D34" s="306">
        <f>'Allocation ProForma'!O756+'Allocation ProForma'!O759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1905</v>
      </c>
      <c r="B36" s="297" t="s">
        <v>1917</v>
      </c>
      <c r="C36" s="298"/>
      <c r="D36" s="306">
        <f>SUM('Allocation ProForma'!O813:O815)-'Allocation ProForma'!O721</f>
        <v>81973.624015912676</v>
      </c>
      <c r="E36" s="306">
        <f t="shared" ref="E36:J36" si="9">(E14/($D$14)*$D$36)</f>
        <v>57983.451014264079</v>
      </c>
      <c r="F36" s="307">
        <f t="shared" si="9"/>
        <v>2447.7231670726828</v>
      </c>
      <c r="G36" s="307">
        <f t="shared" si="9"/>
        <v>14551.543421342058</v>
      </c>
      <c r="H36" s="307">
        <f t="shared" si="9"/>
        <v>6732.4367333460068</v>
      </c>
      <c r="I36" s="307">
        <f t="shared" si="9"/>
        <v>247.41588252813813</v>
      </c>
      <c r="J36" s="307">
        <f t="shared" si="9"/>
        <v>11.053797359706364</v>
      </c>
      <c r="K36" s="302">
        <f t="shared" si="8"/>
        <v>81973.624015912676</v>
      </c>
      <c r="L36" s="303" t="str">
        <f t="shared" si="7"/>
        <v>ok</v>
      </c>
      <c r="M36" s="28"/>
      <c r="N36" s="28"/>
    </row>
    <row r="37" spans="1:14" ht="15.6" x14ac:dyDescent="0.3">
      <c r="A37" s="364" t="s">
        <v>1919</v>
      </c>
      <c r="B37" s="297" t="s">
        <v>2444</v>
      </c>
      <c r="C37" s="381"/>
      <c r="D37" s="306">
        <f>-'Allocation ProForma'!O802-'Allocation ProForma'!O803</f>
        <v>-1584844.6824982287</v>
      </c>
      <c r="E37" s="306">
        <f>-'Allocation ProForma'!O802-'Allocation ProForma'!$O$803*(E14/$D$14)</f>
        <v>-1584843.4804363416</v>
      </c>
      <c r="F37" s="383">
        <f>-'Allocation ProForma'!$O$803*(F14/$D$14)</f>
        <v>-0.12264666575687337</v>
      </c>
      <c r="G37" s="383">
        <f>-'Allocation ProForma'!$O$803*(G14/$D$14)</f>
        <v>-0.7291258694006445</v>
      </c>
      <c r="H37" s="383">
        <f>-'Allocation ProForma'!$O$803*(H14/$D$14)</f>
        <v>-0.3373383595300446</v>
      </c>
      <c r="I37" s="383">
        <f>-'Allocation ProForma'!$O$803*(I14/$D$14)</f>
        <v>-1.2397126217365799E-2</v>
      </c>
      <c r="J37" s="383">
        <f>-'Allocation ProForma'!$O$803*(J14/$D$14)</f>
        <v>-5.5386630659767701E-4</v>
      </c>
      <c r="K37" s="302">
        <f t="shared" si="8"/>
        <v>-1584844.682498229</v>
      </c>
      <c r="L37" s="303" t="str">
        <f t="shared" si="7"/>
        <v>ok</v>
      </c>
      <c r="M37" s="28"/>
      <c r="N37" s="28"/>
    </row>
    <row r="38" spans="1:14" ht="15.6" x14ac:dyDescent="0.3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6" x14ac:dyDescent="0.3">
      <c r="A39" s="362" t="s">
        <v>1920</v>
      </c>
      <c r="B39" s="297" t="s">
        <v>1924</v>
      </c>
      <c r="C39" s="298"/>
      <c r="D39" s="306">
        <f t="shared" ref="D39:J39" si="10">SUM(D32:D37)</f>
        <v>-1502871.0584823161</v>
      </c>
      <c r="E39" s="306">
        <f t="shared" si="10"/>
        <v>-1526860.0294220776</v>
      </c>
      <c r="F39" s="307">
        <f t="shared" si="10"/>
        <v>2447.6005204069261</v>
      </c>
      <c r="G39" s="307">
        <f t="shared" si="10"/>
        <v>14550.814295472657</v>
      </c>
      <c r="H39" s="307">
        <f t="shared" si="10"/>
        <v>6732.0993949864769</v>
      </c>
      <c r="I39" s="307">
        <f t="shared" si="10"/>
        <v>247.40348540192076</v>
      </c>
      <c r="J39" s="307">
        <f t="shared" si="10"/>
        <v>11.053243493399766</v>
      </c>
      <c r="K39" s="302">
        <f t="shared" si="8"/>
        <v>-1502871.0584823163</v>
      </c>
      <c r="L39" s="303" t="str">
        <f t="shared" si="7"/>
        <v>ok</v>
      </c>
      <c r="M39" s="28"/>
      <c r="N39" s="28"/>
    </row>
    <row r="40" spans="1:14" ht="15.6" x14ac:dyDescent="0.3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6" x14ac:dyDescent="0.3">
      <c r="A41" s="362" t="s">
        <v>1921</v>
      </c>
      <c r="B41" s="297" t="s">
        <v>1899</v>
      </c>
      <c r="C41" s="313"/>
      <c r="D41" s="306">
        <f>SUM(D28:D31)+D22+D26+D39+D24</f>
        <v>268163878.9366242</v>
      </c>
      <c r="E41" s="306">
        <f t="shared" ref="E41:J41" si="11">SUM(E28:E31)+E22+E26+E39+E24</f>
        <v>89246646.312530562</v>
      </c>
      <c r="F41" s="307">
        <f t="shared" si="11"/>
        <v>143498607.55497456</v>
      </c>
      <c r="G41" s="307">
        <f t="shared" si="11"/>
        <v>23042845.844023019</v>
      </c>
      <c r="H41" s="307">
        <f t="shared" si="11"/>
        <v>10947848.05957189</v>
      </c>
      <c r="I41" s="307">
        <f t="shared" si="11"/>
        <v>823243.77604849555</v>
      </c>
      <c r="J41" s="307">
        <f t="shared" si="11"/>
        <v>604687.38947565097</v>
      </c>
      <c r="K41" s="302">
        <f>SUM(E41:J41)</f>
        <v>268163878.93662417</v>
      </c>
      <c r="L41" s="303" t="str">
        <f>IF(ABS(K41-D41)&lt;0.01,"ok","err")</f>
        <v>ok</v>
      </c>
      <c r="M41" s="28"/>
      <c r="N41" s="28"/>
    </row>
    <row r="42" spans="1:14" ht="15.6" x14ac:dyDescent="0.3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6" x14ac:dyDescent="0.3">
      <c r="A43" s="362" t="s">
        <v>1922</v>
      </c>
      <c r="B43" s="297" t="s">
        <v>2432</v>
      </c>
      <c r="C43" s="298"/>
      <c r="D43" s="306">
        <f>-'Allocation ProForma'!O654</f>
        <v>3173151.6699064914</v>
      </c>
      <c r="E43" s="306">
        <f>D43</f>
        <v>3173151.6699064914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3173151.6699064914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1923</v>
      </c>
      <c r="B44" s="297" t="s">
        <v>1925</v>
      </c>
      <c r="C44" s="298"/>
      <c r="D44" s="306">
        <f>-('Allocation ProForma'!O652+'Allocation ProForma'!O653)</f>
        <v>-1865957.3271087771</v>
      </c>
      <c r="E44" s="306">
        <v>0</v>
      </c>
      <c r="F44" s="307">
        <f>D44</f>
        <v>-1865957.3271087771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-1865957.3271087771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1927</v>
      </c>
      <c r="B45" s="297" t="s">
        <v>1926</v>
      </c>
      <c r="C45" s="298"/>
      <c r="D45" s="306">
        <f>-('Allocation ProForma'!O655+'Allocation ProForma'!O656+'Allocation ProForma'!O657+'Allocation ProForma'!O658+'Allocation ProForma'!O661+'Allocation ProForma'!O662+'Allocation ProForma'!O663+'Allocation ProForma'!O664+'Allocation ProForma'!O665)</f>
        <v>-573625.09701262123</v>
      </c>
      <c r="E45" s="306">
        <f t="shared" ref="E45:J45" si="12">(E14/($D$14)*$D$45)</f>
        <v>-405749.57021208724</v>
      </c>
      <c r="F45" s="307">
        <f t="shared" si="12"/>
        <v>-17128.380695960812</v>
      </c>
      <c r="G45" s="307">
        <f t="shared" si="12"/>
        <v>-101827.02798561606</v>
      </c>
      <c r="H45" s="307">
        <f t="shared" si="12"/>
        <v>-47111.430300400883</v>
      </c>
      <c r="I45" s="307">
        <f t="shared" si="12"/>
        <v>-1731.3368942931731</v>
      </c>
      <c r="J45" s="307">
        <f t="shared" si="12"/>
        <v>-77.350924263011223</v>
      </c>
      <c r="K45" s="302">
        <f>SUM(E45:J45)</f>
        <v>-573625.09701262123</v>
      </c>
      <c r="L45" s="303" t="str">
        <f>IF(ABS(K45-D45)&lt;0.01,"ok","err")</f>
        <v>ok</v>
      </c>
      <c r="M45" s="28"/>
      <c r="N45" s="28"/>
    </row>
    <row r="46" spans="1:14" ht="15.6" x14ac:dyDescent="0.3">
      <c r="A46" s="362" t="s">
        <v>1928</v>
      </c>
      <c r="B46" s="297" t="s">
        <v>1929</v>
      </c>
      <c r="C46" s="298"/>
      <c r="D46" s="306">
        <f>SUM(D43:D45)</f>
        <v>733569.24578509305</v>
      </c>
      <c r="E46" s="306">
        <f t="shared" ref="E46:J46" si="13">SUM(E43:E45)</f>
        <v>2767402.0996944043</v>
      </c>
      <c r="F46" s="307">
        <f t="shared" si="13"/>
        <v>-1883085.7078047378</v>
      </c>
      <c r="G46" s="307">
        <f t="shared" si="13"/>
        <v>-101827.02798561606</v>
      </c>
      <c r="H46" s="307">
        <f t="shared" si="13"/>
        <v>-47111.430300400883</v>
      </c>
      <c r="I46" s="307">
        <f t="shared" si="13"/>
        <v>-1731.3368942931731</v>
      </c>
      <c r="J46" s="307">
        <f t="shared" si="13"/>
        <v>-77.350924263011223</v>
      </c>
      <c r="K46" s="302">
        <f>SUM(E46:J46)</f>
        <v>733569.24578509328</v>
      </c>
      <c r="L46" s="303" t="str">
        <f>IF(ABS(K46-D46)&lt;0.01,"ok","err")</f>
        <v>ok</v>
      </c>
      <c r="M46" s="28"/>
      <c r="N46" s="28"/>
    </row>
    <row r="47" spans="1:14" ht="15.6" x14ac:dyDescent="0.3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6" x14ac:dyDescent="0.3">
      <c r="A48" s="362" t="s">
        <v>1934</v>
      </c>
      <c r="B48" s="297" t="s">
        <v>1902</v>
      </c>
      <c r="C48" s="315">
        <f>'Allocation ProForma'!O806-SUM('Allocation ProForma'!O652:O665)-'Allocation ProForma'!O721-'Allocation ProForma'!O802-'Allocation ProForma'!O803</f>
        <v>268897448</v>
      </c>
      <c r="D48" s="306">
        <f>D41+D46</f>
        <v>268897448.18240929</v>
      </c>
      <c r="E48" s="306">
        <f t="shared" ref="E48:J48" si="14">E41+E46</f>
        <v>92014048.412224963</v>
      </c>
      <c r="F48" s="307">
        <f t="shared" si="14"/>
        <v>141615521.84716982</v>
      </c>
      <c r="G48" s="307">
        <f t="shared" si="14"/>
        <v>22941018.816037402</v>
      </c>
      <c r="H48" s="307">
        <f t="shared" si="14"/>
        <v>10900736.629271489</v>
      </c>
      <c r="I48" s="307">
        <f t="shared" si="14"/>
        <v>821512.43915420235</v>
      </c>
      <c r="J48" s="307">
        <f t="shared" si="14"/>
        <v>604610.03855138796</v>
      </c>
      <c r="K48" s="302">
        <f>SUM(E48:J48)</f>
        <v>268897448.18240923</v>
      </c>
      <c r="L48" s="303" t="str">
        <f>IF(ABS(K48-D48)&lt;0.01,"ok","err")</f>
        <v>ok</v>
      </c>
      <c r="M48" s="28"/>
      <c r="N48" s="28"/>
    </row>
    <row r="49" spans="1:14" ht="15.6" x14ac:dyDescent="0.3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6" x14ac:dyDescent="0.3">
      <c r="A50" s="362" t="s">
        <v>1935</v>
      </c>
      <c r="B50" s="297" t="s">
        <v>1904</v>
      </c>
      <c r="C50" s="298"/>
      <c r="D50" s="316"/>
      <c r="E50" s="317">
        <v>8969583</v>
      </c>
      <c r="F50" s="318">
        <f>'Billing Det'!C24</f>
        <v>4118000917.4033823</v>
      </c>
      <c r="G50" s="318">
        <v>10909236</v>
      </c>
      <c r="H50" s="318">
        <f>G50</f>
        <v>10909236</v>
      </c>
      <c r="I50" s="318">
        <f>'Allocation ProForma'!O848</f>
        <v>3318</v>
      </c>
      <c r="J50" s="318">
        <f>I50</f>
        <v>3318</v>
      </c>
      <c r="K50" s="287"/>
      <c r="L50" s="310"/>
      <c r="M50" s="28"/>
      <c r="N50" s="28"/>
    </row>
    <row r="51" spans="1:14" ht="16.2" thickBot="1" x14ac:dyDescent="0.35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2" thickBot="1" x14ac:dyDescent="0.35">
      <c r="A52" s="365" t="s">
        <v>2446</v>
      </c>
      <c r="B52" s="319" t="s">
        <v>1906</v>
      </c>
      <c r="C52" s="320"/>
      <c r="D52" s="321"/>
      <c r="E52" s="384">
        <f t="shared" ref="E52:J52" si="15">E48/E50</f>
        <v>10.25845330961595</v>
      </c>
      <c r="F52" s="323">
        <f t="shared" si="15"/>
        <v>3.4389385696510698E-2</v>
      </c>
      <c r="G52" s="385">
        <f t="shared" si="15"/>
        <v>2.1028987562499704</v>
      </c>
      <c r="H52" s="385">
        <f t="shared" si="15"/>
        <v>0.99922090137856479</v>
      </c>
      <c r="I52" s="324">
        <f>I48/I50</f>
        <v>247.59265797293622</v>
      </c>
      <c r="J52" s="324">
        <f t="shared" si="15"/>
        <v>182.22122921982759</v>
      </c>
      <c r="K52" s="325">
        <f>I52+J52</f>
        <v>429.81388719276379</v>
      </c>
      <c r="L52" s="326"/>
      <c r="M52" s="28"/>
      <c r="N52" s="28"/>
    </row>
    <row r="53" spans="1:14" ht="15.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6" x14ac:dyDescent="0.3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429.81388719276379</v>
      </c>
      <c r="L54" s="28"/>
      <c r="M54" s="28"/>
      <c r="N54" s="28"/>
    </row>
    <row r="55" spans="1:14" ht="15.6" x14ac:dyDescent="0.3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13.360572967244485</v>
      </c>
      <c r="L55" s="28"/>
      <c r="M55" s="28"/>
      <c r="N55" s="28"/>
    </row>
    <row r="56" spans="1:14" ht="15.6" x14ac:dyDescent="0.3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110</v>
      </c>
      <c r="K56" s="369">
        <f>F52</f>
        <v>3.4389385696510698E-2</v>
      </c>
      <c r="L56" s="28"/>
      <c r="M56" s="28"/>
      <c r="N56" s="28"/>
    </row>
    <row r="57" spans="1:14" ht="15.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6" x14ac:dyDescent="0.3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6" x14ac:dyDescent="0.3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6" x14ac:dyDescent="0.3">
      <c r="J61" s="373"/>
      <c r="K61" s="34"/>
    </row>
    <row r="62" spans="1:14" ht="15.6" x14ac:dyDescent="0.3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45.44140625" bestFit="1" customWidth="1"/>
    <col min="3" max="3" width="19" hidden="1" customWidth="1"/>
    <col min="4" max="4" width="23.6640625" customWidth="1"/>
    <col min="5" max="5" width="24.88671875" bestFit="1" customWidth="1"/>
    <col min="6" max="6" width="23.3320312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2448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2" thickBot="1" x14ac:dyDescent="0.35">
      <c r="A9" s="279"/>
      <c r="B9" s="280"/>
      <c r="C9" s="281"/>
      <c r="D9" s="279"/>
      <c r="E9" s="437" t="s">
        <v>1907</v>
      </c>
      <c r="F9" s="438"/>
      <c r="G9" s="282" t="s">
        <v>459</v>
      </c>
      <c r="H9" s="437" t="s">
        <v>118</v>
      </c>
      <c r="I9" s="438"/>
      <c r="J9" s="282" t="s">
        <v>1912</v>
      </c>
      <c r="K9" s="281"/>
      <c r="L9" s="283"/>
      <c r="M9" s="28"/>
      <c r="N9" s="28"/>
    </row>
    <row r="10" spans="1:14" ht="15.6" x14ac:dyDescent="0.3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6" x14ac:dyDescent="0.3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2" thickBot="1" x14ac:dyDescent="0.35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6" x14ac:dyDescent="0.3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6" x14ac:dyDescent="0.3">
      <c r="A14" s="362" t="s">
        <v>1166</v>
      </c>
      <c r="B14" s="297" t="s">
        <v>193</v>
      </c>
      <c r="C14" s="298"/>
      <c r="D14" s="299">
        <f>'Allocation ProForma'!P174</f>
        <v>170797076.92138174</v>
      </c>
      <c r="E14" s="300">
        <f>'Allocation ProForma'!P123+'Allocation ProForma'!P124+'Allocation ProForma'!P125</f>
        <v>131182245.08954269</v>
      </c>
      <c r="F14" s="301">
        <f>'Allocation ProForma'!P126</f>
        <v>5672395.0788841015</v>
      </c>
      <c r="G14" s="301">
        <f>'Allocation ProForma'!P135</f>
        <v>32921533.681395072</v>
      </c>
      <c r="H14" s="301">
        <f>'Allocation ProForma'!P145+'Allocation ProForma'!P147+'Allocation ProForma'!P152+'Allocation ProForma'!P141</f>
        <v>0</v>
      </c>
      <c r="I14" s="301">
        <f>'Allocation ProForma'!P146+'Allocation ProForma'!P148+'Allocation ProForma'!P153+'Allocation ProForma'!P157+'Allocation ProForma'!P160+'Allocation ProForma'!P163</f>
        <v>1014670.9760409056</v>
      </c>
      <c r="J14" s="301">
        <f>'Allocation ProForma'!P166+'Allocation ProForma'!P169</f>
        <v>6232.0955189860379</v>
      </c>
      <c r="K14" s="302">
        <f>SUM(E14:J14)</f>
        <v>170797076.92138174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1323</v>
      </c>
      <c r="B15" s="297" t="s">
        <v>1888</v>
      </c>
      <c r="C15" s="298"/>
      <c r="D15" s="299">
        <f>'Allocation ProForma'!P773+'Allocation ProForma'!P774+'Allocation ProForma'!P775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6" x14ac:dyDescent="0.3">
      <c r="A16" s="362" t="s">
        <v>1889</v>
      </c>
      <c r="B16" s="297" t="s">
        <v>1890</v>
      </c>
      <c r="C16" s="298"/>
      <c r="D16" s="306">
        <f>D14+D15</f>
        <v>170797076.92138174</v>
      </c>
      <c r="E16" s="306">
        <f t="shared" ref="E16:K16" si="1">E14+E15</f>
        <v>131182245.08954269</v>
      </c>
      <c r="F16" s="307">
        <f t="shared" si="1"/>
        <v>5672395.0788841015</v>
      </c>
      <c r="G16" s="307">
        <f t="shared" si="1"/>
        <v>32921533.681395072</v>
      </c>
      <c r="H16" s="307">
        <f t="shared" si="1"/>
        <v>0</v>
      </c>
      <c r="I16" s="307">
        <f t="shared" si="1"/>
        <v>1014670.9760409056</v>
      </c>
      <c r="J16" s="307">
        <f t="shared" si="1"/>
        <v>6232.0955189860379</v>
      </c>
      <c r="K16" s="302">
        <f t="shared" si="1"/>
        <v>170797076.92138174</v>
      </c>
      <c r="L16" s="303" t="str">
        <f>IF(ABS(K16-D16)&lt;0.01,"ok","err")</f>
        <v>ok</v>
      </c>
      <c r="M16" s="28"/>
      <c r="N16" s="28"/>
    </row>
    <row r="17" spans="1:14" ht="15.6" x14ac:dyDescent="0.3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6" x14ac:dyDescent="0.3">
      <c r="A18" s="362" t="s">
        <v>1891</v>
      </c>
      <c r="B18" s="297" t="s">
        <v>441</v>
      </c>
      <c r="C18" s="298"/>
      <c r="D18" s="311">
        <f>'Allocation ProForma'!P825</f>
        <v>7.6513645788368292E-2</v>
      </c>
      <c r="E18" s="311">
        <f t="shared" ref="E18:J18" si="2">D18</f>
        <v>7.6513645788368292E-2</v>
      </c>
      <c r="F18" s="312">
        <f t="shared" si="2"/>
        <v>7.6513645788368292E-2</v>
      </c>
      <c r="G18" s="312">
        <f t="shared" si="2"/>
        <v>7.6513645788368292E-2</v>
      </c>
      <c r="H18" s="312">
        <f t="shared" si="2"/>
        <v>7.6513645788368292E-2</v>
      </c>
      <c r="I18" s="312">
        <f t="shared" si="2"/>
        <v>7.6513645788368292E-2</v>
      </c>
      <c r="J18" s="312">
        <f t="shared" si="2"/>
        <v>7.6513645788368292E-2</v>
      </c>
      <c r="K18" s="302"/>
      <c r="L18" s="303"/>
      <c r="M18" s="28"/>
      <c r="N18" s="28"/>
    </row>
    <row r="19" spans="1:14" ht="15.6" x14ac:dyDescent="0.3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6" x14ac:dyDescent="0.3">
      <c r="A20" s="362" t="s">
        <v>1892</v>
      </c>
      <c r="B20" s="297" t="s">
        <v>1893</v>
      </c>
      <c r="C20" s="298"/>
      <c r="D20" s="306">
        <f>D18*D16</f>
        <v>13068307.045251295</v>
      </c>
      <c r="E20" s="306">
        <f t="shared" ref="E20:J20" si="3">E18*E16</f>
        <v>10037231.834504185</v>
      </c>
      <c r="F20" s="307">
        <f t="shared" si="3"/>
        <v>434015.62783742155</v>
      </c>
      <c r="G20" s="307">
        <f t="shared" si="3"/>
        <v>2518946.5669080988</v>
      </c>
      <c r="H20" s="307">
        <f t="shared" si="3"/>
        <v>0</v>
      </c>
      <c r="I20" s="307">
        <f t="shared" si="3"/>
        <v>77636.175652531776</v>
      </c>
      <c r="J20" s="307">
        <f t="shared" si="3"/>
        <v>476.84034905897494</v>
      </c>
      <c r="K20" s="302">
        <f>SUM(E20:J20)</f>
        <v>13068307.045251297</v>
      </c>
      <c r="L20" s="303" t="str">
        <f>IF(ABS(K20-D20)&lt;0.01,"ok","err")</f>
        <v>ok</v>
      </c>
      <c r="M20" s="28"/>
      <c r="N20" s="28"/>
    </row>
    <row r="21" spans="1:14" ht="15.6" x14ac:dyDescent="0.3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6" x14ac:dyDescent="0.3">
      <c r="A22" s="362" t="s">
        <v>1324</v>
      </c>
      <c r="B22" s="297" t="s">
        <v>1894</v>
      </c>
      <c r="C22" s="298"/>
      <c r="D22" s="306">
        <f>'Allocation ProForma'!P705</f>
        <v>4062213.4008213338</v>
      </c>
      <c r="E22" s="306">
        <f t="shared" ref="E22:J22" si="4">(E14/$D$14)*$D$22</f>
        <v>3120019.871287724</v>
      </c>
      <c r="F22" s="307">
        <f t="shared" si="4"/>
        <v>134911.4382958819</v>
      </c>
      <c r="G22" s="307">
        <f t="shared" si="4"/>
        <v>783001.07769240183</v>
      </c>
      <c r="H22" s="307">
        <f t="shared" si="4"/>
        <v>0</v>
      </c>
      <c r="I22" s="307">
        <f t="shared" si="4"/>
        <v>24132.790271317739</v>
      </c>
      <c r="J22" s="307">
        <f t="shared" si="4"/>
        <v>148.22327400882116</v>
      </c>
      <c r="K22" s="302">
        <f>SUM(E22:J22)</f>
        <v>4062213.4008213342</v>
      </c>
      <c r="L22" s="303" t="str">
        <f>IF(ABS(K22-D22)&lt;0.01,"ok","err")</f>
        <v>ok</v>
      </c>
      <c r="M22" s="28"/>
      <c r="N22" s="28"/>
    </row>
    <row r="23" spans="1:14" ht="15.6" x14ac:dyDescent="0.3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6" x14ac:dyDescent="0.3">
      <c r="A24" s="362" t="s">
        <v>1325</v>
      </c>
      <c r="B24" s="297" t="s">
        <v>209</v>
      </c>
      <c r="C24" s="298"/>
      <c r="D24" s="306">
        <f>D20-D22</f>
        <v>9006093.6444299612</v>
      </c>
      <c r="E24" s="306">
        <f t="shared" ref="E24:J24" si="5">E20-E22</f>
        <v>6917211.9632164612</v>
      </c>
      <c r="F24" s="307">
        <f t="shared" si="5"/>
        <v>299104.18954153964</v>
      </c>
      <c r="G24" s="307">
        <f t="shared" si="5"/>
        <v>1735945.4892156969</v>
      </c>
      <c r="H24" s="307">
        <f t="shared" si="5"/>
        <v>0</v>
      </c>
      <c r="I24" s="307">
        <f t="shared" si="5"/>
        <v>53503.385381214037</v>
      </c>
      <c r="J24" s="307">
        <f t="shared" si="5"/>
        <v>328.61707505015374</v>
      </c>
      <c r="K24" s="302">
        <f>SUM(E24:J24)</f>
        <v>9006093.6444299612</v>
      </c>
      <c r="L24" s="303" t="str">
        <f>IF(ABS(K24-D24)&lt;0.01,"ok","err")</f>
        <v>ok</v>
      </c>
      <c r="M24" s="28"/>
      <c r="N24" s="28"/>
    </row>
    <row r="25" spans="1:14" ht="15.6" x14ac:dyDescent="0.3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6" x14ac:dyDescent="0.3">
      <c r="A26" s="362" t="s">
        <v>1326</v>
      </c>
      <c r="B26" s="297" t="s">
        <v>553</v>
      </c>
      <c r="C26" s="298"/>
      <c r="D26" s="306">
        <f>'Allocation ProForma'!P740+'Allocation ProForma'!P817</f>
        <v>6123272.2457495611</v>
      </c>
      <c r="E26" s="306">
        <f t="shared" ref="E26:J26" si="6">$D$26*(E24/$K$24)</f>
        <v>4703034.8233749801</v>
      </c>
      <c r="F26" s="307">
        <f t="shared" si="6"/>
        <v>203361.90747248774</v>
      </c>
      <c r="G26" s="307">
        <f t="shared" si="6"/>
        <v>1180274.9620333782</v>
      </c>
      <c r="H26" s="307">
        <f t="shared" si="6"/>
        <v>0</v>
      </c>
      <c r="I26" s="307">
        <f t="shared" si="6"/>
        <v>36377.125054773634</v>
      </c>
      <c r="J26" s="307">
        <f t="shared" si="6"/>
        <v>223.42781394223107</v>
      </c>
      <c r="K26" s="302">
        <f>SUM(E26:J26)</f>
        <v>6123272.245749562</v>
      </c>
      <c r="L26" s="303" t="str">
        <f>IF(ABS(K26-D26)&lt;0.01,"ok","err")</f>
        <v>ok</v>
      </c>
      <c r="M26" s="28"/>
      <c r="N26" s="28"/>
    </row>
    <row r="27" spans="1:14" ht="15.6" x14ac:dyDescent="0.3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6" x14ac:dyDescent="0.3">
      <c r="A28" s="362" t="s">
        <v>1327</v>
      </c>
      <c r="B28" s="297" t="s">
        <v>795</v>
      </c>
      <c r="C28" s="298"/>
      <c r="D28" s="306">
        <f>'Allocation ProForma'!P671</f>
        <v>60688793.139909752</v>
      </c>
      <c r="E28" s="306">
        <f>'Allocation ProForma'!P180+'Allocation ProForma'!P181+'Allocation ProForma'!P182</f>
        <v>6945146.4420832358</v>
      </c>
      <c r="F28" s="307">
        <f>'Allocation ProForma'!P183</f>
        <v>50523777.892294951</v>
      </c>
      <c r="G28" s="307">
        <f>'Allocation ProForma'!P192</f>
        <v>2792192.0868634465</v>
      </c>
      <c r="H28" s="307">
        <f>'Allocation ProForma'!P198+'Allocation ProForma'!P202+'Allocation ProForma'!P204+'Allocation ProForma'!P209</f>
        <v>0</v>
      </c>
      <c r="I28" s="307">
        <f>'Allocation ProForma'!P203+'Allocation ProForma'!P205+'Allocation ProForma'!P210+'Allocation ProForma'!P214+'Allocation ProForma'!P217</f>
        <v>375923.25913650187</v>
      </c>
      <c r="J28" s="307">
        <f>'Allocation ProForma'!P223+'Allocation ProForma'!P226</f>
        <v>51753.459531618471</v>
      </c>
      <c r="K28" s="302">
        <f>SUM(E28:J28)</f>
        <v>60688793.139909752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1895</v>
      </c>
      <c r="B29" s="297" t="s">
        <v>843</v>
      </c>
      <c r="C29" s="298"/>
      <c r="D29" s="306">
        <f>'Allocation ProForma'!P672</f>
        <v>11324624.823166879</v>
      </c>
      <c r="E29" s="306">
        <f>'Allocation ProForma'!P300</f>
        <v>9748304.3321667872</v>
      </c>
      <c r="F29" s="307">
        <v>0</v>
      </c>
      <c r="G29" s="307">
        <f>'Allocation ProForma'!P306</f>
        <v>1525760.7946878902</v>
      </c>
      <c r="H29" s="307">
        <f>'Allocation ProForma'!P312+'Allocation ProForma'!P316+'Allocation ProForma'!P318+'Allocation ProForma'!P323</f>
        <v>0</v>
      </c>
      <c r="I29" s="307">
        <f>'Allocation ProForma'!P317+'Allocation ProForma'!P319+'Allocation ProForma'!P324+'Allocation ProForma'!P328+'Allocation ProForma'!P331</f>
        <v>50559.696312202308</v>
      </c>
      <c r="J29" s="307">
        <v>0</v>
      </c>
      <c r="K29" s="302">
        <f>SUM(E29:J29)</f>
        <v>11324624.823166879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1896</v>
      </c>
      <c r="B30" s="297" t="s">
        <v>428</v>
      </c>
      <c r="C30" s="298"/>
      <c r="D30" s="306">
        <f>'Allocation ProForma'!P674+'Allocation ProForma'!P675+'Allocation ProForma'!P676+'Allocation ProForma'!P673</f>
        <v>1784495.1328611076</v>
      </c>
      <c r="E30" s="306">
        <f>'Allocation ProForma'!P414+'Allocation ProForma'!P471+'Allocation ProForma'!P357</f>
        <v>1452505.0578655298</v>
      </c>
      <c r="F30" s="307">
        <f>'Allocation ProForma'!P529</f>
        <v>0</v>
      </c>
      <c r="G30" s="307">
        <f>'Allocation ProForma'!P420+'Allocation ProForma'!P477+'Allocation ProForma'!P363</f>
        <v>322099.11341010971</v>
      </c>
      <c r="H30" s="307">
        <f>'Allocation ProForma'!P426+'Allocation ProForma'!P430+'Allocation ProForma'!P432+'Allocation ProForma'!P437+'Allocation ProForma'!P483+'Allocation ProForma'!P487+'Allocation ProForma'!P489+'Allocation ProForma'!P494+'Allocation ProForma'!P369+'Allocation ProForma'!P373+'Allocation ProForma'!P375+'Allocation ProForma'!P380</f>
        <v>0</v>
      </c>
      <c r="I30" s="307">
        <f>'Allocation ProForma'!P431+'Allocation ProForma'!P433+'Allocation ProForma'!P438+'Allocation ProForma'!P442+'Allocation ProForma'!P445+'Allocation ProForma'!P488+'Allocation ProForma'!P490+'Allocation ProForma'!P495+'Allocation ProForma'!P499+'Allocation ProForma'!P502+'Allocation ProForma'!P374+'Allocation ProForma'!P376+'Allocation ProForma'!P381+'Allocation ProForma'!P385+'Allocation ProForma'!P388</f>
        <v>9890.9615854678923</v>
      </c>
      <c r="J30" s="307">
        <v>0</v>
      </c>
      <c r="K30" s="302">
        <f>SUM(E30:J30)</f>
        <v>1784495.1328611074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1897</v>
      </c>
      <c r="B31" s="297" t="s">
        <v>1933</v>
      </c>
      <c r="C31" s="298"/>
      <c r="D31" s="306">
        <f>'Allocation ProForma'!P679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6" x14ac:dyDescent="0.3">
      <c r="A32" s="362" t="s">
        <v>1898</v>
      </c>
      <c r="B32" s="297" t="s">
        <v>1915</v>
      </c>
      <c r="C32" s="298"/>
      <c r="D32" s="306">
        <f>'Allocation ProForma'!P745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6" x14ac:dyDescent="0.3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1901</v>
      </c>
      <c r="B34" s="297" t="s">
        <v>1918</v>
      </c>
      <c r="C34" s="298"/>
      <c r="D34" s="306">
        <f>'Allocation ProForma'!P756+'Allocation ProForma'!P759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1905</v>
      </c>
      <c r="B36" s="297" t="s">
        <v>1917</v>
      </c>
      <c r="C36" s="298"/>
      <c r="D36" s="306">
        <f>SUM('Allocation ProForma'!P813:P815)-'Allocation ProForma'!P721</f>
        <v>23832.906901367765</v>
      </c>
      <c r="E36" s="306">
        <f t="shared" ref="E36:J36" si="9">(E14/($D$14)*$D$36)</f>
        <v>18305.080453868617</v>
      </c>
      <c r="F36" s="307">
        <f t="shared" si="9"/>
        <v>791.52211653510653</v>
      </c>
      <c r="G36" s="307">
        <f t="shared" si="9"/>
        <v>4593.8482169697336</v>
      </c>
      <c r="H36" s="307">
        <f t="shared" si="9"/>
        <v>0</v>
      </c>
      <c r="I36" s="307">
        <f t="shared" si="9"/>
        <v>141.5864916624665</v>
      </c>
      <c r="J36" s="307">
        <f t="shared" si="9"/>
        <v>0.86962233184349913</v>
      </c>
      <c r="K36" s="302">
        <f t="shared" si="8"/>
        <v>23832.906901367769</v>
      </c>
      <c r="L36" s="303" t="str">
        <f t="shared" si="7"/>
        <v>ok</v>
      </c>
      <c r="M36" s="28"/>
      <c r="N36" s="28"/>
    </row>
    <row r="37" spans="1:14" ht="15.6" x14ac:dyDescent="0.3">
      <c r="A37" s="364" t="s">
        <v>1919</v>
      </c>
      <c r="B37" s="297" t="s">
        <v>2444</v>
      </c>
      <c r="C37" s="381"/>
      <c r="D37" s="306">
        <f>-'Allocation ProForma'!P802-'Allocation ProForma'!P803</f>
        <v>-551018.020780814</v>
      </c>
      <c r="E37" s="306">
        <f>-'Allocation ProForma'!P802-'Allocation ProForma'!$P$803*(E14/$D$14)</f>
        <v>-551017.91741639096</v>
      </c>
      <c r="F37" s="383">
        <f>-'Allocation ProForma'!$P$803*(F14/$D$14)</f>
        <v>-1.4800614263009384E-2</v>
      </c>
      <c r="G37" s="383">
        <f>-'Allocation ProForma'!$P$803*(G14/$D$14)</f>
        <v>-8.5900032382944552E-2</v>
      </c>
      <c r="H37" s="383">
        <f>-'Allocation ProForma'!$P$803*(H14/$D$14)</f>
        <v>0</v>
      </c>
      <c r="I37" s="383">
        <f>-'Allocation ProForma'!$P$803*(I14/$D$14)</f>
        <v>-2.6475154694632157E-3</v>
      </c>
      <c r="J37" s="383">
        <f>-'Allocation ProForma'!$P$803*(J14/$D$14)</f>
        <v>-1.6261004486465926E-5</v>
      </c>
      <c r="K37" s="302">
        <f t="shared" si="8"/>
        <v>-551018.02078081411</v>
      </c>
      <c r="L37" s="303" t="str">
        <f t="shared" si="7"/>
        <v>ok</v>
      </c>
      <c r="M37" s="28"/>
      <c r="N37" s="28"/>
    </row>
    <row r="38" spans="1:14" ht="15.6" x14ac:dyDescent="0.3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6" x14ac:dyDescent="0.3">
      <c r="A39" s="362" t="s">
        <v>1920</v>
      </c>
      <c r="B39" s="297" t="s">
        <v>1924</v>
      </c>
      <c r="C39" s="298"/>
      <c r="D39" s="306">
        <f t="shared" ref="D39:J39" si="10">SUM(D32:D37)</f>
        <v>-527185.11387944617</v>
      </c>
      <c r="E39" s="306">
        <f t="shared" si="10"/>
        <v>-532712.83696252236</v>
      </c>
      <c r="F39" s="307">
        <f t="shared" si="10"/>
        <v>791.50731592084355</v>
      </c>
      <c r="G39" s="307">
        <f t="shared" si="10"/>
        <v>4593.762316937351</v>
      </c>
      <c r="H39" s="307">
        <f t="shared" si="10"/>
        <v>0</v>
      </c>
      <c r="I39" s="307">
        <f t="shared" si="10"/>
        <v>141.58384414699702</v>
      </c>
      <c r="J39" s="307">
        <f t="shared" si="10"/>
        <v>0.86960607083901265</v>
      </c>
      <c r="K39" s="302">
        <f t="shared" si="8"/>
        <v>-527185.11387944629</v>
      </c>
      <c r="L39" s="303" t="str">
        <f t="shared" si="7"/>
        <v>ok</v>
      </c>
      <c r="M39" s="28"/>
      <c r="N39" s="28"/>
    </row>
    <row r="40" spans="1:14" ht="15.6" x14ac:dyDescent="0.3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6" x14ac:dyDescent="0.3">
      <c r="A41" s="362" t="s">
        <v>1921</v>
      </c>
      <c r="B41" s="297" t="s">
        <v>1899</v>
      </c>
      <c r="C41" s="313"/>
      <c r="D41" s="306">
        <f>SUM(D28:D31)+D22+D26+D39+D24</f>
        <v>92462307.27305916</v>
      </c>
      <c r="E41" s="306">
        <f t="shared" ref="E41:J41" si="11">SUM(E28:E31)+E22+E26+E39+E24</f>
        <v>32353509.653032199</v>
      </c>
      <c r="F41" s="307">
        <f t="shared" si="11"/>
        <v>51161946.93492078</v>
      </c>
      <c r="G41" s="307">
        <f t="shared" si="11"/>
        <v>8343867.2862198604</v>
      </c>
      <c r="H41" s="307">
        <f t="shared" si="11"/>
        <v>0</v>
      </c>
      <c r="I41" s="307">
        <f t="shared" si="11"/>
        <v>550528.80158562458</v>
      </c>
      <c r="J41" s="307">
        <f t="shared" si="11"/>
        <v>52454.597300690519</v>
      </c>
      <c r="K41" s="302">
        <f>SUM(E41:J41)</f>
        <v>92462307.27305916</v>
      </c>
      <c r="L41" s="303" t="str">
        <f>IF(ABS(K41-D41)&lt;0.01,"ok","err")</f>
        <v>ok</v>
      </c>
      <c r="M41" s="28"/>
      <c r="N41" s="28"/>
    </row>
    <row r="42" spans="1:14" ht="15.6" x14ac:dyDescent="0.3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6" x14ac:dyDescent="0.3">
      <c r="A43" s="362" t="s">
        <v>1922</v>
      </c>
      <c r="B43" s="297" t="s">
        <v>2432</v>
      </c>
      <c r="C43" s="298"/>
      <c r="D43" s="306">
        <f>-'Allocation ProForma'!P654</f>
        <v>1103241.7810053704</v>
      </c>
      <c r="E43" s="306">
        <f>D43</f>
        <v>1103241.7810053704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1103241.7810053704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1923</v>
      </c>
      <c r="B44" s="297" t="s">
        <v>1925</v>
      </c>
      <c r="C44" s="298"/>
      <c r="D44" s="306">
        <f>-('Allocation ProForma'!P652+'Allocation ProForma'!P653)</f>
        <v>-664530.24368404015</v>
      </c>
      <c r="E44" s="306">
        <v>0</v>
      </c>
      <c r="F44" s="307">
        <f>D44</f>
        <v>-664530.24368404015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-664530.24368404015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1927</v>
      </c>
      <c r="B45" s="297" t="s">
        <v>1926</v>
      </c>
      <c r="C45" s="298"/>
      <c r="D45" s="306">
        <f>-('Allocation ProForma'!P655+'Allocation ProForma'!P656+'Allocation ProForma'!P657+'Allocation ProForma'!P658+'Allocation ProForma'!P661+'Allocation ProForma'!P662+'Allocation ProForma'!P663+'Allocation ProForma'!P664+'Allocation ProForma'!P665)</f>
        <v>-166735.7469603775</v>
      </c>
      <c r="E45" s="306">
        <f t="shared" ref="E45:J45" si="12">(E14/($D$14)*$D$45)</f>
        <v>-128062.90375222461</v>
      </c>
      <c r="F45" s="307">
        <f t="shared" si="12"/>
        <v>-5537.512980783973</v>
      </c>
      <c r="G45" s="307">
        <f t="shared" si="12"/>
        <v>-32138.702888781419</v>
      </c>
      <c r="H45" s="307">
        <f t="shared" si="12"/>
        <v>0</v>
      </c>
      <c r="I45" s="307">
        <f t="shared" si="12"/>
        <v>-990.54343410730905</v>
      </c>
      <c r="J45" s="307">
        <f t="shared" si="12"/>
        <v>-6.0839044801970736</v>
      </c>
      <c r="K45" s="302">
        <f>SUM(E45:J45)</f>
        <v>-166735.74696037747</v>
      </c>
      <c r="L45" s="303" t="str">
        <f>IF(ABS(K45-D45)&lt;0.01,"ok","err")</f>
        <v>ok</v>
      </c>
      <c r="M45" s="28"/>
      <c r="N45" s="28"/>
    </row>
    <row r="46" spans="1:14" ht="15.6" x14ac:dyDescent="0.3">
      <c r="A46" s="362" t="s">
        <v>1928</v>
      </c>
      <c r="B46" s="297" t="s">
        <v>1929</v>
      </c>
      <c r="C46" s="298"/>
      <c r="D46" s="306">
        <f>SUM(D43:D45)</f>
        <v>271975.79036095279</v>
      </c>
      <c r="E46" s="306">
        <f t="shared" ref="E46:J46" si="13">SUM(E43:E45)</f>
        <v>975178.87725314579</v>
      </c>
      <c r="F46" s="307">
        <f t="shared" si="13"/>
        <v>-670067.75666482409</v>
      </c>
      <c r="G46" s="307">
        <f t="shared" si="13"/>
        <v>-32138.702888781419</v>
      </c>
      <c r="H46" s="307">
        <f t="shared" si="13"/>
        <v>0</v>
      </c>
      <c r="I46" s="307">
        <f t="shared" si="13"/>
        <v>-990.54343410730905</v>
      </c>
      <c r="J46" s="307">
        <f t="shared" si="13"/>
        <v>-6.0839044801970736</v>
      </c>
      <c r="K46" s="302">
        <f>SUM(E46:J46)</f>
        <v>271975.79036095273</v>
      </c>
      <c r="L46" s="303" t="str">
        <f>IF(ABS(K46-D46)&lt;0.01,"ok","err")</f>
        <v>ok</v>
      </c>
      <c r="M46" s="28"/>
      <c r="N46" s="28"/>
    </row>
    <row r="47" spans="1:14" ht="15.6" x14ac:dyDescent="0.3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6" x14ac:dyDescent="0.3">
      <c r="A48" s="362" t="s">
        <v>1934</v>
      </c>
      <c r="B48" s="297" t="s">
        <v>1902</v>
      </c>
      <c r="C48" s="315">
        <f>'Allocation ProForma'!P806-SUM('Allocation ProForma'!P652:P665)-'Allocation ProForma'!P721-'Allocation ProForma'!P802-'Allocation ProForma'!P803</f>
        <v>92734283</v>
      </c>
      <c r="D48" s="306">
        <f>D41+D46</f>
        <v>92734283.063420117</v>
      </c>
      <c r="E48" s="306">
        <f t="shared" ref="E48:J48" si="14">E41+E46</f>
        <v>33328688.530285344</v>
      </c>
      <c r="F48" s="307">
        <f t="shared" si="14"/>
        <v>50491879.178255953</v>
      </c>
      <c r="G48" s="307">
        <f t="shared" si="14"/>
        <v>8311728.5833310792</v>
      </c>
      <c r="H48" s="307">
        <f t="shared" si="14"/>
        <v>0</v>
      </c>
      <c r="I48" s="307">
        <f t="shared" si="14"/>
        <v>549538.25815151725</v>
      </c>
      <c r="J48" s="307">
        <f t="shared" si="14"/>
        <v>52448.513396210321</v>
      </c>
      <c r="K48" s="302">
        <f>SUM(E48:J48)</f>
        <v>92734283.063420102</v>
      </c>
      <c r="L48" s="303" t="str">
        <f>IF(ABS(K48-D48)&lt;0.01,"ok","err")</f>
        <v>ok</v>
      </c>
      <c r="M48" s="28"/>
      <c r="N48" s="28"/>
    </row>
    <row r="49" spans="1:14" ht="15.6" x14ac:dyDescent="0.3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6" x14ac:dyDescent="0.3">
      <c r="A50" s="362" t="s">
        <v>1935</v>
      </c>
      <c r="B50" s="297" t="s">
        <v>1904</v>
      </c>
      <c r="C50" s="298"/>
      <c r="D50" s="316"/>
      <c r="E50" s="317">
        <v>3234177</v>
      </c>
      <c r="F50" s="318">
        <f>'Billing Det'!C28</f>
        <v>1497714279.3066747</v>
      </c>
      <c r="G50" s="318">
        <v>3609636</v>
      </c>
      <c r="H50" s="318">
        <f>G50</f>
        <v>3609636</v>
      </c>
      <c r="I50" s="318">
        <f>'Allocation ProForma'!P848</f>
        <v>360</v>
      </c>
      <c r="J50" s="318">
        <f>I50</f>
        <v>360</v>
      </c>
      <c r="K50" s="287"/>
      <c r="L50" s="310"/>
      <c r="M50" s="28"/>
      <c r="N50" s="28"/>
    </row>
    <row r="51" spans="1:14" ht="16.2" thickBot="1" x14ac:dyDescent="0.35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2" thickBot="1" x14ac:dyDescent="0.35">
      <c r="A52" s="365" t="s">
        <v>2446</v>
      </c>
      <c r="B52" s="319" t="s">
        <v>1906</v>
      </c>
      <c r="C52" s="320"/>
      <c r="D52" s="321"/>
      <c r="E52" s="384">
        <f t="shared" ref="E52:J52" si="15">E48/E50</f>
        <v>10.305152912251044</v>
      </c>
      <c r="F52" s="323">
        <f t="shared" si="15"/>
        <v>3.3712624547874222E-2</v>
      </c>
      <c r="G52" s="324">
        <f t="shared" si="15"/>
        <v>2.3026500686858951</v>
      </c>
      <c r="H52" s="324">
        <f t="shared" si="15"/>
        <v>0</v>
      </c>
      <c r="I52" s="324">
        <f>I48/I50</f>
        <v>1526.4951615319924</v>
      </c>
      <c r="J52" s="324">
        <f t="shared" si="15"/>
        <v>145.69031498947311</v>
      </c>
      <c r="K52" s="325">
        <f>I52+J52</f>
        <v>1672.1854765214655</v>
      </c>
      <c r="L52" s="326"/>
      <c r="M52" s="28"/>
      <c r="N52" s="28"/>
    </row>
    <row r="53" spans="1:14" ht="15.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6" x14ac:dyDescent="0.3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1672.1854765214655</v>
      </c>
      <c r="L54" s="28"/>
      <c r="M54" s="28"/>
      <c r="N54" s="28"/>
    </row>
    <row r="55" spans="1:14" ht="15.6" x14ac:dyDescent="0.3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12.607802980936938</v>
      </c>
      <c r="L55" s="28"/>
      <c r="M55" s="28"/>
      <c r="N55" s="28"/>
    </row>
    <row r="56" spans="1:14" ht="15.6" x14ac:dyDescent="0.3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3.3712624547874222E-2</v>
      </c>
      <c r="L56" s="28"/>
      <c r="M56" s="28"/>
      <c r="N56" s="28"/>
    </row>
    <row r="57" spans="1:14" ht="15.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6" x14ac:dyDescent="0.3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6" x14ac:dyDescent="0.3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6" x14ac:dyDescent="0.3">
      <c r="J61" s="373"/>
      <c r="K61" s="34"/>
    </row>
    <row r="62" spans="1:14" ht="15.6" x14ac:dyDescent="0.3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45.44140625" bestFit="1" customWidth="1"/>
    <col min="3" max="3" width="19" hidden="1" customWidth="1"/>
    <col min="4" max="4" width="23.6640625" customWidth="1"/>
    <col min="5" max="5" width="24.88671875" bestFit="1" customWidth="1"/>
    <col min="6" max="6" width="23.3320312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2449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2" thickBot="1" x14ac:dyDescent="0.35">
      <c r="A9" s="279"/>
      <c r="B9" s="280"/>
      <c r="C9" s="281"/>
      <c r="D9" s="279"/>
      <c r="E9" s="437" t="s">
        <v>1907</v>
      </c>
      <c r="F9" s="438"/>
      <c r="G9" s="282" t="s">
        <v>459</v>
      </c>
      <c r="H9" s="437" t="s">
        <v>118</v>
      </c>
      <c r="I9" s="438"/>
      <c r="J9" s="282" t="s">
        <v>1912</v>
      </c>
      <c r="K9" s="281"/>
      <c r="L9" s="283"/>
      <c r="M9" s="28"/>
      <c r="N9" s="28"/>
    </row>
    <row r="10" spans="1:14" ht="15.6" x14ac:dyDescent="0.3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6" x14ac:dyDescent="0.3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2" thickBot="1" x14ac:dyDescent="0.35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6" x14ac:dyDescent="0.3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6" x14ac:dyDescent="0.3">
      <c r="A14" s="362" t="s">
        <v>1166</v>
      </c>
      <c r="B14" s="297" t="s">
        <v>193</v>
      </c>
      <c r="C14" s="298"/>
      <c r="D14" s="299">
        <f>'Allocation ProForma'!Q174</f>
        <v>45005985.731704071</v>
      </c>
      <c r="E14" s="300">
        <f>'Allocation ProForma'!Q123+'Allocation ProForma'!Q124+'Allocation ProForma'!Q125</f>
        <v>34268408.965770498</v>
      </c>
      <c r="F14" s="301">
        <f>'Allocation ProForma'!Q126</f>
        <v>2094102.3950426062</v>
      </c>
      <c r="G14" s="301">
        <f>'Allocation ProForma'!Q135</f>
        <v>8600009.6979920305</v>
      </c>
      <c r="H14" s="301">
        <f>'Allocation ProForma'!Q145+'Allocation ProForma'!Q147+'Allocation ProForma'!Q152+'Allocation ProForma'!Q141</f>
        <v>0</v>
      </c>
      <c r="I14" s="301">
        <f>'Allocation ProForma'!Q146+'Allocation ProForma'!Q148+'Allocation ProForma'!Q153+'Allocation ProForma'!Q157+'Allocation ProForma'!Q160+'Allocation ProForma'!Q163</f>
        <v>42945.331605681378</v>
      </c>
      <c r="J14" s="301">
        <f>'Allocation ProForma'!Q166+'Allocation ProForma'!Q169</f>
        <v>519.34129324883634</v>
      </c>
      <c r="K14" s="302">
        <f>SUM(E14:J14)</f>
        <v>45005985.731704064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1323</v>
      </c>
      <c r="B15" s="297" t="s">
        <v>1888</v>
      </c>
      <c r="C15" s="298"/>
      <c r="D15" s="299">
        <f>'Allocation ProForma'!Q773+'Allocation ProForma'!Q774+'Allocation ProForma'!Q775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6" x14ac:dyDescent="0.3">
      <c r="A16" s="362" t="s">
        <v>1889</v>
      </c>
      <c r="B16" s="297" t="s">
        <v>1890</v>
      </c>
      <c r="C16" s="298"/>
      <c r="D16" s="306">
        <f>D14+D15</f>
        <v>45005985.731704071</v>
      </c>
      <c r="E16" s="306">
        <f t="shared" ref="E16:K16" si="1">E14+E15</f>
        <v>34268408.965770498</v>
      </c>
      <c r="F16" s="307">
        <f t="shared" si="1"/>
        <v>2094102.3950426062</v>
      </c>
      <c r="G16" s="307">
        <f t="shared" si="1"/>
        <v>8600009.6979920305</v>
      </c>
      <c r="H16" s="307">
        <f t="shared" si="1"/>
        <v>0</v>
      </c>
      <c r="I16" s="307">
        <f t="shared" si="1"/>
        <v>42945.331605681378</v>
      </c>
      <c r="J16" s="307">
        <f t="shared" si="1"/>
        <v>519.34129324883634</v>
      </c>
      <c r="K16" s="302">
        <f t="shared" si="1"/>
        <v>45005985.731704064</v>
      </c>
      <c r="L16" s="303" t="str">
        <f>IF(ABS(K16-D16)&lt;0.01,"ok","err")</f>
        <v>ok</v>
      </c>
      <c r="M16" s="28"/>
      <c r="N16" s="28"/>
    </row>
    <row r="17" spans="1:14" ht="15.6" x14ac:dyDescent="0.3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6" x14ac:dyDescent="0.3">
      <c r="A18" s="362" t="s">
        <v>1891</v>
      </c>
      <c r="B18" s="297" t="s">
        <v>441</v>
      </c>
      <c r="C18" s="298"/>
      <c r="D18" s="311">
        <f>'Allocation ProForma'!Q825</f>
        <v>0.11013239236156214</v>
      </c>
      <c r="E18" s="311">
        <f t="shared" ref="E18:J18" si="2">D18</f>
        <v>0.11013239236156214</v>
      </c>
      <c r="F18" s="312">
        <f t="shared" si="2"/>
        <v>0.11013239236156214</v>
      </c>
      <c r="G18" s="312">
        <f t="shared" si="2"/>
        <v>0.11013239236156214</v>
      </c>
      <c r="H18" s="312">
        <f t="shared" si="2"/>
        <v>0.11013239236156214</v>
      </c>
      <c r="I18" s="312">
        <f t="shared" si="2"/>
        <v>0.11013239236156214</v>
      </c>
      <c r="J18" s="312">
        <f t="shared" si="2"/>
        <v>0.11013239236156214</v>
      </c>
      <c r="K18" s="302"/>
      <c r="L18" s="303"/>
      <c r="M18" s="28"/>
      <c r="N18" s="28"/>
    </row>
    <row r="19" spans="1:14" ht="15.6" x14ac:dyDescent="0.3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6" x14ac:dyDescent="0.3">
      <c r="A20" s="362" t="s">
        <v>1892</v>
      </c>
      <c r="B20" s="297" t="s">
        <v>1893</v>
      </c>
      <c r="C20" s="298"/>
      <c r="D20" s="306">
        <f>D18*D16</f>
        <v>4956616.8792228997</v>
      </c>
      <c r="E20" s="306">
        <f t="shared" ref="E20:J20" si="3">E18*E16</f>
        <v>3774061.8618247104</v>
      </c>
      <c r="F20" s="307">
        <f t="shared" si="3"/>
        <v>230628.5066161193</v>
      </c>
      <c r="G20" s="307">
        <f t="shared" si="3"/>
        <v>947139.64237249782</v>
      </c>
      <c r="H20" s="307">
        <f t="shared" si="3"/>
        <v>0</v>
      </c>
      <c r="I20" s="307">
        <f t="shared" si="3"/>
        <v>4729.6721104942972</v>
      </c>
      <c r="J20" s="307">
        <f t="shared" si="3"/>
        <v>57.196299077641946</v>
      </c>
      <c r="K20" s="302">
        <f>SUM(E20:J20)</f>
        <v>4956616.8792228997</v>
      </c>
      <c r="L20" s="303" t="str">
        <f>IF(ABS(K20-D20)&lt;0.01,"ok","err")</f>
        <v>ok</v>
      </c>
      <c r="M20" s="28"/>
      <c r="N20" s="28"/>
    </row>
    <row r="21" spans="1:14" ht="15.6" x14ac:dyDescent="0.3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6" x14ac:dyDescent="0.3">
      <c r="A22" s="362" t="s">
        <v>1324</v>
      </c>
      <c r="B22" s="297" t="s">
        <v>1894</v>
      </c>
      <c r="C22" s="298"/>
      <c r="D22" s="306">
        <f>'Allocation ProForma'!Q705</f>
        <v>1056233.0599140152</v>
      </c>
      <c r="E22" s="306">
        <f t="shared" ref="E22:J22" si="4">(E14/$D$14)*$D$22</f>
        <v>804235.83378606231</v>
      </c>
      <c r="F22" s="307">
        <f t="shared" si="4"/>
        <v>49145.911250000558</v>
      </c>
      <c r="G22" s="307">
        <f t="shared" si="4"/>
        <v>201831.25446359141</v>
      </c>
      <c r="H22" s="307">
        <f t="shared" si="4"/>
        <v>0</v>
      </c>
      <c r="I22" s="307">
        <f t="shared" si="4"/>
        <v>1007.8721368597257</v>
      </c>
      <c r="J22" s="307">
        <f t="shared" si="4"/>
        <v>12.188277501085869</v>
      </c>
      <c r="K22" s="302">
        <f>SUM(E22:J22)</f>
        <v>1056233.0599140152</v>
      </c>
      <c r="L22" s="303" t="str">
        <f>IF(ABS(K22-D22)&lt;0.01,"ok","err")</f>
        <v>ok</v>
      </c>
      <c r="M22" s="28"/>
      <c r="N22" s="28"/>
    </row>
    <row r="23" spans="1:14" ht="15.6" x14ac:dyDescent="0.3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6" x14ac:dyDescent="0.3">
      <c r="A24" s="362" t="s">
        <v>1325</v>
      </c>
      <c r="B24" s="297" t="s">
        <v>209</v>
      </c>
      <c r="C24" s="298"/>
      <c r="D24" s="306">
        <f>D20-D22</f>
        <v>3900383.8193088844</v>
      </c>
      <c r="E24" s="306">
        <f t="shared" ref="E24:J24" si="5">E20-E22</f>
        <v>2969826.028038648</v>
      </c>
      <c r="F24" s="307">
        <f t="shared" si="5"/>
        <v>181482.59536611874</v>
      </c>
      <c r="G24" s="307">
        <f t="shared" si="5"/>
        <v>745308.38790890644</v>
      </c>
      <c r="H24" s="307">
        <f t="shared" si="5"/>
        <v>0</v>
      </c>
      <c r="I24" s="307">
        <f t="shared" si="5"/>
        <v>3721.7999736345714</v>
      </c>
      <c r="J24" s="307">
        <f t="shared" si="5"/>
        <v>45.008021576556075</v>
      </c>
      <c r="K24" s="302">
        <f>SUM(E24:J24)</f>
        <v>3900383.819308884</v>
      </c>
      <c r="L24" s="303" t="str">
        <f>IF(ABS(K24-D24)&lt;0.01,"ok","err")</f>
        <v>ok</v>
      </c>
      <c r="M24" s="28"/>
      <c r="N24" s="28"/>
    </row>
    <row r="25" spans="1:14" ht="15.6" x14ac:dyDescent="0.3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6" x14ac:dyDescent="0.3">
      <c r="A26" s="362" t="s">
        <v>1326</v>
      </c>
      <c r="B26" s="297" t="s">
        <v>553</v>
      </c>
      <c r="C26" s="298"/>
      <c r="D26" s="306">
        <f>'Allocation ProForma'!Q740+'Allocation ProForma'!Q817</f>
        <v>2675993.6830323283</v>
      </c>
      <c r="E26" s="306">
        <f t="shared" ref="E26:J26" si="6">$D$26*(E24/$K$24)</f>
        <v>2037552.2150906157</v>
      </c>
      <c r="F26" s="307">
        <f t="shared" si="6"/>
        <v>124512.43294976502</v>
      </c>
      <c r="G26" s="307">
        <f t="shared" si="6"/>
        <v>511344.68563882005</v>
      </c>
      <c r="H26" s="307">
        <f t="shared" si="6"/>
        <v>0</v>
      </c>
      <c r="I26" s="307">
        <f t="shared" si="6"/>
        <v>2553.4700379104597</v>
      </c>
      <c r="J26" s="307">
        <f t="shared" si="6"/>
        <v>30.879315217236233</v>
      </c>
      <c r="K26" s="302">
        <f>SUM(E26:J26)</f>
        <v>2675993.6830323287</v>
      </c>
      <c r="L26" s="303" t="str">
        <f>IF(ABS(K26-D26)&lt;0.01,"ok","err")</f>
        <v>ok</v>
      </c>
      <c r="M26" s="28"/>
      <c r="N26" s="28"/>
    </row>
    <row r="27" spans="1:14" ht="15.6" x14ac:dyDescent="0.3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6" x14ac:dyDescent="0.3">
      <c r="A28" s="362" t="s">
        <v>1327</v>
      </c>
      <c r="B28" s="297" t="s">
        <v>795</v>
      </c>
      <c r="C28" s="298"/>
      <c r="D28" s="306">
        <f>'Allocation ProForma'!Q671</f>
        <v>21215963.597676735</v>
      </c>
      <c r="E28" s="306">
        <f>'Allocation ProForma'!Q180+'Allocation ProForma'!Q181+'Allocation ProForma'!Q182</f>
        <v>1814263.191196494</v>
      </c>
      <c r="F28" s="307">
        <f>'Allocation ProForma'!Q183</f>
        <v>18652079.557136446</v>
      </c>
      <c r="G28" s="307">
        <f>'Allocation ProForma'!Q192</f>
        <v>729397.33786620735</v>
      </c>
      <c r="H28" s="307">
        <f>'Allocation ProForma'!Q198+'Allocation ProForma'!Q202+'Allocation ProForma'!Q204+'Allocation ProForma'!Q209</f>
        <v>0</v>
      </c>
      <c r="I28" s="307">
        <f>'Allocation ProForma'!Q203+'Allocation ProForma'!Q205+'Allocation ProForma'!Q210+'Allocation ProForma'!Q214+'Allocation ProForma'!Q217</f>
        <v>15910.723183290036</v>
      </c>
      <c r="J28" s="307">
        <f>'Allocation ProForma'!Q223+'Allocation ProForma'!Q226</f>
        <v>4312.7882943015384</v>
      </c>
      <c r="K28" s="302">
        <f>SUM(E28:J28)</f>
        <v>21215963.597676735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1895</v>
      </c>
      <c r="B29" s="297" t="s">
        <v>843</v>
      </c>
      <c r="C29" s="298"/>
      <c r="D29" s="306">
        <f>'Allocation ProForma'!Q672</f>
        <v>2947235.6735119577</v>
      </c>
      <c r="E29" s="306">
        <f>'Allocation ProForma'!Q300</f>
        <v>2546525.0983428522</v>
      </c>
      <c r="F29" s="307">
        <v>0</v>
      </c>
      <c r="G29" s="307">
        <f>'Allocation ProForma'!Q306</f>
        <v>398570.66678966006</v>
      </c>
      <c r="H29" s="307">
        <f>'Allocation ProForma'!Q312+'Allocation ProForma'!Q316+'Allocation ProForma'!Q318+'Allocation ProForma'!Q323</f>
        <v>0</v>
      </c>
      <c r="I29" s="307">
        <f>'Allocation ProForma'!Q317+'Allocation ProForma'!Q319+'Allocation ProForma'!Q324+'Allocation ProForma'!Q328+'Allocation ProForma'!Q331</f>
        <v>2139.9083794454964</v>
      </c>
      <c r="J29" s="307">
        <v>0</v>
      </c>
      <c r="K29" s="302">
        <f>SUM(E29:J29)</f>
        <v>2947235.6735119577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1896</v>
      </c>
      <c r="B30" s="297" t="s">
        <v>428</v>
      </c>
      <c r="C30" s="298"/>
      <c r="D30" s="306">
        <f>'Allocation ProForma'!Q674+'Allocation ProForma'!Q675+'Allocation ProForma'!Q676+'Allocation ProForma'!Q673</f>
        <v>463994.02704999701</v>
      </c>
      <c r="E30" s="306">
        <f>'Allocation ProForma'!Q414+'Allocation ProForma'!Q471+'Allocation ProForma'!Q357</f>
        <v>379434.25433686218</v>
      </c>
      <c r="F30" s="307">
        <f>'Allocation ProForma'!Q529</f>
        <v>0</v>
      </c>
      <c r="G30" s="307">
        <f>'Allocation ProForma'!Q420+'Allocation ProForma'!Q477+'Allocation ProForma'!Q363</f>
        <v>84141.143782952568</v>
      </c>
      <c r="H30" s="307">
        <f>'Allocation ProForma'!Q426+'Allocation ProForma'!Q430+'Allocation ProForma'!Q432+'Allocation ProForma'!Q437+'Allocation ProForma'!Q483+'Allocation ProForma'!Q487+'Allocation ProForma'!Q489+'Allocation ProForma'!Q494+'Allocation ProForma'!Q369+'Allocation ProForma'!Q373+'Allocation ProForma'!Q375+'Allocation ProForma'!Q380</f>
        <v>0</v>
      </c>
      <c r="I30" s="307">
        <f>'Allocation ProForma'!Q431+'Allocation ProForma'!Q433+'Allocation ProForma'!Q438+'Allocation ProForma'!Q442+'Allocation ProForma'!Q445+'Allocation ProForma'!Q488+'Allocation ProForma'!Q490+'Allocation ProForma'!Q495+'Allocation ProForma'!Q499+'Allocation ProForma'!Q502+'Allocation ProForma'!Q374+'Allocation ProForma'!Q376+'Allocation ProForma'!Q381+'Allocation ProForma'!Q385+'Allocation ProForma'!Q388</f>
        <v>418.62893018224111</v>
      </c>
      <c r="J30" s="307">
        <v>0</v>
      </c>
      <c r="K30" s="302">
        <f>SUM(E30:J30)</f>
        <v>463994.02704999701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1897</v>
      </c>
      <c r="B31" s="297" t="s">
        <v>1933</v>
      </c>
      <c r="C31" s="298"/>
      <c r="D31" s="306">
        <f>'Allocation ProForma'!Q679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6" x14ac:dyDescent="0.3">
      <c r="A32" s="362" t="s">
        <v>1898</v>
      </c>
      <c r="B32" s="297" t="s">
        <v>1915</v>
      </c>
      <c r="C32" s="298"/>
      <c r="D32" s="306">
        <f>'Allocation ProForma'!Q745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6" x14ac:dyDescent="0.3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1901</v>
      </c>
      <c r="B34" s="297" t="s">
        <v>1918</v>
      </c>
      <c r="C34" s="298"/>
      <c r="D34" s="306">
        <f>'Allocation ProForma'!Q756+'Allocation ProForma'!Q759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1905</v>
      </c>
      <c r="B36" s="297" t="s">
        <v>1917</v>
      </c>
      <c r="C36" s="298"/>
      <c r="D36" s="306">
        <f>SUM('Allocation ProForma'!Q813:Q815)-'Allocation ProForma'!Q721</f>
        <v>7255.8592069669648</v>
      </c>
      <c r="E36" s="306">
        <f t="shared" ref="E36:J36" si="9">(E14/($D$14)*$D$36)</f>
        <v>5524.7484675630185</v>
      </c>
      <c r="F36" s="307">
        <f t="shared" si="9"/>
        <v>337.61091766728765</v>
      </c>
      <c r="G36" s="307">
        <f t="shared" si="9"/>
        <v>1386.4924527855237</v>
      </c>
      <c r="H36" s="307">
        <f t="shared" si="9"/>
        <v>0</v>
      </c>
      <c r="I36" s="307">
        <f t="shared" si="9"/>
        <v>6.9236408149110931</v>
      </c>
      <c r="J36" s="307">
        <f t="shared" si="9"/>
        <v>8.3728136222626426E-2</v>
      </c>
      <c r="K36" s="302">
        <f t="shared" si="8"/>
        <v>7255.8592069669639</v>
      </c>
      <c r="L36" s="303" t="str">
        <f t="shared" si="7"/>
        <v>ok</v>
      </c>
      <c r="M36" s="28"/>
      <c r="N36" s="28"/>
    </row>
    <row r="37" spans="1:14" ht="15.6" x14ac:dyDescent="0.3">
      <c r="A37" s="364" t="s">
        <v>1919</v>
      </c>
      <c r="B37" s="297" t="s">
        <v>2444</v>
      </c>
      <c r="C37" s="381"/>
      <c r="D37" s="306">
        <f>-'Allocation ProForma'!Q802-'Allocation ProForma'!Q803</f>
        <v>-143940.93956105405</v>
      </c>
      <c r="E37" s="306">
        <f>-'Allocation ProForma'!Q802-'Allocation ProForma'!$Q$803*(E14/$D$14)</f>
        <v>-143940.93956105405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-143940.93956105405</v>
      </c>
      <c r="L37" s="303" t="str">
        <f t="shared" si="7"/>
        <v>ok</v>
      </c>
      <c r="M37" s="28"/>
      <c r="N37" s="28"/>
    </row>
    <row r="38" spans="1:14" ht="15.6" x14ac:dyDescent="0.3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6" x14ac:dyDescent="0.3">
      <c r="A39" s="362" t="s">
        <v>1920</v>
      </c>
      <c r="B39" s="297" t="s">
        <v>1924</v>
      </c>
      <c r="C39" s="298"/>
      <c r="D39" s="306">
        <f t="shared" ref="D39:J39" si="10">SUM(D32:D37)</f>
        <v>-136685.08035408708</v>
      </c>
      <c r="E39" s="306">
        <f t="shared" si="10"/>
        <v>-138416.19109349104</v>
      </c>
      <c r="F39" s="307">
        <f t="shared" si="10"/>
        <v>337.61091766728765</v>
      </c>
      <c r="G39" s="307">
        <f t="shared" si="10"/>
        <v>1386.4924527855237</v>
      </c>
      <c r="H39" s="307">
        <f t="shared" si="10"/>
        <v>0</v>
      </c>
      <c r="I39" s="307">
        <f t="shared" si="10"/>
        <v>6.9236408149110931</v>
      </c>
      <c r="J39" s="307">
        <f t="shared" si="10"/>
        <v>8.3728136222626426E-2</v>
      </c>
      <c r="K39" s="302">
        <f t="shared" si="8"/>
        <v>-136685.08035408711</v>
      </c>
      <c r="L39" s="303" t="str">
        <f t="shared" si="7"/>
        <v>ok</v>
      </c>
      <c r="M39" s="28"/>
      <c r="N39" s="28"/>
    </row>
    <row r="40" spans="1:14" ht="15.6" x14ac:dyDescent="0.3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6" x14ac:dyDescent="0.3">
      <c r="A41" s="362" t="s">
        <v>1921</v>
      </c>
      <c r="B41" s="297" t="s">
        <v>1899</v>
      </c>
      <c r="C41" s="313"/>
      <c r="D41" s="306">
        <f>SUM(D28:D31)+D22+D26+D39+D24</f>
        <v>32123118.780139826</v>
      </c>
      <c r="E41" s="306">
        <f t="shared" ref="E41:J41" si="11">SUM(E28:E31)+E22+E26+E39+E24</f>
        <v>10413420.429698043</v>
      </c>
      <c r="F41" s="307">
        <f t="shared" si="11"/>
        <v>19007558.107620001</v>
      </c>
      <c r="G41" s="307">
        <f t="shared" si="11"/>
        <v>2671979.9689029232</v>
      </c>
      <c r="H41" s="307">
        <f t="shared" si="11"/>
        <v>0</v>
      </c>
      <c r="I41" s="307">
        <f t="shared" si="11"/>
        <v>25759.326282137437</v>
      </c>
      <c r="J41" s="307">
        <f t="shared" si="11"/>
        <v>4400.9476367326406</v>
      </c>
      <c r="K41" s="302">
        <f>SUM(E41:J41)</f>
        <v>32123118.780139834</v>
      </c>
      <c r="L41" s="303" t="str">
        <f>IF(ABS(K41-D41)&lt;0.01,"ok","err")</f>
        <v>ok</v>
      </c>
      <c r="M41" s="28"/>
      <c r="N41" s="28"/>
    </row>
    <row r="42" spans="1:14" ht="15.6" x14ac:dyDescent="0.3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6" x14ac:dyDescent="0.3">
      <c r="A43" s="362" t="s">
        <v>1922</v>
      </c>
      <c r="B43" s="297" t="s">
        <v>2432</v>
      </c>
      <c r="C43" s="298"/>
      <c r="D43" s="306">
        <f>-'Allocation ProForma'!Q654</f>
        <v>288197.08424574614</v>
      </c>
      <c r="E43" s="306">
        <f>D43</f>
        <v>288197.08424574614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288197.08424574614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1923</v>
      </c>
      <c r="B44" s="297" t="s">
        <v>1925</v>
      </c>
      <c r="C44" s="298"/>
      <c r="D44" s="306">
        <f>-('Allocation ProForma'!Q652+'Allocation ProForma'!Q653)</f>
        <v>-245327.47728685281</v>
      </c>
      <c r="E44" s="306">
        <v>0</v>
      </c>
      <c r="F44" s="307">
        <f>D44</f>
        <v>-245327.47728685281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-245327.47728685281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1927</v>
      </c>
      <c r="B45" s="297" t="s">
        <v>1926</v>
      </c>
      <c r="C45" s="298"/>
      <c r="D45" s="306">
        <f>-('Allocation ProForma'!Q655+'Allocation ProForma'!Q656+'Allocation ProForma'!Q657+'Allocation ProForma'!Q658+'Allocation ProForma'!Q661+'Allocation ProForma'!Q662+'Allocation ProForma'!Q663+'Allocation ProForma'!Q664+'Allocation ProForma'!Q665)</f>
        <v>-38866.370531641274</v>
      </c>
      <c r="E45" s="306">
        <f t="shared" ref="E45:J45" si="12">(E14/($D$14)*$D$45)</f>
        <v>-29593.589802327489</v>
      </c>
      <c r="F45" s="307">
        <f t="shared" si="12"/>
        <v>-1808.429663158978</v>
      </c>
      <c r="G45" s="307">
        <f t="shared" si="12"/>
        <v>-7426.8157460310076</v>
      </c>
      <c r="H45" s="307">
        <f t="shared" si="12"/>
        <v>0</v>
      </c>
      <c r="I45" s="307">
        <f t="shared" si="12"/>
        <v>-37.086826199982859</v>
      </c>
      <c r="J45" s="307">
        <f t="shared" si="12"/>
        <v>-0.44849392381093789</v>
      </c>
      <c r="K45" s="302">
        <f>SUM(E45:J45)</f>
        <v>-38866.370531641274</v>
      </c>
      <c r="L45" s="303" t="str">
        <f>IF(ABS(K45-D45)&lt;0.01,"ok","err")</f>
        <v>ok</v>
      </c>
      <c r="M45" s="28"/>
      <c r="N45" s="28"/>
    </row>
    <row r="46" spans="1:14" ht="15.6" x14ac:dyDescent="0.3">
      <c r="A46" s="362" t="s">
        <v>1928</v>
      </c>
      <c r="B46" s="297" t="s">
        <v>1929</v>
      </c>
      <c r="C46" s="298"/>
      <c r="D46" s="306">
        <f>SUM(D43:D45)</f>
        <v>4003.2364272520572</v>
      </c>
      <c r="E46" s="306">
        <f t="shared" ref="E46:J46" si="13">SUM(E43:E45)</f>
        <v>258603.49444341866</v>
      </c>
      <c r="F46" s="307">
        <f t="shared" si="13"/>
        <v>-247135.90695001179</v>
      </c>
      <c r="G46" s="307">
        <f t="shared" si="13"/>
        <v>-7426.8157460310076</v>
      </c>
      <c r="H46" s="307">
        <f t="shared" si="13"/>
        <v>0</v>
      </c>
      <c r="I46" s="307">
        <f t="shared" si="13"/>
        <v>-37.086826199982859</v>
      </c>
      <c r="J46" s="307">
        <f t="shared" si="13"/>
        <v>-0.44849392381093789</v>
      </c>
      <c r="K46" s="302">
        <f>SUM(E46:J46)</f>
        <v>4003.236427252069</v>
      </c>
      <c r="L46" s="303" t="str">
        <f>IF(ABS(K46-D46)&lt;0.01,"ok","err")</f>
        <v>ok</v>
      </c>
      <c r="M46" s="28"/>
      <c r="N46" s="28"/>
    </row>
    <row r="47" spans="1:14" ht="15.6" x14ac:dyDescent="0.3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6" x14ac:dyDescent="0.3">
      <c r="A48" s="362" t="s">
        <v>1934</v>
      </c>
      <c r="B48" s="297" t="s">
        <v>1902</v>
      </c>
      <c r="C48" s="315">
        <f>'Allocation ProForma'!Q806-SUM('Allocation ProForma'!Q652:Q665)-'Allocation ProForma'!Q721-'Allocation ProForma'!Q802-'Allocation ProForma'!Q803</f>
        <v>32127122</v>
      </c>
      <c r="D48" s="306">
        <f>D41+D46</f>
        <v>32127122.016567077</v>
      </c>
      <c r="E48" s="306">
        <f t="shared" ref="E48:J48" si="14">E41+E46</f>
        <v>10672023.924141461</v>
      </c>
      <c r="F48" s="307">
        <f t="shared" si="14"/>
        <v>18760422.200669989</v>
      </c>
      <c r="G48" s="307">
        <f t="shared" si="14"/>
        <v>2664553.1531568919</v>
      </c>
      <c r="H48" s="307">
        <f t="shared" si="14"/>
        <v>0</v>
      </c>
      <c r="I48" s="307">
        <f t="shared" si="14"/>
        <v>25722.239455937455</v>
      </c>
      <c r="J48" s="307">
        <f t="shared" si="14"/>
        <v>4400.4991428088297</v>
      </c>
      <c r="K48" s="302">
        <f>SUM(E48:J48)</f>
        <v>32127122.016567085</v>
      </c>
      <c r="L48" s="303" t="str">
        <f>IF(ABS(K48-D48)&lt;0.01,"ok","err")</f>
        <v>ok</v>
      </c>
      <c r="M48" s="28"/>
      <c r="N48" s="28"/>
    </row>
    <row r="49" spans="1:14" ht="15.6" x14ac:dyDescent="0.3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6" x14ac:dyDescent="0.3">
      <c r="A50" s="362" t="s">
        <v>1935</v>
      </c>
      <c r="B50" s="297" t="s">
        <v>1904</v>
      </c>
      <c r="C50" s="298"/>
      <c r="D50" s="316"/>
      <c r="E50" s="317">
        <v>1625189</v>
      </c>
      <c r="F50" s="318">
        <f>'Billing Det'!C30</f>
        <v>552917597.55256987</v>
      </c>
      <c r="G50" s="318">
        <v>2344641</v>
      </c>
      <c r="H50" s="318">
        <f>G50</f>
        <v>2344641</v>
      </c>
      <c r="I50" s="318">
        <f>'Allocation ProForma'!Q848</f>
        <v>12</v>
      </c>
      <c r="J50" s="318">
        <f>I50</f>
        <v>12</v>
      </c>
      <c r="K50" s="287"/>
      <c r="L50" s="310"/>
      <c r="M50" s="28"/>
      <c r="N50" s="28"/>
    </row>
    <row r="51" spans="1:14" ht="16.2" thickBot="1" x14ac:dyDescent="0.35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2" thickBot="1" x14ac:dyDescent="0.35">
      <c r="A52" s="365" t="s">
        <v>2446</v>
      </c>
      <c r="B52" s="319" t="s">
        <v>1906</v>
      </c>
      <c r="C52" s="320"/>
      <c r="D52" s="321"/>
      <c r="E52" s="384">
        <f t="shared" ref="E52:J52" si="15">E48/E50</f>
        <v>6.5666355877017759</v>
      </c>
      <c r="F52" s="323">
        <f t="shared" si="15"/>
        <v>3.3929869990955208E-2</v>
      </c>
      <c r="G52" s="324">
        <f t="shared" si="15"/>
        <v>1.1364439814696117</v>
      </c>
      <c r="H52" s="324">
        <f t="shared" si="15"/>
        <v>0</v>
      </c>
      <c r="I52" s="324">
        <f>I48/I50</f>
        <v>2143.5199546614544</v>
      </c>
      <c r="J52" s="324">
        <f t="shared" si="15"/>
        <v>366.70826190073581</v>
      </c>
      <c r="K52" s="325">
        <f>I52+J52</f>
        <v>2510.22821656219</v>
      </c>
      <c r="L52" s="326"/>
      <c r="M52" s="28"/>
      <c r="N52" s="28"/>
    </row>
    <row r="53" spans="1:14" ht="15.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6" x14ac:dyDescent="0.3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2510.22821656219</v>
      </c>
      <c r="L54" s="28"/>
      <c r="M54" s="28"/>
      <c r="N54" s="28"/>
    </row>
    <row r="55" spans="1:14" ht="15.6" x14ac:dyDescent="0.3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7.703079569171388</v>
      </c>
      <c r="L55" s="28"/>
      <c r="M55" s="28"/>
      <c r="N55" s="28"/>
    </row>
    <row r="56" spans="1:14" ht="15.6" x14ac:dyDescent="0.3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3.3929869990955208E-2</v>
      </c>
      <c r="L56" s="28"/>
      <c r="M56" s="28"/>
      <c r="N56" s="28"/>
    </row>
    <row r="57" spans="1:14" ht="15.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6" x14ac:dyDescent="0.3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6" x14ac:dyDescent="0.3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6" x14ac:dyDescent="0.3">
      <c r="J61" s="373"/>
      <c r="K61" s="34"/>
    </row>
    <row r="62" spans="1:14" ht="15.6" x14ac:dyDescent="0.3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09"/>
  <sheetViews>
    <sheetView zoomScale="75" zoomScaleNormal="75" workbookViewId="0"/>
  </sheetViews>
  <sheetFormatPr defaultRowHeight="13.8" x14ac:dyDescent="0.25"/>
  <cols>
    <col min="1" max="1" width="48.44140625" bestFit="1" customWidth="1"/>
    <col min="2" max="2" width="2.6640625" customWidth="1"/>
    <col min="3" max="3" width="19.5546875" customWidth="1"/>
    <col min="4" max="4" width="15.6640625" style="45" bestFit="1" customWidth="1"/>
    <col min="5" max="5" width="15.5546875" style="132" bestFit="1" customWidth="1"/>
    <col min="6" max="6" width="12" customWidth="1"/>
    <col min="7" max="8" width="16" bestFit="1" customWidth="1"/>
    <col min="9" max="10" width="16" customWidth="1"/>
    <col min="11" max="11" width="12.6640625" customWidth="1"/>
    <col min="12" max="12" width="20.33203125" customWidth="1"/>
    <col min="13" max="13" width="11.88671875" customWidth="1"/>
    <col min="14" max="14" width="15.5546875" customWidth="1"/>
    <col min="15" max="15" width="13" customWidth="1"/>
    <col min="16" max="16" width="2.6640625" customWidth="1"/>
    <col min="17" max="17" width="12.5546875" customWidth="1"/>
    <col min="18" max="18" width="13.6640625" customWidth="1"/>
  </cols>
  <sheetData>
    <row r="1" spans="1:19" ht="17.399999999999999" x14ac:dyDescent="0.3">
      <c r="A1" s="4" t="s">
        <v>1427</v>
      </c>
    </row>
    <row r="2" spans="1:19" ht="15.6" x14ac:dyDescent="0.3">
      <c r="A2" s="28" t="s">
        <v>931</v>
      </c>
    </row>
    <row r="3" spans="1:19" ht="15.6" x14ac:dyDescent="0.3">
      <c r="A3" s="28" t="s">
        <v>2208</v>
      </c>
    </row>
    <row r="4" spans="1:19" ht="15.6" x14ac:dyDescent="0.3">
      <c r="A4" s="37"/>
    </row>
    <row r="5" spans="1:19" x14ac:dyDescent="0.25">
      <c r="D5" s="46"/>
    </row>
    <row r="6" spans="1:19" x14ac:dyDescent="0.25">
      <c r="C6" s="67" t="s">
        <v>2205</v>
      </c>
      <c r="D6" s="67" t="s">
        <v>2316</v>
      </c>
      <c r="E6" s="66" t="s">
        <v>68</v>
      </c>
      <c r="F6" s="131"/>
    </row>
    <row r="7" spans="1:19" x14ac:dyDescent="0.25">
      <c r="C7" s="51" t="s">
        <v>2206</v>
      </c>
      <c r="D7" s="51" t="s">
        <v>850</v>
      </c>
      <c r="E7" s="66" t="s">
        <v>2205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4.4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G8" s="124"/>
      <c r="H8" s="124"/>
      <c r="I8" s="124"/>
      <c r="J8" s="47"/>
      <c r="K8" s="27"/>
      <c r="L8" s="134"/>
      <c r="M8" s="134"/>
      <c r="N8" s="440"/>
      <c r="O8" s="440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</f>
        <v>430654.16666666669</v>
      </c>
      <c r="E10" s="148">
        <f>C10*D10</f>
        <v>27826792.198988087</v>
      </c>
      <c r="F10" s="59">
        <f>E10/$E$38</f>
        <v>0.62144936543786311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2311</v>
      </c>
      <c r="C12" s="148">
        <v>74.863008603212378</v>
      </c>
      <c r="D12" s="149">
        <f>'Billing Det'!B10</f>
        <v>63656.5</v>
      </c>
      <c r="E12" s="148">
        <f>C12*D12</f>
        <v>4765517.1071503889</v>
      </c>
      <c r="F12" s="59">
        <f>E12/$E$38</f>
        <v>0.10642720012584077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2312</v>
      </c>
      <c r="C14" s="148">
        <v>284.96870416553941</v>
      </c>
      <c r="D14" s="149">
        <f>'Billing Det'!B12</f>
        <v>19672.5</v>
      </c>
      <c r="E14" s="148">
        <f>C14*D14</f>
        <v>5606046.8326965738</v>
      </c>
      <c r="F14" s="59">
        <f>E14/$E$38</f>
        <v>0.12519855763040189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7" t="s">
        <v>2313</v>
      </c>
      <c r="C16" s="148">
        <v>130.85112881554832</v>
      </c>
      <c r="D16" s="149">
        <f>'Billing Det'!B14</f>
        <v>338.16666666666669</v>
      </c>
      <c r="E16" s="148">
        <f>C16*D16</f>
        <v>44249.49006112459</v>
      </c>
      <c r="F16" s="59">
        <f>E16/$E$38</f>
        <v>9.8821370867299935E-4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A17" s="7"/>
      <c r="C17" s="132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2314</v>
      </c>
      <c r="C18" s="336">
        <v>689.2078980766637</v>
      </c>
      <c r="D18" s="149">
        <f>'Billing Det'!B16</f>
        <v>255</v>
      </c>
      <c r="E18" s="148">
        <f>C18*D18</f>
        <v>175748.01400954925</v>
      </c>
      <c r="F18" s="59">
        <f>E18/$E$38</f>
        <v>3.9249400722218622E-3</v>
      </c>
      <c r="G18" s="27"/>
      <c r="H18" s="27"/>
      <c r="I18" s="27"/>
      <c r="J18" s="27"/>
      <c r="K18" s="27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2202</v>
      </c>
      <c r="C20" s="148">
        <v>624.31984907026822</v>
      </c>
      <c r="D20" s="149">
        <f>'Billing Det'!B18</f>
        <v>4502.833333333333</v>
      </c>
      <c r="E20" s="148">
        <f>C20*D20</f>
        <v>2811208.227055239</v>
      </c>
      <c r="F20" s="59">
        <f>E20/$E$38</f>
        <v>6.2782068314748418E-2</v>
      </c>
      <c r="G20" s="27"/>
      <c r="H20" s="27"/>
      <c r="I20" s="27"/>
      <c r="J20" s="126"/>
      <c r="K20" s="144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50"/>
      <c r="D21" s="149"/>
      <c r="E21" s="150"/>
      <c r="F21" s="149"/>
      <c r="G21" s="27"/>
      <c r="H21" s="145"/>
      <c r="I21" s="145"/>
      <c r="J21" s="145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3" t="s">
        <v>2203</v>
      </c>
      <c r="C22" s="148">
        <v>3593.1145861549589</v>
      </c>
      <c r="D22" s="149">
        <f>'Billing Det'!B20</f>
        <v>172.5</v>
      </c>
      <c r="E22" s="148">
        <f>C22*D22</f>
        <v>619812.26611173037</v>
      </c>
      <c r="F22" s="59">
        <f>E22/$E$38</f>
        <v>1.3842125125717716E-2</v>
      </c>
      <c r="G22" s="146"/>
      <c r="H22" s="27"/>
      <c r="I22" s="27"/>
      <c r="J22" s="126"/>
      <c r="K22" s="144"/>
      <c r="L22" s="133"/>
      <c r="M22" s="134"/>
      <c r="N22" s="79"/>
      <c r="O22" s="138"/>
      <c r="P22" s="134"/>
      <c r="Q22" s="139"/>
      <c r="R22" s="140"/>
      <c r="S22" s="50"/>
    </row>
    <row r="23" spans="1:19" x14ac:dyDescent="0.25">
      <c r="C23" s="132"/>
      <c r="D23" s="149"/>
      <c r="F23" s="149"/>
      <c r="G23" s="27"/>
      <c r="H23" s="27"/>
      <c r="I23" s="27"/>
      <c r="J23" s="27"/>
      <c r="K23" s="27"/>
      <c r="L23" s="133"/>
      <c r="M23" s="134"/>
      <c r="N23" s="79"/>
      <c r="O23" s="138"/>
      <c r="P23" s="134"/>
      <c r="Q23" s="139"/>
      <c r="R23" s="140"/>
      <c r="S23" s="50"/>
    </row>
    <row r="24" spans="1:19" x14ac:dyDescent="0.25">
      <c r="A24" s="7" t="s">
        <v>2204</v>
      </c>
      <c r="C24" s="148">
        <v>843.261651095258</v>
      </c>
      <c r="D24" s="149">
        <f>'Billing Det'!B22</f>
        <v>618.25</v>
      </c>
      <c r="E24" s="148">
        <f>C24*D24</f>
        <v>521346.51578964328</v>
      </c>
      <c r="F24" s="59">
        <f>E24/$E$38</f>
        <v>1.1643112116332852E-2</v>
      </c>
      <c r="G24" s="27"/>
      <c r="H24" s="27"/>
      <c r="I24" s="27"/>
      <c r="J24" s="126"/>
      <c r="K24" s="144"/>
      <c r="L24" s="137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E25" s="148"/>
      <c r="F25" s="149"/>
      <c r="G25" s="27"/>
      <c r="H25" s="27"/>
      <c r="I25" s="27"/>
      <c r="J25" s="27"/>
      <c r="K25" s="27"/>
      <c r="L25" s="137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2315</v>
      </c>
      <c r="C26" s="148">
        <v>4980.6354922085629</v>
      </c>
      <c r="D26" s="149">
        <f>'Billing Det'!B24</f>
        <v>276.5</v>
      </c>
      <c r="E26" s="148">
        <f>C26*D26</f>
        <v>1377145.7135956676</v>
      </c>
      <c r="F26" s="59">
        <f>E26/$E$38</f>
        <v>3.075547924135584E-2</v>
      </c>
      <c r="G26" s="27"/>
      <c r="H26" s="27"/>
      <c r="I26" s="27"/>
      <c r="J26" s="126"/>
      <c r="K26" s="144"/>
      <c r="L26" s="133"/>
      <c r="M26" s="134"/>
      <c r="N26" s="79"/>
      <c r="O26" s="138"/>
      <c r="P26" s="134"/>
      <c r="Q26" s="139"/>
      <c r="R26" s="140"/>
      <c r="S26" s="50"/>
    </row>
    <row r="27" spans="1:19" x14ac:dyDescent="0.25">
      <c r="C27" s="150"/>
      <c r="D27" s="149"/>
      <c r="E27" s="150"/>
      <c r="F27" s="149"/>
      <c r="G27" s="27"/>
      <c r="H27" s="27"/>
      <c r="I27" s="27"/>
      <c r="J27" s="27"/>
      <c r="K27" s="27"/>
      <c r="L27" s="133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1884</v>
      </c>
      <c r="C28" s="148">
        <v>31307.641454630324</v>
      </c>
      <c r="D28" s="149">
        <f>'Billing Det'!B28</f>
        <v>30</v>
      </c>
      <c r="E28" s="148">
        <f>C28*D28</f>
        <v>939229.24363890977</v>
      </c>
      <c r="F28" s="59">
        <f>E28/$E$38</f>
        <v>2.0975591195930589E-2</v>
      </c>
      <c r="G28" s="27"/>
      <c r="H28" s="27"/>
      <c r="I28" s="27"/>
      <c r="J28" s="126"/>
      <c r="K28" s="144"/>
      <c r="L28" s="137"/>
      <c r="M28" s="134"/>
      <c r="N28" s="79"/>
      <c r="O28" s="138"/>
      <c r="P28" s="134"/>
      <c r="Q28" s="139"/>
      <c r="R28" s="140"/>
      <c r="S28" s="50"/>
    </row>
    <row r="29" spans="1:19" x14ac:dyDescent="0.25">
      <c r="A29" s="7"/>
      <c r="C29" s="132"/>
      <c r="D29" s="149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2201</v>
      </c>
      <c r="C30" s="148">
        <v>39752.30619014</v>
      </c>
      <c r="D30" s="149">
        <f>'Billing Det'!B30</f>
        <v>1</v>
      </c>
      <c r="E30" s="148">
        <f>C30*D30</f>
        <v>39752.30619014</v>
      </c>
      <c r="F30" s="59">
        <f>E30/$E$38</f>
        <v>8.877791331425005E-4</v>
      </c>
      <c r="G30" s="27"/>
      <c r="H30" s="27"/>
      <c r="I30" s="27"/>
      <c r="J30" s="126"/>
      <c r="K30" s="27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48"/>
      <c r="D31" s="149"/>
      <c r="E31" s="148"/>
      <c r="F31" s="149"/>
      <c r="G31" s="27"/>
      <c r="H31" s="27"/>
      <c r="I31" s="27"/>
      <c r="J31" s="126"/>
      <c r="K31" s="27"/>
      <c r="L31" s="137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2220</v>
      </c>
      <c r="C32" s="148">
        <v>0</v>
      </c>
      <c r="D32" s="149">
        <f>'Billing Det'!B32</f>
        <v>168484.08333333334</v>
      </c>
      <c r="E32" s="148">
        <f>C32*D32</f>
        <v>0</v>
      </c>
      <c r="F32" s="59">
        <f>E32/$E$38</f>
        <v>0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2221</v>
      </c>
      <c r="C34" s="148">
        <f>C10</f>
        <v>64.615170020000008</v>
      </c>
      <c r="D34" s="149">
        <f>'Billing Det'!B34</f>
        <v>4</v>
      </c>
      <c r="E34" s="148">
        <f>C34*D34</f>
        <v>258.46068008000003</v>
      </c>
      <c r="F34" s="59">
        <f>E34/$E$38</f>
        <v>5.772143065494824E-6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5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2222</v>
      </c>
      <c r="C36" s="148">
        <f>C10</f>
        <v>64.615170020000008</v>
      </c>
      <c r="D36" s="149">
        <f>'Billing Det'!B36</f>
        <v>776</v>
      </c>
      <c r="E36" s="148">
        <f>C36*D36</f>
        <v>50141.371935520008</v>
      </c>
      <c r="F36" s="59">
        <f>E36/$E$38</f>
        <v>1.1197957547059959E-3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21"/>
      <c r="B37" s="152"/>
      <c r="C37" s="153"/>
      <c r="D37" s="154"/>
      <c r="E37" s="153"/>
      <c r="F37" s="195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3" t="s">
        <v>68</v>
      </c>
      <c r="C38" s="148"/>
      <c r="D38" s="155">
        <f>SUM(D4:D37)</f>
        <v>689441.5</v>
      </c>
      <c r="E38" s="102">
        <f>SUM(E4:E37)</f>
        <v>44777247.747902654</v>
      </c>
      <c r="F38" s="59">
        <f>SUM(F10:F37)</f>
        <v>1</v>
      </c>
      <c r="G38" s="5"/>
      <c r="H38" s="5"/>
      <c r="I38" s="5"/>
      <c r="J38" s="147"/>
      <c r="K38" s="27"/>
      <c r="L38" s="133"/>
      <c r="M38" s="134"/>
      <c r="N38" s="79"/>
      <c r="O38" s="138"/>
      <c r="P38" s="134"/>
      <c r="Q38" s="139"/>
      <c r="R38" s="140"/>
      <c r="S38" s="50"/>
    </row>
    <row r="39" spans="1:19" x14ac:dyDescent="0.25">
      <c r="F39" s="193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F40" s="194"/>
      <c r="L40" s="137"/>
      <c r="M40" s="134"/>
      <c r="N40" s="79"/>
      <c r="O40" s="138"/>
      <c r="P40" s="134"/>
      <c r="Q40" s="139"/>
      <c r="R40" s="140"/>
      <c r="S40" s="50"/>
    </row>
    <row r="41" spans="1:19" x14ac:dyDescent="0.25">
      <c r="C41" s="123"/>
      <c r="E41" s="148"/>
      <c r="F41" s="2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C42" s="58" t="s">
        <v>2209</v>
      </c>
      <c r="D42" s="58"/>
      <c r="E42" s="65">
        <f>'Functional Assignment'!F41</f>
        <v>82987729.264615372</v>
      </c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4"/>
      <c r="M43" s="134"/>
      <c r="N43" s="79"/>
      <c r="O43" s="141"/>
      <c r="P43" s="134"/>
      <c r="Q43" s="139"/>
      <c r="R43" s="141"/>
      <c r="S43" s="50"/>
    </row>
    <row r="44" spans="1:19" x14ac:dyDescent="0.25">
      <c r="C44" s="123"/>
      <c r="E44" s="151"/>
      <c r="F44" s="2"/>
      <c r="L44" s="134"/>
      <c r="M44" s="134"/>
      <c r="N44" s="134"/>
      <c r="O44" s="134"/>
      <c r="P44" s="134"/>
      <c r="Q44" s="142"/>
      <c r="R44" s="134"/>
      <c r="S44" s="50"/>
    </row>
    <row r="45" spans="1:19" x14ac:dyDescent="0.25">
      <c r="A45" s="7"/>
      <c r="C45" s="123"/>
      <c r="E45" s="148"/>
      <c r="F45" s="2"/>
      <c r="L45" s="134"/>
      <c r="M45" s="134"/>
      <c r="N45" s="134"/>
      <c r="O45" s="134"/>
      <c r="P45" s="134"/>
      <c r="Q45" s="135"/>
      <c r="R45" s="134"/>
      <c r="S45" s="50"/>
    </row>
    <row r="46" spans="1:19" x14ac:dyDescent="0.25">
      <c r="C46" s="123"/>
      <c r="F46" s="2"/>
      <c r="L46" s="134"/>
      <c r="M46" s="134"/>
      <c r="N46" s="134"/>
      <c r="O46" s="134"/>
      <c r="P46" s="134"/>
      <c r="Q46" s="79"/>
      <c r="R46" s="134"/>
      <c r="S46" s="50"/>
    </row>
    <row r="47" spans="1:19" x14ac:dyDescent="0.25">
      <c r="A47" s="7"/>
      <c r="C47" s="123"/>
      <c r="E47" s="148"/>
      <c r="F47" s="2"/>
      <c r="L47" s="143"/>
      <c r="M47" s="143"/>
      <c r="N47" s="143"/>
      <c r="O47" s="143"/>
      <c r="P47" s="143"/>
      <c r="Q47" s="143"/>
      <c r="R47" s="143"/>
    </row>
    <row r="48" spans="1:19" x14ac:dyDescent="0.25">
      <c r="A48" s="7"/>
      <c r="C48" s="127"/>
      <c r="F48" s="2"/>
      <c r="L48" s="143"/>
      <c r="M48" s="143"/>
      <c r="N48" s="143"/>
      <c r="O48" s="143"/>
      <c r="P48" s="143"/>
      <c r="Q48" s="143"/>
      <c r="R48" s="143"/>
    </row>
    <row r="49" spans="1:18" x14ac:dyDescent="0.25">
      <c r="A49" s="7"/>
      <c r="D49" s="48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</row>
    <row r="51" spans="1:18" x14ac:dyDescent="0.25">
      <c r="A51" s="7"/>
      <c r="C51" s="123"/>
      <c r="D51" s="48"/>
      <c r="E51" s="148"/>
      <c r="F51" s="2"/>
    </row>
    <row r="52" spans="1:18" x14ac:dyDescent="0.25">
      <c r="A52" s="125"/>
      <c r="B52" s="27"/>
      <c r="C52" s="128"/>
      <c r="F52" s="2"/>
    </row>
    <row r="53" spans="1:18" x14ac:dyDescent="0.25">
      <c r="C53" s="127"/>
      <c r="D53" s="126"/>
      <c r="E53" s="148"/>
      <c r="F53" s="2"/>
    </row>
    <row r="54" spans="1:18" x14ac:dyDescent="0.25">
      <c r="C54" s="127"/>
      <c r="D54" s="48"/>
      <c r="F54" s="2"/>
    </row>
    <row r="55" spans="1:18" x14ac:dyDescent="0.25">
      <c r="C55" s="127"/>
      <c r="E55" s="148"/>
      <c r="F55" s="2"/>
    </row>
    <row r="56" spans="1:18" x14ac:dyDescent="0.25">
      <c r="C56" s="127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E61" s="148">
        <f>SUM(E10:E60)</f>
        <v>172542224.76042068</v>
      </c>
      <c r="F61" s="2">
        <f>SUM(F10:F60)</f>
        <v>2</v>
      </c>
    </row>
    <row r="62" spans="1:18" x14ac:dyDescent="0.25">
      <c r="C62" s="1"/>
    </row>
    <row r="74" spans="4:11" x14ac:dyDescent="0.25">
      <c r="D74" s="50"/>
      <c r="E74" s="58"/>
      <c r="F74" s="50"/>
      <c r="G74" s="50"/>
      <c r="H74" s="50"/>
      <c r="I74" s="50"/>
      <c r="J74" s="50"/>
      <c r="K74" s="58"/>
    </row>
    <row r="103" spans="12:19" x14ac:dyDescent="0.25">
      <c r="L103" s="50"/>
      <c r="M103" s="50"/>
      <c r="N103" s="50"/>
      <c r="O103" s="50"/>
      <c r="P103" s="50"/>
      <c r="Q103" s="58"/>
      <c r="R103" s="50"/>
      <c r="S103" s="50"/>
    </row>
    <row r="104" spans="12:19" x14ac:dyDescent="0.25">
      <c r="N104" s="50"/>
    </row>
    <row r="105" spans="12:19" x14ac:dyDescent="0.25">
      <c r="N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2"/>
  <sheetViews>
    <sheetView zoomScale="75" zoomScaleNormal="75" workbookViewId="0"/>
  </sheetViews>
  <sheetFormatPr defaultColWidth="9.109375" defaultRowHeight="13.2" x14ac:dyDescent="0.25"/>
  <cols>
    <col min="1" max="1" width="53.44140625" style="50" customWidth="1"/>
    <col min="2" max="2" width="2.6640625" style="50" customWidth="1"/>
    <col min="3" max="3" width="19.6640625" style="50" customWidth="1"/>
    <col min="4" max="4" width="18.5546875" style="50" customWidth="1"/>
    <col min="5" max="5" width="17.33203125" style="50" bestFit="1" customWidth="1"/>
    <col min="6" max="6" width="10.33203125" style="58" customWidth="1"/>
    <col min="7" max="8" width="15.109375" style="50" customWidth="1"/>
    <col min="9" max="9" width="32.109375" style="50" hidden="1" customWidth="1"/>
    <col min="10" max="10" width="21.33203125" style="44" hidden="1" customWidth="1"/>
    <col min="11" max="13" width="13.109375" style="69" hidden="1" customWidth="1"/>
    <col min="14" max="14" width="16.33203125" style="50" customWidth="1"/>
    <col min="15" max="15" width="4.44140625" style="50" customWidth="1"/>
    <col min="16" max="16" width="16.109375" style="50" customWidth="1"/>
    <col min="17" max="17" width="13.6640625" style="50" customWidth="1"/>
    <col min="18" max="18" width="3.33203125" style="50" customWidth="1"/>
    <col min="19" max="19" width="19.44140625" style="50" customWidth="1"/>
    <col min="20" max="20" width="13.44140625" style="50" customWidth="1"/>
    <col min="21" max="21" width="9.109375" style="50"/>
    <col min="22" max="22" width="20.5546875" style="50" customWidth="1"/>
    <col min="23" max="16384" width="9.109375" style="50"/>
  </cols>
  <sheetData>
    <row r="1" spans="1:22" ht="17.399999999999999" x14ac:dyDescent="0.3">
      <c r="A1" s="4" t="s">
        <v>1427</v>
      </c>
      <c r="B1"/>
      <c r="C1"/>
      <c r="D1" s="45"/>
      <c r="E1" s="132"/>
      <c r="F1"/>
    </row>
    <row r="2" spans="1:22" ht="15.6" x14ac:dyDescent="0.3">
      <c r="A2" s="28" t="s">
        <v>1428</v>
      </c>
      <c r="B2"/>
      <c r="C2"/>
      <c r="D2" s="45"/>
      <c r="E2" s="132"/>
      <c r="F2"/>
    </row>
    <row r="3" spans="1:22" ht="15.6" x14ac:dyDescent="0.3">
      <c r="A3" s="28" t="s">
        <v>2210</v>
      </c>
      <c r="B3"/>
      <c r="C3"/>
      <c r="D3" s="45"/>
      <c r="E3" s="132"/>
      <c r="F3"/>
    </row>
    <row r="4" spans="1:22" ht="15.6" x14ac:dyDescent="0.3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3.8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3.8" x14ac:dyDescent="0.25">
      <c r="A6"/>
      <c r="B6"/>
      <c r="C6" s="67" t="s">
        <v>2211</v>
      </c>
      <c r="D6" s="67" t="s">
        <v>2316</v>
      </c>
      <c r="E6" s="66" t="s">
        <v>68</v>
      </c>
      <c r="F6" s="131"/>
      <c r="J6" s="49" t="s">
        <v>679</v>
      </c>
      <c r="N6" s="57"/>
      <c r="O6" s="135"/>
      <c r="P6" s="440"/>
      <c r="Q6" s="440"/>
      <c r="R6" s="134"/>
      <c r="S6" s="135"/>
      <c r="T6" s="134"/>
    </row>
    <row r="7" spans="1:22" ht="13.8" x14ac:dyDescent="0.25">
      <c r="A7"/>
      <c r="B7"/>
      <c r="C7" s="51" t="s">
        <v>2206</v>
      </c>
      <c r="D7" s="51" t="s">
        <v>850</v>
      </c>
      <c r="E7" s="66" t="s">
        <v>2211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4.4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3.8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3.8" x14ac:dyDescent="0.25">
      <c r="A10" s="7" t="s">
        <v>1550</v>
      </c>
      <c r="B10"/>
      <c r="C10" s="162">
        <v>437.26180915600003</v>
      </c>
      <c r="D10" s="149">
        <f>Meters!D10</f>
        <v>430654.16666666669</v>
      </c>
      <c r="E10" s="148">
        <f>C10*D10</f>
        <v>188308620.03723624</v>
      </c>
      <c r="F10" s="59">
        <f>E10/$E$38</f>
        <v>0.7013044355841298</v>
      </c>
      <c r="G10" s="68"/>
      <c r="H10" s="68"/>
      <c r="I10" s="7" t="s">
        <v>216</v>
      </c>
      <c r="J10" s="55">
        <v>225746</v>
      </c>
      <c r="K10" s="74">
        <f>J10/$J$65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3.8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3.8" x14ac:dyDescent="0.25">
      <c r="A12" s="7" t="s">
        <v>2311</v>
      </c>
      <c r="B12"/>
      <c r="C12" s="162">
        <v>766.90722222222223</v>
      </c>
      <c r="D12" s="149">
        <f>Meters!D12</f>
        <v>63656.5</v>
      </c>
      <c r="E12" s="148">
        <f>C12*D12</f>
        <v>48818629.591388889</v>
      </c>
      <c r="F12" s="59">
        <f>E12/$E$38</f>
        <v>0.18181175914734915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3.8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3.8" x14ac:dyDescent="0.25">
      <c r="A14" s="7" t="s">
        <v>2312</v>
      </c>
      <c r="B14"/>
      <c r="C14" s="163">
        <v>1268.0802559444444</v>
      </c>
      <c r="D14" s="149">
        <f>Meters!D14</f>
        <v>19672.5</v>
      </c>
      <c r="E14" s="148">
        <f>C14*D14</f>
        <v>24946308.835067082</v>
      </c>
      <c r="F14" s="59">
        <f>E14/$E$38</f>
        <v>9.2905768381843862E-2</v>
      </c>
      <c r="G14" s="68"/>
      <c r="H14" s="68"/>
      <c r="I14" s="7" t="s">
        <v>217</v>
      </c>
      <c r="J14" s="55">
        <v>165290</v>
      </c>
      <c r="K14" s="74">
        <f>J14/$J$65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3.8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3.8" x14ac:dyDescent="0.25">
      <c r="A16" s="7" t="s">
        <v>2313</v>
      </c>
      <c r="B16"/>
      <c r="C16" s="163">
        <v>1177.7252303999999</v>
      </c>
      <c r="D16" s="149">
        <f>Meters!D16</f>
        <v>338.16666666666669</v>
      </c>
      <c r="E16" s="148">
        <f>C16*D16</f>
        <v>398267.41541359999</v>
      </c>
      <c r="F16" s="59">
        <f>E16/$E$38</f>
        <v>1.4832390833885069E-3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3.8" x14ac:dyDescent="0.25">
      <c r="A17" s="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3.8" x14ac:dyDescent="0.25">
      <c r="A18" s="7" t="s">
        <v>2314</v>
      </c>
      <c r="B18"/>
      <c r="C18" s="163">
        <v>1177.7252303999999</v>
      </c>
      <c r="D18" s="149">
        <f>Meters!D18</f>
        <v>255</v>
      </c>
      <c r="E18" s="148">
        <f>C18*D18</f>
        <v>300319.93375199998</v>
      </c>
      <c r="F18" s="59">
        <f>E18/$E$38</f>
        <v>1.1184602255221367E-3</v>
      </c>
      <c r="G18" s="68"/>
      <c r="H18" s="68"/>
      <c r="I18" s="7" t="s">
        <v>214</v>
      </c>
      <c r="J18" s="55">
        <v>68565</v>
      </c>
      <c r="K18" s="74">
        <f>J18/$J$65</f>
        <v>0.14507089039864079</v>
      </c>
      <c r="L18" s="74"/>
      <c r="M18" s="74"/>
      <c r="N18" s="57"/>
      <c r="O18" s="139"/>
      <c r="P18" s="158"/>
      <c r="Q18" s="159"/>
      <c r="R18" s="133"/>
      <c r="S18" s="160"/>
      <c r="T18" s="161"/>
    </row>
    <row r="19" spans="1:20" ht="13.8" x14ac:dyDescent="0.25">
      <c r="A19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3.8" x14ac:dyDescent="0.25">
      <c r="A20" s="7" t="s">
        <v>2202</v>
      </c>
      <c r="B20"/>
      <c r="C20" s="163">
        <v>1113.0044232800001</v>
      </c>
      <c r="D20" s="149">
        <f>Meters!D20</f>
        <v>4502.833333333333</v>
      </c>
      <c r="E20" s="148">
        <f>C20*D20</f>
        <v>5011673.4172926266</v>
      </c>
      <c r="F20" s="59">
        <f>E20/$E$38</f>
        <v>1.8664619795691735E-2</v>
      </c>
      <c r="G20" s="68"/>
      <c r="H20" s="68"/>
      <c r="I20" s="7" t="s">
        <v>215</v>
      </c>
      <c r="J20" s="55">
        <v>0</v>
      </c>
      <c r="K20" s="74">
        <f>J20/$J$65</f>
        <v>0</v>
      </c>
      <c r="L20" s="74"/>
      <c r="M20" s="74"/>
      <c r="N20" s="57"/>
      <c r="O20" s="139"/>
      <c r="P20" s="79"/>
      <c r="Q20" s="138"/>
      <c r="R20" s="134"/>
      <c r="S20" s="139"/>
      <c r="T20" s="140"/>
    </row>
    <row r="21" spans="1:20" ht="13.8" x14ac:dyDescent="0.25">
      <c r="A21"/>
      <c r="B21"/>
      <c r="C21" s="163"/>
      <c r="D21" s="149"/>
      <c r="E21" s="150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3.8" x14ac:dyDescent="0.25">
      <c r="A22" s="3" t="s">
        <v>2203</v>
      </c>
      <c r="B22"/>
      <c r="C22" s="163">
        <v>0</v>
      </c>
      <c r="D22" s="149">
        <f>Meters!D22</f>
        <v>172.5</v>
      </c>
      <c r="E22" s="148">
        <f>C22*D22</f>
        <v>0</v>
      </c>
      <c r="F22" s="59">
        <f>E22/$E$38</f>
        <v>0</v>
      </c>
      <c r="G22" s="68"/>
      <c r="H22" s="68"/>
      <c r="I22" s="7" t="s">
        <v>212</v>
      </c>
      <c r="J22" s="76">
        <v>12893</v>
      </c>
      <c r="K22" s="74">
        <f>J22/$J$65</f>
        <v>2.7279209362060467E-2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3.8" x14ac:dyDescent="0.25">
      <c r="A23"/>
      <c r="B23"/>
      <c r="C23" s="163"/>
      <c r="D23" s="149"/>
      <c r="E23" s="132"/>
      <c r="F23" s="149"/>
      <c r="G23" s="68"/>
      <c r="H23" s="68"/>
      <c r="I23" s="7"/>
      <c r="J23" s="55"/>
      <c r="N23" s="57"/>
      <c r="O23" s="139"/>
      <c r="P23" s="158"/>
      <c r="Q23" s="159"/>
      <c r="R23" s="133"/>
      <c r="S23" s="160"/>
      <c r="T23" s="161"/>
    </row>
    <row r="24" spans="1:20" ht="13.8" x14ac:dyDescent="0.25">
      <c r="A24" s="7" t="s">
        <v>2204</v>
      </c>
      <c r="B24"/>
      <c r="C24" s="163">
        <v>1177.7252303999999</v>
      </c>
      <c r="D24" s="149">
        <f>Meters!D24</f>
        <v>618.25</v>
      </c>
      <c r="E24" s="148">
        <f>C24*D24</f>
        <v>728128.62369479996</v>
      </c>
      <c r="F24" s="59">
        <f>E24/$E$38</f>
        <v>2.7117177820747494E-3</v>
      </c>
      <c r="G24" s="68"/>
      <c r="H24" s="68"/>
      <c r="I24" s="7" t="s">
        <v>213</v>
      </c>
      <c r="J24" s="55">
        <v>0</v>
      </c>
      <c r="K24" s="74">
        <f>J24/$J$65</f>
        <v>0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3.8" x14ac:dyDescent="0.25">
      <c r="A25"/>
      <c r="B25"/>
      <c r="C25" s="163"/>
      <c r="D25" s="149"/>
      <c r="E25" s="150"/>
      <c r="F25" s="149"/>
      <c r="G25" s="68"/>
      <c r="H25" s="68"/>
      <c r="I25" s="7"/>
      <c r="J25" s="55"/>
      <c r="N25" s="57"/>
      <c r="O25" s="139"/>
      <c r="P25" s="79"/>
      <c r="Q25" s="138"/>
      <c r="R25" s="134"/>
      <c r="S25" s="139"/>
      <c r="T25" s="140"/>
    </row>
    <row r="26" spans="1:20" ht="13.8" x14ac:dyDescent="0.25">
      <c r="A26" s="7" t="s">
        <v>2315</v>
      </c>
      <c r="B26"/>
      <c r="C26" s="163">
        <v>0</v>
      </c>
      <c r="D26" s="149">
        <f>Meters!D26</f>
        <v>276.5</v>
      </c>
      <c r="E26" s="148">
        <f>C26*D26</f>
        <v>0</v>
      </c>
      <c r="F26" s="59">
        <f>E26/$E$38</f>
        <v>0</v>
      </c>
      <c r="G26" s="68"/>
      <c r="H26" s="68"/>
      <c r="I26" s="7" t="s">
        <v>219</v>
      </c>
      <c r="J26" s="55">
        <v>0</v>
      </c>
      <c r="K26" s="74">
        <f>J26/$J$65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3.8" x14ac:dyDescent="0.25">
      <c r="A27"/>
      <c r="B27"/>
      <c r="C27" s="163"/>
      <c r="D27" s="149"/>
      <c r="E27" s="150"/>
      <c r="F27" s="149"/>
      <c r="G27" s="68"/>
      <c r="H27" s="68"/>
      <c r="I27"/>
      <c r="J27" s="77"/>
      <c r="N27" s="57"/>
      <c r="O27" s="139"/>
      <c r="P27" s="79"/>
      <c r="Q27" s="138"/>
      <c r="R27" s="134"/>
      <c r="S27" s="139"/>
      <c r="T27" s="140"/>
    </row>
    <row r="28" spans="1:20" ht="13.8" x14ac:dyDescent="0.25">
      <c r="A28" s="7" t="s">
        <v>1884</v>
      </c>
      <c r="B28"/>
      <c r="C28" s="163">
        <v>0</v>
      </c>
      <c r="D28" s="149">
        <f>Meters!D28</f>
        <v>30</v>
      </c>
      <c r="E28" s="148">
        <f>C28*D28</f>
        <v>0</v>
      </c>
      <c r="F28" s="59">
        <f>E28/$E$38</f>
        <v>0</v>
      </c>
      <c r="G28" s="68"/>
      <c r="H28" s="68"/>
      <c r="I28" s="7" t="s">
        <v>210</v>
      </c>
      <c r="J28" s="55">
        <v>41</v>
      </c>
      <c r="K28" s="74">
        <f>J28/$J$65</f>
        <v>8.6748435883384715E-5</v>
      </c>
      <c r="L28" s="74"/>
      <c r="M28" s="74"/>
      <c r="N28" s="57"/>
      <c r="O28" s="139"/>
      <c r="P28" s="158"/>
      <c r="Q28" s="159"/>
      <c r="R28" s="133"/>
      <c r="S28" s="160"/>
      <c r="T28" s="161"/>
    </row>
    <row r="29" spans="1:20" ht="13.8" x14ac:dyDescent="0.25">
      <c r="A29" s="7"/>
      <c r="B29"/>
      <c r="C29" s="163"/>
      <c r="D29" s="149"/>
      <c r="E29" s="132"/>
      <c r="F29" s="149"/>
      <c r="G29" s="68"/>
      <c r="H29" s="68"/>
      <c r="I29" s="7"/>
      <c r="J29" s="55"/>
      <c r="N29" s="57"/>
      <c r="O29" s="139"/>
      <c r="P29" s="79"/>
      <c r="Q29" s="138"/>
      <c r="R29" s="134"/>
      <c r="S29" s="139"/>
      <c r="T29" s="140"/>
    </row>
    <row r="30" spans="1:20" ht="13.8" x14ac:dyDescent="0.25">
      <c r="A30" s="7" t="s">
        <v>2201</v>
      </c>
      <c r="B30"/>
      <c r="C30" s="163">
        <v>0</v>
      </c>
      <c r="D30" s="149">
        <f>Meters!D30</f>
        <v>1</v>
      </c>
      <c r="E30" s="148">
        <f>C30*D30</f>
        <v>0</v>
      </c>
      <c r="F30" s="59">
        <f>E30/$E$38</f>
        <v>0</v>
      </c>
      <c r="G30" s="68"/>
      <c r="H30" s="68"/>
      <c r="I30" s="7" t="s">
        <v>211</v>
      </c>
      <c r="J30" s="55">
        <v>0</v>
      </c>
      <c r="K30" s="74">
        <f>J30/$J$65</f>
        <v>0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3.8" x14ac:dyDescent="0.25">
      <c r="A31" s="7"/>
      <c r="B31"/>
      <c r="C31" s="163"/>
      <c r="D31" s="149"/>
      <c r="E31" s="148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3.8" x14ac:dyDescent="0.25">
      <c r="A32" s="7" t="s">
        <v>2220</v>
      </c>
      <c r="B32"/>
      <c r="C32" s="163">
        <v>0</v>
      </c>
      <c r="D32" s="149">
        <f>Meters!D32</f>
        <v>168484.08333333334</v>
      </c>
      <c r="E32" s="148">
        <f>C32*D32</f>
        <v>0</v>
      </c>
      <c r="F32" s="59">
        <f>E32/$E$38</f>
        <v>0</v>
      </c>
      <c r="G32" s="68"/>
      <c r="H32" s="68"/>
      <c r="I32" s="3" t="s">
        <v>222</v>
      </c>
      <c r="J32" s="55">
        <v>0</v>
      </c>
      <c r="K32" s="74">
        <f>J32/$J$65</f>
        <v>0</v>
      </c>
      <c r="L32" s="74"/>
      <c r="M32" s="74"/>
      <c r="N32" s="57"/>
      <c r="O32" s="139"/>
      <c r="P32" s="79"/>
      <c r="Q32" s="138"/>
      <c r="R32" s="134"/>
      <c r="S32" s="139"/>
      <c r="T32" s="140"/>
    </row>
    <row r="33" spans="1:20" ht="13.8" x14ac:dyDescent="0.25">
      <c r="A33" s="7"/>
      <c r="B33"/>
      <c r="C33" s="163"/>
      <c r="D33" s="149"/>
      <c r="E33" s="148"/>
      <c r="F33" s="59"/>
      <c r="G33" s="68"/>
      <c r="H33" s="68"/>
      <c r="I33" s="3"/>
      <c r="J33" s="55"/>
      <c r="K33" s="74"/>
      <c r="L33" s="74"/>
      <c r="M33" s="74"/>
      <c r="N33" s="57"/>
      <c r="O33" s="139"/>
      <c r="P33" s="79"/>
      <c r="Q33" s="138"/>
      <c r="R33" s="134"/>
      <c r="S33" s="139"/>
      <c r="T33" s="140"/>
    </row>
    <row r="34" spans="1:20" ht="13.8" x14ac:dyDescent="0.25">
      <c r="A34" s="7" t="s">
        <v>2221</v>
      </c>
      <c r="B34"/>
      <c r="C34" s="163">
        <v>0</v>
      </c>
      <c r="D34" s="149">
        <f>Meters!D34</f>
        <v>4</v>
      </c>
      <c r="E34" s="148">
        <f>C34*D34</f>
        <v>0</v>
      </c>
      <c r="F34" s="59">
        <f>E34/$E$38</f>
        <v>0</v>
      </c>
      <c r="G34" s="68"/>
      <c r="H34" s="68"/>
      <c r="I34" s="3"/>
      <c r="J34" s="55"/>
      <c r="K34" s="74"/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3.8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3.8" x14ac:dyDescent="0.25">
      <c r="A36" s="7" t="s">
        <v>2222</v>
      </c>
      <c r="B36"/>
      <c r="C36" s="163">
        <v>0</v>
      </c>
      <c r="D36" s="149">
        <f>Meters!D36</f>
        <v>776</v>
      </c>
      <c r="E36" s="148">
        <f>C36*D36</f>
        <v>0</v>
      </c>
      <c r="F36" s="59">
        <f>E36/$E$38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3.8" x14ac:dyDescent="0.25">
      <c r="A37" s="152"/>
      <c r="B37" s="152"/>
      <c r="C37" s="164"/>
      <c r="D37" s="154"/>
      <c r="E37" s="153"/>
      <c r="F37" s="154"/>
      <c r="G37" s="68"/>
      <c r="H37" s="68"/>
      <c r="I37" s="7"/>
      <c r="J37" s="55"/>
      <c r="N37" s="57"/>
      <c r="O37" s="139"/>
      <c r="P37" s="79"/>
      <c r="Q37" s="138"/>
      <c r="R37" s="134"/>
      <c r="S37" s="139"/>
      <c r="T37" s="140"/>
    </row>
    <row r="38" spans="1:20" ht="13.8" x14ac:dyDescent="0.25">
      <c r="A38" s="3" t="s">
        <v>68</v>
      </c>
      <c r="B38"/>
      <c r="C38" s="148"/>
      <c r="D38" s="155">
        <f>SUM(D4:D37)</f>
        <v>689441.5</v>
      </c>
      <c r="E38" s="102">
        <f>SUM(E4:E37)</f>
        <v>268511947.85384524</v>
      </c>
      <c r="F38" s="59">
        <f>SUM(F10:F37)</f>
        <v>1</v>
      </c>
      <c r="I38" s="3" t="s">
        <v>223</v>
      </c>
      <c r="J38" s="55">
        <v>0</v>
      </c>
      <c r="K38" s="74">
        <f>J38/$J$65</f>
        <v>0</v>
      </c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3.8" x14ac:dyDescent="0.25">
      <c r="A39" s="53"/>
      <c r="D39" s="61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3.8" x14ac:dyDescent="0.25">
      <c r="A40" s="133"/>
      <c r="B40" s="134"/>
      <c r="C40" s="79"/>
      <c r="D40" s="138"/>
      <c r="E40" s="79"/>
      <c r="F40" s="79"/>
      <c r="I40" s="3" t="s">
        <v>220</v>
      </c>
      <c r="J40" s="55">
        <v>0</v>
      </c>
      <c r="K40" s="74">
        <f>J40/$J$65</f>
        <v>0</v>
      </c>
      <c r="L40" s="74"/>
      <c r="M40" s="74"/>
      <c r="N40" s="57"/>
      <c r="O40" s="139"/>
      <c r="P40" s="79"/>
      <c r="Q40" s="138"/>
      <c r="R40" s="134"/>
      <c r="S40" s="139"/>
      <c r="T40" s="138"/>
    </row>
    <row r="41" spans="1:20" ht="13.8" x14ac:dyDescent="0.25">
      <c r="A41" s="137"/>
      <c r="B41" s="134"/>
      <c r="C41" s="79"/>
      <c r="D41" s="138"/>
      <c r="E41" s="79"/>
      <c r="F41" s="79"/>
      <c r="I41" s="7"/>
      <c r="J41" s="55"/>
      <c r="N41" s="62"/>
      <c r="O41" s="142"/>
      <c r="P41" s="134"/>
      <c r="Q41" s="134"/>
      <c r="R41" s="134"/>
      <c r="S41" s="142"/>
      <c r="T41" s="134"/>
    </row>
    <row r="42" spans="1:20" ht="13.8" x14ac:dyDescent="0.25">
      <c r="A42" s="133"/>
      <c r="B42" s="134"/>
      <c r="C42" s="58" t="s">
        <v>2209</v>
      </c>
      <c r="D42" s="58"/>
      <c r="E42" s="65">
        <f>'Functional Assignment'!F40</f>
        <v>97262576.699999869</v>
      </c>
      <c r="F42" s="79"/>
      <c r="I42" s="3" t="s">
        <v>221</v>
      </c>
      <c r="J42" s="55">
        <v>0</v>
      </c>
      <c r="K42" s="74">
        <f>J42/$J$65</f>
        <v>0</v>
      </c>
      <c r="L42" s="74"/>
      <c r="M42" s="74"/>
      <c r="N42" s="62"/>
      <c r="O42" s="135"/>
      <c r="P42" s="134"/>
      <c r="Q42" s="134"/>
      <c r="R42" s="134"/>
      <c r="S42" s="135"/>
      <c r="T42" s="134"/>
    </row>
    <row r="43" spans="1:20" ht="13.8" x14ac:dyDescent="0.25">
      <c r="A43" s="137"/>
      <c r="B43" s="134"/>
      <c r="C43" s="134"/>
      <c r="D43" s="138"/>
      <c r="E43" s="134"/>
      <c r="F43" s="134"/>
      <c r="I43" s="7"/>
      <c r="J43" s="55"/>
      <c r="N43" s="62"/>
      <c r="O43" s="79"/>
      <c r="P43" s="134"/>
      <c r="Q43" s="134"/>
      <c r="R43" s="134"/>
      <c r="S43" s="79"/>
      <c r="T43" s="134"/>
    </row>
    <row r="44" spans="1:20" ht="13.8" x14ac:dyDescent="0.25">
      <c r="A44" s="133"/>
      <c r="B44" s="134"/>
      <c r="C44" s="79"/>
      <c r="D44" s="138"/>
      <c r="E44" s="79"/>
      <c r="F44" s="79"/>
      <c r="I44" s="7" t="s">
        <v>677</v>
      </c>
      <c r="J44" s="55">
        <v>0</v>
      </c>
      <c r="K44" s="74">
        <f>J44/$J$65</f>
        <v>0</v>
      </c>
      <c r="L44" s="74"/>
      <c r="M44" s="74"/>
      <c r="N44" s="134"/>
      <c r="O44" s="134"/>
      <c r="P44" s="134"/>
      <c r="Q44" s="134"/>
      <c r="R44" s="134"/>
      <c r="S44" s="134"/>
      <c r="T44" s="134"/>
    </row>
    <row r="45" spans="1:20" ht="13.8" x14ac:dyDescent="0.25">
      <c r="A45" s="137"/>
      <c r="B45" s="134"/>
      <c r="C45" s="134"/>
      <c r="D45" s="138"/>
      <c r="E45" s="134"/>
      <c r="F45" s="134"/>
      <c r="I45" s="7"/>
      <c r="J45" s="55"/>
    </row>
    <row r="46" spans="1:20" ht="13.8" x14ac:dyDescent="0.25">
      <c r="A46" s="133"/>
      <c r="B46" s="134"/>
      <c r="C46" s="79"/>
      <c r="D46" s="138"/>
      <c r="E46" s="79"/>
      <c r="F46" s="79"/>
      <c r="I46" s="7" t="s">
        <v>391</v>
      </c>
      <c r="J46" s="55">
        <v>0</v>
      </c>
      <c r="K46" s="74">
        <f>J46/$J$65</f>
        <v>0</v>
      </c>
      <c r="L46" s="74"/>
      <c r="M46" s="74"/>
      <c r="N46" s="58"/>
      <c r="O46" s="58"/>
      <c r="S46" s="58"/>
    </row>
    <row r="47" spans="1:20" ht="13.8" x14ac:dyDescent="0.25">
      <c r="A47" s="137"/>
      <c r="B47" s="134"/>
      <c r="C47" s="134"/>
      <c r="D47" s="138"/>
      <c r="E47" s="134"/>
      <c r="F47" s="134"/>
      <c r="I47" s="7"/>
      <c r="J47" s="55"/>
    </row>
    <row r="48" spans="1:20" ht="13.8" x14ac:dyDescent="0.25">
      <c r="A48" s="137"/>
      <c r="B48" s="134"/>
      <c r="C48" s="79"/>
      <c r="D48" s="138"/>
      <c r="E48" s="79"/>
      <c r="F48" s="79"/>
      <c r="I48" s="7" t="s">
        <v>678</v>
      </c>
      <c r="J48" s="55">
        <v>0</v>
      </c>
      <c r="K48" s="74">
        <f>J48/$J$65</f>
        <v>0</v>
      </c>
      <c r="L48" s="74"/>
      <c r="M48" s="74"/>
    </row>
    <row r="49" spans="1:19" x14ac:dyDescent="0.25">
      <c r="A49" s="137"/>
      <c r="B49" s="134"/>
      <c r="C49" s="134"/>
      <c r="D49" s="138"/>
      <c r="E49" s="134"/>
      <c r="F49" s="13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x14ac:dyDescent="0.25">
      <c r="A50" s="133"/>
      <c r="B50" s="134"/>
      <c r="C50" s="79"/>
      <c r="D50" s="138"/>
      <c r="E50" s="79"/>
      <c r="F50" s="7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3.8" x14ac:dyDescent="0.25">
      <c r="A51" s="137"/>
      <c r="B51" s="134"/>
      <c r="C51" s="134"/>
      <c r="D51" s="138"/>
      <c r="E51" s="134"/>
      <c r="F51" s="134"/>
      <c r="I51" s="7"/>
      <c r="J51" s="55"/>
    </row>
    <row r="52" spans="1:19" ht="13.8" x14ac:dyDescent="0.25">
      <c r="A52" s="137"/>
      <c r="B52" s="134"/>
      <c r="C52" s="79"/>
      <c r="D52" s="138"/>
      <c r="E52" s="79"/>
      <c r="F52" s="79"/>
      <c r="I52" s="7" t="s">
        <v>851</v>
      </c>
      <c r="J52" s="55">
        <v>0</v>
      </c>
      <c r="K52" s="74">
        <f>J52/$J$65</f>
        <v>0</v>
      </c>
      <c r="L52" s="74"/>
      <c r="M52" s="74"/>
    </row>
    <row r="53" spans="1:19" ht="13.8" x14ac:dyDescent="0.25">
      <c r="A53" s="137"/>
      <c r="B53" s="134"/>
      <c r="C53" s="134"/>
      <c r="D53" s="138"/>
      <c r="E53" s="134"/>
      <c r="F53" s="134"/>
      <c r="I53"/>
      <c r="J53" s="55"/>
    </row>
    <row r="54" spans="1:19" ht="13.8" x14ac:dyDescent="0.25">
      <c r="A54" s="137"/>
      <c r="B54" s="134"/>
      <c r="C54" s="79"/>
      <c r="D54" s="138"/>
      <c r="E54" s="79"/>
      <c r="F54" s="79"/>
      <c r="I54" s="3" t="s">
        <v>852</v>
      </c>
      <c r="J54" s="55">
        <v>96</v>
      </c>
      <c r="K54" s="74">
        <f>J54/$J$65</f>
        <v>2.0311828889768127E-4</v>
      </c>
      <c r="L54" s="74"/>
      <c r="M54" s="74"/>
    </row>
    <row r="55" spans="1:19" ht="13.8" x14ac:dyDescent="0.25">
      <c r="A55" s="137"/>
      <c r="B55" s="134"/>
      <c r="C55" s="134"/>
      <c r="D55" s="138"/>
      <c r="E55" s="134"/>
      <c r="F55" s="134"/>
      <c r="I55"/>
      <c r="J55" s="55"/>
    </row>
    <row r="56" spans="1:19" ht="13.8" x14ac:dyDescent="0.25">
      <c r="A56" s="137"/>
      <c r="B56" s="134"/>
      <c r="C56" s="79"/>
      <c r="D56" s="138"/>
      <c r="E56" s="79"/>
      <c r="F56" s="79"/>
      <c r="I56" s="3" t="s">
        <v>282</v>
      </c>
      <c r="J56" s="55">
        <v>0</v>
      </c>
      <c r="K56" s="74">
        <f>J56/$J$65</f>
        <v>0</v>
      </c>
      <c r="L56" s="74"/>
      <c r="M56" s="74"/>
    </row>
    <row r="57" spans="1:19" ht="13.8" x14ac:dyDescent="0.25">
      <c r="A57" s="137"/>
      <c r="B57" s="134"/>
      <c r="C57" s="134"/>
      <c r="D57" s="138"/>
      <c r="E57" s="134"/>
      <c r="F57" s="134"/>
      <c r="I57" s="7"/>
      <c r="J57" s="55"/>
    </row>
    <row r="58" spans="1:19" ht="13.8" x14ac:dyDescent="0.25">
      <c r="A58" s="137"/>
      <c r="B58" s="134"/>
      <c r="C58" s="79"/>
      <c r="D58" s="138"/>
      <c r="E58" s="79"/>
      <c r="F58" s="79"/>
      <c r="I58" s="7" t="s">
        <v>405</v>
      </c>
      <c r="J58" s="55">
        <v>0</v>
      </c>
      <c r="K58" s="74">
        <f>J58/$J$65</f>
        <v>0</v>
      </c>
      <c r="L58" s="74"/>
      <c r="M58" s="74"/>
    </row>
    <row r="59" spans="1:19" ht="13.8" x14ac:dyDescent="0.25">
      <c r="A59" s="134"/>
      <c r="B59" s="134"/>
      <c r="C59" s="79"/>
      <c r="D59" s="156"/>
      <c r="E59" s="79"/>
      <c r="F59" s="79"/>
      <c r="G59" s="68"/>
      <c r="H59" s="68"/>
      <c r="I59" s="7"/>
      <c r="J59" s="55"/>
    </row>
    <row r="60" spans="1:19" ht="13.8" x14ac:dyDescent="0.25">
      <c r="A60" s="134"/>
      <c r="B60" s="134"/>
      <c r="C60" s="134"/>
      <c r="D60" s="134"/>
      <c r="E60" s="134"/>
      <c r="F60" s="134"/>
      <c r="I60" s="7" t="s">
        <v>392</v>
      </c>
      <c r="J60" s="55">
        <v>0</v>
      </c>
      <c r="K60" s="74">
        <f>J60/$J$65</f>
        <v>0</v>
      </c>
      <c r="L60" s="74"/>
      <c r="M60" s="74"/>
    </row>
    <row r="61" spans="1:19" ht="13.8" x14ac:dyDescent="0.25">
      <c r="C61" s="54"/>
      <c r="E61" s="54"/>
      <c r="F61" s="65"/>
      <c r="I61" s="7"/>
      <c r="J61" s="55"/>
    </row>
    <row r="62" spans="1:19" ht="13.8" x14ac:dyDescent="0.25">
      <c r="I62" s="7" t="s">
        <v>854</v>
      </c>
      <c r="J62" s="55">
        <v>0</v>
      </c>
      <c r="K62" s="74">
        <f>J62/$J$65</f>
        <v>0</v>
      </c>
      <c r="L62" s="74"/>
      <c r="M62" s="74"/>
    </row>
    <row r="63" spans="1:19" ht="13.8" x14ac:dyDescent="0.25">
      <c r="I63" s="7"/>
      <c r="J63" s="77"/>
    </row>
    <row r="64" spans="1:19" ht="13.8" x14ac:dyDescent="0.25">
      <c r="I64" s="21" t="s">
        <v>853</v>
      </c>
      <c r="J64" s="56">
        <v>0</v>
      </c>
      <c r="K64" s="74">
        <f>J64/$J$65</f>
        <v>0</v>
      </c>
      <c r="L64" s="74"/>
      <c r="M64" s="74"/>
    </row>
    <row r="65" spans="10:14" x14ac:dyDescent="0.25">
      <c r="J65" s="55">
        <f>SUM(J10:J64)</f>
        <v>472631</v>
      </c>
      <c r="K65" s="74">
        <f>SUM(K10:K64)</f>
        <v>1.0000000000000002</v>
      </c>
      <c r="L65" s="74"/>
      <c r="M65" s="74"/>
    </row>
    <row r="67" spans="10:14" x14ac:dyDescent="0.25">
      <c r="N67" s="64"/>
    </row>
    <row r="68" spans="10:14" x14ac:dyDescent="0.25">
      <c r="N68" s="58"/>
    </row>
    <row r="69" spans="10:14" x14ac:dyDescent="0.25">
      <c r="N69" s="58"/>
    </row>
    <row r="70" spans="10:14" x14ac:dyDescent="0.25">
      <c r="N70" s="58"/>
    </row>
    <row r="71" spans="10:14" x14ac:dyDescent="0.25">
      <c r="N71" s="58"/>
    </row>
    <row r="72" spans="10:14" x14ac:dyDescent="0.25">
      <c r="N72" s="59"/>
    </row>
    <row r="73" spans="10:14" x14ac:dyDescent="0.25">
      <c r="N73" s="60"/>
    </row>
    <row r="74" spans="10:14" x14ac:dyDescent="0.25">
      <c r="N74" s="60"/>
    </row>
    <row r="75" spans="10:14" x14ac:dyDescent="0.25">
      <c r="N75" s="60"/>
    </row>
    <row r="76" spans="10:14" x14ac:dyDescent="0.25">
      <c r="N76" s="60"/>
    </row>
    <row r="77" spans="10:14" x14ac:dyDescent="0.25">
      <c r="N77" s="60"/>
    </row>
    <row r="78" spans="10:14" x14ac:dyDescent="0.25">
      <c r="N78" s="60"/>
    </row>
    <row r="79" spans="10:14" x14ac:dyDescent="0.25">
      <c r="N79" s="60"/>
    </row>
    <row r="80" spans="10:14" x14ac:dyDescent="0.25">
      <c r="N80" s="60"/>
    </row>
    <row r="81" spans="14:14" x14ac:dyDescent="0.25">
      <c r="N81" s="60"/>
    </row>
    <row r="82" spans="14:14" x14ac:dyDescent="0.25">
      <c r="N82" s="60"/>
    </row>
    <row r="83" spans="14:14" x14ac:dyDescent="0.25">
      <c r="N83" s="60"/>
    </row>
    <row r="84" spans="14:14" x14ac:dyDescent="0.25">
      <c r="N84" s="60"/>
    </row>
    <row r="85" spans="14:14" x14ac:dyDescent="0.25">
      <c r="N85" s="60"/>
    </row>
    <row r="86" spans="14:14" x14ac:dyDescent="0.25">
      <c r="N86" s="60"/>
    </row>
    <row r="87" spans="14:14" x14ac:dyDescent="0.25">
      <c r="N87" s="60"/>
    </row>
    <row r="88" spans="14:14" x14ac:dyDescent="0.25">
      <c r="N88" s="60"/>
    </row>
    <row r="89" spans="14:14" x14ac:dyDescent="0.25">
      <c r="N89" s="60"/>
    </row>
    <row r="90" spans="14:14" x14ac:dyDescent="0.25">
      <c r="N90" s="60"/>
    </row>
    <row r="91" spans="14:14" x14ac:dyDescent="0.25">
      <c r="N91" s="60"/>
    </row>
    <row r="92" spans="14:14" x14ac:dyDescent="0.25">
      <c r="N92" s="60"/>
    </row>
    <row r="93" spans="14:14" x14ac:dyDescent="0.25">
      <c r="N93" s="60"/>
    </row>
    <row r="94" spans="14:14" x14ac:dyDescent="0.25">
      <c r="N94" s="60"/>
    </row>
    <row r="95" spans="14:14" x14ac:dyDescent="0.25">
      <c r="N95" s="60"/>
    </row>
    <row r="96" spans="14:14" x14ac:dyDescent="0.25">
      <c r="N96" s="60"/>
    </row>
    <row r="97" spans="14:14" x14ac:dyDescent="0.25">
      <c r="N97" s="60"/>
    </row>
    <row r="98" spans="14:14" x14ac:dyDescent="0.25">
      <c r="N98" s="60"/>
    </row>
    <row r="99" spans="14:14" x14ac:dyDescent="0.25">
      <c r="N99" s="60"/>
    </row>
    <row r="100" spans="14:14" x14ac:dyDescent="0.25">
      <c r="N100" s="63"/>
    </row>
    <row r="101" spans="14:14" x14ac:dyDescent="0.25">
      <c r="N101" s="64"/>
    </row>
    <row r="102" spans="14:14" x14ac:dyDescent="0.25">
      <c r="N102" s="65"/>
    </row>
    <row r="103" spans="14:14" x14ac:dyDescent="0.25">
      <c r="N103" s="58"/>
    </row>
    <row r="104" spans="14:14" x14ac:dyDescent="0.25">
      <c r="N104" s="58"/>
    </row>
    <row r="105" spans="14:14" x14ac:dyDescent="0.25">
      <c r="N105" s="58"/>
    </row>
    <row r="106" spans="14:14" x14ac:dyDescent="0.25">
      <c r="N106" s="58"/>
    </row>
    <row r="107" spans="14:14" x14ac:dyDescent="0.25">
      <c r="N107" s="58"/>
    </row>
    <row r="108" spans="14:14" x14ac:dyDescent="0.25">
      <c r="N108" s="58"/>
    </row>
    <row r="109" spans="14:14" x14ac:dyDescent="0.25">
      <c r="N109" s="58"/>
    </row>
    <row r="110" spans="14:14" x14ac:dyDescent="0.25">
      <c r="N110" s="58"/>
    </row>
    <row r="111" spans="14:14" x14ac:dyDescent="0.25">
      <c r="N111" s="58"/>
    </row>
    <row r="112" spans="14:14" x14ac:dyDescent="0.25">
      <c r="N112" s="58"/>
    </row>
    <row r="113" spans="14:14" x14ac:dyDescent="0.25">
      <c r="N113" s="58"/>
    </row>
    <row r="114" spans="14:14" x14ac:dyDescent="0.25">
      <c r="N114" s="58"/>
    </row>
    <row r="115" spans="14:14" x14ac:dyDescent="0.25">
      <c r="N115" s="58"/>
    </row>
    <row r="116" spans="14:14" x14ac:dyDescent="0.25">
      <c r="N116" s="58"/>
    </row>
    <row r="117" spans="14:14" x14ac:dyDescent="0.25">
      <c r="N117" s="58"/>
    </row>
    <row r="118" spans="14:14" x14ac:dyDescent="0.25">
      <c r="N118" s="58"/>
    </row>
    <row r="119" spans="14:14" x14ac:dyDescent="0.25">
      <c r="N119" s="58"/>
    </row>
    <row r="120" spans="14:14" x14ac:dyDescent="0.25">
      <c r="N120" s="58"/>
    </row>
    <row r="121" spans="14:14" x14ac:dyDescent="0.25">
      <c r="N121" s="58"/>
    </row>
    <row r="122" spans="14:14" x14ac:dyDescent="0.25">
      <c r="N122" s="58"/>
    </row>
    <row r="123" spans="14:14" x14ac:dyDescent="0.25">
      <c r="N123" s="58"/>
    </row>
    <row r="124" spans="14:14" x14ac:dyDescent="0.25">
      <c r="N124" s="58"/>
    </row>
    <row r="125" spans="14:14" x14ac:dyDescent="0.25">
      <c r="N125" s="58"/>
    </row>
    <row r="126" spans="14:14" x14ac:dyDescent="0.25">
      <c r="N126" s="58"/>
    </row>
    <row r="127" spans="14:14" x14ac:dyDescent="0.25">
      <c r="N127" s="58"/>
    </row>
    <row r="128" spans="14:14" x14ac:dyDescent="0.25">
      <c r="N128" s="58"/>
    </row>
    <row r="129" spans="14:14" x14ac:dyDescent="0.25">
      <c r="N129" s="58"/>
    </row>
    <row r="130" spans="14:14" x14ac:dyDescent="0.25">
      <c r="N130" s="58"/>
    </row>
    <row r="131" spans="14:14" x14ac:dyDescent="0.25">
      <c r="N131" s="58"/>
    </row>
    <row r="132" spans="14:14" x14ac:dyDescent="0.25">
      <c r="N132" s="58"/>
    </row>
    <row r="133" spans="14:14" x14ac:dyDescent="0.25">
      <c r="N133" s="58"/>
    </row>
    <row r="134" spans="14:14" x14ac:dyDescent="0.25">
      <c r="N134" s="58"/>
    </row>
    <row r="135" spans="14:14" x14ac:dyDescent="0.25">
      <c r="N135" s="58"/>
    </row>
    <row r="136" spans="14:14" x14ac:dyDescent="0.25">
      <c r="N136" s="58"/>
    </row>
    <row r="137" spans="14:14" x14ac:dyDescent="0.25">
      <c r="N137" s="58"/>
    </row>
    <row r="138" spans="14:14" x14ac:dyDescent="0.25">
      <c r="N138" s="58"/>
    </row>
    <row r="139" spans="14:14" x14ac:dyDescent="0.25">
      <c r="N139" s="58"/>
    </row>
    <row r="140" spans="14:14" x14ac:dyDescent="0.25">
      <c r="N140" s="58"/>
    </row>
    <row r="141" spans="14:14" x14ac:dyDescent="0.25">
      <c r="N141" s="58"/>
    </row>
    <row r="142" spans="14:14" x14ac:dyDescent="0.25">
      <c r="N142" s="58"/>
    </row>
    <row r="143" spans="14:14" x14ac:dyDescent="0.25">
      <c r="N143" s="58"/>
    </row>
    <row r="144" spans="14:14" x14ac:dyDescent="0.25">
      <c r="N144" s="58"/>
    </row>
    <row r="145" spans="14:14" x14ac:dyDescent="0.25">
      <c r="N145" s="58"/>
    </row>
    <row r="146" spans="14:14" x14ac:dyDescent="0.25">
      <c r="N146" s="58"/>
    </row>
    <row r="147" spans="14:14" x14ac:dyDescent="0.25">
      <c r="N147" s="58"/>
    </row>
    <row r="148" spans="14:14" x14ac:dyDescent="0.25">
      <c r="N148" s="58"/>
    </row>
    <row r="149" spans="14:14" x14ac:dyDescent="0.25">
      <c r="N149" s="58"/>
    </row>
    <row r="150" spans="14:14" x14ac:dyDescent="0.25">
      <c r="N150" s="58"/>
    </row>
    <row r="151" spans="14:14" x14ac:dyDescent="0.25">
      <c r="N151" s="58"/>
    </row>
    <row r="152" spans="14:14" x14ac:dyDescent="0.25">
      <c r="N152" s="58"/>
    </row>
    <row r="153" spans="14:14" x14ac:dyDescent="0.25">
      <c r="N153" s="58"/>
    </row>
    <row r="154" spans="14:14" x14ac:dyDescent="0.25">
      <c r="N154" s="58"/>
    </row>
    <row r="155" spans="14:14" x14ac:dyDescent="0.25">
      <c r="N155" s="58"/>
    </row>
    <row r="156" spans="14:14" x14ac:dyDescent="0.25">
      <c r="N156" s="58"/>
    </row>
    <row r="157" spans="14:14" x14ac:dyDescent="0.25">
      <c r="N157" s="58"/>
    </row>
    <row r="158" spans="14:14" x14ac:dyDescent="0.25">
      <c r="N158" s="58"/>
    </row>
    <row r="159" spans="14:14" x14ac:dyDescent="0.25">
      <c r="N159" s="58"/>
    </row>
    <row r="160" spans="14:14" x14ac:dyDescent="0.25">
      <c r="N160" s="58"/>
    </row>
    <row r="161" spans="14:14" x14ac:dyDescent="0.25">
      <c r="N161" s="58"/>
    </row>
    <row r="162" spans="14:14" x14ac:dyDescent="0.25">
      <c r="N162" s="58"/>
    </row>
    <row r="163" spans="14:14" x14ac:dyDescent="0.25">
      <c r="N163" s="58"/>
    </row>
    <row r="164" spans="14:14" x14ac:dyDescent="0.25">
      <c r="N164" s="58"/>
    </row>
    <row r="165" spans="14:14" x14ac:dyDescent="0.25">
      <c r="N165" s="58"/>
    </row>
    <row r="166" spans="14:14" x14ac:dyDescent="0.25">
      <c r="N166" s="58"/>
    </row>
    <row r="167" spans="14:14" x14ac:dyDescent="0.25">
      <c r="N167" s="58"/>
    </row>
    <row r="168" spans="14:14" x14ac:dyDescent="0.25">
      <c r="N168" s="58"/>
    </row>
    <row r="169" spans="14:14" x14ac:dyDescent="0.25">
      <c r="N169" s="58"/>
    </row>
    <row r="170" spans="14:14" x14ac:dyDescent="0.25">
      <c r="N170" s="58"/>
    </row>
    <row r="171" spans="14:14" x14ac:dyDescent="0.25">
      <c r="N171" s="58"/>
    </row>
    <row r="172" spans="14:14" x14ac:dyDescent="0.25">
      <c r="N172" s="58"/>
    </row>
    <row r="173" spans="14:14" x14ac:dyDescent="0.25">
      <c r="N173" s="58"/>
    </row>
    <row r="174" spans="14:14" x14ac:dyDescent="0.25">
      <c r="N174" s="58"/>
    </row>
    <row r="175" spans="14:14" x14ac:dyDescent="0.25">
      <c r="N175" s="58"/>
    </row>
    <row r="176" spans="14:14" x14ac:dyDescent="0.25">
      <c r="N176" s="58"/>
    </row>
    <row r="177" spans="14:14" x14ac:dyDescent="0.25">
      <c r="N177" s="58"/>
    </row>
    <row r="178" spans="14:14" x14ac:dyDescent="0.25">
      <c r="N178" s="58"/>
    </row>
    <row r="179" spans="14:14" x14ac:dyDescent="0.25">
      <c r="N179" s="58"/>
    </row>
    <row r="180" spans="14:14" x14ac:dyDescent="0.25">
      <c r="N180" s="58"/>
    </row>
    <row r="181" spans="14:14" x14ac:dyDescent="0.25">
      <c r="N181" s="58"/>
    </row>
    <row r="182" spans="14:14" x14ac:dyDescent="0.25">
      <c r="N182" s="58"/>
    </row>
    <row r="183" spans="14:14" x14ac:dyDescent="0.25">
      <c r="N183" s="58"/>
    </row>
    <row r="184" spans="14:14" x14ac:dyDescent="0.25">
      <c r="N184" s="58"/>
    </row>
    <row r="185" spans="14:14" x14ac:dyDescent="0.25">
      <c r="N185" s="58"/>
    </row>
    <row r="186" spans="14:14" x14ac:dyDescent="0.25">
      <c r="N186" s="58"/>
    </row>
    <row r="187" spans="14:14" x14ac:dyDescent="0.25">
      <c r="N187" s="58"/>
    </row>
    <row r="188" spans="14:14" x14ac:dyDescent="0.25">
      <c r="N188" s="58"/>
    </row>
    <row r="189" spans="14:14" x14ac:dyDescent="0.25">
      <c r="N189" s="58"/>
    </row>
    <row r="190" spans="14:14" x14ac:dyDescent="0.25">
      <c r="N190" s="58"/>
    </row>
    <row r="191" spans="14:14" x14ac:dyDescent="0.25">
      <c r="N191" s="58"/>
    </row>
    <row r="192" spans="14:14" x14ac:dyDescent="0.25">
      <c r="N192" s="58"/>
    </row>
    <row r="193" spans="14:14" x14ac:dyDescent="0.25">
      <c r="N193" s="58"/>
    </row>
    <row r="194" spans="14:14" x14ac:dyDescent="0.25">
      <c r="N194" s="58"/>
    </row>
    <row r="195" spans="14:14" x14ac:dyDescent="0.25">
      <c r="N195" s="58"/>
    </row>
    <row r="196" spans="14:14" x14ac:dyDescent="0.25">
      <c r="N196" s="58"/>
    </row>
    <row r="197" spans="14:14" x14ac:dyDescent="0.25">
      <c r="N197" s="58"/>
    </row>
    <row r="198" spans="14:14" x14ac:dyDescent="0.25">
      <c r="N198" s="58"/>
    </row>
    <row r="199" spans="14:14" x14ac:dyDescent="0.25">
      <c r="N199" s="58"/>
    </row>
    <row r="200" spans="14:14" x14ac:dyDescent="0.25">
      <c r="N200" s="58"/>
    </row>
    <row r="201" spans="14:14" x14ac:dyDescent="0.25">
      <c r="N201" s="58"/>
    </row>
    <row r="202" spans="14:14" x14ac:dyDescent="0.25">
      <c r="N202" s="58"/>
    </row>
    <row r="203" spans="14:14" x14ac:dyDescent="0.25">
      <c r="N203" s="58"/>
    </row>
    <row r="204" spans="14:14" x14ac:dyDescent="0.25">
      <c r="N204" s="58"/>
    </row>
    <row r="205" spans="14:14" x14ac:dyDescent="0.25">
      <c r="N205" s="58"/>
    </row>
    <row r="206" spans="14:14" x14ac:dyDescent="0.25">
      <c r="N206" s="58"/>
    </row>
    <row r="207" spans="14:14" x14ac:dyDescent="0.25">
      <c r="N207" s="58"/>
    </row>
    <row r="208" spans="14:14" x14ac:dyDescent="0.25">
      <c r="N208" s="58"/>
    </row>
    <row r="209" spans="14:14" x14ac:dyDescent="0.25">
      <c r="N209" s="58"/>
    </row>
    <row r="210" spans="14:14" x14ac:dyDescent="0.25">
      <c r="N210" s="58"/>
    </row>
    <row r="211" spans="14:14" x14ac:dyDescent="0.25">
      <c r="N211" s="58"/>
    </row>
    <row r="212" spans="14:14" x14ac:dyDescent="0.25">
      <c r="N212" s="58"/>
    </row>
    <row r="213" spans="14:14" x14ac:dyDescent="0.25">
      <c r="N213" s="58"/>
    </row>
    <row r="214" spans="14:14" x14ac:dyDescent="0.25">
      <c r="N214" s="58"/>
    </row>
    <row r="215" spans="14:14" x14ac:dyDescent="0.25">
      <c r="N215" s="58"/>
    </row>
    <row r="216" spans="14:14" x14ac:dyDescent="0.25">
      <c r="N216" s="58"/>
    </row>
    <row r="217" spans="14:14" x14ac:dyDescent="0.25">
      <c r="N217" s="58"/>
    </row>
    <row r="218" spans="14:14" x14ac:dyDescent="0.25">
      <c r="N218" s="58"/>
    </row>
    <row r="219" spans="14:14" x14ac:dyDescent="0.25">
      <c r="N219" s="58"/>
    </row>
    <row r="220" spans="14:14" x14ac:dyDescent="0.25">
      <c r="N220" s="58"/>
    </row>
    <row r="221" spans="14:14" x14ac:dyDescent="0.25">
      <c r="N221" s="58"/>
    </row>
    <row r="222" spans="14:14" x14ac:dyDescent="0.25">
      <c r="N222" s="58"/>
    </row>
    <row r="223" spans="14:14" x14ac:dyDescent="0.25">
      <c r="N223" s="58"/>
    </row>
    <row r="224" spans="14:14" x14ac:dyDescent="0.25">
      <c r="N224" s="58"/>
    </row>
    <row r="225" spans="14:14" x14ac:dyDescent="0.25">
      <c r="N225" s="58"/>
    </row>
    <row r="226" spans="14:14" x14ac:dyDescent="0.25">
      <c r="N226" s="58"/>
    </row>
    <row r="227" spans="14:14" x14ac:dyDescent="0.25">
      <c r="N227" s="58"/>
    </row>
    <row r="228" spans="14:14" x14ac:dyDescent="0.25">
      <c r="N228" s="58"/>
    </row>
    <row r="229" spans="14:14" x14ac:dyDescent="0.25">
      <c r="N229" s="58"/>
    </row>
    <row r="230" spans="14:14" x14ac:dyDescent="0.25">
      <c r="N230" s="58"/>
    </row>
    <row r="231" spans="14:14" x14ac:dyDescent="0.25">
      <c r="N231" s="58"/>
    </row>
    <row r="232" spans="14:14" x14ac:dyDescent="0.25">
      <c r="N232" s="58"/>
    </row>
    <row r="233" spans="14:14" x14ac:dyDescent="0.25">
      <c r="N233" s="58"/>
    </row>
    <row r="234" spans="14:14" x14ac:dyDescent="0.25">
      <c r="N234" s="58"/>
    </row>
    <row r="235" spans="14:14" x14ac:dyDescent="0.25">
      <c r="N235" s="58"/>
    </row>
    <row r="236" spans="14:14" x14ac:dyDescent="0.25">
      <c r="N236" s="58"/>
    </row>
    <row r="237" spans="14:14" x14ac:dyDescent="0.25">
      <c r="N237" s="58"/>
    </row>
    <row r="238" spans="14:14" x14ac:dyDescent="0.25">
      <c r="N238" s="58"/>
    </row>
    <row r="239" spans="14:14" x14ac:dyDescent="0.25">
      <c r="N239" s="58"/>
    </row>
    <row r="240" spans="14:14" x14ac:dyDescent="0.25">
      <c r="N240" s="58"/>
    </row>
    <row r="241" spans="14:14" x14ac:dyDescent="0.25">
      <c r="N241" s="58"/>
    </row>
    <row r="242" spans="14:14" x14ac:dyDescent="0.25">
      <c r="N242" s="58"/>
    </row>
    <row r="243" spans="14:14" x14ac:dyDescent="0.25">
      <c r="N243" s="58"/>
    </row>
    <row r="244" spans="14:14" x14ac:dyDescent="0.25">
      <c r="N244" s="58"/>
    </row>
    <row r="245" spans="14:14" x14ac:dyDescent="0.25">
      <c r="N245" s="58"/>
    </row>
    <row r="246" spans="14:14" x14ac:dyDescent="0.25">
      <c r="N246" s="58"/>
    </row>
    <row r="247" spans="14:14" x14ac:dyDescent="0.25">
      <c r="N247" s="58"/>
    </row>
    <row r="248" spans="14:14" x14ac:dyDescent="0.25">
      <c r="N248" s="58"/>
    </row>
    <row r="249" spans="14:14" x14ac:dyDescent="0.25">
      <c r="N249" s="58"/>
    </row>
    <row r="250" spans="14:14" x14ac:dyDescent="0.25">
      <c r="N250" s="58"/>
    </row>
    <row r="251" spans="14:14" x14ac:dyDescent="0.25">
      <c r="N251" s="58"/>
    </row>
    <row r="252" spans="14:14" x14ac:dyDescent="0.25">
      <c r="N252" s="58"/>
    </row>
    <row r="253" spans="14:14" x14ac:dyDescent="0.25">
      <c r="N253" s="58"/>
    </row>
    <row r="254" spans="14:14" x14ac:dyDescent="0.25">
      <c r="N254" s="58"/>
    </row>
    <row r="255" spans="14:14" x14ac:dyDescent="0.25">
      <c r="N255" s="58"/>
    </row>
    <row r="256" spans="14:14" x14ac:dyDescent="0.25">
      <c r="N256" s="58"/>
    </row>
    <row r="257" spans="14:14" x14ac:dyDescent="0.25">
      <c r="N257" s="58"/>
    </row>
    <row r="258" spans="14:14" x14ac:dyDescent="0.25">
      <c r="N258" s="58"/>
    </row>
    <row r="259" spans="14:14" x14ac:dyDescent="0.25">
      <c r="N259" s="58"/>
    </row>
    <row r="260" spans="14:14" x14ac:dyDescent="0.25">
      <c r="N260" s="58"/>
    </row>
    <row r="261" spans="14:14" x14ac:dyDescent="0.25">
      <c r="N261" s="58"/>
    </row>
    <row r="262" spans="14:14" x14ac:dyDescent="0.25">
      <c r="N262" s="58"/>
    </row>
    <row r="263" spans="14:14" x14ac:dyDescent="0.25">
      <c r="N263" s="58"/>
    </row>
    <row r="264" spans="14:14" x14ac:dyDescent="0.25">
      <c r="N264" s="58"/>
    </row>
    <row r="265" spans="14:14" x14ac:dyDescent="0.25">
      <c r="N265" s="58"/>
    </row>
    <row r="266" spans="14:14" x14ac:dyDescent="0.25">
      <c r="N266" s="58"/>
    </row>
    <row r="267" spans="14:14" x14ac:dyDescent="0.25">
      <c r="N267" s="58"/>
    </row>
    <row r="268" spans="14:14" x14ac:dyDescent="0.25">
      <c r="N268" s="58"/>
    </row>
    <row r="269" spans="14:14" x14ac:dyDescent="0.25">
      <c r="N269" s="58"/>
    </row>
    <row r="270" spans="14:14" x14ac:dyDescent="0.25">
      <c r="N270" s="58"/>
    </row>
    <row r="271" spans="14:14" x14ac:dyDescent="0.25">
      <c r="N271" s="58"/>
    </row>
    <row r="272" spans="14:14" x14ac:dyDescent="0.25">
      <c r="N272" s="58"/>
    </row>
    <row r="273" spans="14:14" x14ac:dyDescent="0.25">
      <c r="N273" s="58"/>
    </row>
    <row r="274" spans="14:14" x14ac:dyDescent="0.25">
      <c r="N274" s="58"/>
    </row>
    <row r="275" spans="14:14" x14ac:dyDescent="0.25">
      <c r="N275" s="58"/>
    </row>
    <row r="276" spans="14:14" x14ac:dyDescent="0.25">
      <c r="N276" s="58"/>
    </row>
    <row r="277" spans="14:14" x14ac:dyDescent="0.25">
      <c r="N277" s="58"/>
    </row>
    <row r="278" spans="14:14" x14ac:dyDescent="0.25">
      <c r="N278" s="58"/>
    </row>
    <row r="279" spans="14:14" x14ac:dyDescent="0.25">
      <c r="N279" s="58"/>
    </row>
    <row r="280" spans="14:14" x14ac:dyDescent="0.25">
      <c r="N280" s="58"/>
    </row>
    <row r="281" spans="14:14" x14ac:dyDescent="0.25">
      <c r="N281" s="58"/>
    </row>
    <row r="282" spans="14:14" x14ac:dyDescent="0.25">
      <c r="N282" s="58"/>
    </row>
    <row r="283" spans="14:14" x14ac:dyDescent="0.25">
      <c r="N283" s="58"/>
    </row>
    <row r="284" spans="14:14" x14ac:dyDescent="0.25">
      <c r="N284" s="58"/>
    </row>
    <row r="285" spans="14:14" x14ac:dyDescent="0.25">
      <c r="N285" s="58"/>
    </row>
    <row r="286" spans="14:14" x14ac:dyDescent="0.25">
      <c r="N286" s="58"/>
    </row>
    <row r="287" spans="14:14" x14ac:dyDescent="0.25">
      <c r="N287" s="58"/>
    </row>
    <row r="288" spans="14:14" x14ac:dyDescent="0.25">
      <c r="N288" s="58"/>
    </row>
    <row r="289" spans="14:14" x14ac:dyDescent="0.25">
      <c r="N289" s="58"/>
    </row>
    <row r="290" spans="14:14" x14ac:dyDescent="0.25">
      <c r="N290" s="58"/>
    </row>
    <row r="291" spans="14:14" x14ac:dyDescent="0.25">
      <c r="N291" s="58"/>
    </row>
    <row r="292" spans="14:14" x14ac:dyDescent="0.25">
      <c r="N292" s="58"/>
    </row>
    <row r="293" spans="14:14" x14ac:dyDescent="0.25">
      <c r="N293" s="58"/>
    </row>
    <row r="294" spans="14:14" x14ac:dyDescent="0.25">
      <c r="N294" s="58"/>
    </row>
    <row r="295" spans="14:14" x14ac:dyDescent="0.25">
      <c r="N295" s="58"/>
    </row>
    <row r="296" spans="14:14" x14ac:dyDescent="0.25">
      <c r="N296" s="58"/>
    </row>
    <row r="297" spans="14:14" x14ac:dyDescent="0.25">
      <c r="N297" s="58"/>
    </row>
    <row r="298" spans="14:14" x14ac:dyDescent="0.25">
      <c r="N298" s="58"/>
    </row>
    <row r="299" spans="14:14" x14ac:dyDescent="0.25">
      <c r="N299" s="58"/>
    </row>
    <row r="300" spans="14:14" x14ac:dyDescent="0.25">
      <c r="N300" s="58"/>
    </row>
    <row r="301" spans="14:14" x14ac:dyDescent="0.25">
      <c r="N301" s="58"/>
    </row>
    <row r="302" spans="14:14" x14ac:dyDescent="0.25">
      <c r="N302" s="58"/>
    </row>
    <row r="303" spans="14:14" x14ac:dyDescent="0.25">
      <c r="N303" s="58"/>
    </row>
    <row r="304" spans="14:14" x14ac:dyDescent="0.25">
      <c r="N304" s="58"/>
    </row>
    <row r="305" spans="14:14" x14ac:dyDescent="0.25">
      <c r="N305" s="58"/>
    </row>
    <row r="306" spans="14:14" x14ac:dyDescent="0.25">
      <c r="N306" s="58"/>
    </row>
    <row r="307" spans="14:14" x14ac:dyDescent="0.25">
      <c r="N307" s="58"/>
    </row>
    <row r="308" spans="14:14" x14ac:dyDescent="0.25">
      <c r="N308" s="58"/>
    </row>
    <row r="309" spans="14:14" x14ac:dyDescent="0.25">
      <c r="N309" s="58"/>
    </row>
    <row r="310" spans="14:14" x14ac:dyDescent="0.25">
      <c r="N310" s="58"/>
    </row>
    <row r="311" spans="14:14" x14ac:dyDescent="0.25">
      <c r="N311" s="58"/>
    </row>
    <row r="312" spans="14:14" x14ac:dyDescent="0.25">
      <c r="N312" s="58"/>
    </row>
    <row r="313" spans="14:14" x14ac:dyDescent="0.25">
      <c r="N313" s="58"/>
    </row>
    <row r="314" spans="14:14" x14ac:dyDescent="0.25">
      <c r="N314" s="58"/>
    </row>
    <row r="315" spans="14:14" x14ac:dyDescent="0.25">
      <c r="N315" s="58"/>
    </row>
    <row r="316" spans="14:14" x14ac:dyDescent="0.25">
      <c r="N316" s="58"/>
    </row>
    <row r="317" spans="14:14" x14ac:dyDescent="0.25">
      <c r="N317" s="58"/>
    </row>
    <row r="318" spans="14:14" x14ac:dyDescent="0.25">
      <c r="N318" s="58"/>
    </row>
    <row r="319" spans="14:14" x14ac:dyDescent="0.25">
      <c r="N319" s="58"/>
    </row>
    <row r="320" spans="14:14" x14ac:dyDescent="0.25">
      <c r="N320" s="58"/>
    </row>
    <row r="321" spans="14:14" x14ac:dyDescent="0.25">
      <c r="N321" s="58"/>
    </row>
    <row r="322" spans="14:14" x14ac:dyDescent="0.25">
      <c r="N322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09375" defaultRowHeight="13.8" x14ac:dyDescent="0.25"/>
  <cols>
    <col min="1" max="1" width="7.6640625" style="97" customWidth="1"/>
    <col min="2" max="2" width="55.88671875" style="97" customWidth="1"/>
    <col min="3" max="3" width="12.88671875" style="97" customWidth="1"/>
    <col min="4" max="4" width="14.88671875" style="97" customWidth="1"/>
    <col min="5" max="5" width="2.6640625" style="97" customWidth="1"/>
    <col min="6" max="6" width="17.5546875" style="97" customWidth="1"/>
    <col min="7" max="7" width="2.109375" style="97" customWidth="1"/>
    <col min="8" max="10" width="18.6640625" style="97" customWidth="1"/>
    <col min="11" max="13" width="16.5546875" style="97" customWidth="1"/>
    <col min="14" max="14" width="2.6640625" style="97" customWidth="1"/>
    <col min="15" max="15" width="18.6640625" style="97" bestFit="1" customWidth="1"/>
    <col min="16" max="17" width="18.6640625" style="97" hidden="1" customWidth="1"/>
    <col min="18" max="18" width="2.6640625" style="97" customWidth="1"/>
    <col min="19" max="20" width="17.5546875" style="97" customWidth="1"/>
    <col min="21" max="21" width="16.33203125" style="97" customWidth="1"/>
    <col min="22" max="22" width="16.33203125" style="97" bestFit="1" customWidth="1"/>
    <col min="23" max="23" width="16.33203125" style="97" customWidth="1"/>
    <col min="24" max="24" width="16.6640625" style="97" customWidth="1"/>
    <col min="25" max="25" width="16.6640625" style="95" customWidth="1"/>
    <col min="26" max="27" width="16.88671875" style="97" customWidth="1"/>
    <col min="28" max="30" width="17.5546875" style="97" customWidth="1"/>
    <col min="31" max="31" width="1.88671875" style="97" customWidth="1"/>
    <col min="32" max="32" width="17.88671875" style="97" customWidth="1"/>
    <col min="33" max="33" width="1.88671875" style="97" customWidth="1"/>
    <col min="34" max="34" width="15" style="97" customWidth="1"/>
    <col min="35" max="35" width="1.88671875" style="97" customWidth="1"/>
    <col min="36" max="36" width="18.33203125" style="97" bestFit="1" customWidth="1"/>
    <col min="37" max="37" width="18.33203125" style="97" customWidth="1"/>
    <col min="38" max="38" width="14.6640625" style="97" customWidth="1"/>
    <col min="39" max="39" width="14.109375" style="97" customWidth="1"/>
    <col min="40" max="16384" width="9.109375" style="97"/>
  </cols>
  <sheetData>
    <row r="1" spans="1:38" ht="14.4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433" t="s">
        <v>1692</v>
      </c>
      <c r="I2" s="434"/>
      <c r="J2" s="435"/>
      <c r="K2" s="433" t="s">
        <v>1693</v>
      </c>
      <c r="L2" s="434"/>
      <c r="M2" s="435"/>
      <c r="N2" s="86"/>
      <c r="O2" s="88" t="s">
        <v>972</v>
      </c>
      <c r="P2" s="367"/>
      <c r="Q2" s="367"/>
      <c r="R2" s="87"/>
      <c r="S2" s="88" t="s">
        <v>1697</v>
      </c>
      <c r="T2" s="88" t="s">
        <v>1698</v>
      </c>
      <c r="U2" s="433" t="s">
        <v>136</v>
      </c>
      <c r="V2" s="434"/>
      <c r="W2" s="435"/>
      <c r="X2" s="431" t="s">
        <v>135</v>
      </c>
      <c r="Y2" s="432"/>
      <c r="Z2" s="431" t="s">
        <v>137</v>
      </c>
      <c r="AA2" s="432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4.4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2378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2379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>O12+O16+O20+O24+O32+O45+O57+O59+O60+O61+O62+O64</f>
        <v>918203216.41785061</v>
      </c>
      <c r="P66" s="102">
        <f>P12+P16+P20+P24+P32+P45+P57+P59+P60+P61+P62+P64</f>
        <v>0</v>
      </c>
      <c r="Q66" s="102">
        <f>Q12+Q16+Q20+Q24+Q32+Q45+Q57+Q59+Q60+Q61+Q62+Q64</f>
        <v>0</v>
      </c>
      <c r="R66" s="102"/>
      <c r="S66" s="102">
        <f t="shared" ref="S66:AD66" si="36">S12+S16+S20+S24+S32+S45+S57+S59+S60+S61+S62+S64</f>
        <v>0</v>
      </c>
      <c r="T66" s="102">
        <f t="shared" si="36"/>
        <v>218458065.31363025</v>
      </c>
      <c r="U66" s="102">
        <f t="shared" si="36"/>
        <v>0</v>
      </c>
      <c r="V66" s="102">
        <f t="shared" si="36"/>
        <v>238051994.97158346</v>
      </c>
      <c r="W66" s="102">
        <f t="shared" si="36"/>
        <v>441445990.99558365</v>
      </c>
      <c r="X66" s="102">
        <f t="shared" si="36"/>
        <v>109588733.72137173</v>
      </c>
      <c r="Y66" s="102">
        <f t="shared" si="36"/>
        <v>167525133.16936862</v>
      </c>
      <c r="Z66" s="102">
        <f t="shared" si="36"/>
        <v>170119798.90670514</v>
      </c>
      <c r="AA66" s="102">
        <f t="shared" si="36"/>
        <v>151386107.93500358</v>
      </c>
      <c r="AB66" s="102">
        <f t="shared" si="36"/>
        <v>101348809.96222259</v>
      </c>
      <c r="AC66" s="102">
        <f t="shared" si="36"/>
        <v>86474242.07543017</v>
      </c>
      <c r="AD66" s="102">
        <f t="shared" si="36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7">SUM(H71:H75)</f>
        <v>15439091.4716867</v>
      </c>
      <c r="I77" s="100">
        <f t="shared" si="37"/>
        <v>16173425.52342937</v>
      </c>
      <c r="J77" s="100">
        <f t="shared" si="37"/>
        <v>13294501.243134335</v>
      </c>
      <c r="K77" s="100">
        <f>SUM(K71:K75)</f>
        <v>0</v>
      </c>
      <c r="L77" s="100">
        <f t="shared" si="37"/>
        <v>0</v>
      </c>
      <c r="M77" s="100">
        <f t="shared" si="37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8">SUM(S71:S75)</f>
        <v>0</v>
      </c>
      <c r="T77" s="100">
        <f t="shared" si="38"/>
        <v>4841065.5026327893</v>
      </c>
      <c r="U77" s="100">
        <f t="shared" si="38"/>
        <v>0</v>
      </c>
      <c r="V77" s="100">
        <f t="shared" si="38"/>
        <v>5275270.1029159194</v>
      </c>
      <c r="W77" s="100">
        <f t="shared" si="38"/>
        <v>9782513.4321141783</v>
      </c>
      <c r="X77" s="100">
        <f t="shared" si="38"/>
        <v>2428503.7841660418</v>
      </c>
      <c r="Y77" s="100">
        <f t="shared" si="38"/>
        <v>3712383.6185488449</v>
      </c>
      <c r="Z77" s="100">
        <f t="shared" si="38"/>
        <v>3769881.8243205086</v>
      </c>
      <c r="AA77" s="100">
        <f t="shared" si="38"/>
        <v>3354740.2502619517</v>
      </c>
      <c r="AB77" s="100">
        <f t="shared" si="38"/>
        <v>2245905.7619896894</v>
      </c>
      <c r="AC77" s="100">
        <f t="shared" si="38"/>
        <v>1916282.9698078553</v>
      </c>
      <c r="AD77" s="100">
        <f t="shared" si="38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39">H66+H77</f>
        <v>1475977336.280705</v>
      </c>
      <c r="I79" s="100">
        <f t="shared" si="39"/>
        <v>1546179680.7398345</v>
      </c>
      <c r="J79" s="100">
        <f t="shared" si="39"/>
        <v>1270954483.8183548</v>
      </c>
      <c r="K79" s="100">
        <f>K66+K77</f>
        <v>0</v>
      </c>
      <c r="L79" s="100">
        <f t="shared" si="39"/>
        <v>0</v>
      </c>
      <c r="M79" s="100">
        <f t="shared" si="39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0">S66+S77</f>
        <v>0</v>
      </c>
      <c r="T79" s="100">
        <f t="shared" si="40"/>
        <v>223299130.81626305</v>
      </c>
      <c r="U79" s="100">
        <f t="shared" si="40"/>
        <v>0</v>
      </c>
      <c r="V79" s="100">
        <f t="shared" si="40"/>
        <v>243327265.07449937</v>
      </c>
      <c r="W79" s="100">
        <f t="shared" si="40"/>
        <v>451228504.42769784</v>
      </c>
      <c r="X79" s="100">
        <f t="shared" si="40"/>
        <v>112017237.50553776</v>
      </c>
      <c r="Y79" s="100">
        <f t="shared" si="40"/>
        <v>171237516.78791746</v>
      </c>
      <c r="Z79" s="100">
        <f t="shared" si="40"/>
        <v>173889680.73102564</v>
      </c>
      <c r="AA79" s="100">
        <f t="shared" si="40"/>
        <v>154740848.18526554</v>
      </c>
      <c r="AB79" s="100">
        <f t="shared" si="40"/>
        <v>103594715.72421227</v>
      </c>
      <c r="AC79" s="100">
        <f t="shared" si="40"/>
        <v>88390525.045238018</v>
      </c>
      <c r="AD79" s="100">
        <f t="shared" si="40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1">H66</f>
        <v>1460538244.8090184</v>
      </c>
      <c r="I93" s="102">
        <f t="shared" si="41"/>
        <v>1530006255.2164052</v>
      </c>
      <c r="J93" s="102">
        <f t="shared" si="41"/>
        <v>1257659982.5752206</v>
      </c>
      <c r="K93" s="102">
        <f t="shared" si="41"/>
        <v>0</v>
      </c>
      <c r="L93" s="102">
        <f t="shared" si="41"/>
        <v>0</v>
      </c>
      <c r="M93" s="102">
        <f t="shared" si="41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2">S66</f>
        <v>0</v>
      </c>
      <c r="T93" s="102">
        <f t="shared" si="42"/>
        <v>218458065.31363025</v>
      </c>
      <c r="U93" s="102">
        <f t="shared" si="42"/>
        <v>0</v>
      </c>
      <c r="V93" s="102">
        <f t="shared" si="42"/>
        <v>238051994.97158346</v>
      </c>
      <c r="W93" s="102">
        <f t="shared" si="42"/>
        <v>441445990.99558365</v>
      </c>
      <c r="X93" s="102">
        <f t="shared" si="42"/>
        <v>109588733.72137173</v>
      </c>
      <c r="Y93" s="102">
        <f t="shared" si="42"/>
        <v>167525133.16936862</v>
      </c>
      <c r="Z93" s="102">
        <f t="shared" si="42"/>
        <v>170119798.90670514</v>
      </c>
      <c r="AA93" s="102">
        <f t="shared" si="42"/>
        <v>151386107.93500358</v>
      </c>
      <c r="AB93" s="102">
        <f t="shared" si="42"/>
        <v>101348809.96222259</v>
      </c>
      <c r="AC93" s="102">
        <f t="shared" si="42"/>
        <v>86474242.07543017</v>
      </c>
      <c r="AD93" s="102">
        <f t="shared" si="42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3">H77</f>
        <v>15439091.4716867</v>
      </c>
      <c r="I94" s="106">
        <f t="shared" si="43"/>
        <v>16173425.52342937</v>
      </c>
      <c r="J94" s="106">
        <f t="shared" si="43"/>
        <v>13294501.243134335</v>
      </c>
      <c r="K94" s="106">
        <f>K77</f>
        <v>0</v>
      </c>
      <c r="L94" s="106">
        <f t="shared" si="43"/>
        <v>0</v>
      </c>
      <c r="M94" s="106">
        <f t="shared" si="43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3"/>
        <v>0</v>
      </c>
      <c r="T94" s="106">
        <f>T77</f>
        <v>4841065.5026327893</v>
      </c>
      <c r="U94" s="106">
        <f t="shared" si="43"/>
        <v>0</v>
      </c>
      <c r="V94" s="106">
        <f t="shared" si="43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3"/>
        <v>3769881.8243205086</v>
      </c>
      <c r="AA94" s="106">
        <f t="shared" si="43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3"/>
        <v>2658037.1359213674</v>
      </c>
      <c r="AE94" s="106"/>
      <c r="AF94" s="106">
        <f t="shared" si="43"/>
        <v>0</v>
      </c>
      <c r="AG94" s="106"/>
      <c r="AH94" s="106">
        <f t="shared" si="43"/>
        <v>0</v>
      </c>
      <c r="AI94" s="106"/>
      <c r="AJ94" s="101">
        <f t="shared" si="43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4">H93+H94</f>
        <v>1475977336.280705</v>
      </c>
      <c r="I96" s="102">
        <f t="shared" si="44"/>
        <v>1546179680.7398345</v>
      </c>
      <c r="J96" s="102">
        <f t="shared" si="44"/>
        <v>1270954483.8183548</v>
      </c>
      <c r="K96" s="102">
        <f>K93+K94</f>
        <v>0</v>
      </c>
      <c r="L96" s="102">
        <f t="shared" si="44"/>
        <v>0</v>
      </c>
      <c r="M96" s="102">
        <f t="shared" si="44"/>
        <v>0</v>
      </c>
      <c r="N96" s="102"/>
      <c r="O96" s="102">
        <f t="shared" si="44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4"/>
        <v>0</v>
      </c>
      <c r="T96" s="102">
        <f>T93+T94</f>
        <v>223299130.81626305</v>
      </c>
      <c r="U96" s="102">
        <f t="shared" si="44"/>
        <v>0</v>
      </c>
      <c r="V96" s="102">
        <f t="shared" si="44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4"/>
        <v>173889680.73102564</v>
      </c>
      <c r="AA96" s="102">
        <f t="shared" si="44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4"/>
        <v>122604699.68972704</v>
      </c>
      <c r="AE96" s="102"/>
      <c r="AF96" s="102">
        <f t="shared" si="44"/>
        <v>0</v>
      </c>
      <c r="AG96" s="102"/>
      <c r="AH96" s="102">
        <f t="shared" si="44"/>
        <v>0</v>
      </c>
      <c r="AI96" s="102"/>
      <c r="AJ96" s="102">
        <f t="shared" si="44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5">IF(VLOOKUP($D99,$C$5:$AJ$644,6,)=0,0,((VLOOKUP($D99,$C$5:$AJ$644,6,)/VLOOKUP($D99,$C$5:$AJ$644,4,))*$F99))</f>
        <v>464656750.87147576</v>
      </c>
      <c r="I99" s="101">
        <f t="shared" ref="I99:I106" si="46">IF(VLOOKUP($D99,$C$5:$AJ$644,7,)=0,0,((VLOOKUP($D99,$C$5:$AJ$644,7,)/VLOOKUP($D99,$C$5:$AJ$644,4,))*$F99))</f>
        <v>486757356.67219764</v>
      </c>
      <c r="J99" s="101">
        <f t="shared" ref="J99:J106" si="47">IF(VLOOKUP($D99,$C$5:$AJ$644,8,)=0,0,((VLOOKUP($D99,$C$5:$AJ$644,8,)/VLOOKUP($D99,$C$5:$AJ$644,4,))*$F99))</f>
        <v>400112905.82869542</v>
      </c>
      <c r="K99" s="101">
        <f t="shared" ref="K99:K106" si="48">IF(VLOOKUP($D99,$C$5:$AJ$644,9,)=0,0,((VLOOKUP($D99,$C$5:$AJ$644,9,)/VLOOKUP($D99,$C$5:$AJ$644,4,))*$F99))</f>
        <v>0</v>
      </c>
      <c r="L99" s="101">
        <f t="shared" ref="L99:L106" si="49">IF(VLOOKUP($D99,$C$5:$AJ$644,10,)=0,0,((VLOOKUP($D99,$C$5:$AJ$644,10,)/VLOOKUP($D99,$C$5:$AJ$644,4,))*$F99))</f>
        <v>0</v>
      </c>
      <c r="M99" s="101">
        <f t="shared" ref="M99:M106" si="50">IF(VLOOKUP($D99,$C$5:$AJ$644,11,)=0,0,((VLOOKUP($D99,$C$5:$AJ$644,11,)/VLOOKUP($D99,$C$5:$AJ$644,4,))*$F99))</f>
        <v>0</v>
      </c>
      <c r="N99" s="101"/>
      <c r="O99" s="101">
        <f t="shared" ref="O99:O106" si="51">IF(VLOOKUP($D99,$C$5:$AJ$644,13,)=0,0,((VLOOKUP($D99,$C$5:$AJ$644,13,)/VLOOKUP($D99,$C$5:$AJ$644,4,))*$F99))</f>
        <v>0</v>
      </c>
      <c r="P99" s="101">
        <f t="shared" ref="P99:P106" si="52">IF(VLOOKUP($D99,$C$5:$AJ$644,14,)=0,0,((VLOOKUP($D99,$C$5:$AJ$644,14,)/VLOOKUP($D99,$C$5:$AJ$644,4,))*$F99))</f>
        <v>0</v>
      </c>
      <c r="Q99" s="101">
        <f t="shared" ref="Q99:Q106" si="53">IF(VLOOKUP($D99,$C$5:$AJ$644,15,)=0,0,((VLOOKUP($D99,$C$5:$AJ$644,15,)/VLOOKUP($D99,$C$5:$AJ$644,4,))*$F99))</f>
        <v>0</v>
      </c>
      <c r="R99" s="101"/>
      <c r="S99" s="101">
        <f t="shared" ref="S99:S106" si="54">IF(VLOOKUP($D99,$C$5:$AJ$644,17,)=0,0,((VLOOKUP($D99,$C$5:$AJ$644,17,)/VLOOKUP($D99,$C$5:$AJ$644,4,))*$F99))</f>
        <v>0</v>
      </c>
      <c r="T99" s="101">
        <f t="shared" ref="T99:T106" si="55">IF(VLOOKUP($D99,$C$5:$AJ$644,18,)=0,0,((VLOOKUP($D99,$C$5:$AJ$644,18,)/VLOOKUP($D99,$C$5:$AJ$644,4,))*$F99))</f>
        <v>0</v>
      </c>
      <c r="U99" s="101">
        <f t="shared" ref="U99:U106" si="56">IF(VLOOKUP($D99,$C$5:$AJ$644,19,)=0,0,((VLOOKUP($D99,$C$5:$AJ$644,19,)/VLOOKUP($D99,$C$5:$AJ$644,4,))*$F99))</f>
        <v>0</v>
      </c>
      <c r="V99" s="101">
        <f t="shared" ref="V99:V106" si="57">IF(VLOOKUP($D99,$C$5:$AJ$644,20,)=0,0,((VLOOKUP($D99,$C$5:$AJ$644,20,)/VLOOKUP($D99,$C$5:$AJ$644,4,))*$F99))</f>
        <v>0</v>
      </c>
      <c r="W99" s="101">
        <f t="shared" ref="W99:W106" si="58">IF(VLOOKUP($D99,$C$5:$AJ$644,21,)=0,0,((VLOOKUP($D99,$C$5:$AJ$644,21,)/VLOOKUP($D99,$C$5:$AJ$644,4,))*$F99))</f>
        <v>0</v>
      </c>
      <c r="X99" s="101">
        <f t="shared" ref="X99:X106" si="59">IF(VLOOKUP($D99,$C$5:$AJ$644,22,)=0,0,((VLOOKUP($D99,$C$5:$AJ$644,22,)/VLOOKUP($D99,$C$5:$AJ$644,4,))*$F99))</f>
        <v>0</v>
      </c>
      <c r="Y99" s="101">
        <f t="shared" ref="Y99:Y106" si="60">IF(VLOOKUP($D99,$C$5:$AJ$644,23,)=0,0,((VLOOKUP($D99,$C$5:$AJ$644,23,)/VLOOKUP($D99,$C$5:$AJ$644,4,))*$F99))</f>
        <v>0</v>
      </c>
      <c r="Z99" s="101">
        <f t="shared" ref="Z99:Z106" si="61">IF(VLOOKUP($D99,$C$5:$AJ$644,24,)=0,0,((VLOOKUP($D99,$C$5:$AJ$644,24,)/VLOOKUP($D99,$C$5:$AJ$644,4,))*$F99))</f>
        <v>0</v>
      </c>
      <c r="AA99" s="101">
        <f t="shared" ref="AA99:AA106" si="62">IF(VLOOKUP($D99,$C$5:$AJ$644,25,)=0,0,((VLOOKUP($D99,$C$5:$AJ$644,25,)/VLOOKUP($D99,$C$5:$AJ$644,4,))*$F99))</f>
        <v>0</v>
      </c>
      <c r="AB99" s="101">
        <f t="shared" ref="AB99:AB106" si="63">IF(VLOOKUP($D99,$C$5:$AJ$644,26,)=0,0,((VLOOKUP($D99,$C$5:$AJ$644,26,)/VLOOKUP($D99,$C$5:$AJ$644,4,))*$F99))</f>
        <v>0</v>
      </c>
      <c r="AC99" s="101">
        <f t="shared" ref="AC99:AC106" si="64">IF(VLOOKUP($D99,$C$5:$AJ$644,27,)=0,0,((VLOOKUP($D99,$C$5:$AJ$644,27,)/VLOOKUP($D99,$C$5:$AJ$644,4,))*$F99))</f>
        <v>0</v>
      </c>
      <c r="AD99" s="101">
        <f t="shared" ref="AD99:AD106" si="65">IF(VLOOKUP($D99,$C$5:$AJ$644,28,)=0,0,((VLOOKUP($D99,$C$5:$AJ$644,28,)/VLOOKUP($D99,$C$5:$AJ$644,4,))*$F99))</f>
        <v>0</v>
      </c>
      <c r="AE99" s="101"/>
      <c r="AF99" s="101">
        <f t="shared" ref="AF99:AF106" si="66">IF(VLOOKUP($D99,$C$5:$AJ$644,30,)=0,0,((VLOOKUP($D99,$C$5:$AJ$644,30,)/VLOOKUP($D99,$C$5:$AJ$644,4,))*$F99))</f>
        <v>0</v>
      </c>
      <c r="AG99" s="101"/>
      <c r="AH99" s="101">
        <f t="shared" ref="AH99:AH106" si="67">IF(VLOOKUP($D99,$C$5:$AJ$644,32,)=0,0,((VLOOKUP($D99,$C$5:$AJ$644,32,)/VLOOKUP($D99,$C$5:$AJ$644,4,))*$F99))</f>
        <v>0</v>
      </c>
      <c r="AI99" s="101"/>
      <c r="AJ99" s="101">
        <f t="shared" ref="AJ99:AJ106" si="68">IF(VLOOKUP($D99,$C$5:$AJ$644,34,)=0,0,((VLOOKUP($D99,$C$5:$AJ$644,34,)/VLOOKUP($D99,$C$5:$AJ$644,4,))*$F99))</f>
        <v>0</v>
      </c>
      <c r="AK99" s="101">
        <f t="shared" ref="AK99:AK106" si="69">SUM(H99:AJ99)</f>
        <v>1351527013.3723688</v>
      </c>
      <c r="AL99" s="98" t="str">
        <f t="shared" ref="AL99:AL106" si="70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5"/>
        <v>3904602.9802596048</v>
      </c>
      <c r="I100" s="101">
        <f t="shared" si="46"/>
        <v>4090318.7610229198</v>
      </c>
      <c r="J100" s="101">
        <f t="shared" si="47"/>
        <v>3362228.2289215731</v>
      </c>
      <c r="K100" s="101">
        <f t="shared" si="48"/>
        <v>0</v>
      </c>
      <c r="L100" s="101">
        <f t="shared" si="49"/>
        <v>0</v>
      </c>
      <c r="M100" s="101">
        <f t="shared" si="50"/>
        <v>0</v>
      </c>
      <c r="N100" s="101"/>
      <c r="O100" s="101">
        <f t="shared" si="51"/>
        <v>0</v>
      </c>
      <c r="P100" s="101">
        <f t="shared" si="52"/>
        <v>0</v>
      </c>
      <c r="Q100" s="101">
        <f t="shared" si="53"/>
        <v>0</v>
      </c>
      <c r="R100" s="101"/>
      <c r="S100" s="101">
        <f t="shared" si="54"/>
        <v>0</v>
      </c>
      <c r="T100" s="101">
        <f t="shared" si="55"/>
        <v>0</v>
      </c>
      <c r="U100" s="101">
        <f t="shared" si="56"/>
        <v>0</v>
      </c>
      <c r="V100" s="101">
        <f t="shared" si="57"/>
        <v>0</v>
      </c>
      <c r="W100" s="101">
        <f t="shared" si="58"/>
        <v>0</v>
      </c>
      <c r="X100" s="101">
        <f t="shared" si="59"/>
        <v>0</v>
      </c>
      <c r="Y100" s="101">
        <f t="shared" si="60"/>
        <v>0</v>
      </c>
      <c r="Z100" s="101">
        <f t="shared" si="61"/>
        <v>0</v>
      </c>
      <c r="AA100" s="101">
        <f t="shared" si="62"/>
        <v>0</v>
      </c>
      <c r="AB100" s="101">
        <f t="shared" si="63"/>
        <v>0</v>
      </c>
      <c r="AC100" s="101">
        <f t="shared" si="64"/>
        <v>0</v>
      </c>
      <c r="AD100" s="101">
        <f t="shared" si="65"/>
        <v>0</v>
      </c>
      <c r="AE100" s="101"/>
      <c r="AF100" s="101">
        <f t="shared" si="66"/>
        <v>0</v>
      </c>
      <c r="AG100" s="101"/>
      <c r="AH100" s="101">
        <f t="shared" si="67"/>
        <v>0</v>
      </c>
      <c r="AI100" s="101"/>
      <c r="AJ100" s="101">
        <f t="shared" si="68"/>
        <v>0</v>
      </c>
      <c r="AK100" s="101">
        <f t="shared" si="69"/>
        <v>11357149.970204098</v>
      </c>
      <c r="AL100" s="98" t="str">
        <f t="shared" si="70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5"/>
        <v>96077848.40659143</v>
      </c>
      <c r="I101" s="101">
        <f t="shared" si="46"/>
        <v>100647627.38824432</v>
      </c>
      <c r="J101" s="101">
        <f t="shared" si="47"/>
        <v>82732010.32726039</v>
      </c>
      <c r="K101" s="101">
        <f t="shared" si="48"/>
        <v>0</v>
      </c>
      <c r="L101" s="101">
        <f t="shared" si="49"/>
        <v>0</v>
      </c>
      <c r="M101" s="101">
        <f t="shared" si="50"/>
        <v>0</v>
      </c>
      <c r="N101" s="101"/>
      <c r="O101" s="101">
        <f t="shared" si="51"/>
        <v>0</v>
      </c>
      <c r="P101" s="101">
        <f t="shared" si="52"/>
        <v>0</v>
      </c>
      <c r="Q101" s="101">
        <f t="shared" si="53"/>
        <v>0</v>
      </c>
      <c r="R101" s="101"/>
      <c r="S101" s="101">
        <f t="shared" si="54"/>
        <v>0</v>
      </c>
      <c r="T101" s="101">
        <f t="shared" si="55"/>
        <v>0</v>
      </c>
      <c r="U101" s="101">
        <f t="shared" si="56"/>
        <v>0</v>
      </c>
      <c r="V101" s="101">
        <f t="shared" si="57"/>
        <v>0</v>
      </c>
      <c r="W101" s="101">
        <f t="shared" si="58"/>
        <v>0</v>
      </c>
      <c r="X101" s="101">
        <f t="shared" si="59"/>
        <v>0</v>
      </c>
      <c r="Y101" s="101">
        <f t="shared" si="60"/>
        <v>0</v>
      </c>
      <c r="Z101" s="101">
        <f t="shared" si="61"/>
        <v>0</v>
      </c>
      <c r="AA101" s="101">
        <f t="shared" si="62"/>
        <v>0</v>
      </c>
      <c r="AB101" s="101">
        <f t="shared" si="63"/>
        <v>0</v>
      </c>
      <c r="AC101" s="101">
        <f t="shared" si="64"/>
        <v>0</v>
      </c>
      <c r="AD101" s="101">
        <f t="shared" si="65"/>
        <v>0</v>
      </c>
      <c r="AE101" s="101"/>
      <c r="AF101" s="101">
        <f t="shared" si="66"/>
        <v>0</v>
      </c>
      <c r="AG101" s="101"/>
      <c r="AH101" s="101">
        <f t="shared" si="67"/>
        <v>0</v>
      </c>
      <c r="AI101" s="101"/>
      <c r="AJ101" s="101">
        <f t="shared" si="68"/>
        <v>0</v>
      </c>
      <c r="AK101" s="101">
        <f>SUM(H101:AJ101)</f>
        <v>279457486.12209612</v>
      </c>
      <c r="AL101" s="98" t="str">
        <f t="shared" si="70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5"/>
        <v>0</v>
      </c>
      <c r="I102" s="101">
        <f t="shared" si="46"/>
        <v>0</v>
      </c>
      <c r="J102" s="101">
        <f t="shared" si="47"/>
        <v>0</v>
      </c>
      <c r="K102" s="101">
        <f t="shared" si="48"/>
        <v>0</v>
      </c>
      <c r="L102" s="101">
        <f t="shared" si="49"/>
        <v>0</v>
      </c>
      <c r="M102" s="101">
        <f t="shared" si="50"/>
        <v>0</v>
      </c>
      <c r="N102" s="101"/>
      <c r="O102" s="101">
        <f t="shared" si="51"/>
        <v>303777627.18630236</v>
      </c>
      <c r="P102" s="101">
        <f t="shared" si="52"/>
        <v>0</v>
      </c>
      <c r="Q102" s="101">
        <f t="shared" si="53"/>
        <v>0</v>
      </c>
      <c r="R102" s="101"/>
      <c r="S102" s="101">
        <f t="shared" si="54"/>
        <v>0</v>
      </c>
      <c r="T102" s="101">
        <f t="shared" si="55"/>
        <v>0</v>
      </c>
      <c r="U102" s="101">
        <f t="shared" si="56"/>
        <v>0</v>
      </c>
      <c r="V102" s="101">
        <f t="shared" si="57"/>
        <v>0</v>
      </c>
      <c r="W102" s="101">
        <f t="shared" si="58"/>
        <v>0</v>
      </c>
      <c r="X102" s="101">
        <f t="shared" si="59"/>
        <v>0</v>
      </c>
      <c r="Y102" s="101">
        <f t="shared" si="60"/>
        <v>0</v>
      </c>
      <c r="Z102" s="101">
        <f t="shared" si="61"/>
        <v>0</v>
      </c>
      <c r="AA102" s="101">
        <f t="shared" si="62"/>
        <v>0</v>
      </c>
      <c r="AB102" s="101">
        <f t="shared" si="63"/>
        <v>0</v>
      </c>
      <c r="AC102" s="101">
        <f t="shared" si="64"/>
        <v>0</v>
      </c>
      <c r="AD102" s="101">
        <f t="shared" si="65"/>
        <v>0</v>
      </c>
      <c r="AE102" s="101"/>
      <c r="AF102" s="101">
        <f t="shared" si="66"/>
        <v>0</v>
      </c>
      <c r="AG102" s="101"/>
      <c r="AH102" s="101">
        <f t="shared" si="67"/>
        <v>0</v>
      </c>
      <c r="AI102" s="101"/>
      <c r="AJ102" s="101">
        <f t="shared" si="68"/>
        <v>0</v>
      </c>
      <c r="AK102" s="101">
        <f t="shared" si="69"/>
        <v>303777627.18630236</v>
      </c>
      <c r="AL102" s="98" t="str">
        <f t="shared" si="70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5"/>
        <v>0</v>
      </c>
      <c r="I103" s="101">
        <f t="shared" si="46"/>
        <v>0</v>
      </c>
      <c r="J103" s="101">
        <f t="shared" si="47"/>
        <v>0</v>
      </c>
      <c r="K103" s="101">
        <f t="shared" si="48"/>
        <v>0</v>
      </c>
      <c r="L103" s="101">
        <f t="shared" si="49"/>
        <v>0</v>
      </c>
      <c r="M103" s="101">
        <f t="shared" si="50"/>
        <v>0</v>
      </c>
      <c r="N103" s="101"/>
      <c r="O103" s="101">
        <f t="shared" si="51"/>
        <v>4014977.5835693018</v>
      </c>
      <c r="P103" s="101">
        <f t="shared" si="52"/>
        <v>0</v>
      </c>
      <c r="Q103" s="101">
        <f t="shared" si="53"/>
        <v>0</v>
      </c>
      <c r="R103" s="101"/>
      <c r="S103" s="101">
        <f t="shared" si="54"/>
        <v>0</v>
      </c>
      <c r="T103" s="101">
        <f t="shared" si="55"/>
        <v>0</v>
      </c>
      <c r="U103" s="101">
        <f t="shared" si="56"/>
        <v>0</v>
      </c>
      <c r="V103" s="101">
        <f t="shared" si="57"/>
        <v>0</v>
      </c>
      <c r="W103" s="101">
        <f t="shared" si="58"/>
        <v>0</v>
      </c>
      <c r="X103" s="101">
        <f t="shared" si="59"/>
        <v>0</v>
      </c>
      <c r="Y103" s="101">
        <f t="shared" si="60"/>
        <v>0</v>
      </c>
      <c r="Z103" s="101">
        <f t="shared" si="61"/>
        <v>0</v>
      </c>
      <c r="AA103" s="101">
        <f t="shared" si="62"/>
        <v>0</v>
      </c>
      <c r="AB103" s="101">
        <f t="shared" si="63"/>
        <v>0</v>
      </c>
      <c r="AC103" s="101">
        <f t="shared" si="64"/>
        <v>0</v>
      </c>
      <c r="AD103" s="101">
        <f t="shared" si="65"/>
        <v>0</v>
      </c>
      <c r="AE103" s="101"/>
      <c r="AF103" s="101">
        <f t="shared" si="66"/>
        <v>0</v>
      </c>
      <c r="AG103" s="101"/>
      <c r="AH103" s="101">
        <f t="shared" si="67"/>
        <v>0</v>
      </c>
      <c r="AI103" s="101"/>
      <c r="AJ103" s="101">
        <f t="shared" si="68"/>
        <v>0</v>
      </c>
      <c r="AK103" s="101">
        <f t="shared" si="69"/>
        <v>4014977.5835693018</v>
      </c>
      <c r="AL103" s="98" t="str">
        <f t="shared" si="70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5"/>
        <v>0</v>
      </c>
      <c r="I104" s="101">
        <f t="shared" si="46"/>
        <v>0</v>
      </c>
      <c r="J104" s="101">
        <f t="shared" si="47"/>
        <v>0</v>
      </c>
      <c r="K104" s="101">
        <f t="shared" si="48"/>
        <v>0</v>
      </c>
      <c r="L104" s="101">
        <f t="shared" si="49"/>
        <v>0</v>
      </c>
      <c r="M104" s="101">
        <f t="shared" si="50"/>
        <v>0</v>
      </c>
      <c r="N104" s="101"/>
      <c r="O104" s="101">
        <f t="shared" si="51"/>
        <v>0</v>
      </c>
      <c r="P104" s="101">
        <f t="shared" si="52"/>
        <v>0</v>
      </c>
      <c r="Q104" s="101">
        <f t="shared" si="53"/>
        <v>0</v>
      </c>
      <c r="R104" s="101"/>
      <c r="S104" s="101">
        <f t="shared" si="54"/>
        <v>0</v>
      </c>
      <c r="T104" s="101">
        <f t="shared" si="55"/>
        <v>77144314.611600712</v>
      </c>
      <c r="U104" s="101">
        <f t="shared" si="56"/>
        <v>0</v>
      </c>
      <c r="V104" s="101">
        <f t="shared" si="57"/>
        <v>84063538.545222193</v>
      </c>
      <c r="W104" s="101">
        <f t="shared" si="58"/>
        <v>155888263.33558285</v>
      </c>
      <c r="X104" s="101">
        <f t="shared" si="59"/>
        <v>38699178.901686251</v>
      </c>
      <c r="Y104" s="101">
        <f t="shared" si="60"/>
        <v>59158317.455637276</v>
      </c>
      <c r="Z104" s="101">
        <f t="shared" si="61"/>
        <v>60074574.356775984</v>
      </c>
      <c r="AA104" s="101">
        <f t="shared" si="62"/>
        <v>53459127.368894614</v>
      </c>
      <c r="AB104" s="101">
        <f t="shared" si="63"/>
        <v>35789406.401692659</v>
      </c>
      <c r="AC104" s="101">
        <f t="shared" si="64"/>
        <v>30536735.399947166</v>
      </c>
      <c r="AD104" s="101">
        <f t="shared" si="65"/>
        <v>42356884.646844648</v>
      </c>
      <c r="AE104" s="101"/>
      <c r="AF104" s="101">
        <f t="shared" si="66"/>
        <v>0</v>
      </c>
      <c r="AG104" s="101"/>
      <c r="AH104" s="101">
        <f t="shared" si="67"/>
        <v>0</v>
      </c>
      <c r="AI104" s="101"/>
      <c r="AJ104" s="101">
        <f t="shared" si="68"/>
        <v>0</v>
      </c>
      <c r="AK104" s="101">
        <f t="shared" si="69"/>
        <v>637170341.02388442</v>
      </c>
      <c r="AL104" s="98" t="str">
        <f t="shared" si="70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5"/>
        <v>12626626.469908219</v>
      </c>
      <c r="I105" s="101">
        <f t="shared" si="46"/>
        <v>13227190.420999052</v>
      </c>
      <c r="J105" s="101">
        <f t="shared" si="47"/>
        <v>10872705.923702175</v>
      </c>
      <c r="K105" s="101">
        <f t="shared" si="48"/>
        <v>0</v>
      </c>
      <c r="L105" s="101">
        <f t="shared" si="49"/>
        <v>0</v>
      </c>
      <c r="M105" s="101">
        <f t="shared" si="50"/>
        <v>0</v>
      </c>
      <c r="N105" s="101"/>
      <c r="O105" s="101">
        <f t="shared" si="51"/>
        <v>7938545.2290103128</v>
      </c>
      <c r="P105" s="101">
        <f t="shared" si="52"/>
        <v>0</v>
      </c>
      <c r="Q105" s="101">
        <f t="shared" si="53"/>
        <v>0</v>
      </c>
      <c r="R105" s="101"/>
      <c r="S105" s="101">
        <f t="shared" si="54"/>
        <v>0</v>
      </c>
      <c r="T105" s="101">
        <f t="shared" si="55"/>
        <v>1888612.1761230112</v>
      </c>
      <c r="U105" s="101">
        <f t="shared" si="56"/>
        <v>0</v>
      </c>
      <c r="V105" s="101">
        <f t="shared" si="57"/>
        <v>2058005.4831496081</v>
      </c>
      <c r="W105" s="101">
        <f t="shared" si="58"/>
        <v>3816385.8702035756</v>
      </c>
      <c r="X105" s="101">
        <f t="shared" si="59"/>
        <v>947415.77325125004</v>
      </c>
      <c r="Y105" s="101">
        <f t="shared" si="60"/>
        <v>1448287.138568548</v>
      </c>
      <c r="Z105" s="101">
        <f t="shared" si="61"/>
        <v>1470718.5251024701</v>
      </c>
      <c r="AA105" s="101">
        <f t="shared" si="62"/>
        <v>1308762.1476984737</v>
      </c>
      <c r="AB105" s="101">
        <f t="shared" si="63"/>
        <v>876180.040574076</v>
      </c>
      <c r="AC105" s="101">
        <f t="shared" si="64"/>
        <v>747586.52774023439</v>
      </c>
      <c r="AD105" s="101">
        <f t="shared" si="65"/>
        <v>1036962.068940841</v>
      </c>
      <c r="AE105" s="101"/>
      <c r="AF105" s="101">
        <f t="shared" si="66"/>
        <v>0</v>
      </c>
      <c r="AG105" s="101"/>
      <c r="AH105" s="101">
        <f t="shared" si="67"/>
        <v>0</v>
      </c>
      <c r="AI105" s="101"/>
      <c r="AJ105" s="101">
        <f t="shared" si="68"/>
        <v>0</v>
      </c>
      <c r="AK105" s="101">
        <f t="shared" si="69"/>
        <v>60263983.794971853</v>
      </c>
      <c r="AL105" s="98" t="str">
        <f t="shared" si="70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5"/>
        <v>10889731.869013732</v>
      </c>
      <c r="I106" s="101">
        <f t="shared" si="46"/>
        <v>11407683.390994741</v>
      </c>
      <c r="J106" s="101">
        <f t="shared" si="47"/>
        <v>9377077.2804538812</v>
      </c>
      <c r="K106" s="101">
        <f t="shared" si="48"/>
        <v>0</v>
      </c>
      <c r="L106" s="101">
        <f t="shared" si="49"/>
        <v>0</v>
      </c>
      <c r="M106" s="101">
        <f t="shared" si="50"/>
        <v>0</v>
      </c>
      <c r="N106" s="101"/>
      <c r="O106" s="101">
        <f t="shared" si="51"/>
        <v>6846534.1221572468</v>
      </c>
      <c r="P106" s="101">
        <f t="shared" si="52"/>
        <v>0</v>
      </c>
      <c r="Q106" s="101">
        <f t="shared" si="53"/>
        <v>0</v>
      </c>
      <c r="R106" s="101"/>
      <c r="S106" s="101">
        <f t="shared" si="54"/>
        <v>0</v>
      </c>
      <c r="T106" s="101">
        <f t="shared" si="55"/>
        <v>1628818.2953339259</v>
      </c>
      <c r="U106" s="101">
        <f t="shared" si="56"/>
        <v>0</v>
      </c>
      <c r="V106" s="101">
        <f t="shared" si="57"/>
        <v>1774910.182848087</v>
      </c>
      <c r="W106" s="101">
        <f t="shared" si="58"/>
        <v>3291411.1250739857</v>
      </c>
      <c r="X106" s="101">
        <f t="shared" si="59"/>
        <v>817091.07050629484</v>
      </c>
      <c r="Y106" s="101">
        <f t="shared" si="60"/>
        <v>1249063.5282463746</v>
      </c>
      <c r="Z106" s="101">
        <f t="shared" si="61"/>
        <v>1268409.2961271908</v>
      </c>
      <c r="AA106" s="101">
        <f t="shared" si="62"/>
        <v>1128731.3284127365</v>
      </c>
      <c r="AB106" s="101">
        <f t="shared" si="63"/>
        <v>755654.38904621487</v>
      </c>
      <c r="AC106" s="101">
        <f t="shared" si="64"/>
        <v>644749.95402610698</v>
      </c>
      <c r="AD106" s="101">
        <f t="shared" si="65"/>
        <v>894319.54893218388</v>
      </c>
      <c r="AE106" s="101"/>
      <c r="AF106" s="101">
        <f t="shared" si="66"/>
        <v>0</v>
      </c>
      <c r="AG106" s="101"/>
      <c r="AH106" s="101">
        <f t="shared" si="67"/>
        <v>0</v>
      </c>
      <c r="AI106" s="101"/>
      <c r="AJ106" s="101">
        <f t="shared" si="68"/>
        <v>0</v>
      </c>
      <c r="AK106" s="101">
        <f t="shared" si="69"/>
        <v>51974185.381172709</v>
      </c>
      <c r="AL106" s="98" t="str">
        <f t="shared" si="70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1">SUM(F99:F106)</f>
        <v>2699542764.4345698</v>
      </c>
      <c r="G108" s="102"/>
      <c r="H108" s="102">
        <f t="shared" si="71"/>
        <v>588155560.59724879</v>
      </c>
      <c r="I108" s="102">
        <f t="shared" si="71"/>
        <v>616130176.63345873</v>
      </c>
      <c r="J108" s="102">
        <f t="shared" si="71"/>
        <v>506456927.58903342</v>
      </c>
      <c r="K108" s="102">
        <f>SUM(K99:K106)</f>
        <v>0</v>
      </c>
      <c r="L108" s="102">
        <f t="shared" si="71"/>
        <v>0</v>
      </c>
      <c r="M108" s="102">
        <f t="shared" si="71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2">SUM(S99:S106)</f>
        <v>0</v>
      </c>
      <c r="T108" s="102">
        <f t="shared" si="72"/>
        <v>80661745.083057642</v>
      </c>
      <c r="U108" s="102">
        <f t="shared" si="72"/>
        <v>0</v>
      </c>
      <c r="V108" s="102">
        <f t="shared" si="72"/>
        <v>87896454.211219877</v>
      </c>
      <c r="W108" s="102">
        <f t="shared" si="72"/>
        <v>162996060.33086044</v>
      </c>
      <c r="X108" s="102">
        <f t="shared" si="72"/>
        <v>40463685.745443799</v>
      </c>
      <c r="Y108" s="102">
        <f t="shared" si="72"/>
        <v>61855668.122452199</v>
      </c>
      <c r="Z108" s="102">
        <f t="shared" si="72"/>
        <v>62813702.178005643</v>
      </c>
      <c r="AA108" s="102">
        <f t="shared" si="72"/>
        <v>55896620.845005825</v>
      </c>
      <c r="AB108" s="102">
        <f t="shared" si="72"/>
        <v>37421240.831312947</v>
      </c>
      <c r="AC108" s="102">
        <f t="shared" si="72"/>
        <v>31929071.881713506</v>
      </c>
      <c r="AD108" s="102">
        <f t="shared" si="72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3">H96-H108</f>
        <v>887821775.68345618</v>
      </c>
      <c r="I110" s="102">
        <f t="shared" si="73"/>
        <v>930049504.10637581</v>
      </c>
      <c r="J110" s="102">
        <f t="shared" si="73"/>
        <v>764497556.22932148</v>
      </c>
      <c r="K110" s="102">
        <f t="shared" si="73"/>
        <v>0</v>
      </c>
      <c r="L110" s="102">
        <f t="shared" si="73"/>
        <v>0</v>
      </c>
      <c r="M110" s="102">
        <f t="shared" si="73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4">S96-S108</f>
        <v>0</v>
      </c>
      <c r="T110" s="102">
        <f t="shared" si="74"/>
        <v>142637385.73320541</v>
      </c>
      <c r="U110" s="102">
        <f t="shared" si="74"/>
        <v>0</v>
      </c>
      <c r="V110" s="102">
        <f t="shared" si="74"/>
        <v>155430810.86327949</v>
      </c>
      <c r="W110" s="102">
        <f t="shared" si="74"/>
        <v>288232444.0968374</v>
      </c>
      <c r="X110" s="102">
        <f t="shared" si="74"/>
        <v>71553551.760093957</v>
      </c>
      <c r="Y110" s="102">
        <f t="shared" si="74"/>
        <v>109381848.66546527</v>
      </c>
      <c r="Z110" s="102">
        <f t="shared" si="74"/>
        <v>111075978.55302</v>
      </c>
      <c r="AA110" s="102">
        <f t="shared" si="74"/>
        <v>98844227.340259716</v>
      </c>
      <c r="AB110" s="102">
        <f t="shared" si="74"/>
        <v>66173474.892899327</v>
      </c>
      <c r="AC110" s="102">
        <f t="shared" si="74"/>
        <v>56461453.163524508</v>
      </c>
      <c r="AD110" s="102">
        <f t="shared" si="74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875890.92326590104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1663489.9306991044</v>
      </c>
      <c r="W113" s="101">
        <f>IF(VLOOKUP($D113,$C$5:$AJ$644,21,)=0,0,((VLOOKUP($D113,$C$5:$AJ$644,21,)/VLOOKUP($D113,$C$5:$AJ$644,4,))*$F113))</f>
        <v>2570617.8620645492</v>
      </c>
      <c r="X113" s="101">
        <f>IF(VLOOKUP($D113,$C$5:$AJ$644,22,)=0,0,((VLOOKUP($D113,$C$5:$AJ$644,22,)/VLOOKUP($D113,$C$5:$AJ$644,4,))*$F113))</f>
        <v>858890.83930522413</v>
      </c>
      <c r="Y113" s="101">
        <f>IF(VLOOKUP($D113,$C$5:$AJ$644,23,)=0,0,((VLOOKUP($D113,$C$5:$AJ$644,23,)/VLOOKUP($D113,$C$5:$AJ$644,4,))*$F113))</f>
        <v>1259805.8423516545</v>
      </c>
      <c r="Z113" s="101">
        <f>IF(VLOOKUP($D113,$C$5:$AJ$644,24,)=0,0,((VLOOKUP($D113,$C$5:$AJ$644,24,)/VLOOKUP($D113,$C$5:$AJ$644,4,))*$F113))</f>
        <v>169310.56912404124</v>
      </c>
      <c r="AA113" s="101">
        <f>IF(VLOOKUP($D113,$C$5:$AJ$644,25,)=0,0,((VLOOKUP($D113,$C$5:$AJ$644,25,)/VLOOKUP($D113,$C$5:$AJ$644,4,))*$F113))</f>
        <v>150665.99100558163</v>
      </c>
      <c r="AB113" s="101">
        <f>IF(VLOOKUP($D113,$C$5:$AJ$644,26,)=0,0,((VLOOKUP($D113,$C$5:$AJ$644,26,)/VLOOKUP($D113,$C$5:$AJ$644,4,))*$F113))</f>
        <v>95174.13858748351</v>
      </c>
      <c r="AC113" s="101">
        <f>IF(VLOOKUP($D113,$C$5:$AJ$644,27,)=0,0,((VLOOKUP($D113,$C$5:$AJ$644,27,)/VLOOKUP($D113,$C$5:$AJ$644,4,))*$F113))</f>
        <v>2158140.4360992401</v>
      </c>
      <c r="AD113" s="101">
        <f>IF(VLOOKUP($D113,$C$5:$AJ$644,28,)=0,0,((VLOOKUP($D113,$C$5:$AJ$644,28,)/VLOOKUP($D113,$C$5:$AJ$644,4,))*$F113))</f>
        <v>95443.096635898211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5">SUM(H113:H116)</f>
        <v>32719816.794232357</v>
      </c>
      <c r="I117" s="102">
        <f t="shared" si="75"/>
        <v>33859001.929284982</v>
      </c>
      <c r="J117" s="102">
        <f t="shared" si="75"/>
        <v>28600477.908676904</v>
      </c>
      <c r="K117" s="102">
        <f t="shared" si="75"/>
        <v>71897457.403322741</v>
      </c>
      <c r="L117" s="102">
        <f t="shared" si="75"/>
        <v>0</v>
      </c>
      <c r="M117" s="102">
        <f t="shared" si="75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6">SUM(S113:S116)</f>
        <v>0</v>
      </c>
      <c r="T117" s="102">
        <f t="shared" si="76"/>
        <v>5137387.3159935381</v>
      </c>
      <c r="U117" s="102">
        <f t="shared" si="76"/>
        <v>0</v>
      </c>
      <c r="V117" s="102">
        <f t="shared" si="76"/>
        <v>6307208.2406484764</v>
      </c>
      <c r="W117" s="102">
        <f t="shared" si="76"/>
        <v>11181975.357659755</v>
      </c>
      <c r="X117" s="102">
        <f t="shared" si="76"/>
        <v>2996655.7818206102</v>
      </c>
      <c r="Y117" s="102">
        <f t="shared" si="76"/>
        <v>4527745.387946168</v>
      </c>
      <c r="Z117" s="102">
        <f t="shared" si="76"/>
        <v>3487864.6739206575</v>
      </c>
      <c r="AA117" s="102">
        <f t="shared" si="76"/>
        <v>3103778.9921113499</v>
      </c>
      <c r="AB117" s="102">
        <f t="shared" si="76"/>
        <v>2072201.5714780695</v>
      </c>
      <c r="AC117" s="102">
        <f t="shared" si="76"/>
        <v>3845007.2960581509</v>
      </c>
      <c r="AD117" s="102">
        <f t="shared" si="76"/>
        <v>2435261.812227488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242328157.40202421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6" x14ac:dyDescent="0.3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6" x14ac:dyDescent="0.3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7">IF(ABS(AK124-F124)&lt;1,"ok","err")</f>
        <v>ok</v>
      </c>
    </row>
    <row r="125" spans="1:39" ht="15.6" x14ac:dyDescent="0.3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7"/>
        <v>ok</v>
      </c>
    </row>
    <row r="126" spans="1:39" ht="15.6" x14ac:dyDescent="0.3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7"/>
        <v>ok</v>
      </c>
    </row>
    <row r="127" spans="1:39" ht="15.6" x14ac:dyDescent="0.3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7"/>
        <v>ok</v>
      </c>
    </row>
    <row r="128" spans="1:39" ht="15.6" x14ac:dyDescent="0.3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6" x14ac:dyDescent="0.3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8">SUM(H124:H128)</f>
        <v>181491944.07953647</v>
      </c>
      <c r="I129" s="101">
        <f t="shared" si="78"/>
        <v>190124298.83298749</v>
      </c>
      <c r="J129" s="101">
        <f t="shared" si="78"/>
        <v>156281532.53765678</v>
      </c>
      <c r="K129" s="101">
        <f t="shared" si="78"/>
        <v>0</v>
      </c>
      <c r="L129" s="101">
        <f t="shared" si="78"/>
        <v>0</v>
      </c>
      <c r="M129" s="101">
        <f t="shared" si="78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79">SUM(S124:S128)</f>
        <v>0</v>
      </c>
      <c r="T129" s="101">
        <f t="shared" si="79"/>
        <v>30144998.456875868</v>
      </c>
      <c r="U129" s="101">
        <f t="shared" si="79"/>
        <v>0</v>
      </c>
      <c r="V129" s="101">
        <f t="shared" si="79"/>
        <v>32848762.121793214</v>
      </c>
      <c r="W129" s="101">
        <f t="shared" si="79"/>
        <v>60915071.724411249</v>
      </c>
      <c r="X129" s="101">
        <f t="shared" si="79"/>
        <v>15122134.328979671</v>
      </c>
      <c r="Y129" s="101">
        <f t="shared" si="79"/>
        <v>23116770.139058147</v>
      </c>
      <c r="Z129" s="101">
        <f t="shared" si="79"/>
        <v>23474807.708125807</v>
      </c>
      <c r="AA129" s="101">
        <f t="shared" si="79"/>
        <v>20889748.261486568</v>
      </c>
      <c r="AB129" s="101">
        <f t="shared" si="79"/>
        <v>13985108.380096896</v>
      </c>
      <c r="AC129" s="101">
        <f t="shared" si="79"/>
        <v>11932568.798414184</v>
      </c>
      <c r="AD129" s="101">
        <f t="shared" si="79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7"/>
        <v>ok</v>
      </c>
    </row>
    <row r="130" spans="1:38" ht="15.6" x14ac:dyDescent="0.3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6" x14ac:dyDescent="0.3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6" x14ac:dyDescent="0.3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0">IF(VLOOKUP($D132,$C$5:$AJ$644,6,)=0,0,((VLOOKUP($D132,$C$5:$AJ$644,6,)/VLOOKUP($D132,$C$5:$AJ$644,4,))*$F132))</f>
        <v>27911650.3815546</v>
      </c>
      <c r="I132" s="101">
        <f t="shared" ref="I132:I137" si="81">IF(VLOOKUP($D132,$C$5:$AJ$644,7,)=0,0,((VLOOKUP($D132,$C$5:$AJ$644,7,)/VLOOKUP($D132,$C$5:$AJ$644,4,))*$F132))</f>
        <v>29239220.423684325</v>
      </c>
      <c r="J132" s="101">
        <f t="shared" ref="J132:J137" si="82">IF(VLOOKUP($D132,$C$5:$AJ$644,8,)=0,0,((VLOOKUP($D132,$C$5:$AJ$644,8,)/VLOOKUP($D132,$C$5:$AJ$644,4,))*$F132))</f>
        <v>24034540.59301389</v>
      </c>
      <c r="K132" s="101">
        <f t="shared" ref="K132:K137" si="83">IF(VLOOKUP($D132,$C$5:$AJ$644,9,)=0,0,((VLOOKUP($D132,$C$5:$AJ$644,9,)/VLOOKUP($D132,$C$5:$AJ$644,4,))*$F132))</f>
        <v>0</v>
      </c>
      <c r="L132" s="101">
        <f t="shared" ref="L132:L137" si="84">IF(VLOOKUP($D132,$C$5:$AJ$644,10,)=0,0,((VLOOKUP($D132,$C$5:$AJ$644,10,)/VLOOKUP($D132,$C$5:$AJ$644,4,))*$F132))</f>
        <v>0</v>
      </c>
      <c r="M132" s="101">
        <f t="shared" ref="M132:M137" si="85">IF(VLOOKUP($D132,$C$5:$AJ$644,11,)=0,0,((VLOOKUP($D132,$C$5:$AJ$644,11,)/VLOOKUP($D132,$C$5:$AJ$644,4,))*$F132))</f>
        <v>0</v>
      </c>
      <c r="N132" s="101"/>
      <c r="O132" s="101">
        <f t="shared" ref="O132:O137" si="86">IF(VLOOKUP($D132,$C$5:$AJ$644,13,)=0,0,((VLOOKUP($D132,$C$5:$AJ$644,13,)/VLOOKUP($D132,$C$5:$AJ$644,4,))*$F132))</f>
        <v>0</v>
      </c>
      <c r="P132" s="101">
        <f t="shared" ref="P132:P137" si="87">IF(VLOOKUP($D132,$C$5:$AJ$644,14,)=0,0,((VLOOKUP($D132,$C$5:$AJ$644,14,)/VLOOKUP($D132,$C$5:$AJ$644,4,))*$F132))</f>
        <v>0</v>
      </c>
      <c r="Q132" s="101">
        <f t="shared" ref="Q132:Q137" si="88">IF(VLOOKUP($D132,$C$5:$AJ$644,15,)=0,0,((VLOOKUP($D132,$C$5:$AJ$644,15,)/VLOOKUP($D132,$C$5:$AJ$644,4,))*$F132))</f>
        <v>0</v>
      </c>
      <c r="R132" s="101"/>
      <c r="S132" s="101">
        <f t="shared" ref="S132:S137" si="89">IF(VLOOKUP($D132,$C$5:$AJ$644,17,)=0,0,((VLOOKUP($D132,$C$5:$AJ$644,17,)/VLOOKUP($D132,$C$5:$AJ$644,4,))*$F132))</f>
        <v>0</v>
      </c>
      <c r="T132" s="101">
        <f t="shared" ref="T132:T137" si="90">IF(VLOOKUP($D132,$C$5:$AJ$644,18,)=0,0,((VLOOKUP($D132,$C$5:$AJ$644,18,)/VLOOKUP($D132,$C$5:$AJ$644,4,))*$F132))</f>
        <v>0</v>
      </c>
      <c r="U132" s="101">
        <f t="shared" ref="U132:U137" si="91">IF(VLOOKUP($D132,$C$5:$AJ$644,19,)=0,0,((VLOOKUP($D132,$C$5:$AJ$644,19,)/VLOOKUP($D132,$C$5:$AJ$644,4,))*$F132))</f>
        <v>0</v>
      </c>
      <c r="V132" s="101">
        <f t="shared" ref="V132:V137" si="92">IF(VLOOKUP($D132,$C$5:$AJ$644,20,)=0,0,((VLOOKUP($D132,$C$5:$AJ$644,20,)/VLOOKUP($D132,$C$5:$AJ$644,4,))*$F132))</f>
        <v>0</v>
      </c>
      <c r="W132" s="101">
        <f t="shared" ref="W132:W137" si="93">IF(VLOOKUP($D132,$C$5:$AJ$644,21,)=0,0,((VLOOKUP($D132,$C$5:$AJ$644,21,)/VLOOKUP($D132,$C$5:$AJ$644,4,))*$F132))</f>
        <v>0</v>
      </c>
      <c r="X132" s="101">
        <f t="shared" ref="X132:X137" si="94">IF(VLOOKUP($D132,$C$5:$AJ$644,22,)=0,0,((VLOOKUP($D132,$C$5:$AJ$644,22,)/VLOOKUP($D132,$C$5:$AJ$644,4,))*$F132))</f>
        <v>0</v>
      </c>
      <c r="Y132" s="101">
        <f t="shared" ref="Y132:Y137" si="95">IF(VLOOKUP($D132,$C$5:$AJ$644,23,)=0,0,((VLOOKUP($D132,$C$5:$AJ$644,23,)/VLOOKUP($D132,$C$5:$AJ$644,4,))*$F132))</f>
        <v>0</v>
      </c>
      <c r="Z132" s="101">
        <f t="shared" ref="Z132:Z137" si="96">IF(VLOOKUP($D132,$C$5:$AJ$644,24,)=0,0,((VLOOKUP($D132,$C$5:$AJ$644,24,)/VLOOKUP($D132,$C$5:$AJ$644,4,))*$F132))</f>
        <v>0</v>
      </c>
      <c r="AA132" s="101">
        <f t="shared" ref="AA132:AA137" si="97">IF(VLOOKUP($D132,$C$5:$AJ$644,25,)=0,0,((VLOOKUP($D132,$C$5:$AJ$644,25,)/VLOOKUP($D132,$C$5:$AJ$644,4,))*$F132))</f>
        <v>0</v>
      </c>
      <c r="AB132" s="101">
        <f t="shared" ref="AB132:AB137" si="98">IF(VLOOKUP($D132,$C$5:$AJ$644,26,)=0,0,((VLOOKUP($D132,$C$5:$AJ$644,26,)/VLOOKUP($D132,$C$5:$AJ$644,4,))*$F132))</f>
        <v>0</v>
      </c>
      <c r="AC132" s="101">
        <f t="shared" ref="AC132:AC137" si="99">IF(VLOOKUP($D132,$C$5:$AJ$644,27,)=0,0,((VLOOKUP($D132,$C$5:$AJ$644,27,)/VLOOKUP($D132,$C$5:$AJ$644,4,))*$F132))</f>
        <v>0</v>
      </c>
      <c r="AD132" s="101">
        <f t="shared" ref="AD132:AD137" si="100">IF(VLOOKUP($D132,$C$5:$AJ$644,28,)=0,0,((VLOOKUP($D132,$C$5:$AJ$644,28,)/VLOOKUP($D132,$C$5:$AJ$644,4,))*$F132))</f>
        <v>0</v>
      </c>
      <c r="AE132" s="101"/>
      <c r="AF132" s="101">
        <f t="shared" ref="AF132:AF137" si="101">IF(VLOOKUP($D132,$C$5:$AJ$644,30,)=0,0,((VLOOKUP($D132,$C$5:$AJ$644,30,)/VLOOKUP($D132,$C$5:$AJ$644,4,))*$F132))</f>
        <v>0</v>
      </c>
      <c r="AG132" s="101"/>
      <c r="AH132" s="101">
        <f t="shared" ref="AH132:AH137" si="102">IF(VLOOKUP($D132,$C$5:$AJ$644,32,)=0,0,((VLOOKUP($D132,$C$5:$AJ$644,32,)/VLOOKUP($D132,$C$5:$AJ$644,4,))*$F132))</f>
        <v>0</v>
      </c>
      <c r="AI132" s="101"/>
      <c r="AJ132" s="101">
        <f t="shared" ref="AJ132:AJ137" si="103">IF(VLOOKUP($D132,$C$5:$AJ$644,34,)=0,0,((VLOOKUP($D132,$C$5:$AJ$644,34,)/VLOOKUP($D132,$C$5:$AJ$644,4,))*$F132))</f>
        <v>0</v>
      </c>
      <c r="AK132" s="101">
        <f t="shared" ref="AK132:AK137" si="104">SUM(H132:AJ132)</f>
        <v>81185411.398252815</v>
      </c>
      <c r="AL132" s="98" t="str">
        <f t="shared" ref="AL132:AL139" si="105">IF(ABS(AK132-F132)&lt;1,"ok","err")</f>
        <v>ok</v>
      </c>
    </row>
    <row r="133" spans="1:38" ht="15.6" x14ac:dyDescent="0.3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0"/>
        <v>0</v>
      </c>
      <c r="I133" s="101">
        <f t="shared" si="81"/>
        <v>0</v>
      </c>
      <c r="J133" s="101">
        <f t="shared" si="82"/>
        <v>0</v>
      </c>
      <c r="K133" s="101">
        <f t="shared" si="83"/>
        <v>0</v>
      </c>
      <c r="L133" s="101">
        <f t="shared" si="84"/>
        <v>0</v>
      </c>
      <c r="M133" s="101">
        <f t="shared" si="85"/>
        <v>0</v>
      </c>
      <c r="N133" s="101"/>
      <c r="O133" s="101">
        <f t="shared" si="86"/>
        <v>0</v>
      </c>
      <c r="P133" s="101">
        <f t="shared" si="87"/>
        <v>0</v>
      </c>
      <c r="Q133" s="101">
        <f t="shared" si="88"/>
        <v>0</v>
      </c>
      <c r="R133" s="101"/>
      <c r="S133" s="101">
        <f t="shared" si="89"/>
        <v>0</v>
      </c>
      <c r="T133" s="101">
        <f t="shared" si="90"/>
        <v>0</v>
      </c>
      <c r="U133" s="101">
        <f t="shared" si="91"/>
        <v>0</v>
      </c>
      <c r="V133" s="101">
        <f t="shared" si="92"/>
        <v>0</v>
      </c>
      <c r="W133" s="101">
        <f t="shared" si="93"/>
        <v>0</v>
      </c>
      <c r="X133" s="101">
        <f t="shared" si="94"/>
        <v>0</v>
      </c>
      <c r="Y133" s="101">
        <f t="shared" si="95"/>
        <v>0</v>
      </c>
      <c r="Z133" s="101">
        <f t="shared" si="96"/>
        <v>0</v>
      </c>
      <c r="AA133" s="101">
        <f t="shared" si="97"/>
        <v>0</v>
      </c>
      <c r="AB133" s="101">
        <f t="shared" si="98"/>
        <v>0</v>
      </c>
      <c r="AC133" s="101">
        <f t="shared" si="99"/>
        <v>0</v>
      </c>
      <c r="AD133" s="101">
        <f t="shared" si="100"/>
        <v>0</v>
      </c>
      <c r="AE133" s="101"/>
      <c r="AF133" s="101">
        <f t="shared" si="101"/>
        <v>0</v>
      </c>
      <c r="AG133" s="101"/>
      <c r="AH133" s="101">
        <f t="shared" si="102"/>
        <v>0</v>
      </c>
      <c r="AI133" s="101"/>
      <c r="AJ133" s="101">
        <f t="shared" si="103"/>
        <v>0</v>
      </c>
      <c r="AK133" s="101">
        <f t="shared" si="104"/>
        <v>0</v>
      </c>
      <c r="AL133" s="98" t="str">
        <f t="shared" si="105"/>
        <v>ok</v>
      </c>
    </row>
    <row r="134" spans="1:38" ht="15.6" x14ac:dyDescent="0.3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0"/>
        <v>0</v>
      </c>
      <c r="I134" s="101">
        <f t="shared" si="81"/>
        <v>0</v>
      </c>
      <c r="J134" s="101">
        <f t="shared" si="82"/>
        <v>0</v>
      </c>
      <c r="K134" s="101">
        <f t="shared" si="83"/>
        <v>0</v>
      </c>
      <c r="L134" s="101">
        <f t="shared" si="84"/>
        <v>0</v>
      </c>
      <c r="M134" s="101">
        <f t="shared" si="85"/>
        <v>0</v>
      </c>
      <c r="N134" s="101"/>
      <c r="O134" s="101">
        <f t="shared" si="86"/>
        <v>0</v>
      </c>
      <c r="P134" s="101">
        <f t="shared" si="87"/>
        <v>0</v>
      </c>
      <c r="Q134" s="101">
        <f t="shared" si="88"/>
        <v>0</v>
      </c>
      <c r="R134" s="101"/>
      <c r="S134" s="101">
        <f t="shared" si="89"/>
        <v>0</v>
      </c>
      <c r="T134" s="101">
        <f t="shared" si="90"/>
        <v>0</v>
      </c>
      <c r="U134" s="101">
        <f t="shared" si="91"/>
        <v>0</v>
      </c>
      <c r="V134" s="101">
        <f t="shared" si="92"/>
        <v>0</v>
      </c>
      <c r="W134" s="101">
        <f t="shared" si="93"/>
        <v>0</v>
      </c>
      <c r="X134" s="101">
        <f t="shared" si="94"/>
        <v>0</v>
      </c>
      <c r="Y134" s="101">
        <f t="shared" si="95"/>
        <v>0</v>
      </c>
      <c r="Z134" s="101">
        <f t="shared" si="96"/>
        <v>0</v>
      </c>
      <c r="AA134" s="101">
        <f t="shared" si="97"/>
        <v>0</v>
      </c>
      <c r="AB134" s="101">
        <f t="shared" si="98"/>
        <v>0</v>
      </c>
      <c r="AC134" s="101">
        <f t="shared" si="99"/>
        <v>0</v>
      </c>
      <c r="AD134" s="101">
        <f t="shared" si="100"/>
        <v>0</v>
      </c>
      <c r="AE134" s="101"/>
      <c r="AF134" s="101">
        <f t="shared" si="101"/>
        <v>0</v>
      </c>
      <c r="AG134" s="101"/>
      <c r="AH134" s="101">
        <f t="shared" si="102"/>
        <v>0</v>
      </c>
      <c r="AI134" s="101"/>
      <c r="AJ134" s="101">
        <f t="shared" si="103"/>
        <v>0</v>
      </c>
      <c r="AK134" s="101">
        <f t="shared" si="104"/>
        <v>0</v>
      </c>
      <c r="AL134" s="98" t="str">
        <f t="shared" si="105"/>
        <v>ok</v>
      </c>
    </row>
    <row r="135" spans="1:38" ht="15.6" x14ac:dyDescent="0.3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0"/>
        <v>0</v>
      </c>
      <c r="I135" s="101">
        <f t="shared" si="81"/>
        <v>0</v>
      </c>
      <c r="J135" s="101">
        <f t="shared" si="82"/>
        <v>0</v>
      </c>
      <c r="K135" s="101">
        <f t="shared" si="83"/>
        <v>0</v>
      </c>
      <c r="L135" s="101">
        <f t="shared" si="84"/>
        <v>0</v>
      </c>
      <c r="M135" s="101">
        <f t="shared" si="85"/>
        <v>0</v>
      </c>
      <c r="N135" s="101"/>
      <c r="O135" s="101">
        <f t="shared" si="86"/>
        <v>0</v>
      </c>
      <c r="P135" s="101">
        <f t="shared" si="87"/>
        <v>0</v>
      </c>
      <c r="Q135" s="101">
        <f t="shared" si="88"/>
        <v>0</v>
      </c>
      <c r="R135" s="101"/>
      <c r="S135" s="101">
        <f t="shared" si="89"/>
        <v>0</v>
      </c>
      <c r="T135" s="101">
        <f t="shared" si="90"/>
        <v>0</v>
      </c>
      <c r="U135" s="101">
        <f t="shared" si="91"/>
        <v>0</v>
      </c>
      <c r="V135" s="101">
        <f t="shared" si="92"/>
        <v>0</v>
      </c>
      <c r="W135" s="101">
        <f t="shared" si="93"/>
        <v>0</v>
      </c>
      <c r="X135" s="101">
        <f t="shared" si="94"/>
        <v>0</v>
      </c>
      <c r="Y135" s="101">
        <f t="shared" si="95"/>
        <v>0</v>
      </c>
      <c r="Z135" s="101">
        <f t="shared" si="96"/>
        <v>0</v>
      </c>
      <c r="AA135" s="101">
        <f t="shared" si="97"/>
        <v>0</v>
      </c>
      <c r="AB135" s="101">
        <f t="shared" si="98"/>
        <v>0</v>
      </c>
      <c r="AC135" s="101">
        <f t="shared" si="99"/>
        <v>0</v>
      </c>
      <c r="AD135" s="101">
        <f t="shared" si="100"/>
        <v>0</v>
      </c>
      <c r="AE135" s="101"/>
      <c r="AF135" s="101">
        <f t="shared" si="101"/>
        <v>0</v>
      </c>
      <c r="AG135" s="101"/>
      <c r="AH135" s="101">
        <f t="shared" si="102"/>
        <v>0</v>
      </c>
      <c r="AI135" s="101"/>
      <c r="AJ135" s="101">
        <f t="shared" si="103"/>
        <v>0</v>
      </c>
      <c r="AK135" s="101">
        <f t="shared" si="104"/>
        <v>0</v>
      </c>
      <c r="AL135" s="98" t="str">
        <f t="shared" si="105"/>
        <v>ok</v>
      </c>
    </row>
    <row r="136" spans="1:38" ht="15.6" x14ac:dyDescent="0.3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0"/>
        <v>0</v>
      </c>
      <c r="I136" s="101">
        <f t="shared" si="81"/>
        <v>0</v>
      </c>
      <c r="J136" s="101">
        <f t="shared" si="82"/>
        <v>0</v>
      </c>
      <c r="K136" s="101">
        <f t="shared" si="83"/>
        <v>0</v>
      </c>
      <c r="L136" s="101">
        <f t="shared" si="84"/>
        <v>0</v>
      </c>
      <c r="M136" s="101">
        <f t="shared" si="85"/>
        <v>0</v>
      </c>
      <c r="N136" s="101"/>
      <c r="O136" s="101">
        <f t="shared" si="86"/>
        <v>0</v>
      </c>
      <c r="P136" s="101">
        <f t="shared" si="87"/>
        <v>0</v>
      </c>
      <c r="Q136" s="101">
        <f t="shared" si="88"/>
        <v>0</v>
      </c>
      <c r="R136" s="101"/>
      <c r="S136" s="101">
        <f t="shared" si="89"/>
        <v>0</v>
      </c>
      <c r="T136" s="101">
        <f t="shared" si="90"/>
        <v>0</v>
      </c>
      <c r="U136" s="101">
        <f t="shared" si="91"/>
        <v>0</v>
      </c>
      <c r="V136" s="101">
        <f t="shared" si="92"/>
        <v>0</v>
      </c>
      <c r="W136" s="101">
        <f t="shared" si="93"/>
        <v>0</v>
      </c>
      <c r="X136" s="101">
        <f t="shared" si="94"/>
        <v>0</v>
      </c>
      <c r="Y136" s="101">
        <f t="shared" si="95"/>
        <v>0</v>
      </c>
      <c r="Z136" s="101">
        <f t="shared" si="96"/>
        <v>0</v>
      </c>
      <c r="AA136" s="101">
        <f t="shared" si="97"/>
        <v>0</v>
      </c>
      <c r="AB136" s="101">
        <f t="shared" si="98"/>
        <v>0</v>
      </c>
      <c r="AC136" s="101">
        <f t="shared" si="99"/>
        <v>0</v>
      </c>
      <c r="AD136" s="101">
        <f t="shared" si="100"/>
        <v>0</v>
      </c>
      <c r="AE136" s="101"/>
      <c r="AF136" s="101">
        <f t="shared" si="101"/>
        <v>0</v>
      </c>
      <c r="AG136" s="101"/>
      <c r="AH136" s="101">
        <f t="shared" si="102"/>
        <v>0</v>
      </c>
      <c r="AI136" s="101"/>
      <c r="AJ136" s="101">
        <f t="shared" si="103"/>
        <v>0</v>
      </c>
      <c r="AK136" s="101">
        <f t="shared" si="104"/>
        <v>0</v>
      </c>
      <c r="AL136" s="98" t="str">
        <f t="shared" si="105"/>
        <v>ok</v>
      </c>
    </row>
    <row r="137" spans="1:38" ht="15.6" x14ac:dyDescent="0.3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0"/>
        <v>0</v>
      </c>
      <c r="I137" s="101">
        <f t="shared" si="81"/>
        <v>0</v>
      </c>
      <c r="J137" s="101">
        <f t="shared" si="82"/>
        <v>0</v>
      </c>
      <c r="K137" s="101">
        <f t="shared" si="83"/>
        <v>0</v>
      </c>
      <c r="L137" s="101">
        <f t="shared" si="84"/>
        <v>0</v>
      </c>
      <c r="M137" s="101">
        <f t="shared" si="85"/>
        <v>0</v>
      </c>
      <c r="N137" s="101"/>
      <c r="O137" s="101">
        <f t="shared" si="86"/>
        <v>0</v>
      </c>
      <c r="P137" s="101">
        <f t="shared" si="87"/>
        <v>0</v>
      </c>
      <c r="Q137" s="101">
        <f t="shared" si="88"/>
        <v>0</v>
      </c>
      <c r="R137" s="101"/>
      <c r="S137" s="101">
        <f t="shared" si="89"/>
        <v>0</v>
      </c>
      <c r="T137" s="101">
        <f t="shared" si="90"/>
        <v>0</v>
      </c>
      <c r="U137" s="101">
        <f t="shared" si="91"/>
        <v>0</v>
      </c>
      <c r="V137" s="101">
        <f t="shared" si="92"/>
        <v>0</v>
      </c>
      <c r="W137" s="101">
        <f t="shared" si="93"/>
        <v>0</v>
      </c>
      <c r="X137" s="101">
        <f t="shared" si="94"/>
        <v>0</v>
      </c>
      <c r="Y137" s="101">
        <f t="shared" si="95"/>
        <v>0</v>
      </c>
      <c r="Z137" s="101">
        <f t="shared" si="96"/>
        <v>0</v>
      </c>
      <c r="AA137" s="101">
        <f t="shared" si="97"/>
        <v>0</v>
      </c>
      <c r="AB137" s="101">
        <f t="shared" si="98"/>
        <v>0</v>
      </c>
      <c r="AC137" s="101">
        <f t="shared" si="99"/>
        <v>0</v>
      </c>
      <c r="AD137" s="101">
        <f t="shared" si="100"/>
        <v>0</v>
      </c>
      <c r="AE137" s="101"/>
      <c r="AF137" s="101">
        <f t="shared" si="101"/>
        <v>0</v>
      </c>
      <c r="AG137" s="101"/>
      <c r="AH137" s="101">
        <f t="shared" si="102"/>
        <v>0</v>
      </c>
      <c r="AI137" s="101"/>
      <c r="AJ137" s="101">
        <f t="shared" si="103"/>
        <v>0</v>
      </c>
      <c r="AK137" s="101">
        <f t="shared" si="104"/>
        <v>0</v>
      </c>
      <c r="AL137" s="98" t="str">
        <f t="shared" si="105"/>
        <v>ok</v>
      </c>
    </row>
    <row r="138" spans="1:38" ht="15.6" x14ac:dyDescent="0.3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6" x14ac:dyDescent="0.3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6">SUM(H132:H138)</f>
        <v>27911650.3815546</v>
      </c>
      <c r="I139" s="101">
        <f t="shared" si="106"/>
        <v>29239220.423684325</v>
      </c>
      <c r="J139" s="101">
        <f t="shared" si="106"/>
        <v>24034540.59301389</v>
      </c>
      <c r="K139" s="101">
        <f t="shared" si="106"/>
        <v>0</v>
      </c>
      <c r="L139" s="101">
        <f t="shared" si="106"/>
        <v>0</v>
      </c>
      <c r="M139" s="101">
        <f t="shared" si="106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7">SUM(S132:S138)</f>
        <v>0</v>
      </c>
      <c r="T139" s="101">
        <f t="shared" si="107"/>
        <v>0</v>
      </c>
      <c r="U139" s="101">
        <f t="shared" si="107"/>
        <v>0</v>
      </c>
      <c r="V139" s="101">
        <f t="shared" si="107"/>
        <v>0</v>
      </c>
      <c r="W139" s="101">
        <f t="shared" si="107"/>
        <v>0</v>
      </c>
      <c r="X139" s="101">
        <f t="shared" si="107"/>
        <v>0</v>
      </c>
      <c r="Y139" s="101">
        <f t="shared" si="107"/>
        <v>0</v>
      </c>
      <c r="Z139" s="101">
        <f t="shared" si="107"/>
        <v>0</v>
      </c>
      <c r="AA139" s="101">
        <f t="shared" si="107"/>
        <v>0</v>
      </c>
      <c r="AB139" s="101">
        <f t="shared" si="107"/>
        <v>0</v>
      </c>
      <c r="AC139" s="101">
        <f t="shared" si="107"/>
        <v>0</v>
      </c>
      <c r="AD139" s="101">
        <f t="shared" si="107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5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8">H129+H139</f>
        <v>209403594.46109107</v>
      </c>
      <c r="I141" s="102">
        <f t="shared" si="108"/>
        <v>219363519.25667182</v>
      </c>
      <c r="J141" s="102">
        <f t="shared" si="108"/>
        <v>180316073.13067067</v>
      </c>
      <c r="K141" s="102">
        <f t="shared" si="108"/>
        <v>0</v>
      </c>
      <c r="L141" s="102">
        <f t="shared" si="108"/>
        <v>0</v>
      </c>
      <c r="M141" s="102">
        <f t="shared" si="108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09">S129+S139</f>
        <v>0</v>
      </c>
      <c r="T141" s="102">
        <f t="shared" si="109"/>
        <v>30144998.456875868</v>
      </c>
      <c r="U141" s="102">
        <f t="shared" si="109"/>
        <v>0</v>
      </c>
      <c r="V141" s="102">
        <f t="shared" si="109"/>
        <v>32848762.121793214</v>
      </c>
      <c r="W141" s="102">
        <f t="shared" si="109"/>
        <v>60915071.724411249</v>
      </c>
      <c r="X141" s="102">
        <f t="shared" si="109"/>
        <v>15122134.328979671</v>
      </c>
      <c r="Y141" s="102">
        <f t="shared" si="109"/>
        <v>23116770.139058147</v>
      </c>
      <c r="Z141" s="102">
        <f t="shared" si="109"/>
        <v>23474807.708125807</v>
      </c>
      <c r="AA141" s="102">
        <f t="shared" si="109"/>
        <v>20889748.261486568</v>
      </c>
      <c r="AB141" s="102">
        <f t="shared" si="109"/>
        <v>13985108.380096896</v>
      </c>
      <c r="AC141" s="102">
        <f t="shared" si="109"/>
        <v>11932568.798414184</v>
      </c>
      <c r="AD141" s="102">
        <f t="shared" si="109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0">H96-H108+H117-H142+H119-H141-H143</f>
        <v>711137998.01659751</v>
      </c>
      <c r="I145" s="102">
        <f t="shared" si="110"/>
        <v>744544986.77898896</v>
      </c>
      <c r="J145" s="102">
        <f t="shared" si="110"/>
        <v>612781961.00732768</v>
      </c>
      <c r="K145" s="102">
        <f t="shared" si="110"/>
        <v>71897457.403322741</v>
      </c>
      <c r="L145" s="102">
        <f t="shared" si="110"/>
        <v>0</v>
      </c>
      <c r="M145" s="102">
        <f t="shared" si="110"/>
        <v>0</v>
      </c>
      <c r="N145" s="102">
        <f t="shared" si="110"/>
        <v>0</v>
      </c>
      <c r="O145" s="102">
        <f t="shared" si="110"/>
        <v>519102553.3642441</v>
      </c>
      <c r="P145" s="102">
        <f t="shared" si="110"/>
        <v>0</v>
      </c>
      <c r="Q145" s="102">
        <f t="shared" si="110"/>
        <v>0</v>
      </c>
      <c r="R145" s="102">
        <f t="shared" si="110"/>
        <v>0</v>
      </c>
      <c r="S145" s="102">
        <f t="shared" si="110"/>
        <v>0</v>
      </c>
      <c r="T145" s="102">
        <f t="shared" si="110"/>
        <v>117629774.59232309</v>
      </c>
      <c r="U145" s="102">
        <f t="shared" si="110"/>
        <v>0</v>
      </c>
      <c r="V145" s="102">
        <f t="shared" si="110"/>
        <v>128503614.63788348</v>
      </c>
      <c r="W145" s="102">
        <f t="shared" si="110"/>
        <v>237784208.72506231</v>
      </c>
      <c r="X145" s="102">
        <f t="shared" si="110"/>
        <v>59250540.333276063</v>
      </c>
      <c r="Y145" s="102">
        <f t="shared" si="110"/>
        <v>90521434.52698794</v>
      </c>
      <c r="Z145" s="102">
        <f t="shared" si="110"/>
        <v>91089035.518814862</v>
      </c>
      <c r="AA145" s="102">
        <f t="shared" si="110"/>
        <v>81058258.070884496</v>
      </c>
      <c r="AB145" s="102">
        <f t="shared" si="110"/>
        <v>54260568.084280506</v>
      </c>
      <c r="AC145" s="102">
        <f t="shared" si="110"/>
        <v>48373891.661168471</v>
      </c>
      <c r="AD145" s="102">
        <f t="shared" si="110"/>
        <v>64200371.729934186</v>
      </c>
      <c r="AE145" s="102">
        <f t="shared" si="110"/>
        <v>0</v>
      </c>
      <c r="AF145" s="102">
        <f t="shared" si="110"/>
        <v>6169535.4203289226</v>
      </c>
      <c r="AG145" s="102">
        <f t="shared" si="110"/>
        <v>0</v>
      </c>
      <c r="AH145" s="102">
        <f t="shared" si="110"/>
        <v>773569.48959236697</v>
      </c>
      <c r="AI145" s="102">
        <f t="shared" si="110"/>
        <v>0</v>
      </c>
      <c r="AJ145" s="102">
        <f t="shared" si="110"/>
        <v>0</v>
      </c>
      <c r="AK145" s="101">
        <f>SUM(H145:AJ145)</f>
        <v>3639079759.3610191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1">SUM(H151:AJ151)</f>
        <v>9442701.0434221905</v>
      </c>
      <c r="AL151" s="98" t="str">
        <f t="shared" ref="AL151:AL156" si="112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1"/>
        <v>372621658.94834697</v>
      </c>
      <c r="AL152" s="98" t="str">
        <f t="shared" si="112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3">H361</f>
        <v>2836708.4205598361</v>
      </c>
      <c r="I153" s="101">
        <f t="shared" si="113"/>
        <v>2674101.9074490941</v>
      </c>
      <c r="J153" s="101">
        <f t="shared" si="113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1"/>
        <v>15516428.646901891</v>
      </c>
      <c r="AL153" s="98" t="str">
        <f t="shared" si="112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3"/>
        <v>2023579.3654843117</v>
      </c>
      <c r="I154" s="101">
        <f t="shared" si="113"/>
        <v>1907583.2404545445</v>
      </c>
      <c r="J154" s="101">
        <f t="shared" si="113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1"/>
        <v>7214387.5946459845</v>
      </c>
      <c r="AL154" s="98" t="str">
        <f t="shared" si="112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1"/>
        <v>14444590.015824649</v>
      </c>
      <c r="AL155" s="98" t="str">
        <f t="shared" si="112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1"/>
        <v>0</v>
      </c>
      <c r="AL156" s="98" t="str">
        <f t="shared" si="112"/>
        <v>ok</v>
      </c>
    </row>
    <row r="157" spans="1:39" x14ac:dyDescent="0.25">
      <c r="A157" s="97">
        <v>509</v>
      </c>
      <c r="B157" s="97" t="s">
        <v>2381</v>
      </c>
      <c r="C157" s="97" t="s">
        <v>2380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>SUM(H157:AJ157)</f>
        <v>0</v>
      </c>
      <c r="AL157" s="98" t="str">
        <f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4">SUM(I151:I158)</f>
        <v>11898541.276501145</v>
      </c>
      <c r="J159" s="100">
        <f t="shared" si="114"/>
        <v>12219884.031343145</v>
      </c>
      <c r="K159" s="100">
        <f t="shared" si="114"/>
        <v>382499274.39349431</v>
      </c>
      <c r="L159" s="100">
        <f t="shared" si="114"/>
        <v>0</v>
      </c>
      <c r="M159" s="100">
        <f t="shared" si="114"/>
        <v>0</v>
      </c>
      <c r="O159" s="100">
        <f t="shared" si="114"/>
        <v>0</v>
      </c>
      <c r="P159" s="100">
        <f>SUM(P151:P158)</f>
        <v>0</v>
      </c>
      <c r="Q159" s="100">
        <f>SUM(Q151:Q158)</f>
        <v>0</v>
      </c>
      <c r="S159" s="100">
        <f t="shared" si="114"/>
        <v>0</v>
      </c>
      <c r="T159" s="100">
        <f t="shared" si="114"/>
        <v>0</v>
      </c>
      <c r="U159" s="100">
        <f t="shared" si="114"/>
        <v>0</v>
      </c>
      <c r="V159" s="100">
        <f t="shared" si="114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4"/>
        <v>0</v>
      </c>
      <c r="AA159" s="100">
        <f t="shared" si="114"/>
        <v>0</v>
      </c>
      <c r="AB159" s="100">
        <f>SUM(AB151:AB158)</f>
        <v>0</v>
      </c>
      <c r="AC159" s="100">
        <f>SUM(AC151:AC158)</f>
        <v>0</v>
      </c>
      <c r="AD159" s="100">
        <f t="shared" si="114"/>
        <v>0</v>
      </c>
      <c r="AF159" s="100">
        <f t="shared" si="114"/>
        <v>0</v>
      </c>
      <c r="AH159" s="100">
        <f t="shared" si="114"/>
        <v>0</v>
      </c>
      <c r="AJ159" s="100">
        <f t="shared" si="114"/>
        <v>0</v>
      </c>
      <c r="AK159" s="100">
        <f t="shared" si="114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5">SUM(H162:H167)</f>
        <v>2387583.6238140143</v>
      </c>
      <c r="I168" s="100">
        <f t="shared" si="115"/>
        <v>2250721.9551931387</v>
      </c>
      <c r="J168" s="100">
        <f t="shared" si="115"/>
        <v>2311506.9856147682</v>
      </c>
      <c r="K168" s="100">
        <f t="shared" si="115"/>
        <v>60167522.361166075</v>
      </c>
      <c r="L168" s="100">
        <f t="shared" si="115"/>
        <v>0</v>
      </c>
      <c r="M168" s="100">
        <f t="shared" si="115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6">SUM(S162:S167)</f>
        <v>0</v>
      </c>
      <c r="T168" s="100">
        <f t="shared" si="116"/>
        <v>0</v>
      </c>
      <c r="U168" s="100">
        <f t="shared" si="116"/>
        <v>0</v>
      </c>
      <c r="V168" s="100">
        <f t="shared" si="116"/>
        <v>0</v>
      </c>
      <c r="W168" s="100">
        <f t="shared" si="116"/>
        <v>0</v>
      </c>
      <c r="X168" s="100">
        <f t="shared" si="116"/>
        <v>0</v>
      </c>
      <c r="Y168" s="100">
        <f t="shared" si="116"/>
        <v>0</v>
      </c>
      <c r="Z168" s="100">
        <f t="shared" si="116"/>
        <v>0</v>
      </c>
      <c r="AA168" s="100">
        <f t="shared" si="116"/>
        <v>0</v>
      </c>
      <c r="AB168" s="100">
        <f t="shared" si="116"/>
        <v>0</v>
      </c>
      <c r="AC168" s="100">
        <f t="shared" si="116"/>
        <v>0</v>
      </c>
      <c r="AD168" s="100">
        <f t="shared" si="116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17">H159+H168</f>
        <v>15009650.171617081</v>
      </c>
      <c r="I170" s="100">
        <f t="shared" si="117"/>
        <v>14149263.231694285</v>
      </c>
      <c r="J170" s="100">
        <f t="shared" si="117"/>
        <v>14531391.016957913</v>
      </c>
      <c r="K170" s="100">
        <f t="shared" si="117"/>
        <v>442666796.75466037</v>
      </c>
      <c r="L170" s="100">
        <f t="shared" si="117"/>
        <v>0</v>
      </c>
      <c r="M170" s="100">
        <f t="shared" si="117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18">S159+S168</f>
        <v>0</v>
      </c>
      <c r="T170" s="100">
        <f t="shared" si="118"/>
        <v>0</v>
      </c>
      <c r="U170" s="100">
        <f t="shared" si="118"/>
        <v>0</v>
      </c>
      <c r="V170" s="100">
        <f t="shared" si="118"/>
        <v>0</v>
      </c>
      <c r="W170" s="100">
        <f t="shared" si="118"/>
        <v>0</v>
      </c>
      <c r="X170" s="100">
        <f t="shared" si="118"/>
        <v>0</v>
      </c>
      <c r="Y170" s="100">
        <f t="shared" si="118"/>
        <v>0</v>
      </c>
      <c r="Z170" s="100">
        <f t="shared" si="118"/>
        <v>0</v>
      </c>
      <c r="AA170" s="100">
        <f t="shared" si="118"/>
        <v>0</v>
      </c>
      <c r="AB170" s="100">
        <f t="shared" si="118"/>
        <v>0</v>
      </c>
      <c r="AC170" s="100">
        <f t="shared" si="118"/>
        <v>0</v>
      </c>
      <c r="AD170" s="100">
        <f t="shared" si="118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19">IF(VLOOKUP($D173,$C$5:$AJ$644,6,)=0,0,((VLOOKUP($D173,$C$5:$AJ$644,6,)/VLOOKUP($D173,$C$5:$AJ$644,4,))*$F173))</f>
        <v>0</v>
      </c>
      <c r="I173" s="101">
        <f t="shared" ref="I173:I178" si="120">IF(VLOOKUP($D173,$C$5:$AJ$644,7,)=0,0,((VLOOKUP($D173,$C$5:$AJ$644,7,)/VLOOKUP($D173,$C$5:$AJ$644,4,))*$F173))</f>
        <v>0</v>
      </c>
      <c r="J173" s="101">
        <f t="shared" ref="J173:J178" si="121">IF(VLOOKUP($D173,$C$5:$AJ$644,8,)=0,0,((VLOOKUP($D173,$C$5:$AJ$644,8,)/VLOOKUP($D173,$C$5:$AJ$644,4,))*$F173))</f>
        <v>0</v>
      </c>
      <c r="K173" s="101">
        <f t="shared" ref="K173:K178" si="122">IF(VLOOKUP($D173,$C$5:$AJ$644,9,)=0,0,((VLOOKUP($D173,$C$5:$AJ$644,9,)/VLOOKUP($D173,$C$5:$AJ$644,4,))*$F173))</f>
        <v>0</v>
      </c>
      <c r="L173" s="101">
        <f t="shared" ref="L173:L178" si="123">IF(VLOOKUP($D173,$C$5:$AJ$644,10,)=0,0,((VLOOKUP($D173,$C$5:$AJ$644,10,)/VLOOKUP($D173,$C$5:$AJ$644,4,))*$F173))</f>
        <v>0</v>
      </c>
      <c r="M173" s="101">
        <f t="shared" ref="M173:M178" si="124">IF(VLOOKUP($D173,$C$5:$AJ$644,11,)=0,0,((VLOOKUP($D173,$C$5:$AJ$644,11,)/VLOOKUP($D173,$C$5:$AJ$644,4,))*$F173))</f>
        <v>0</v>
      </c>
      <c r="N173" s="101"/>
      <c r="O173" s="101">
        <f t="shared" ref="O173:O178" si="125">IF(VLOOKUP($D173,$C$5:$AJ$644,13,)=0,0,((VLOOKUP($D173,$C$5:$AJ$644,13,)/VLOOKUP($D173,$C$5:$AJ$644,4,))*$F173))</f>
        <v>0</v>
      </c>
      <c r="P173" s="101">
        <f t="shared" ref="P173:P178" si="126">IF(VLOOKUP($D173,$C$5:$AJ$644,14,)=0,0,((VLOOKUP($D173,$C$5:$AJ$644,14,)/VLOOKUP($D173,$C$5:$AJ$644,4,))*$F173))</f>
        <v>0</v>
      </c>
      <c r="Q173" s="101">
        <f t="shared" ref="Q173:Q178" si="127">IF(VLOOKUP($D173,$C$5:$AJ$644,15,)=0,0,((VLOOKUP($D173,$C$5:$AJ$644,15,)/VLOOKUP($D173,$C$5:$AJ$644,4,))*$F173))</f>
        <v>0</v>
      </c>
      <c r="R173" s="101"/>
      <c r="S173" s="101">
        <f t="shared" ref="S173:S178" si="128">IF(VLOOKUP($D173,$C$5:$AJ$644,17,)=0,0,((VLOOKUP($D173,$C$5:$AJ$644,17,)/VLOOKUP($D173,$C$5:$AJ$644,4,))*$F173))</f>
        <v>0</v>
      </c>
      <c r="T173" s="101">
        <f t="shared" ref="T173:T178" si="129">IF(VLOOKUP($D173,$C$5:$AJ$644,18,)=0,0,((VLOOKUP($D173,$C$5:$AJ$644,18,)/VLOOKUP($D173,$C$5:$AJ$644,4,))*$F173))</f>
        <v>0</v>
      </c>
      <c r="U173" s="101">
        <f t="shared" ref="U173:U178" si="130">IF(VLOOKUP($D173,$C$5:$AJ$644,19,)=0,0,((VLOOKUP($D173,$C$5:$AJ$644,19,)/VLOOKUP($D173,$C$5:$AJ$644,4,))*$F173))</f>
        <v>0</v>
      </c>
      <c r="V173" s="101">
        <f t="shared" ref="V173:V178" si="131">IF(VLOOKUP($D173,$C$5:$AJ$644,20,)=0,0,((VLOOKUP($D173,$C$5:$AJ$644,20,)/VLOOKUP($D173,$C$5:$AJ$644,4,))*$F173))</f>
        <v>0</v>
      </c>
      <c r="W173" s="101">
        <f t="shared" ref="W173:W178" si="132">IF(VLOOKUP($D173,$C$5:$AJ$644,21,)=0,0,((VLOOKUP($D173,$C$5:$AJ$644,21,)/VLOOKUP($D173,$C$5:$AJ$644,4,))*$F173))</f>
        <v>0</v>
      </c>
      <c r="X173" s="101">
        <f t="shared" ref="X173:X178" si="133">IF(VLOOKUP($D173,$C$5:$AJ$644,22,)=0,0,((VLOOKUP($D173,$C$5:$AJ$644,22,)/VLOOKUP($D173,$C$5:$AJ$644,4,))*$F173))</f>
        <v>0</v>
      </c>
      <c r="Y173" s="101">
        <f t="shared" ref="Y173:Y178" si="134">IF(VLOOKUP($D173,$C$5:$AJ$644,23,)=0,0,((VLOOKUP($D173,$C$5:$AJ$644,23,)/VLOOKUP($D173,$C$5:$AJ$644,4,))*$F173))</f>
        <v>0</v>
      </c>
      <c r="Z173" s="101">
        <f t="shared" ref="Z173:Z178" si="135">IF(VLOOKUP($D173,$C$5:$AJ$644,24,)=0,0,((VLOOKUP($D173,$C$5:$AJ$644,24,)/VLOOKUP($D173,$C$5:$AJ$644,4,))*$F173))</f>
        <v>0</v>
      </c>
      <c r="AA173" s="101">
        <f t="shared" ref="AA173:AA178" si="136">IF(VLOOKUP($D173,$C$5:$AJ$644,25,)=0,0,((VLOOKUP($D173,$C$5:$AJ$644,25,)/VLOOKUP($D173,$C$5:$AJ$644,4,))*$F173))</f>
        <v>0</v>
      </c>
      <c r="AB173" s="101">
        <f t="shared" ref="AB173:AB178" si="137">IF(VLOOKUP($D173,$C$5:$AJ$644,26,)=0,0,((VLOOKUP($D173,$C$5:$AJ$644,26,)/VLOOKUP($D173,$C$5:$AJ$644,4,))*$F173))</f>
        <v>0</v>
      </c>
      <c r="AC173" s="101">
        <f t="shared" ref="AC173:AC178" si="138">IF(VLOOKUP($D173,$C$5:$AJ$644,27,)=0,0,((VLOOKUP($D173,$C$5:$AJ$644,27,)/VLOOKUP($D173,$C$5:$AJ$644,4,))*$F173))</f>
        <v>0</v>
      </c>
      <c r="AD173" s="101">
        <f t="shared" ref="AD173:AD178" si="139">IF(VLOOKUP($D173,$C$5:$AJ$644,28,)=0,0,((VLOOKUP($D173,$C$5:$AJ$644,28,)/VLOOKUP($D173,$C$5:$AJ$644,4,))*$F173))</f>
        <v>0</v>
      </c>
      <c r="AE173" s="101"/>
      <c r="AF173" s="101">
        <f t="shared" ref="AF173:AF178" si="140">IF(VLOOKUP($D173,$C$5:$AJ$644,30,)=0,0,((VLOOKUP($D173,$C$5:$AJ$644,30,)/VLOOKUP($D173,$C$5:$AJ$644,4,))*$F173))</f>
        <v>0</v>
      </c>
      <c r="AG173" s="101"/>
      <c r="AH173" s="101">
        <f t="shared" ref="AH173:AH178" si="141">IF(VLOOKUP($D173,$C$5:$AJ$644,32,)=0,0,((VLOOKUP($D173,$C$5:$AJ$644,32,)/VLOOKUP($D173,$C$5:$AJ$644,4,))*$F173))</f>
        <v>0</v>
      </c>
      <c r="AI173" s="101"/>
      <c r="AJ173" s="101">
        <f t="shared" ref="AJ173:AJ178" si="142">IF(VLOOKUP($D173,$C$5:$AJ$644,34,)=0,0,((VLOOKUP($D173,$C$5:$AJ$644,34,)/VLOOKUP($D173,$C$5:$AJ$644,4,))*$F173))</f>
        <v>0</v>
      </c>
      <c r="AK173" s="101">
        <f t="shared" ref="AK173:AK178" si="143">SUM(H173:AJ173)</f>
        <v>0</v>
      </c>
      <c r="AL173" s="98" t="str">
        <f t="shared" ref="AL173:AL178" si="144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19"/>
        <v>0</v>
      </c>
      <c r="I174" s="101">
        <f t="shared" si="120"/>
        <v>0</v>
      </c>
      <c r="J174" s="101">
        <f t="shared" si="121"/>
        <v>0</v>
      </c>
      <c r="K174" s="101">
        <f t="shared" si="122"/>
        <v>0</v>
      </c>
      <c r="L174" s="101">
        <f t="shared" si="123"/>
        <v>0</v>
      </c>
      <c r="M174" s="101">
        <f t="shared" si="124"/>
        <v>0</v>
      </c>
      <c r="N174" s="101"/>
      <c r="O174" s="101">
        <f t="shared" si="125"/>
        <v>0</v>
      </c>
      <c r="P174" s="101">
        <f t="shared" si="126"/>
        <v>0</v>
      </c>
      <c r="Q174" s="101">
        <f t="shared" si="127"/>
        <v>0</v>
      </c>
      <c r="R174" s="101"/>
      <c r="S174" s="101">
        <f t="shared" si="128"/>
        <v>0</v>
      </c>
      <c r="T174" s="101">
        <f t="shared" si="129"/>
        <v>0</v>
      </c>
      <c r="U174" s="101">
        <f t="shared" si="130"/>
        <v>0</v>
      </c>
      <c r="V174" s="101">
        <f t="shared" si="131"/>
        <v>0</v>
      </c>
      <c r="W174" s="101">
        <f t="shared" si="132"/>
        <v>0</v>
      </c>
      <c r="X174" s="101">
        <f t="shared" si="133"/>
        <v>0</v>
      </c>
      <c r="Y174" s="101">
        <f t="shared" si="134"/>
        <v>0</v>
      </c>
      <c r="Z174" s="101">
        <f t="shared" si="135"/>
        <v>0</v>
      </c>
      <c r="AA174" s="101">
        <f t="shared" si="136"/>
        <v>0</v>
      </c>
      <c r="AB174" s="101">
        <f t="shared" si="137"/>
        <v>0</v>
      </c>
      <c r="AC174" s="101">
        <f t="shared" si="138"/>
        <v>0</v>
      </c>
      <c r="AD174" s="101">
        <f t="shared" si="139"/>
        <v>0</v>
      </c>
      <c r="AE174" s="101"/>
      <c r="AF174" s="101">
        <f t="shared" si="140"/>
        <v>0</v>
      </c>
      <c r="AG174" s="101"/>
      <c r="AH174" s="101">
        <f t="shared" si="141"/>
        <v>0</v>
      </c>
      <c r="AI174" s="101"/>
      <c r="AJ174" s="101">
        <f t="shared" si="142"/>
        <v>0</v>
      </c>
      <c r="AK174" s="101">
        <f t="shared" si="143"/>
        <v>0</v>
      </c>
      <c r="AL174" s="98" t="str">
        <f t="shared" si="144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19"/>
        <v>0</v>
      </c>
      <c r="I175" s="101">
        <f t="shared" si="120"/>
        <v>0</v>
      </c>
      <c r="J175" s="101">
        <f t="shared" si="121"/>
        <v>0</v>
      </c>
      <c r="K175" s="101">
        <f t="shared" si="122"/>
        <v>0</v>
      </c>
      <c r="L175" s="101">
        <f t="shared" si="123"/>
        <v>0</v>
      </c>
      <c r="M175" s="101">
        <f t="shared" si="124"/>
        <v>0</v>
      </c>
      <c r="N175" s="101"/>
      <c r="O175" s="101">
        <f t="shared" si="125"/>
        <v>0</v>
      </c>
      <c r="P175" s="101">
        <f t="shared" si="126"/>
        <v>0</v>
      </c>
      <c r="Q175" s="101">
        <f t="shared" si="127"/>
        <v>0</v>
      </c>
      <c r="R175" s="101"/>
      <c r="S175" s="101">
        <f t="shared" si="128"/>
        <v>0</v>
      </c>
      <c r="T175" s="101">
        <f t="shared" si="129"/>
        <v>0</v>
      </c>
      <c r="U175" s="101">
        <f t="shared" si="130"/>
        <v>0</v>
      </c>
      <c r="V175" s="101">
        <f t="shared" si="131"/>
        <v>0</v>
      </c>
      <c r="W175" s="101">
        <f t="shared" si="132"/>
        <v>0</v>
      </c>
      <c r="X175" s="101">
        <f t="shared" si="133"/>
        <v>0</v>
      </c>
      <c r="Y175" s="101">
        <f t="shared" si="134"/>
        <v>0</v>
      </c>
      <c r="Z175" s="101">
        <f t="shared" si="135"/>
        <v>0</v>
      </c>
      <c r="AA175" s="101">
        <f t="shared" si="136"/>
        <v>0</v>
      </c>
      <c r="AB175" s="101">
        <f t="shared" si="137"/>
        <v>0</v>
      </c>
      <c r="AC175" s="101">
        <f t="shared" si="138"/>
        <v>0</v>
      </c>
      <c r="AD175" s="101">
        <f t="shared" si="139"/>
        <v>0</v>
      </c>
      <c r="AE175" s="101"/>
      <c r="AF175" s="101">
        <f t="shared" si="140"/>
        <v>0</v>
      </c>
      <c r="AG175" s="101"/>
      <c r="AH175" s="101">
        <f t="shared" si="141"/>
        <v>0</v>
      </c>
      <c r="AI175" s="101"/>
      <c r="AJ175" s="101">
        <f t="shared" si="142"/>
        <v>0</v>
      </c>
      <c r="AK175" s="101">
        <f t="shared" si="143"/>
        <v>0</v>
      </c>
      <c r="AL175" s="98" t="str">
        <f t="shared" si="144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19"/>
        <v>0</v>
      </c>
      <c r="I176" s="101">
        <f t="shared" si="120"/>
        <v>0</v>
      </c>
      <c r="J176" s="101">
        <f t="shared" si="121"/>
        <v>0</v>
      </c>
      <c r="K176" s="101">
        <f t="shared" si="122"/>
        <v>0</v>
      </c>
      <c r="L176" s="101">
        <f t="shared" si="123"/>
        <v>0</v>
      </c>
      <c r="M176" s="101">
        <f t="shared" si="124"/>
        <v>0</v>
      </c>
      <c r="N176" s="101"/>
      <c r="O176" s="101">
        <f t="shared" si="125"/>
        <v>0</v>
      </c>
      <c r="P176" s="101">
        <f t="shared" si="126"/>
        <v>0</v>
      </c>
      <c r="Q176" s="101">
        <f t="shared" si="127"/>
        <v>0</v>
      </c>
      <c r="R176" s="101"/>
      <c r="S176" s="101">
        <f t="shared" si="128"/>
        <v>0</v>
      </c>
      <c r="T176" s="101">
        <f t="shared" si="129"/>
        <v>0</v>
      </c>
      <c r="U176" s="101">
        <f t="shared" si="130"/>
        <v>0</v>
      </c>
      <c r="V176" s="101">
        <f t="shared" si="131"/>
        <v>0</v>
      </c>
      <c r="W176" s="101">
        <f t="shared" si="132"/>
        <v>0</v>
      </c>
      <c r="X176" s="101">
        <f t="shared" si="133"/>
        <v>0</v>
      </c>
      <c r="Y176" s="101">
        <f t="shared" si="134"/>
        <v>0</v>
      </c>
      <c r="Z176" s="101">
        <f t="shared" si="135"/>
        <v>0</v>
      </c>
      <c r="AA176" s="101">
        <f t="shared" si="136"/>
        <v>0</v>
      </c>
      <c r="AB176" s="101">
        <f t="shared" si="137"/>
        <v>0</v>
      </c>
      <c r="AC176" s="101">
        <f t="shared" si="138"/>
        <v>0</v>
      </c>
      <c r="AD176" s="101">
        <f t="shared" si="139"/>
        <v>0</v>
      </c>
      <c r="AE176" s="101"/>
      <c r="AF176" s="101">
        <f t="shared" si="140"/>
        <v>0</v>
      </c>
      <c r="AG176" s="101"/>
      <c r="AH176" s="101">
        <f t="shared" si="141"/>
        <v>0</v>
      </c>
      <c r="AI176" s="101"/>
      <c r="AJ176" s="101">
        <f t="shared" si="142"/>
        <v>0</v>
      </c>
      <c r="AK176" s="101">
        <f>SUM(H176:AJ176)</f>
        <v>0</v>
      </c>
      <c r="AL176" s="98" t="str">
        <f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19"/>
        <v>2927.9726132709379</v>
      </c>
      <c r="I177" s="101">
        <f t="shared" si="120"/>
        <v>2760.1346311656876</v>
      </c>
      <c r="J177" s="101">
        <f t="shared" si="121"/>
        <v>2834.6773205174704</v>
      </c>
      <c r="K177" s="101">
        <f t="shared" si="122"/>
        <v>0</v>
      </c>
      <c r="L177" s="101">
        <f t="shared" si="123"/>
        <v>0</v>
      </c>
      <c r="M177" s="101">
        <f t="shared" si="124"/>
        <v>0</v>
      </c>
      <c r="N177" s="101"/>
      <c r="O177" s="101">
        <f t="shared" si="125"/>
        <v>0</v>
      </c>
      <c r="P177" s="101">
        <f t="shared" si="126"/>
        <v>0</v>
      </c>
      <c r="Q177" s="101">
        <f t="shared" si="127"/>
        <v>0</v>
      </c>
      <c r="R177" s="101"/>
      <c r="S177" s="101">
        <f t="shared" si="128"/>
        <v>0</v>
      </c>
      <c r="T177" s="101">
        <f t="shared" si="129"/>
        <v>0</v>
      </c>
      <c r="U177" s="101">
        <f t="shared" si="130"/>
        <v>0</v>
      </c>
      <c r="V177" s="101">
        <f t="shared" si="131"/>
        <v>0</v>
      </c>
      <c r="W177" s="101">
        <f t="shared" si="132"/>
        <v>0</v>
      </c>
      <c r="X177" s="101">
        <f t="shared" si="133"/>
        <v>0</v>
      </c>
      <c r="Y177" s="101">
        <f t="shared" si="134"/>
        <v>0</v>
      </c>
      <c r="Z177" s="101">
        <f t="shared" si="135"/>
        <v>0</v>
      </c>
      <c r="AA177" s="101">
        <f t="shared" si="136"/>
        <v>0</v>
      </c>
      <c r="AB177" s="101">
        <f t="shared" si="137"/>
        <v>0</v>
      </c>
      <c r="AC177" s="101">
        <f t="shared" si="138"/>
        <v>0</v>
      </c>
      <c r="AD177" s="101">
        <f t="shared" si="139"/>
        <v>0</v>
      </c>
      <c r="AE177" s="101"/>
      <c r="AF177" s="101">
        <f t="shared" si="140"/>
        <v>0</v>
      </c>
      <c r="AG177" s="101"/>
      <c r="AH177" s="101">
        <f t="shared" si="141"/>
        <v>0</v>
      </c>
      <c r="AI177" s="101"/>
      <c r="AJ177" s="101">
        <f t="shared" si="142"/>
        <v>0</v>
      </c>
      <c r="AK177" s="101">
        <f t="shared" si="143"/>
        <v>8522.7845649540959</v>
      </c>
      <c r="AL177" s="98" t="str">
        <f t="shared" si="144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19"/>
        <v>0</v>
      </c>
      <c r="I178" s="101">
        <f t="shared" si="120"/>
        <v>0</v>
      </c>
      <c r="J178" s="101">
        <f t="shared" si="121"/>
        <v>0</v>
      </c>
      <c r="K178" s="101">
        <f t="shared" si="122"/>
        <v>0</v>
      </c>
      <c r="L178" s="101">
        <f t="shared" si="123"/>
        <v>0</v>
      </c>
      <c r="M178" s="101">
        <f t="shared" si="124"/>
        <v>0</v>
      </c>
      <c r="N178" s="101"/>
      <c r="O178" s="101">
        <f t="shared" si="125"/>
        <v>0</v>
      </c>
      <c r="P178" s="101">
        <f t="shared" si="126"/>
        <v>0</v>
      </c>
      <c r="Q178" s="101">
        <f t="shared" si="127"/>
        <v>0</v>
      </c>
      <c r="R178" s="101"/>
      <c r="S178" s="101">
        <f t="shared" si="128"/>
        <v>0</v>
      </c>
      <c r="T178" s="101">
        <f t="shared" si="129"/>
        <v>0</v>
      </c>
      <c r="U178" s="101">
        <f t="shared" si="130"/>
        <v>0</v>
      </c>
      <c r="V178" s="101">
        <f t="shared" si="131"/>
        <v>0</v>
      </c>
      <c r="W178" s="101">
        <f t="shared" si="132"/>
        <v>0</v>
      </c>
      <c r="X178" s="101">
        <f t="shared" si="133"/>
        <v>0</v>
      </c>
      <c r="Y178" s="101">
        <f t="shared" si="134"/>
        <v>0</v>
      </c>
      <c r="Z178" s="101">
        <f t="shared" si="135"/>
        <v>0</v>
      </c>
      <c r="AA178" s="101">
        <f t="shared" si="136"/>
        <v>0</v>
      </c>
      <c r="AB178" s="101">
        <f t="shared" si="137"/>
        <v>0</v>
      </c>
      <c r="AC178" s="101">
        <f t="shared" si="138"/>
        <v>0</v>
      </c>
      <c r="AD178" s="101">
        <f t="shared" si="139"/>
        <v>0</v>
      </c>
      <c r="AE178" s="101"/>
      <c r="AF178" s="101">
        <f t="shared" si="140"/>
        <v>0</v>
      </c>
      <c r="AG178" s="101"/>
      <c r="AH178" s="101">
        <f t="shared" si="141"/>
        <v>0</v>
      </c>
      <c r="AI178" s="101"/>
      <c r="AJ178" s="101">
        <f t="shared" si="142"/>
        <v>0</v>
      </c>
      <c r="AK178" s="101">
        <f t="shared" si="143"/>
        <v>0</v>
      </c>
      <c r="AL178" s="98" t="str">
        <f t="shared" si="144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45">SUM(H173:H179)</f>
        <v>2927.9726132709379</v>
      </c>
      <c r="I180" s="100">
        <f t="shared" si="145"/>
        <v>2760.1346311656876</v>
      </c>
      <c r="J180" s="100">
        <f t="shared" si="145"/>
        <v>2834.6773205174704</v>
      </c>
      <c r="K180" s="100">
        <f t="shared" si="145"/>
        <v>0</v>
      </c>
      <c r="L180" s="100">
        <f t="shared" si="145"/>
        <v>0</v>
      </c>
      <c r="M180" s="100">
        <f t="shared" si="145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46">SUM(S173:S179)</f>
        <v>0</v>
      </c>
      <c r="T180" s="100">
        <f t="shared" si="146"/>
        <v>0</v>
      </c>
      <c r="U180" s="100">
        <f t="shared" si="146"/>
        <v>0</v>
      </c>
      <c r="V180" s="100">
        <f t="shared" si="146"/>
        <v>0</v>
      </c>
      <c r="W180" s="100">
        <f t="shared" si="146"/>
        <v>0</v>
      </c>
      <c r="X180" s="100">
        <f t="shared" si="146"/>
        <v>0</v>
      </c>
      <c r="Y180" s="100">
        <f t="shared" si="146"/>
        <v>0</v>
      </c>
      <c r="Z180" s="100">
        <f t="shared" si="146"/>
        <v>0</v>
      </c>
      <c r="AA180" s="100">
        <f t="shared" si="146"/>
        <v>0</v>
      </c>
      <c r="AB180" s="100">
        <f t="shared" si="146"/>
        <v>0</v>
      </c>
      <c r="AC180" s="100">
        <f t="shared" si="146"/>
        <v>0</v>
      </c>
      <c r="AD180" s="100">
        <f t="shared" si="146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47">SUM(H183:H188)</f>
        <v>111958.9380343259</v>
      </c>
      <c r="I189" s="100">
        <f t="shared" si="147"/>
        <v>105541.19964662426</v>
      </c>
      <c r="J189" s="100">
        <f t="shared" si="147"/>
        <v>108391.54063008208</v>
      </c>
      <c r="K189" s="100">
        <f t="shared" si="147"/>
        <v>42621.667813915803</v>
      </c>
      <c r="L189" s="100">
        <f t="shared" si="147"/>
        <v>0</v>
      </c>
      <c r="M189" s="100">
        <f t="shared" si="147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48">SUM(S183:S188)</f>
        <v>0</v>
      </c>
      <c r="T189" s="100">
        <f t="shared" si="148"/>
        <v>0</v>
      </c>
      <c r="U189" s="100">
        <f t="shared" si="148"/>
        <v>0</v>
      </c>
      <c r="V189" s="100">
        <f t="shared" si="148"/>
        <v>0</v>
      </c>
      <c r="W189" s="100">
        <f t="shared" si="148"/>
        <v>0</v>
      </c>
      <c r="X189" s="100">
        <f t="shared" si="148"/>
        <v>0</v>
      </c>
      <c r="Y189" s="100">
        <f t="shared" si="148"/>
        <v>0</v>
      </c>
      <c r="Z189" s="100">
        <f t="shared" si="148"/>
        <v>0</v>
      </c>
      <c r="AA189" s="100">
        <f t="shared" si="148"/>
        <v>0</v>
      </c>
      <c r="AB189" s="100">
        <f t="shared" si="148"/>
        <v>0</v>
      </c>
      <c r="AC189" s="100">
        <f t="shared" si="148"/>
        <v>0</v>
      </c>
      <c r="AD189" s="100">
        <f t="shared" si="148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49">H180+H189</f>
        <v>114886.91064759683</v>
      </c>
      <c r="I191" s="100">
        <f t="shared" si="149"/>
        <v>108301.33427778994</v>
      </c>
      <c r="J191" s="100">
        <f t="shared" si="149"/>
        <v>111226.21795059954</v>
      </c>
      <c r="K191" s="100">
        <f t="shared" si="149"/>
        <v>42621.667813915803</v>
      </c>
      <c r="L191" s="100">
        <f t="shared" si="149"/>
        <v>0</v>
      </c>
      <c r="M191" s="100">
        <f t="shared" si="149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0">S180+S189</f>
        <v>0</v>
      </c>
      <c r="T191" s="100">
        <f t="shared" si="150"/>
        <v>0</v>
      </c>
      <c r="U191" s="100">
        <f t="shared" si="150"/>
        <v>0</v>
      </c>
      <c r="V191" s="100">
        <f t="shared" si="150"/>
        <v>0</v>
      </c>
      <c r="W191" s="100">
        <f t="shared" si="150"/>
        <v>0</v>
      </c>
      <c r="X191" s="100">
        <f t="shared" si="150"/>
        <v>0</v>
      </c>
      <c r="Y191" s="100">
        <f t="shared" si="150"/>
        <v>0</v>
      </c>
      <c r="Z191" s="100">
        <f t="shared" si="150"/>
        <v>0</v>
      </c>
      <c r="AA191" s="100">
        <f t="shared" si="150"/>
        <v>0</v>
      </c>
      <c r="AB191" s="100">
        <f t="shared" si="150"/>
        <v>0</v>
      </c>
      <c r="AC191" s="100">
        <f t="shared" si="150"/>
        <v>0</v>
      </c>
      <c r="AD191" s="100">
        <f t="shared" si="150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1">SUM(H194:H199)</f>
        <v>1829788.515439146</v>
      </c>
      <c r="I200" s="100">
        <f t="shared" si="151"/>
        <v>1724900.9182264153</v>
      </c>
      <c r="J200" s="100">
        <f t="shared" si="151"/>
        <v>1771485.1506975878</v>
      </c>
      <c r="K200" s="100">
        <f t="shared" si="151"/>
        <v>130769641.49540326</v>
      </c>
      <c r="L200" s="100">
        <f t="shared" si="151"/>
        <v>0</v>
      </c>
      <c r="M200" s="100">
        <f t="shared" si="151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2">SUM(S194:S199)</f>
        <v>0</v>
      </c>
      <c r="T200" s="100">
        <f t="shared" si="152"/>
        <v>0</v>
      </c>
      <c r="U200" s="100">
        <f t="shared" si="152"/>
        <v>0</v>
      </c>
      <c r="V200" s="100">
        <f t="shared" si="152"/>
        <v>0</v>
      </c>
      <c r="W200" s="100">
        <f t="shared" si="152"/>
        <v>0</v>
      </c>
      <c r="X200" s="100">
        <f t="shared" si="152"/>
        <v>0</v>
      </c>
      <c r="Y200" s="100">
        <f t="shared" si="152"/>
        <v>0</v>
      </c>
      <c r="Z200" s="100">
        <f t="shared" si="152"/>
        <v>0</v>
      </c>
      <c r="AA200" s="100">
        <f t="shared" si="152"/>
        <v>0</v>
      </c>
      <c r="AB200" s="100">
        <f t="shared" si="152"/>
        <v>0</v>
      </c>
      <c r="AC200" s="100">
        <f t="shared" si="152"/>
        <v>0</v>
      </c>
      <c r="AD200" s="100">
        <f t="shared" si="152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3">SUM(H203:H207)</f>
        <v>4113120.6018170393</v>
      </c>
      <c r="I208" s="100">
        <f t="shared" si="153"/>
        <v>3877347.2688167337</v>
      </c>
      <c r="J208" s="100">
        <f t="shared" si="153"/>
        <v>3982062.411949561</v>
      </c>
      <c r="K208" s="100">
        <f t="shared" si="153"/>
        <v>0</v>
      </c>
      <c r="L208" s="100">
        <f t="shared" si="153"/>
        <v>0</v>
      </c>
      <c r="M208" s="100">
        <f t="shared" si="153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4">SUM(S203:S207)</f>
        <v>0</v>
      </c>
      <c r="T208" s="100">
        <f t="shared" si="154"/>
        <v>0</v>
      </c>
      <c r="U208" s="100">
        <f t="shared" si="154"/>
        <v>0</v>
      </c>
      <c r="V208" s="100">
        <f t="shared" si="154"/>
        <v>0</v>
      </c>
      <c r="W208" s="100">
        <f t="shared" si="154"/>
        <v>0</v>
      </c>
      <c r="X208" s="100">
        <f t="shared" si="154"/>
        <v>0</v>
      </c>
      <c r="Y208" s="100">
        <f t="shared" si="154"/>
        <v>0</v>
      </c>
      <c r="Z208" s="100">
        <f t="shared" si="154"/>
        <v>0</v>
      </c>
      <c r="AA208" s="100">
        <f t="shared" si="154"/>
        <v>0</v>
      </c>
      <c r="AB208" s="100">
        <f t="shared" si="154"/>
        <v>0</v>
      </c>
      <c r="AC208" s="100">
        <f t="shared" si="154"/>
        <v>0</v>
      </c>
      <c r="AD208" s="100">
        <f t="shared" si="154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55">H200+H208</f>
        <v>5942909.117256185</v>
      </c>
      <c r="I210" s="100">
        <f t="shared" si="155"/>
        <v>5602248.187043149</v>
      </c>
      <c r="J210" s="100">
        <f t="shared" si="155"/>
        <v>5753547.562647149</v>
      </c>
      <c r="K210" s="100">
        <f t="shared" si="155"/>
        <v>130769641.49540326</v>
      </c>
      <c r="L210" s="100">
        <f t="shared" si="155"/>
        <v>0</v>
      </c>
      <c r="M210" s="100">
        <f t="shared" si="155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56">S200+S208</f>
        <v>0</v>
      </c>
      <c r="T210" s="100">
        <f t="shared" si="156"/>
        <v>0</v>
      </c>
      <c r="U210" s="100">
        <f t="shared" si="156"/>
        <v>0</v>
      </c>
      <c r="V210" s="100">
        <f t="shared" si="156"/>
        <v>0</v>
      </c>
      <c r="W210" s="100">
        <f t="shared" si="156"/>
        <v>0</v>
      </c>
      <c r="X210" s="100">
        <f t="shared" si="156"/>
        <v>0</v>
      </c>
      <c r="Y210" s="100">
        <f t="shared" si="156"/>
        <v>0</v>
      </c>
      <c r="Z210" s="100">
        <f t="shared" si="156"/>
        <v>0</v>
      </c>
      <c r="AA210" s="100">
        <f t="shared" si="156"/>
        <v>0</v>
      </c>
      <c r="AB210" s="100">
        <f t="shared" si="156"/>
        <v>0</v>
      </c>
      <c r="AC210" s="100">
        <f t="shared" si="156"/>
        <v>0</v>
      </c>
      <c r="AD210" s="100">
        <f t="shared" si="156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57">H170+H191+H210</f>
        <v>21067446.199520864</v>
      </c>
      <c r="I212" s="100">
        <f t="shared" si="157"/>
        <v>19859812.753015224</v>
      </c>
      <c r="J212" s="100">
        <f t="shared" si="157"/>
        <v>20396164.797555663</v>
      </c>
      <c r="K212" s="100">
        <f t="shared" si="157"/>
        <v>573479059.91787755</v>
      </c>
      <c r="L212" s="100">
        <f t="shared" si="157"/>
        <v>0</v>
      </c>
      <c r="M212" s="100">
        <f t="shared" si="157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58">S170+S191+S210</f>
        <v>0</v>
      </c>
      <c r="T212" s="100">
        <f t="shared" si="158"/>
        <v>0</v>
      </c>
      <c r="U212" s="100">
        <f t="shared" si="158"/>
        <v>0</v>
      </c>
      <c r="V212" s="100">
        <f t="shared" si="158"/>
        <v>0</v>
      </c>
      <c r="W212" s="100">
        <f t="shared" si="158"/>
        <v>0</v>
      </c>
      <c r="X212" s="100">
        <f t="shared" si="158"/>
        <v>0</v>
      </c>
      <c r="Y212" s="100">
        <f t="shared" si="158"/>
        <v>0</v>
      </c>
      <c r="Z212" s="100">
        <f t="shared" si="158"/>
        <v>0</v>
      </c>
      <c r="AA212" s="100">
        <f t="shared" si="158"/>
        <v>0</v>
      </c>
      <c r="AB212" s="100">
        <f t="shared" si="158"/>
        <v>0</v>
      </c>
      <c r="AC212" s="100">
        <f t="shared" si="158"/>
        <v>0</v>
      </c>
      <c r="AD212" s="100">
        <f t="shared" si="158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59">IF(VLOOKUP($D215,$C$5:$AJ$644,6,)=0,0,((VLOOKUP($D215,$C$5:$AJ$644,6,)/VLOOKUP($D215,$C$5:$AJ$644,4,))*$F215))</f>
        <v>2507313.8524240828</v>
      </c>
      <c r="I215" s="101">
        <f t="shared" ref="I215:I220" si="160">IF(VLOOKUP($D215,$C$5:$AJ$644,7,)=0,0,((VLOOKUP($D215,$C$5:$AJ$644,7,)/VLOOKUP($D215,$C$5:$AJ$644,4,))*$F215))</f>
        <v>2626569.959146271</v>
      </c>
      <c r="J215" s="101">
        <f t="shared" ref="J215:J220" si="161">IF(VLOOKUP($D215,$C$5:$AJ$644,8,)=0,0,((VLOOKUP($D215,$C$5:$AJ$644,8,)/VLOOKUP($D215,$C$5:$AJ$644,4,))*$F215))</f>
        <v>2159031.6495701326</v>
      </c>
      <c r="K215" s="101">
        <f t="shared" ref="K215:K220" si="162">IF(VLOOKUP($D215,$C$5:$AJ$644,9,)=0,0,((VLOOKUP($D215,$C$5:$AJ$644,9,)/VLOOKUP($D215,$C$5:$AJ$644,4,))*$F215))</f>
        <v>43326391.204437748</v>
      </c>
      <c r="L215" s="101">
        <f t="shared" ref="L215:L220" si="163">IF(VLOOKUP($D215,$C$5:$AJ$644,10,)=0,0,((VLOOKUP($D215,$C$5:$AJ$644,10,)/VLOOKUP($D215,$C$5:$AJ$644,4,))*$F215))</f>
        <v>0</v>
      </c>
      <c r="M215" s="101">
        <f t="shared" ref="M215:M220" si="164">IF(VLOOKUP($D215,$C$5:$AJ$644,11,)=0,0,((VLOOKUP($D215,$C$5:$AJ$644,11,)/VLOOKUP($D215,$C$5:$AJ$644,4,))*$F215))</f>
        <v>0</v>
      </c>
      <c r="N215" s="101"/>
      <c r="O215" s="101">
        <f t="shared" ref="O215:O220" si="165">IF(VLOOKUP($D215,$C$5:$AJ$644,13,)=0,0,((VLOOKUP($D215,$C$5:$AJ$644,13,)/VLOOKUP($D215,$C$5:$AJ$644,4,))*$F215))</f>
        <v>0</v>
      </c>
      <c r="P215" s="101">
        <f t="shared" ref="P215:P220" si="166">IF(VLOOKUP($D215,$C$5:$AJ$644,14,)=0,0,((VLOOKUP($D215,$C$5:$AJ$644,14,)/VLOOKUP($D215,$C$5:$AJ$644,4,))*$F215))</f>
        <v>0</v>
      </c>
      <c r="Q215" s="101">
        <f t="shared" ref="Q215:Q220" si="167">IF(VLOOKUP($D215,$C$5:$AJ$644,15,)=0,0,((VLOOKUP($D215,$C$5:$AJ$644,15,)/VLOOKUP($D215,$C$5:$AJ$644,4,))*$F215))</f>
        <v>0</v>
      </c>
      <c r="R215" s="101"/>
      <c r="S215" s="101">
        <f t="shared" ref="S215:S220" si="168">IF(VLOOKUP($D215,$C$5:$AJ$644,17,)=0,0,((VLOOKUP($D215,$C$5:$AJ$644,17,)/VLOOKUP($D215,$C$5:$AJ$644,4,))*$F215))</f>
        <v>0</v>
      </c>
      <c r="T215" s="101">
        <f t="shared" ref="T215:T220" si="169">IF(VLOOKUP($D215,$C$5:$AJ$644,18,)=0,0,((VLOOKUP($D215,$C$5:$AJ$644,18,)/VLOOKUP($D215,$C$5:$AJ$644,4,))*$F215))</f>
        <v>0</v>
      </c>
      <c r="U215" s="101">
        <f t="shared" ref="U215:U220" si="170">IF(VLOOKUP($D215,$C$5:$AJ$644,19,)=0,0,((VLOOKUP($D215,$C$5:$AJ$644,19,)/VLOOKUP($D215,$C$5:$AJ$644,4,))*$F215))</f>
        <v>0</v>
      </c>
      <c r="V215" s="101">
        <f t="shared" ref="V215:V220" si="171">IF(VLOOKUP($D215,$C$5:$AJ$644,20,)=0,0,((VLOOKUP($D215,$C$5:$AJ$644,20,)/VLOOKUP($D215,$C$5:$AJ$644,4,))*$F215))</f>
        <v>0</v>
      </c>
      <c r="W215" s="101">
        <f t="shared" ref="W215:W220" si="172">IF(VLOOKUP($D215,$C$5:$AJ$644,21,)=0,0,((VLOOKUP($D215,$C$5:$AJ$644,21,)/VLOOKUP($D215,$C$5:$AJ$644,4,))*$F215))</f>
        <v>0</v>
      </c>
      <c r="X215" s="101">
        <f t="shared" ref="X215:X220" si="173">IF(VLOOKUP($D215,$C$5:$AJ$644,22,)=0,0,((VLOOKUP($D215,$C$5:$AJ$644,22,)/VLOOKUP($D215,$C$5:$AJ$644,4,))*$F215))</f>
        <v>0</v>
      </c>
      <c r="Y215" s="101">
        <f t="shared" ref="Y215:Y220" si="174">IF(VLOOKUP($D215,$C$5:$AJ$644,23,)=0,0,((VLOOKUP($D215,$C$5:$AJ$644,23,)/VLOOKUP($D215,$C$5:$AJ$644,4,))*$F215))</f>
        <v>0</v>
      </c>
      <c r="Z215" s="101">
        <f t="shared" ref="Z215:Z220" si="175">IF(VLOOKUP($D215,$C$5:$AJ$644,24,)=0,0,((VLOOKUP($D215,$C$5:$AJ$644,24,)/VLOOKUP($D215,$C$5:$AJ$644,4,))*$F215))</f>
        <v>0</v>
      </c>
      <c r="AA215" s="101">
        <f t="shared" ref="AA215:AA220" si="176">IF(VLOOKUP($D215,$C$5:$AJ$644,25,)=0,0,((VLOOKUP($D215,$C$5:$AJ$644,25,)/VLOOKUP($D215,$C$5:$AJ$644,4,))*$F215))</f>
        <v>0</v>
      </c>
      <c r="AB215" s="101">
        <f t="shared" ref="AB215:AB220" si="177">IF(VLOOKUP($D215,$C$5:$AJ$644,26,)=0,0,((VLOOKUP($D215,$C$5:$AJ$644,26,)/VLOOKUP($D215,$C$5:$AJ$644,4,))*$F215))</f>
        <v>0</v>
      </c>
      <c r="AC215" s="101">
        <f t="shared" ref="AC215:AC220" si="178">IF(VLOOKUP($D215,$C$5:$AJ$644,27,)=0,0,((VLOOKUP($D215,$C$5:$AJ$644,27,)/VLOOKUP($D215,$C$5:$AJ$644,4,))*$F215))</f>
        <v>0</v>
      </c>
      <c r="AD215" s="101">
        <f t="shared" ref="AD215:AD220" si="179">IF(VLOOKUP($D215,$C$5:$AJ$644,28,)=0,0,((VLOOKUP($D215,$C$5:$AJ$644,28,)/VLOOKUP($D215,$C$5:$AJ$644,4,))*$F215))</f>
        <v>0</v>
      </c>
      <c r="AE215" s="101"/>
      <c r="AF215" s="101">
        <f t="shared" ref="AF215:AF220" si="180">IF(VLOOKUP($D215,$C$5:$AJ$644,30,)=0,0,((VLOOKUP($D215,$C$5:$AJ$644,30,)/VLOOKUP($D215,$C$5:$AJ$644,4,))*$F215))</f>
        <v>0</v>
      </c>
      <c r="AG215" s="101"/>
      <c r="AH215" s="101">
        <f t="shared" ref="AH215:AH220" si="181">IF(VLOOKUP($D215,$C$5:$AJ$644,32,)=0,0,((VLOOKUP($D215,$C$5:$AJ$644,32,)/VLOOKUP($D215,$C$5:$AJ$644,4,))*$F215))</f>
        <v>0</v>
      </c>
      <c r="AI215" s="101"/>
      <c r="AJ215" s="101">
        <f t="shared" ref="AJ215:AJ220" si="182">IF(VLOOKUP($D215,$C$5:$AJ$644,34,)=0,0,((VLOOKUP($D215,$C$5:$AJ$644,34,)/VLOOKUP($D215,$C$5:$AJ$644,4,))*$F215))</f>
        <v>0</v>
      </c>
      <c r="AK215" s="101">
        <f t="shared" ref="AK215:AK220" si="183">SUM(H215:AJ215)</f>
        <v>50619306.665578231</v>
      </c>
      <c r="AL215" s="98" t="str">
        <f t="shared" ref="AL215:AL220" si="184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59"/>
        <v>0</v>
      </c>
      <c r="I216" s="101">
        <f t="shared" si="160"/>
        <v>0</v>
      </c>
      <c r="J216" s="101">
        <f t="shared" si="161"/>
        <v>0</v>
      </c>
      <c r="K216" s="101">
        <f t="shared" si="162"/>
        <v>0</v>
      </c>
      <c r="L216" s="101">
        <f t="shared" si="163"/>
        <v>0</v>
      </c>
      <c r="M216" s="101">
        <f t="shared" si="164"/>
        <v>0</v>
      </c>
      <c r="N216" s="101"/>
      <c r="O216" s="101">
        <f t="shared" si="165"/>
        <v>0</v>
      </c>
      <c r="P216" s="101">
        <f t="shared" si="166"/>
        <v>0</v>
      </c>
      <c r="Q216" s="101">
        <f t="shared" si="167"/>
        <v>0</v>
      </c>
      <c r="R216" s="101"/>
      <c r="S216" s="101">
        <f t="shared" si="168"/>
        <v>0</v>
      </c>
      <c r="T216" s="101">
        <f t="shared" si="169"/>
        <v>0</v>
      </c>
      <c r="U216" s="101">
        <f t="shared" si="170"/>
        <v>0</v>
      </c>
      <c r="V216" s="101">
        <f t="shared" si="171"/>
        <v>0</v>
      </c>
      <c r="W216" s="101">
        <f t="shared" si="172"/>
        <v>0</v>
      </c>
      <c r="X216" s="101">
        <f t="shared" si="173"/>
        <v>0</v>
      </c>
      <c r="Y216" s="101">
        <f t="shared" si="174"/>
        <v>0</v>
      </c>
      <c r="Z216" s="101">
        <f t="shared" si="175"/>
        <v>0</v>
      </c>
      <c r="AA216" s="101">
        <f t="shared" si="176"/>
        <v>0</v>
      </c>
      <c r="AB216" s="101">
        <f t="shared" si="177"/>
        <v>0</v>
      </c>
      <c r="AC216" s="101">
        <f t="shared" si="178"/>
        <v>0</v>
      </c>
      <c r="AD216" s="101">
        <f t="shared" si="179"/>
        <v>0</v>
      </c>
      <c r="AE216" s="101"/>
      <c r="AF216" s="101">
        <f t="shared" si="180"/>
        <v>0</v>
      </c>
      <c r="AG216" s="101"/>
      <c r="AH216" s="101">
        <f t="shared" si="181"/>
        <v>0</v>
      </c>
      <c r="AI216" s="101"/>
      <c r="AJ216" s="101">
        <f t="shared" si="182"/>
        <v>0</v>
      </c>
      <c r="AK216" s="101">
        <f t="shared" si="183"/>
        <v>0</v>
      </c>
      <c r="AL216" s="98" t="str">
        <f t="shared" si="184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59"/>
        <v>0</v>
      </c>
      <c r="I217" s="101">
        <f t="shared" si="160"/>
        <v>0</v>
      </c>
      <c r="J217" s="101">
        <f t="shared" si="161"/>
        <v>0</v>
      </c>
      <c r="K217" s="101">
        <f t="shared" si="162"/>
        <v>0</v>
      </c>
      <c r="L217" s="101">
        <f t="shared" si="163"/>
        <v>0</v>
      </c>
      <c r="M217" s="101">
        <f t="shared" si="164"/>
        <v>0</v>
      </c>
      <c r="N217" s="101"/>
      <c r="O217" s="101">
        <f t="shared" si="165"/>
        <v>0</v>
      </c>
      <c r="P217" s="101">
        <f t="shared" si="166"/>
        <v>0</v>
      </c>
      <c r="Q217" s="101">
        <f t="shared" si="167"/>
        <v>0</v>
      </c>
      <c r="R217" s="101"/>
      <c r="S217" s="101">
        <f t="shared" si="168"/>
        <v>0</v>
      </c>
      <c r="T217" s="101">
        <f t="shared" si="169"/>
        <v>0</v>
      </c>
      <c r="U217" s="101">
        <f t="shared" si="170"/>
        <v>0</v>
      </c>
      <c r="V217" s="101">
        <f t="shared" si="171"/>
        <v>0</v>
      </c>
      <c r="W217" s="101">
        <f t="shared" si="172"/>
        <v>0</v>
      </c>
      <c r="X217" s="101">
        <f t="shared" si="173"/>
        <v>0</v>
      </c>
      <c r="Y217" s="101">
        <f t="shared" si="174"/>
        <v>0</v>
      </c>
      <c r="Z217" s="101">
        <f t="shared" si="175"/>
        <v>0</v>
      </c>
      <c r="AA217" s="101">
        <f t="shared" si="176"/>
        <v>0</v>
      </c>
      <c r="AB217" s="101">
        <f t="shared" si="177"/>
        <v>0</v>
      </c>
      <c r="AC217" s="101">
        <f t="shared" si="178"/>
        <v>0</v>
      </c>
      <c r="AD217" s="101">
        <f t="shared" si="179"/>
        <v>0</v>
      </c>
      <c r="AE217" s="101"/>
      <c r="AF217" s="101">
        <f t="shared" si="180"/>
        <v>0</v>
      </c>
      <c r="AG217" s="101"/>
      <c r="AH217" s="101">
        <f t="shared" si="181"/>
        <v>0</v>
      </c>
      <c r="AI217" s="101"/>
      <c r="AJ217" s="101">
        <f t="shared" si="182"/>
        <v>0</v>
      </c>
      <c r="AK217" s="101">
        <f t="shared" si="183"/>
        <v>0</v>
      </c>
      <c r="AL217" s="98" t="str">
        <f t="shared" si="184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59"/>
        <v>0</v>
      </c>
      <c r="I218" s="101">
        <f t="shared" si="160"/>
        <v>0</v>
      </c>
      <c r="J218" s="101">
        <f t="shared" si="161"/>
        <v>0</v>
      </c>
      <c r="K218" s="101">
        <f t="shared" si="162"/>
        <v>0</v>
      </c>
      <c r="L218" s="101">
        <f t="shared" si="163"/>
        <v>0</v>
      </c>
      <c r="M218" s="101">
        <f t="shared" si="164"/>
        <v>0</v>
      </c>
      <c r="N218" s="101"/>
      <c r="O218" s="101">
        <f t="shared" si="165"/>
        <v>0</v>
      </c>
      <c r="P218" s="101">
        <f t="shared" si="166"/>
        <v>0</v>
      </c>
      <c r="Q218" s="101">
        <f t="shared" si="167"/>
        <v>0</v>
      </c>
      <c r="R218" s="101"/>
      <c r="S218" s="101">
        <f t="shared" si="168"/>
        <v>0</v>
      </c>
      <c r="T218" s="101">
        <f t="shared" si="169"/>
        <v>0</v>
      </c>
      <c r="U218" s="101">
        <f t="shared" si="170"/>
        <v>0</v>
      </c>
      <c r="V218" s="101">
        <f t="shared" si="171"/>
        <v>0</v>
      </c>
      <c r="W218" s="101">
        <f t="shared" si="172"/>
        <v>0</v>
      </c>
      <c r="X218" s="101">
        <f t="shared" si="173"/>
        <v>0</v>
      </c>
      <c r="Y218" s="101">
        <f t="shared" si="174"/>
        <v>0</v>
      </c>
      <c r="Z218" s="101">
        <f t="shared" si="175"/>
        <v>0</v>
      </c>
      <c r="AA218" s="101">
        <f t="shared" si="176"/>
        <v>0</v>
      </c>
      <c r="AB218" s="101">
        <f t="shared" si="177"/>
        <v>0</v>
      </c>
      <c r="AC218" s="101">
        <f t="shared" si="178"/>
        <v>0</v>
      </c>
      <c r="AD218" s="101">
        <f t="shared" si="179"/>
        <v>0</v>
      </c>
      <c r="AE218" s="101"/>
      <c r="AF218" s="101">
        <f t="shared" si="180"/>
        <v>0</v>
      </c>
      <c r="AG218" s="101"/>
      <c r="AH218" s="101">
        <f t="shared" si="181"/>
        <v>0</v>
      </c>
      <c r="AI218" s="101"/>
      <c r="AJ218" s="101">
        <f t="shared" si="182"/>
        <v>0</v>
      </c>
      <c r="AK218" s="101">
        <f t="shared" si="183"/>
        <v>0</v>
      </c>
      <c r="AL218" s="98" t="str">
        <f t="shared" si="184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59"/>
        <v>640617.0243222937</v>
      </c>
      <c r="I219" s="101">
        <f t="shared" si="160"/>
        <v>603895.41423031618</v>
      </c>
      <c r="J219" s="101">
        <f t="shared" si="161"/>
        <v>620204.75934545835</v>
      </c>
      <c r="K219" s="101">
        <f t="shared" si="162"/>
        <v>0</v>
      </c>
      <c r="L219" s="101">
        <f t="shared" si="163"/>
        <v>0</v>
      </c>
      <c r="M219" s="101">
        <f t="shared" si="164"/>
        <v>0</v>
      </c>
      <c r="N219" s="101"/>
      <c r="O219" s="101">
        <f t="shared" si="165"/>
        <v>0</v>
      </c>
      <c r="P219" s="101">
        <f t="shared" si="166"/>
        <v>0</v>
      </c>
      <c r="Q219" s="101">
        <f t="shared" si="167"/>
        <v>0</v>
      </c>
      <c r="R219" s="101"/>
      <c r="S219" s="101">
        <f t="shared" si="168"/>
        <v>0</v>
      </c>
      <c r="T219" s="101">
        <f t="shared" si="169"/>
        <v>0</v>
      </c>
      <c r="U219" s="101">
        <f t="shared" si="170"/>
        <v>0</v>
      </c>
      <c r="V219" s="101">
        <f t="shared" si="171"/>
        <v>0</v>
      </c>
      <c r="W219" s="101">
        <f t="shared" si="172"/>
        <v>0</v>
      </c>
      <c r="X219" s="101">
        <f t="shared" si="173"/>
        <v>0</v>
      </c>
      <c r="Y219" s="101">
        <f t="shared" si="174"/>
        <v>0</v>
      </c>
      <c r="Z219" s="101">
        <f t="shared" si="175"/>
        <v>0</v>
      </c>
      <c r="AA219" s="101">
        <f t="shared" si="176"/>
        <v>0</v>
      </c>
      <c r="AB219" s="101">
        <f t="shared" si="177"/>
        <v>0</v>
      </c>
      <c r="AC219" s="101">
        <f t="shared" si="178"/>
        <v>0</v>
      </c>
      <c r="AD219" s="101">
        <f t="shared" si="179"/>
        <v>0</v>
      </c>
      <c r="AE219" s="101"/>
      <c r="AF219" s="101">
        <f t="shared" si="180"/>
        <v>0</v>
      </c>
      <c r="AG219" s="101"/>
      <c r="AH219" s="101">
        <f t="shared" si="181"/>
        <v>0</v>
      </c>
      <c r="AI219" s="101"/>
      <c r="AJ219" s="101">
        <f t="shared" si="182"/>
        <v>0</v>
      </c>
      <c r="AK219" s="101">
        <f t="shared" si="183"/>
        <v>1864717.1978980682</v>
      </c>
      <c r="AL219" s="98" t="str">
        <f t="shared" si="184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59"/>
        <v>3562.1967742693109</v>
      </c>
      <c r="I220" s="101">
        <f t="shared" si="160"/>
        <v>3358.0036353904302</v>
      </c>
      <c r="J220" s="101">
        <f t="shared" si="161"/>
        <v>3448.6929151844924</v>
      </c>
      <c r="K220" s="101">
        <f t="shared" si="162"/>
        <v>0</v>
      </c>
      <c r="L220" s="101">
        <f t="shared" si="163"/>
        <v>0</v>
      </c>
      <c r="M220" s="101">
        <f t="shared" si="164"/>
        <v>0</v>
      </c>
      <c r="N220" s="101"/>
      <c r="O220" s="101">
        <f t="shared" si="165"/>
        <v>0</v>
      </c>
      <c r="P220" s="101">
        <f t="shared" si="166"/>
        <v>0</v>
      </c>
      <c r="Q220" s="101">
        <f t="shared" si="167"/>
        <v>0</v>
      </c>
      <c r="R220" s="101"/>
      <c r="S220" s="101">
        <f t="shared" si="168"/>
        <v>0</v>
      </c>
      <c r="T220" s="101">
        <f t="shared" si="169"/>
        <v>0</v>
      </c>
      <c r="U220" s="101">
        <f t="shared" si="170"/>
        <v>0</v>
      </c>
      <c r="V220" s="101">
        <f t="shared" si="171"/>
        <v>0</v>
      </c>
      <c r="W220" s="101">
        <f t="shared" si="172"/>
        <v>0</v>
      </c>
      <c r="X220" s="101">
        <f t="shared" si="173"/>
        <v>0</v>
      </c>
      <c r="Y220" s="101">
        <f t="shared" si="174"/>
        <v>0</v>
      </c>
      <c r="Z220" s="101">
        <f t="shared" si="175"/>
        <v>0</v>
      </c>
      <c r="AA220" s="101">
        <f t="shared" si="176"/>
        <v>0</v>
      </c>
      <c r="AB220" s="101">
        <f t="shared" si="177"/>
        <v>0</v>
      </c>
      <c r="AC220" s="101">
        <f t="shared" si="178"/>
        <v>0</v>
      </c>
      <c r="AD220" s="101">
        <f t="shared" si="179"/>
        <v>0</v>
      </c>
      <c r="AE220" s="101"/>
      <c r="AF220" s="101">
        <f t="shared" si="180"/>
        <v>0</v>
      </c>
      <c r="AG220" s="101"/>
      <c r="AH220" s="101">
        <f t="shared" si="181"/>
        <v>0</v>
      </c>
      <c r="AI220" s="101"/>
      <c r="AJ220" s="101">
        <f t="shared" si="182"/>
        <v>0</v>
      </c>
      <c r="AK220" s="101">
        <f t="shared" si="183"/>
        <v>10368.893324844234</v>
      </c>
      <c r="AL220" s="98" t="str">
        <f t="shared" si="184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85">SUM(H215:H221)</f>
        <v>3151493.073520646</v>
      </c>
      <c r="I222" s="100">
        <f t="shared" si="185"/>
        <v>3233823.3770119781</v>
      </c>
      <c r="J222" s="100">
        <f t="shared" si="185"/>
        <v>2782685.1018307754</v>
      </c>
      <c r="K222" s="100">
        <f t="shared" si="185"/>
        <v>43326391.204437748</v>
      </c>
      <c r="L222" s="100">
        <f t="shared" si="185"/>
        <v>0</v>
      </c>
      <c r="M222" s="100">
        <f t="shared" si="185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86">SUM(S215:S221)</f>
        <v>0</v>
      </c>
      <c r="T222" s="100">
        <f t="shared" si="186"/>
        <v>0</v>
      </c>
      <c r="U222" s="100">
        <f t="shared" si="186"/>
        <v>0</v>
      </c>
      <c r="V222" s="100">
        <f t="shared" si="186"/>
        <v>0</v>
      </c>
      <c r="W222" s="100">
        <f t="shared" si="186"/>
        <v>0</v>
      </c>
      <c r="X222" s="100">
        <f t="shared" si="186"/>
        <v>0</v>
      </c>
      <c r="Y222" s="100">
        <f t="shared" si="186"/>
        <v>0</v>
      </c>
      <c r="Z222" s="100">
        <f t="shared" si="186"/>
        <v>0</v>
      </c>
      <c r="AA222" s="100">
        <f t="shared" si="186"/>
        <v>0</v>
      </c>
      <c r="AB222" s="100">
        <f t="shared" si="186"/>
        <v>0</v>
      </c>
      <c r="AC222" s="100">
        <f t="shared" si="186"/>
        <v>0</v>
      </c>
      <c r="AD222" s="100">
        <f t="shared" si="186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87">H212+H222</f>
        <v>24218939.273041509</v>
      </c>
      <c r="I224" s="100">
        <f t="shared" si="187"/>
        <v>23093636.130027201</v>
      </c>
      <c r="J224" s="100">
        <f t="shared" si="187"/>
        <v>23178849.899386439</v>
      </c>
      <c r="K224" s="100">
        <f t="shared" si="187"/>
        <v>616805451.12231529</v>
      </c>
      <c r="L224" s="100">
        <f t="shared" si="187"/>
        <v>0</v>
      </c>
      <c r="M224" s="100">
        <f t="shared" si="187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88">S212+S222</f>
        <v>0</v>
      </c>
      <c r="T224" s="100">
        <f t="shared" si="188"/>
        <v>0</v>
      </c>
      <c r="U224" s="100">
        <f t="shared" si="188"/>
        <v>0</v>
      </c>
      <c r="V224" s="100">
        <f t="shared" si="188"/>
        <v>0</v>
      </c>
      <c r="W224" s="100">
        <f t="shared" si="188"/>
        <v>0</v>
      </c>
      <c r="X224" s="100">
        <f t="shared" si="188"/>
        <v>0</v>
      </c>
      <c r="Y224" s="100">
        <f t="shared" si="188"/>
        <v>0</v>
      </c>
      <c r="Z224" s="100">
        <f t="shared" si="188"/>
        <v>0</v>
      </c>
      <c r="AA224" s="100">
        <f t="shared" si="188"/>
        <v>0</v>
      </c>
      <c r="AB224" s="100">
        <f t="shared" si="188"/>
        <v>0</v>
      </c>
      <c r="AC224" s="100">
        <f t="shared" si="188"/>
        <v>0</v>
      </c>
      <c r="AD224" s="100">
        <f t="shared" si="188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89">IF(VLOOKUP($D227,$C$5:$AJ$644,6,)=0,0,((VLOOKUP($D227,$C$5:$AJ$644,6,)/VLOOKUP($D227,$C$5:$AJ$644,4,))*$F227))</f>
        <v>0</v>
      </c>
      <c r="I227" s="101">
        <f t="shared" ref="I227:I240" si="190">IF(VLOOKUP($D227,$C$5:$AJ$644,7,)=0,0,((VLOOKUP($D227,$C$5:$AJ$644,7,)/VLOOKUP($D227,$C$5:$AJ$644,4,))*$F227))</f>
        <v>0</v>
      </c>
      <c r="J227" s="101">
        <f t="shared" ref="J227:J240" si="191">IF(VLOOKUP($D227,$C$5:$AJ$644,8,)=0,0,((VLOOKUP($D227,$C$5:$AJ$644,8,)/VLOOKUP($D227,$C$5:$AJ$644,4,))*$F227))</f>
        <v>0</v>
      </c>
      <c r="K227" s="101">
        <f t="shared" ref="K227:K240" si="192">IF(VLOOKUP($D227,$C$5:$AJ$644,9,)=0,0,((VLOOKUP($D227,$C$5:$AJ$644,9,)/VLOOKUP($D227,$C$5:$AJ$644,4,))*$F227))</f>
        <v>0</v>
      </c>
      <c r="L227" s="101">
        <f t="shared" ref="L227:L240" si="193">IF(VLOOKUP($D227,$C$5:$AJ$644,10,)=0,0,((VLOOKUP($D227,$C$5:$AJ$644,10,)/VLOOKUP($D227,$C$5:$AJ$644,4,))*$F227))</f>
        <v>0</v>
      </c>
      <c r="M227" s="101">
        <f t="shared" ref="M227:M240" si="194">IF(VLOOKUP($D227,$C$5:$AJ$644,11,)=0,0,((VLOOKUP($D227,$C$5:$AJ$644,11,)/VLOOKUP($D227,$C$5:$AJ$644,4,))*$F227))</f>
        <v>0</v>
      </c>
      <c r="N227" s="101"/>
      <c r="O227" s="101">
        <f t="shared" ref="O227:O240" si="195">IF(VLOOKUP($D227,$C$5:$AJ$644,13,)=0,0,((VLOOKUP($D227,$C$5:$AJ$644,13,)/VLOOKUP($D227,$C$5:$AJ$644,4,))*$F227))</f>
        <v>1804304.989136664</v>
      </c>
      <c r="P227" s="101">
        <f t="shared" ref="P227:P240" si="196">IF(VLOOKUP($D227,$C$5:$AJ$644,14,)=0,0,((VLOOKUP($D227,$C$5:$AJ$644,14,)/VLOOKUP($D227,$C$5:$AJ$644,4,))*$F227))</f>
        <v>0</v>
      </c>
      <c r="Q227" s="101">
        <f t="shared" ref="Q227:Q240" si="197">IF(VLOOKUP($D227,$C$5:$AJ$644,15,)=0,0,((VLOOKUP($D227,$C$5:$AJ$644,15,)/VLOOKUP($D227,$C$5:$AJ$644,4,))*$F227))</f>
        <v>0</v>
      </c>
      <c r="R227" s="101"/>
      <c r="S227" s="101">
        <f t="shared" ref="S227:S240" si="198">IF(VLOOKUP($D227,$C$5:$AJ$644,17,)=0,0,((VLOOKUP($D227,$C$5:$AJ$644,17,)/VLOOKUP($D227,$C$5:$AJ$644,4,))*$F227))</f>
        <v>0</v>
      </c>
      <c r="T227" s="101">
        <f t="shared" ref="T227:T240" si="199">IF(VLOOKUP($D227,$C$5:$AJ$644,18,)=0,0,((VLOOKUP($D227,$C$5:$AJ$644,18,)/VLOOKUP($D227,$C$5:$AJ$644,4,))*$F227))</f>
        <v>0</v>
      </c>
      <c r="U227" s="101">
        <f t="shared" ref="U227:U240" si="200">IF(VLOOKUP($D227,$C$5:$AJ$644,19,)=0,0,((VLOOKUP($D227,$C$5:$AJ$644,19,)/VLOOKUP($D227,$C$5:$AJ$644,4,))*$F227))</f>
        <v>0</v>
      </c>
      <c r="V227" s="101">
        <f t="shared" ref="V227:V240" si="201">IF(VLOOKUP($D227,$C$5:$AJ$644,20,)=0,0,((VLOOKUP($D227,$C$5:$AJ$644,20,)/VLOOKUP($D227,$C$5:$AJ$644,4,))*$F227))</f>
        <v>0</v>
      </c>
      <c r="W227" s="101">
        <f t="shared" ref="W227:W240" si="202">IF(VLOOKUP($D227,$C$5:$AJ$644,21,)=0,0,((VLOOKUP($D227,$C$5:$AJ$644,21,)/VLOOKUP($D227,$C$5:$AJ$644,4,))*$F227))</f>
        <v>0</v>
      </c>
      <c r="X227" s="101">
        <f t="shared" ref="X227:X240" si="203">IF(VLOOKUP($D227,$C$5:$AJ$644,22,)=0,0,((VLOOKUP($D227,$C$5:$AJ$644,22,)/VLOOKUP($D227,$C$5:$AJ$644,4,))*$F227))</f>
        <v>0</v>
      </c>
      <c r="Y227" s="101">
        <f t="shared" ref="Y227:Y240" si="204">IF(VLOOKUP($D227,$C$5:$AJ$644,23,)=0,0,((VLOOKUP($D227,$C$5:$AJ$644,23,)/VLOOKUP($D227,$C$5:$AJ$644,4,))*$F227))</f>
        <v>0</v>
      </c>
      <c r="Z227" s="101">
        <f t="shared" ref="Z227:Z240" si="205">IF(VLOOKUP($D227,$C$5:$AJ$644,24,)=0,0,((VLOOKUP($D227,$C$5:$AJ$644,24,)/VLOOKUP($D227,$C$5:$AJ$644,4,))*$F227))</f>
        <v>0</v>
      </c>
      <c r="AA227" s="101">
        <f t="shared" ref="AA227:AA240" si="206">IF(VLOOKUP($D227,$C$5:$AJ$644,25,)=0,0,((VLOOKUP($D227,$C$5:$AJ$644,25,)/VLOOKUP($D227,$C$5:$AJ$644,4,))*$F227))</f>
        <v>0</v>
      </c>
      <c r="AB227" s="101">
        <f t="shared" ref="AB227:AB240" si="207">IF(VLOOKUP($D227,$C$5:$AJ$644,26,)=0,0,((VLOOKUP($D227,$C$5:$AJ$644,26,)/VLOOKUP($D227,$C$5:$AJ$644,4,))*$F227))</f>
        <v>0</v>
      </c>
      <c r="AC227" s="101">
        <f t="shared" ref="AC227:AC240" si="208">IF(VLOOKUP($D227,$C$5:$AJ$644,27,)=0,0,((VLOOKUP($D227,$C$5:$AJ$644,27,)/VLOOKUP($D227,$C$5:$AJ$644,4,))*$F227))</f>
        <v>0</v>
      </c>
      <c r="AD227" s="101">
        <f t="shared" ref="AD227:AD240" si="209">IF(VLOOKUP($D227,$C$5:$AJ$644,28,)=0,0,((VLOOKUP($D227,$C$5:$AJ$644,28,)/VLOOKUP($D227,$C$5:$AJ$644,4,))*$F227))</f>
        <v>0</v>
      </c>
      <c r="AE227" s="101"/>
      <c r="AF227" s="101">
        <f t="shared" ref="AF227:AF240" si="210">IF(VLOOKUP($D227,$C$5:$AJ$644,30,)=0,0,((VLOOKUP($D227,$C$5:$AJ$644,30,)/VLOOKUP($D227,$C$5:$AJ$644,4,))*$F227))</f>
        <v>0</v>
      </c>
      <c r="AG227" s="101"/>
      <c r="AH227" s="101">
        <f t="shared" ref="AH227:AH240" si="211">IF(VLOOKUP($D227,$C$5:$AJ$644,32,)=0,0,((VLOOKUP($D227,$C$5:$AJ$644,32,)/VLOOKUP($D227,$C$5:$AJ$644,4,))*$F227))</f>
        <v>0</v>
      </c>
      <c r="AI227" s="101"/>
      <c r="AJ227" s="101">
        <f t="shared" ref="AJ227:AJ240" si="212">IF(VLOOKUP($D227,$C$5:$AJ$644,34,)=0,0,((VLOOKUP($D227,$C$5:$AJ$644,34,)/VLOOKUP($D227,$C$5:$AJ$644,4,))*$F227))</f>
        <v>0</v>
      </c>
      <c r="AK227" s="101">
        <f t="shared" ref="AK227:AK232" si="213">SUM(H227:AJ227)</f>
        <v>1804304.989136664</v>
      </c>
      <c r="AL227" s="98" t="str">
        <f t="shared" ref="AL227:AL239" si="214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89"/>
        <v>0</v>
      </c>
      <c r="I228" s="101">
        <f t="shared" si="190"/>
        <v>0</v>
      </c>
      <c r="J228" s="101">
        <f t="shared" si="191"/>
        <v>0</v>
      </c>
      <c r="K228" s="101">
        <f t="shared" si="192"/>
        <v>0</v>
      </c>
      <c r="L228" s="101">
        <f t="shared" si="193"/>
        <v>0</v>
      </c>
      <c r="M228" s="101">
        <f t="shared" si="194"/>
        <v>0</v>
      </c>
      <c r="N228" s="101"/>
      <c r="O228" s="101">
        <f t="shared" si="195"/>
        <v>3644051.6512189247</v>
      </c>
      <c r="P228" s="101">
        <f t="shared" si="196"/>
        <v>0</v>
      </c>
      <c r="Q228" s="101">
        <f t="shared" si="197"/>
        <v>0</v>
      </c>
      <c r="R228" s="101"/>
      <c r="S228" s="101">
        <f t="shared" si="198"/>
        <v>0</v>
      </c>
      <c r="T228" s="101">
        <f t="shared" si="199"/>
        <v>0</v>
      </c>
      <c r="U228" s="101">
        <f t="shared" si="200"/>
        <v>0</v>
      </c>
      <c r="V228" s="101">
        <f t="shared" si="201"/>
        <v>0</v>
      </c>
      <c r="W228" s="101">
        <f t="shared" si="202"/>
        <v>0</v>
      </c>
      <c r="X228" s="101">
        <f t="shared" si="203"/>
        <v>0</v>
      </c>
      <c r="Y228" s="101">
        <f t="shared" si="204"/>
        <v>0</v>
      </c>
      <c r="Z228" s="101">
        <f t="shared" si="205"/>
        <v>0</v>
      </c>
      <c r="AA228" s="101">
        <f t="shared" si="206"/>
        <v>0</v>
      </c>
      <c r="AB228" s="101">
        <f t="shared" si="207"/>
        <v>0</v>
      </c>
      <c r="AC228" s="101">
        <f t="shared" si="208"/>
        <v>0</v>
      </c>
      <c r="AD228" s="101">
        <f t="shared" si="209"/>
        <v>0</v>
      </c>
      <c r="AE228" s="101"/>
      <c r="AF228" s="101">
        <f t="shared" si="210"/>
        <v>0</v>
      </c>
      <c r="AG228" s="101"/>
      <c r="AH228" s="101">
        <f t="shared" si="211"/>
        <v>0</v>
      </c>
      <c r="AI228" s="101"/>
      <c r="AJ228" s="101">
        <f t="shared" si="212"/>
        <v>0</v>
      </c>
      <c r="AK228" s="101">
        <f t="shared" si="213"/>
        <v>3644051.6512189247</v>
      </c>
      <c r="AL228" s="98" t="str">
        <f t="shared" si="214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89"/>
        <v>0</v>
      </c>
      <c r="I229" s="101">
        <f t="shared" si="190"/>
        <v>0</v>
      </c>
      <c r="J229" s="101">
        <f t="shared" si="191"/>
        <v>0</v>
      </c>
      <c r="K229" s="101">
        <f t="shared" si="192"/>
        <v>0</v>
      </c>
      <c r="L229" s="101">
        <f t="shared" si="193"/>
        <v>0</v>
      </c>
      <c r="M229" s="101">
        <f t="shared" si="194"/>
        <v>0</v>
      </c>
      <c r="N229" s="101"/>
      <c r="O229" s="101">
        <f t="shared" si="195"/>
        <v>1303298.2836528139</v>
      </c>
      <c r="P229" s="101">
        <f t="shared" si="196"/>
        <v>0</v>
      </c>
      <c r="Q229" s="101">
        <f t="shared" si="197"/>
        <v>0</v>
      </c>
      <c r="R229" s="101"/>
      <c r="S229" s="101">
        <f t="shared" si="198"/>
        <v>0</v>
      </c>
      <c r="T229" s="101">
        <f t="shared" si="199"/>
        <v>0</v>
      </c>
      <c r="U229" s="101">
        <f t="shared" si="200"/>
        <v>0</v>
      </c>
      <c r="V229" s="101">
        <f t="shared" si="201"/>
        <v>0</v>
      </c>
      <c r="W229" s="101">
        <f t="shared" si="202"/>
        <v>0</v>
      </c>
      <c r="X229" s="101">
        <f t="shared" si="203"/>
        <v>0</v>
      </c>
      <c r="Y229" s="101">
        <f t="shared" si="204"/>
        <v>0</v>
      </c>
      <c r="Z229" s="101">
        <f t="shared" si="205"/>
        <v>0</v>
      </c>
      <c r="AA229" s="101">
        <f t="shared" si="206"/>
        <v>0</v>
      </c>
      <c r="AB229" s="101">
        <f t="shared" si="207"/>
        <v>0</v>
      </c>
      <c r="AC229" s="101">
        <f t="shared" si="208"/>
        <v>0</v>
      </c>
      <c r="AD229" s="101">
        <f t="shared" si="209"/>
        <v>0</v>
      </c>
      <c r="AE229" s="101"/>
      <c r="AF229" s="101">
        <f t="shared" si="210"/>
        <v>0</v>
      </c>
      <c r="AG229" s="101"/>
      <c r="AH229" s="101">
        <f t="shared" si="211"/>
        <v>0</v>
      </c>
      <c r="AI229" s="101"/>
      <c r="AJ229" s="101">
        <f t="shared" si="212"/>
        <v>0</v>
      </c>
      <c r="AK229" s="101">
        <f t="shared" si="213"/>
        <v>1303298.2836528139</v>
      </c>
      <c r="AL229" s="98" t="str">
        <f t="shared" si="214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89"/>
        <v>0</v>
      </c>
      <c r="I230" s="101">
        <f t="shared" si="190"/>
        <v>0</v>
      </c>
      <c r="J230" s="101">
        <f t="shared" si="191"/>
        <v>0</v>
      </c>
      <c r="K230" s="101">
        <f t="shared" si="192"/>
        <v>0</v>
      </c>
      <c r="L230" s="101">
        <f t="shared" si="193"/>
        <v>0</v>
      </c>
      <c r="M230" s="101">
        <f t="shared" si="194"/>
        <v>0</v>
      </c>
      <c r="N230" s="101"/>
      <c r="O230" s="101">
        <f t="shared" si="195"/>
        <v>1058993.0765534656</v>
      </c>
      <c r="P230" s="101">
        <f t="shared" si="196"/>
        <v>0</v>
      </c>
      <c r="Q230" s="101">
        <f t="shared" si="197"/>
        <v>0</v>
      </c>
      <c r="R230" s="101"/>
      <c r="S230" s="101">
        <f t="shared" si="198"/>
        <v>0</v>
      </c>
      <c r="T230" s="101">
        <f t="shared" si="199"/>
        <v>0</v>
      </c>
      <c r="U230" s="101">
        <f t="shared" si="200"/>
        <v>0</v>
      </c>
      <c r="V230" s="101">
        <f t="shared" si="201"/>
        <v>0</v>
      </c>
      <c r="W230" s="101">
        <f t="shared" si="202"/>
        <v>0</v>
      </c>
      <c r="X230" s="101">
        <f t="shared" si="203"/>
        <v>0</v>
      </c>
      <c r="Y230" s="101">
        <f t="shared" si="204"/>
        <v>0</v>
      </c>
      <c r="Z230" s="101">
        <f t="shared" si="205"/>
        <v>0</v>
      </c>
      <c r="AA230" s="101">
        <f t="shared" si="206"/>
        <v>0</v>
      </c>
      <c r="AB230" s="101">
        <f t="shared" si="207"/>
        <v>0</v>
      </c>
      <c r="AC230" s="101">
        <f t="shared" si="208"/>
        <v>0</v>
      </c>
      <c r="AD230" s="101">
        <f t="shared" si="209"/>
        <v>0</v>
      </c>
      <c r="AE230" s="101"/>
      <c r="AF230" s="101">
        <f t="shared" si="210"/>
        <v>0</v>
      </c>
      <c r="AG230" s="101"/>
      <c r="AH230" s="101">
        <f t="shared" si="211"/>
        <v>0</v>
      </c>
      <c r="AI230" s="101"/>
      <c r="AJ230" s="101">
        <f t="shared" si="212"/>
        <v>0</v>
      </c>
      <c r="AK230" s="101">
        <f t="shared" si="213"/>
        <v>1058993.0765534656</v>
      </c>
      <c r="AL230" s="98" t="str">
        <f t="shared" si="214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89"/>
        <v>0</v>
      </c>
      <c r="I231" s="101">
        <f t="shared" si="190"/>
        <v>0</v>
      </c>
      <c r="J231" s="101">
        <f t="shared" si="191"/>
        <v>0</v>
      </c>
      <c r="K231" s="101">
        <f t="shared" si="192"/>
        <v>0</v>
      </c>
      <c r="L231" s="101">
        <f t="shared" si="193"/>
        <v>0</v>
      </c>
      <c r="M231" s="101">
        <f t="shared" si="194"/>
        <v>0</v>
      </c>
      <c r="N231" s="101"/>
      <c r="O231" s="101">
        <f t="shared" si="195"/>
        <v>2940449.4497765368</v>
      </c>
      <c r="P231" s="101">
        <f t="shared" si="196"/>
        <v>0</v>
      </c>
      <c r="Q231" s="101">
        <f t="shared" si="197"/>
        <v>0</v>
      </c>
      <c r="R231" s="101"/>
      <c r="S231" s="101">
        <f t="shared" si="198"/>
        <v>0</v>
      </c>
      <c r="T231" s="101">
        <f t="shared" si="199"/>
        <v>0</v>
      </c>
      <c r="U231" s="101">
        <f t="shared" si="200"/>
        <v>0</v>
      </c>
      <c r="V231" s="101">
        <f t="shared" si="201"/>
        <v>0</v>
      </c>
      <c r="W231" s="101">
        <f t="shared" si="202"/>
        <v>0</v>
      </c>
      <c r="X231" s="101">
        <f t="shared" si="203"/>
        <v>0</v>
      </c>
      <c r="Y231" s="101">
        <f t="shared" si="204"/>
        <v>0</v>
      </c>
      <c r="Z231" s="101">
        <f t="shared" si="205"/>
        <v>0</v>
      </c>
      <c r="AA231" s="101">
        <f t="shared" si="206"/>
        <v>0</v>
      </c>
      <c r="AB231" s="101">
        <f t="shared" si="207"/>
        <v>0</v>
      </c>
      <c r="AC231" s="101">
        <f t="shared" si="208"/>
        <v>0</v>
      </c>
      <c r="AD231" s="101">
        <f t="shared" si="209"/>
        <v>0</v>
      </c>
      <c r="AE231" s="101"/>
      <c r="AF231" s="101">
        <f t="shared" si="210"/>
        <v>0</v>
      </c>
      <c r="AG231" s="101"/>
      <c r="AH231" s="101">
        <f t="shared" si="211"/>
        <v>0</v>
      </c>
      <c r="AI231" s="101"/>
      <c r="AJ231" s="101">
        <f t="shared" si="212"/>
        <v>0</v>
      </c>
      <c r="AK231" s="101">
        <f t="shared" si="213"/>
        <v>2940449.4497765368</v>
      </c>
      <c r="AL231" s="98" t="str">
        <f t="shared" si="214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89"/>
        <v>0</v>
      </c>
      <c r="I232" s="101">
        <f t="shared" si="190"/>
        <v>0</v>
      </c>
      <c r="J232" s="101">
        <f t="shared" si="191"/>
        <v>0</v>
      </c>
      <c r="K232" s="101">
        <f t="shared" si="192"/>
        <v>0</v>
      </c>
      <c r="L232" s="101">
        <f t="shared" si="193"/>
        <v>0</v>
      </c>
      <c r="M232" s="101">
        <f t="shared" si="194"/>
        <v>0</v>
      </c>
      <c r="N232" s="101"/>
      <c r="O232" s="101">
        <f t="shared" si="195"/>
        <v>11948571.502775138</v>
      </c>
      <c r="P232" s="101">
        <f t="shared" si="196"/>
        <v>0</v>
      </c>
      <c r="Q232" s="101">
        <f t="shared" si="197"/>
        <v>0</v>
      </c>
      <c r="R232" s="101"/>
      <c r="S232" s="101">
        <f t="shared" si="198"/>
        <v>0</v>
      </c>
      <c r="T232" s="101">
        <f t="shared" si="199"/>
        <v>0</v>
      </c>
      <c r="U232" s="101">
        <f t="shared" si="200"/>
        <v>0</v>
      </c>
      <c r="V232" s="101">
        <f t="shared" si="201"/>
        <v>0</v>
      </c>
      <c r="W232" s="101">
        <f t="shared" si="202"/>
        <v>0</v>
      </c>
      <c r="X232" s="101">
        <f t="shared" si="203"/>
        <v>0</v>
      </c>
      <c r="Y232" s="101">
        <f t="shared" si="204"/>
        <v>0</v>
      </c>
      <c r="Z232" s="101">
        <f t="shared" si="205"/>
        <v>0</v>
      </c>
      <c r="AA232" s="101">
        <f t="shared" si="206"/>
        <v>0</v>
      </c>
      <c r="AB232" s="101">
        <f t="shared" si="207"/>
        <v>0</v>
      </c>
      <c r="AC232" s="101">
        <f t="shared" si="208"/>
        <v>0</v>
      </c>
      <c r="AD232" s="101">
        <f t="shared" si="209"/>
        <v>0</v>
      </c>
      <c r="AE232" s="101"/>
      <c r="AF232" s="101">
        <f t="shared" si="210"/>
        <v>0</v>
      </c>
      <c r="AG232" s="101"/>
      <c r="AH232" s="101">
        <f t="shared" si="211"/>
        <v>0</v>
      </c>
      <c r="AI232" s="101"/>
      <c r="AJ232" s="101">
        <f t="shared" si="212"/>
        <v>0</v>
      </c>
      <c r="AK232" s="101">
        <f t="shared" si="213"/>
        <v>11948571.502775138</v>
      </c>
      <c r="AL232" s="98" t="str">
        <f t="shared" si="214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89"/>
        <v>0</v>
      </c>
      <c r="I233" s="101">
        <f t="shared" si="190"/>
        <v>0</v>
      </c>
      <c r="J233" s="101">
        <f t="shared" si="191"/>
        <v>0</v>
      </c>
      <c r="K233" s="101">
        <f t="shared" si="192"/>
        <v>0</v>
      </c>
      <c r="L233" s="101">
        <f t="shared" si="193"/>
        <v>0</v>
      </c>
      <c r="M233" s="101">
        <f t="shared" si="194"/>
        <v>0</v>
      </c>
      <c r="N233" s="101"/>
      <c r="O233" s="101">
        <f t="shared" si="195"/>
        <v>112004.77411653323</v>
      </c>
      <c r="P233" s="101">
        <f t="shared" si="196"/>
        <v>0</v>
      </c>
      <c r="Q233" s="101">
        <f t="shared" si="197"/>
        <v>0</v>
      </c>
      <c r="R233" s="101"/>
      <c r="S233" s="101">
        <f t="shared" si="198"/>
        <v>0</v>
      </c>
      <c r="T233" s="101">
        <f t="shared" si="199"/>
        <v>0</v>
      </c>
      <c r="U233" s="101">
        <f t="shared" si="200"/>
        <v>0</v>
      </c>
      <c r="V233" s="101">
        <f t="shared" si="201"/>
        <v>0</v>
      </c>
      <c r="W233" s="101">
        <f t="shared" si="202"/>
        <v>0</v>
      </c>
      <c r="X233" s="101">
        <f t="shared" si="203"/>
        <v>0</v>
      </c>
      <c r="Y233" s="101">
        <f t="shared" si="204"/>
        <v>0</v>
      </c>
      <c r="Z233" s="101">
        <f t="shared" si="205"/>
        <v>0</v>
      </c>
      <c r="AA233" s="101">
        <f t="shared" si="206"/>
        <v>0</v>
      </c>
      <c r="AB233" s="101">
        <f t="shared" si="207"/>
        <v>0</v>
      </c>
      <c r="AC233" s="101">
        <f t="shared" si="208"/>
        <v>0</v>
      </c>
      <c r="AD233" s="101">
        <f t="shared" si="209"/>
        <v>0</v>
      </c>
      <c r="AE233" s="101"/>
      <c r="AF233" s="101">
        <f t="shared" si="210"/>
        <v>0</v>
      </c>
      <c r="AG233" s="101"/>
      <c r="AH233" s="101">
        <f t="shared" si="211"/>
        <v>0</v>
      </c>
      <c r="AI233" s="101"/>
      <c r="AJ233" s="101">
        <f t="shared" si="212"/>
        <v>0</v>
      </c>
      <c r="AK233" s="101">
        <f t="shared" ref="AK233:AK239" si="215">SUM(H233:AJ233)</f>
        <v>112004.77411653323</v>
      </c>
      <c r="AL233" s="98" t="str">
        <f t="shared" si="214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89"/>
        <v>0</v>
      </c>
      <c r="I234" s="101">
        <f t="shared" si="190"/>
        <v>0</v>
      </c>
      <c r="J234" s="101">
        <f t="shared" si="191"/>
        <v>0</v>
      </c>
      <c r="K234" s="101">
        <f t="shared" si="192"/>
        <v>0</v>
      </c>
      <c r="L234" s="101">
        <f t="shared" si="193"/>
        <v>0</v>
      </c>
      <c r="M234" s="101">
        <f t="shared" si="194"/>
        <v>0</v>
      </c>
      <c r="N234" s="101"/>
      <c r="O234" s="101">
        <f t="shared" si="195"/>
        <v>0</v>
      </c>
      <c r="P234" s="101">
        <f t="shared" si="196"/>
        <v>0</v>
      </c>
      <c r="Q234" s="101">
        <f t="shared" si="197"/>
        <v>0</v>
      </c>
      <c r="R234" s="101"/>
      <c r="S234" s="101">
        <f t="shared" si="198"/>
        <v>0</v>
      </c>
      <c r="T234" s="101">
        <f t="shared" si="199"/>
        <v>0</v>
      </c>
      <c r="U234" s="101">
        <f t="shared" si="200"/>
        <v>0</v>
      </c>
      <c r="V234" s="101">
        <f t="shared" si="201"/>
        <v>0</v>
      </c>
      <c r="W234" s="101">
        <f t="shared" si="202"/>
        <v>0</v>
      </c>
      <c r="X234" s="101">
        <f t="shared" si="203"/>
        <v>0</v>
      </c>
      <c r="Y234" s="101">
        <f t="shared" si="204"/>
        <v>0</v>
      </c>
      <c r="Z234" s="101">
        <f t="shared" si="205"/>
        <v>0</v>
      </c>
      <c r="AA234" s="101">
        <f t="shared" si="206"/>
        <v>0</v>
      </c>
      <c r="AB234" s="101">
        <f t="shared" si="207"/>
        <v>0</v>
      </c>
      <c r="AC234" s="101">
        <f t="shared" si="208"/>
        <v>0</v>
      </c>
      <c r="AD234" s="101">
        <f t="shared" si="209"/>
        <v>0</v>
      </c>
      <c r="AE234" s="101"/>
      <c r="AF234" s="101">
        <f t="shared" si="210"/>
        <v>0</v>
      </c>
      <c r="AG234" s="101"/>
      <c r="AH234" s="101">
        <f t="shared" si="211"/>
        <v>0</v>
      </c>
      <c r="AI234" s="101"/>
      <c r="AJ234" s="101">
        <f t="shared" si="212"/>
        <v>0</v>
      </c>
      <c r="AK234" s="101">
        <f t="shared" si="215"/>
        <v>0</v>
      </c>
      <c r="AL234" s="98" t="str">
        <f t="shared" si="214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89"/>
        <v>0</v>
      </c>
      <c r="I235" s="101">
        <f t="shared" si="190"/>
        <v>0</v>
      </c>
      <c r="J235" s="101">
        <f t="shared" si="191"/>
        <v>0</v>
      </c>
      <c r="K235" s="101">
        <f t="shared" si="192"/>
        <v>0</v>
      </c>
      <c r="L235" s="101">
        <f t="shared" si="193"/>
        <v>0</v>
      </c>
      <c r="M235" s="101">
        <f t="shared" si="194"/>
        <v>0</v>
      </c>
      <c r="N235" s="101"/>
      <c r="O235" s="101">
        <f t="shared" si="195"/>
        <v>0</v>
      </c>
      <c r="P235" s="101">
        <f t="shared" si="196"/>
        <v>0</v>
      </c>
      <c r="Q235" s="101">
        <f t="shared" si="197"/>
        <v>0</v>
      </c>
      <c r="R235" s="101"/>
      <c r="S235" s="101">
        <f t="shared" si="198"/>
        <v>0</v>
      </c>
      <c r="T235" s="101">
        <f t="shared" si="199"/>
        <v>0</v>
      </c>
      <c r="U235" s="101">
        <f t="shared" si="200"/>
        <v>0</v>
      </c>
      <c r="V235" s="101">
        <f t="shared" si="201"/>
        <v>0</v>
      </c>
      <c r="W235" s="101">
        <f t="shared" si="202"/>
        <v>0</v>
      </c>
      <c r="X235" s="101">
        <f t="shared" si="203"/>
        <v>0</v>
      </c>
      <c r="Y235" s="101">
        <f t="shared" si="204"/>
        <v>0</v>
      </c>
      <c r="Z235" s="101">
        <f t="shared" si="205"/>
        <v>0</v>
      </c>
      <c r="AA235" s="101">
        <f t="shared" si="206"/>
        <v>0</v>
      </c>
      <c r="AB235" s="101">
        <f t="shared" si="207"/>
        <v>0</v>
      </c>
      <c r="AC235" s="101">
        <f t="shared" si="208"/>
        <v>0</v>
      </c>
      <c r="AD235" s="101">
        <f t="shared" si="209"/>
        <v>0</v>
      </c>
      <c r="AE235" s="101"/>
      <c r="AF235" s="101">
        <f t="shared" si="210"/>
        <v>0</v>
      </c>
      <c r="AG235" s="101"/>
      <c r="AH235" s="101">
        <f t="shared" si="211"/>
        <v>0</v>
      </c>
      <c r="AI235" s="101"/>
      <c r="AJ235" s="101">
        <f t="shared" si="212"/>
        <v>0</v>
      </c>
      <c r="AK235" s="101">
        <f t="shared" si="215"/>
        <v>0</v>
      </c>
      <c r="AL235" s="98" t="str">
        <f t="shared" si="214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89"/>
        <v>0</v>
      </c>
      <c r="I236" s="101">
        <f t="shared" si="190"/>
        <v>0</v>
      </c>
      <c r="J236" s="101">
        <f t="shared" si="191"/>
        <v>0</v>
      </c>
      <c r="K236" s="101">
        <f t="shared" si="192"/>
        <v>0</v>
      </c>
      <c r="L236" s="101">
        <f t="shared" si="193"/>
        <v>0</v>
      </c>
      <c r="M236" s="101">
        <f t="shared" si="194"/>
        <v>0</v>
      </c>
      <c r="N236" s="101"/>
      <c r="O236" s="101">
        <f t="shared" si="195"/>
        <v>1986406.9588897978</v>
      </c>
      <c r="P236" s="101">
        <f t="shared" si="196"/>
        <v>0</v>
      </c>
      <c r="Q236" s="101">
        <f t="shared" si="197"/>
        <v>0</v>
      </c>
      <c r="R236" s="101"/>
      <c r="S236" s="101">
        <f t="shared" si="198"/>
        <v>0</v>
      </c>
      <c r="T236" s="101">
        <f t="shared" si="199"/>
        <v>0</v>
      </c>
      <c r="U236" s="101">
        <f t="shared" si="200"/>
        <v>0</v>
      </c>
      <c r="V236" s="101">
        <f t="shared" si="201"/>
        <v>0</v>
      </c>
      <c r="W236" s="101">
        <f t="shared" si="202"/>
        <v>0</v>
      </c>
      <c r="X236" s="101">
        <f t="shared" si="203"/>
        <v>0</v>
      </c>
      <c r="Y236" s="101">
        <f t="shared" si="204"/>
        <v>0</v>
      </c>
      <c r="Z236" s="101">
        <f t="shared" si="205"/>
        <v>0</v>
      </c>
      <c r="AA236" s="101">
        <f t="shared" si="206"/>
        <v>0</v>
      </c>
      <c r="AB236" s="101">
        <f t="shared" si="207"/>
        <v>0</v>
      </c>
      <c r="AC236" s="101">
        <f t="shared" si="208"/>
        <v>0</v>
      </c>
      <c r="AD236" s="101">
        <f t="shared" si="209"/>
        <v>0</v>
      </c>
      <c r="AE236" s="101"/>
      <c r="AF236" s="101">
        <f t="shared" si="210"/>
        <v>0</v>
      </c>
      <c r="AG236" s="101"/>
      <c r="AH236" s="101">
        <f t="shared" si="211"/>
        <v>0</v>
      </c>
      <c r="AI236" s="101"/>
      <c r="AJ236" s="101">
        <f t="shared" si="212"/>
        <v>0</v>
      </c>
      <c r="AK236" s="101">
        <f t="shared" si="215"/>
        <v>1986406.9588897978</v>
      </c>
      <c r="AL236" s="98" t="str">
        <f t="shared" si="214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89"/>
        <v>0</v>
      </c>
      <c r="I237" s="101">
        <f t="shared" si="190"/>
        <v>0</v>
      </c>
      <c r="J237" s="101">
        <f t="shared" si="191"/>
        <v>0</v>
      </c>
      <c r="K237" s="101">
        <f t="shared" si="192"/>
        <v>0</v>
      </c>
      <c r="L237" s="101">
        <f t="shared" si="193"/>
        <v>0</v>
      </c>
      <c r="M237" s="101">
        <f t="shared" si="194"/>
        <v>0</v>
      </c>
      <c r="N237" s="101"/>
      <c r="O237" s="101">
        <f t="shared" si="195"/>
        <v>10570831.60725012</v>
      </c>
      <c r="P237" s="101">
        <f t="shared" si="196"/>
        <v>0</v>
      </c>
      <c r="Q237" s="101">
        <f t="shared" si="197"/>
        <v>0</v>
      </c>
      <c r="R237" s="101"/>
      <c r="S237" s="101">
        <f t="shared" si="198"/>
        <v>0</v>
      </c>
      <c r="T237" s="101">
        <f t="shared" si="199"/>
        <v>0</v>
      </c>
      <c r="U237" s="101">
        <f t="shared" si="200"/>
        <v>0</v>
      </c>
      <c r="V237" s="101">
        <f t="shared" si="201"/>
        <v>0</v>
      </c>
      <c r="W237" s="101">
        <f t="shared" si="202"/>
        <v>0</v>
      </c>
      <c r="X237" s="101">
        <f t="shared" si="203"/>
        <v>0</v>
      </c>
      <c r="Y237" s="101">
        <f t="shared" si="204"/>
        <v>0</v>
      </c>
      <c r="Z237" s="101">
        <f t="shared" si="205"/>
        <v>0</v>
      </c>
      <c r="AA237" s="101">
        <f t="shared" si="206"/>
        <v>0</v>
      </c>
      <c r="AB237" s="101">
        <f t="shared" si="207"/>
        <v>0</v>
      </c>
      <c r="AC237" s="101">
        <f t="shared" si="208"/>
        <v>0</v>
      </c>
      <c r="AD237" s="101">
        <f t="shared" si="209"/>
        <v>0</v>
      </c>
      <c r="AE237" s="101"/>
      <c r="AF237" s="101">
        <f t="shared" si="210"/>
        <v>0</v>
      </c>
      <c r="AG237" s="101"/>
      <c r="AH237" s="101">
        <f t="shared" si="211"/>
        <v>0</v>
      </c>
      <c r="AI237" s="101"/>
      <c r="AJ237" s="101">
        <f t="shared" si="212"/>
        <v>0</v>
      </c>
      <c r="AK237" s="101">
        <f t="shared" si="215"/>
        <v>10570831.60725012</v>
      </c>
      <c r="AL237" s="98" t="str">
        <f t="shared" si="214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89"/>
        <v>0</v>
      </c>
      <c r="I238" s="101">
        <f t="shared" si="190"/>
        <v>0</v>
      </c>
      <c r="J238" s="101">
        <f t="shared" si="191"/>
        <v>0</v>
      </c>
      <c r="K238" s="101">
        <f t="shared" si="192"/>
        <v>0</v>
      </c>
      <c r="L238" s="101">
        <f t="shared" si="193"/>
        <v>0</v>
      </c>
      <c r="M238" s="101">
        <f t="shared" si="194"/>
        <v>0</v>
      </c>
      <c r="N238" s="101"/>
      <c r="O238" s="101">
        <f t="shared" si="195"/>
        <v>0</v>
      </c>
      <c r="P238" s="101">
        <f t="shared" si="196"/>
        <v>0</v>
      </c>
      <c r="Q238" s="101">
        <f t="shared" si="197"/>
        <v>0</v>
      </c>
      <c r="R238" s="101"/>
      <c r="S238" s="101">
        <f t="shared" si="198"/>
        <v>0</v>
      </c>
      <c r="T238" s="101">
        <f t="shared" si="199"/>
        <v>0</v>
      </c>
      <c r="U238" s="101">
        <f t="shared" si="200"/>
        <v>0</v>
      </c>
      <c r="V238" s="101">
        <f t="shared" si="201"/>
        <v>0</v>
      </c>
      <c r="W238" s="101">
        <f t="shared" si="202"/>
        <v>0</v>
      </c>
      <c r="X238" s="101">
        <f t="shared" si="203"/>
        <v>0</v>
      </c>
      <c r="Y238" s="101">
        <f t="shared" si="204"/>
        <v>0</v>
      </c>
      <c r="Z238" s="101">
        <f t="shared" si="205"/>
        <v>0</v>
      </c>
      <c r="AA238" s="101">
        <f t="shared" si="206"/>
        <v>0</v>
      </c>
      <c r="AB238" s="101">
        <f t="shared" si="207"/>
        <v>0</v>
      </c>
      <c r="AC238" s="101">
        <f t="shared" si="208"/>
        <v>0</v>
      </c>
      <c r="AD238" s="101">
        <f t="shared" si="209"/>
        <v>0</v>
      </c>
      <c r="AE238" s="101"/>
      <c r="AF238" s="101">
        <f t="shared" si="210"/>
        <v>0</v>
      </c>
      <c r="AG238" s="101"/>
      <c r="AH238" s="101">
        <f t="shared" si="211"/>
        <v>0</v>
      </c>
      <c r="AI238" s="101"/>
      <c r="AJ238" s="101">
        <f t="shared" si="212"/>
        <v>0</v>
      </c>
      <c r="AK238" s="101">
        <f t="shared" si="215"/>
        <v>0</v>
      </c>
      <c r="AL238" s="98" t="str">
        <f t="shared" si="214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89"/>
        <v>0</v>
      </c>
      <c r="I239" s="101">
        <f t="shared" si="190"/>
        <v>0</v>
      </c>
      <c r="J239" s="101">
        <f t="shared" si="191"/>
        <v>0</v>
      </c>
      <c r="K239" s="101">
        <f t="shared" si="192"/>
        <v>0</v>
      </c>
      <c r="L239" s="101">
        <f t="shared" si="193"/>
        <v>0</v>
      </c>
      <c r="M239" s="101">
        <f t="shared" si="194"/>
        <v>0</v>
      </c>
      <c r="N239" s="101"/>
      <c r="O239" s="101">
        <f t="shared" si="195"/>
        <v>337098.88514349348</v>
      </c>
      <c r="P239" s="101">
        <f t="shared" si="196"/>
        <v>0</v>
      </c>
      <c r="Q239" s="101">
        <f t="shared" si="197"/>
        <v>0</v>
      </c>
      <c r="R239" s="101"/>
      <c r="S239" s="101">
        <f t="shared" si="198"/>
        <v>0</v>
      </c>
      <c r="T239" s="101">
        <f t="shared" si="199"/>
        <v>0</v>
      </c>
      <c r="U239" s="101">
        <f t="shared" si="200"/>
        <v>0</v>
      </c>
      <c r="V239" s="101">
        <f t="shared" si="201"/>
        <v>0</v>
      </c>
      <c r="W239" s="101">
        <f t="shared" si="202"/>
        <v>0</v>
      </c>
      <c r="X239" s="101">
        <f t="shared" si="203"/>
        <v>0</v>
      </c>
      <c r="Y239" s="101">
        <f t="shared" si="204"/>
        <v>0</v>
      </c>
      <c r="Z239" s="101">
        <f t="shared" si="205"/>
        <v>0</v>
      </c>
      <c r="AA239" s="101">
        <f t="shared" si="206"/>
        <v>0</v>
      </c>
      <c r="AB239" s="101">
        <f t="shared" si="207"/>
        <v>0</v>
      </c>
      <c r="AC239" s="101">
        <f t="shared" si="208"/>
        <v>0</v>
      </c>
      <c r="AD239" s="101">
        <f t="shared" si="209"/>
        <v>0</v>
      </c>
      <c r="AE239" s="101"/>
      <c r="AF239" s="101">
        <f t="shared" si="210"/>
        <v>0</v>
      </c>
      <c r="AG239" s="101"/>
      <c r="AH239" s="101">
        <f t="shared" si="211"/>
        <v>0</v>
      </c>
      <c r="AI239" s="101"/>
      <c r="AJ239" s="101">
        <f t="shared" si="212"/>
        <v>0</v>
      </c>
      <c r="AK239" s="101">
        <f t="shared" si="215"/>
        <v>337098.88514349348</v>
      </c>
      <c r="AL239" s="98" t="str">
        <f t="shared" si="214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89"/>
        <v>0</v>
      </c>
      <c r="I240" s="101">
        <f t="shared" si="190"/>
        <v>0</v>
      </c>
      <c r="J240" s="101">
        <f t="shared" si="191"/>
        <v>0</v>
      </c>
      <c r="K240" s="101">
        <f t="shared" si="192"/>
        <v>0</v>
      </c>
      <c r="L240" s="101">
        <f t="shared" si="193"/>
        <v>0</v>
      </c>
      <c r="M240" s="101">
        <f t="shared" si="194"/>
        <v>0</v>
      </c>
      <c r="N240" s="101"/>
      <c r="O240" s="101">
        <f t="shared" si="195"/>
        <v>0</v>
      </c>
      <c r="P240" s="101">
        <f t="shared" si="196"/>
        <v>0</v>
      </c>
      <c r="Q240" s="101">
        <f t="shared" si="197"/>
        <v>0</v>
      </c>
      <c r="R240" s="101"/>
      <c r="S240" s="101">
        <f t="shared" si="198"/>
        <v>0</v>
      </c>
      <c r="T240" s="101">
        <f t="shared" si="199"/>
        <v>0</v>
      </c>
      <c r="U240" s="101">
        <f t="shared" si="200"/>
        <v>0</v>
      </c>
      <c r="V240" s="101">
        <f t="shared" si="201"/>
        <v>0</v>
      </c>
      <c r="W240" s="101">
        <f t="shared" si="202"/>
        <v>0</v>
      </c>
      <c r="X240" s="101">
        <f t="shared" si="203"/>
        <v>0</v>
      </c>
      <c r="Y240" s="101">
        <f t="shared" si="204"/>
        <v>0</v>
      </c>
      <c r="Z240" s="101">
        <f t="shared" si="205"/>
        <v>0</v>
      </c>
      <c r="AA240" s="101">
        <f t="shared" si="206"/>
        <v>0</v>
      </c>
      <c r="AB240" s="101">
        <f t="shared" si="207"/>
        <v>0</v>
      </c>
      <c r="AC240" s="101">
        <f t="shared" si="208"/>
        <v>0</v>
      </c>
      <c r="AD240" s="101">
        <f t="shared" si="209"/>
        <v>0</v>
      </c>
      <c r="AE240" s="101"/>
      <c r="AF240" s="101">
        <f t="shared" si="210"/>
        <v>0</v>
      </c>
      <c r="AG240" s="101"/>
      <c r="AH240" s="101">
        <f t="shared" si="211"/>
        <v>0</v>
      </c>
      <c r="AI240" s="101"/>
      <c r="AJ240" s="101">
        <f t="shared" si="212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16">SUM(H227:H240)</f>
        <v>0</v>
      </c>
      <c r="I242" s="102">
        <f t="shared" si="216"/>
        <v>0</v>
      </c>
      <c r="J242" s="102">
        <f t="shared" si="216"/>
        <v>0</v>
      </c>
      <c r="K242" s="102">
        <f t="shared" si="216"/>
        <v>0</v>
      </c>
      <c r="L242" s="102">
        <f t="shared" si="216"/>
        <v>0</v>
      </c>
      <c r="M242" s="102">
        <f t="shared" si="216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17">SUM(S227:S240)</f>
        <v>0</v>
      </c>
      <c r="T242" s="102">
        <f t="shared" si="217"/>
        <v>0</v>
      </c>
      <c r="U242" s="102">
        <f t="shared" si="217"/>
        <v>0</v>
      </c>
      <c r="V242" s="102">
        <f t="shared" si="217"/>
        <v>0</v>
      </c>
      <c r="W242" s="102">
        <f t="shared" si="217"/>
        <v>0</v>
      </c>
      <c r="X242" s="102">
        <f t="shared" si="217"/>
        <v>0</v>
      </c>
      <c r="Y242" s="102">
        <f t="shared" si="217"/>
        <v>0</v>
      </c>
      <c r="Z242" s="102">
        <f t="shared" si="217"/>
        <v>0</v>
      </c>
      <c r="AA242" s="102">
        <f t="shared" si="217"/>
        <v>0</v>
      </c>
      <c r="AB242" s="102">
        <f t="shared" si="217"/>
        <v>0</v>
      </c>
      <c r="AC242" s="102">
        <f t="shared" si="217"/>
        <v>0</v>
      </c>
      <c r="AD242" s="102">
        <f t="shared" si="217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18">IF(VLOOKUP($D245,$C$5:$AJ$644,6,)=0,0,((VLOOKUP($D245,$C$5:$AJ$644,6,)/VLOOKUP($D245,$C$5:$AJ$644,4,))*$F245))</f>
        <v>0</v>
      </c>
      <c r="I245" s="101">
        <f t="shared" ref="I245:I256" si="219">IF(VLOOKUP($D245,$C$5:$AJ$644,7,)=0,0,((VLOOKUP($D245,$C$5:$AJ$644,7,)/VLOOKUP($D245,$C$5:$AJ$644,4,))*$F245))</f>
        <v>0</v>
      </c>
      <c r="J245" s="101">
        <f t="shared" ref="J245:J256" si="220">IF(VLOOKUP($D245,$C$5:$AJ$644,8,)=0,0,((VLOOKUP($D245,$C$5:$AJ$644,8,)/VLOOKUP($D245,$C$5:$AJ$644,4,))*$F245))</f>
        <v>0</v>
      </c>
      <c r="K245" s="101">
        <f t="shared" ref="K245:K256" si="221">IF(VLOOKUP($D245,$C$5:$AJ$644,9,)=0,0,((VLOOKUP($D245,$C$5:$AJ$644,9,)/VLOOKUP($D245,$C$5:$AJ$644,4,))*$F245))</f>
        <v>0</v>
      </c>
      <c r="L245" s="101">
        <f t="shared" ref="L245:L256" si="222">IF(VLOOKUP($D245,$C$5:$AJ$644,10,)=0,0,((VLOOKUP($D245,$C$5:$AJ$644,10,)/VLOOKUP($D245,$C$5:$AJ$644,4,))*$F245))</f>
        <v>0</v>
      </c>
      <c r="M245" s="101">
        <f t="shared" ref="M245:M256" si="223">IF(VLOOKUP($D245,$C$5:$AJ$644,11,)=0,0,((VLOOKUP($D245,$C$5:$AJ$644,11,)/VLOOKUP($D245,$C$5:$AJ$644,4,))*$F245))</f>
        <v>0</v>
      </c>
      <c r="N245" s="101"/>
      <c r="O245" s="101">
        <f t="shared" ref="O245:O256" si="224">IF(VLOOKUP($D245,$C$5:$AJ$644,13,)=0,0,((VLOOKUP($D245,$C$5:$AJ$644,13,)/VLOOKUP($D245,$C$5:$AJ$644,4,))*$F245))</f>
        <v>0</v>
      </c>
      <c r="P245" s="101">
        <f t="shared" ref="P245:P256" si="225">IF(VLOOKUP($D245,$C$5:$AJ$644,14,)=0,0,((VLOOKUP($D245,$C$5:$AJ$644,14,)/VLOOKUP($D245,$C$5:$AJ$644,4,))*$F245))</f>
        <v>0</v>
      </c>
      <c r="Q245" s="101">
        <f t="shared" ref="Q245:Q256" si="226">IF(VLOOKUP($D245,$C$5:$AJ$644,15,)=0,0,((VLOOKUP($D245,$C$5:$AJ$644,15,)/VLOOKUP($D245,$C$5:$AJ$644,4,))*$F245))</f>
        <v>0</v>
      </c>
      <c r="R245" s="101"/>
      <c r="S245" s="101">
        <f t="shared" ref="S245:S256" si="227">IF(VLOOKUP($D245,$C$5:$AJ$644,17,)=0,0,((VLOOKUP($D245,$C$5:$AJ$644,17,)/VLOOKUP($D245,$C$5:$AJ$644,4,))*$F245))</f>
        <v>0</v>
      </c>
      <c r="T245" s="101">
        <f t="shared" ref="T245:T256" si="228">IF(VLOOKUP($D245,$C$5:$AJ$644,18,)=0,0,((VLOOKUP($D245,$C$5:$AJ$644,18,)/VLOOKUP($D245,$C$5:$AJ$644,4,))*$F245))</f>
        <v>196411.756299083</v>
      </c>
      <c r="U245" s="101">
        <f t="shared" ref="U245:U256" si="229">IF(VLOOKUP($D245,$C$5:$AJ$644,19,)=0,0,((VLOOKUP($D245,$C$5:$AJ$644,19,)/VLOOKUP($D245,$C$5:$AJ$644,4,))*$F245))</f>
        <v>0</v>
      </c>
      <c r="V245" s="101">
        <f t="shared" ref="V245:V256" si="230">IF(VLOOKUP($D245,$C$5:$AJ$644,20,)=0,0,((VLOOKUP($D245,$C$5:$AJ$644,20,)/VLOOKUP($D245,$C$5:$AJ$644,4,))*$F245))</f>
        <v>123631.89253770576</v>
      </c>
      <c r="W245" s="101">
        <f t="shared" ref="W245:W256" si="231">IF(VLOOKUP($D245,$C$5:$AJ$644,21,)=0,0,((VLOOKUP($D245,$C$5:$AJ$644,21,)/VLOOKUP($D245,$C$5:$AJ$644,4,))*$F245))</f>
        <v>200942.17598493179</v>
      </c>
      <c r="X245" s="101">
        <f t="shared" ref="X245:X256" si="232">IF(VLOOKUP($D245,$C$5:$AJ$644,22,)=0,0,((VLOOKUP($D245,$C$5:$AJ$644,22,)/VLOOKUP($D245,$C$5:$AJ$644,4,))*$F245))</f>
        <v>62042.50714130907</v>
      </c>
      <c r="Y245" s="101">
        <f t="shared" ref="Y245:Y256" si="233">IF(VLOOKUP($D245,$C$5:$AJ$644,23,)=0,0,((VLOOKUP($D245,$C$5:$AJ$644,23,)/VLOOKUP($D245,$C$5:$AJ$644,4,))*$F245))</f>
        <v>91914.633347702489</v>
      </c>
      <c r="Z245" s="101">
        <f t="shared" ref="Z245:Z256" si="234">IF(VLOOKUP($D245,$C$5:$AJ$644,24,)=0,0,((VLOOKUP($D245,$C$5:$AJ$644,24,)/VLOOKUP($D245,$C$5:$AJ$644,4,))*$F245))</f>
        <v>38256.497099572676</v>
      </c>
      <c r="AA245" s="101">
        <f t="shared" ref="AA245:AA256" si="235">IF(VLOOKUP($D245,$C$5:$AJ$644,25,)=0,0,((VLOOKUP($D245,$C$5:$AJ$644,25,)/VLOOKUP($D245,$C$5:$AJ$644,4,))*$F245))</f>
        <v>34043.669439717371</v>
      </c>
      <c r="AB245" s="101">
        <f t="shared" ref="AB245:AB256" si="236">IF(VLOOKUP($D245,$C$5:$AJ$644,26,)=0,0,((VLOOKUP($D245,$C$5:$AJ$644,26,)/VLOOKUP($D245,$C$5:$AJ$644,4,))*$F245))</f>
        <v>22791.29460111355</v>
      </c>
      <c r="AC245" s="101">
        <f t="shared" ref="AC245:AC256" si="237">IF(VLOOKUP($D245,$C$5:$AJ$644,27,)=0,0,((VLOOKUP($D245,$C$5:$AJ$644,27,)/VLOOKUP($D245,$C$5:$AJ$644,4,))*$F245))</f>
        <v>713416.11431456415</v>
      </c>
      <c r="AD245" s="101">
        <f t="shared" ref="AD245:AD256" si="238">IF(VLOOKUP($D245,$C$5:$AJ$644,28,)=0,0,((VLOOKUP($D245,$C$5:$AJ$644,28,)/VLOOKUP($D245,$C$5:$AJ$644,4,))*$F245))</f>
        <v>26973.57496060518</v>
      </c>
      <c r="AE245" s="101"/>
      <c r="AF245" s="101">
        <f t="shared" ref="AF245:AF256" si="239">IF(VLOOKUP($D245,$C$5:$AJ$644,30,)=0,0,((VLOOKUP($D245,$C$5:$AJ$644,30,)/VLOOKUP($D245,$C$5:$AJ$644,4,))*$F245))</f>
        <v>0</v>
      </c>
      <c r="AG245" s="101"/>
      <c r="AH245" s="101">
        <f t="shared" ref="AH245:AH256" si="240">IF(VLOOKUP($D245,$C$5:$AJ$644,32,)=0,0,((VLOOKUP($D245,$C$5:$AJ$644,32,)/VLOOKUP($D245,$C$5:$AJ$644,4,))*$F245))</f>
        <v>0</v>
      </c>
      <c r="AI245" s="101"/>
      <c r="AJ245" s="101">
        <f t="shared" ref="AJ245:AJ256" si="241">IF(VLOOKUP($D245,$C$5:$AJ$644,34,)=0,0,((VLOOKUP($D245,$C$5:$AJ$644,34,)/VLOOKUP($D245,$C$5:$AJ$644,4,))*$F245))</f>
        <v>0</v>
      </c>
      <c r="AK245" s="101">
        <f t="shared" ref="AK245:AK256" si="242">SUM(H245:AJ245)</f>
        <v>1510424.1157263052</v>
      </c>
      <c r="AL245" s="98" t="str">
        <f t="shared" ref="AL245:AL256" si="243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18"/>
        <v>0</v>
      </c>
      <c r="I246" s="101">
        <f t="shared" si="219"/>
        <v>0</v>
      </c>
      <c r="J246" s="101">
        <f t="shared" si="220"/>
        <v>0</v>
      </c>
      <c r="K246" s="101">
        <f t="shared" si="221"/>
        <v>0</v>
      </c>
      <c r="L246" s="101">
        <f t="shared" si="222"/>
        <v>0</v>
      </c>
      <c r="M246" s="101">
        <f t="shared" si="223"/>
        <v>0</v>
      </c>
      <c r="N246" s="101"/>
      <c r="O246" s="101">
        <f t="shared" si="224"/>
        <v>0</v>
      </c>
      <c r="P246" s="101">
        <f t="shared" si="225"/>
        <v>0</v>
      </c>
      <c r="Q246" s="101">
        <f t="shared" si="226"/>
        <v>0</v>
      </c>
      <c r="R246" s="101"/>
      <c r="S246" s="101">
        <f t="shared" si="227"/>
        <v>0</v>
      </c>
      <c r="T246" s="101">
        <f t="shared" si="228"/>
        <v>341053.32063580118</v>
      </c>
      <c r="U246" s="101">
        <f t="shared" si="229"/>
        <v>0</v>
      </c>
      <c r="V246" s="101">
        <f t="shared" si="230"/>
        <v>0</v>
      </c>
      <c r="W246" s="101">
        <f t="shared" si="231"/>
        <v>0</v>
      </c>
      <c r="X246" s="101">
        <f t="shared" si="232"/>
        <v>0</v>
      </c>
      <c r="Y246" s="101">
        <f t="shared" si="233"/>
        <v>0</v>
      </c>
      <c r="Z246" s="101">
        <f t="shared" si="234"/>
        <v>0</v>
      </c>
      <c r="AA246" s="101">
        <f t="shared" si="235"/>
        <v>0</v>
      </c>
      <c r="AB246" s="101">
        <f t="shared" si="236"/>
        <v>0</v>
      </c>
      <c r="AC246" s="101">
        <f t="shared" si="237"/>
        <v>0</v>
      </c>
      <c r="AD246" s="101">
        <f t="shared" si="238"/>
        <v>0</v>
      </c>
      <c r="AE246" s="101"/>
      <c r="AF246" s="101">
        <f t="shared" si="239"/>
        <v>0</v>
      </c>
      <c r="AG246" s="101"/>
      <c r="AH246" s="101">
        <f t="shared" si="240"/>
        <v>0</v>
      </c>
      <c r="AI246" s="101"/>
      <c r="AJ246" s="101">
        <f t="shared" si="241"/>
        <v>0</v>
      </c>
      <c r="AK246" s="101">
        <f t="shared" si="242"/>
        <v>341053.32063580118</v>
      </c>
      <c r="AL246" s="98" t="str">
        <f t="shared" si="243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18"/>
        <v>0</v>
      </c>
      <c r="I247" s="101">
        <f t="shared" si="219"/>
        <v>0</v>
      </c>
      <c r="J247" s="101">
        <f t="shared" si="220"/>
        <v>0</v>
      </c>
      <c r="K247" s="101">
        <f t="shared" si="221"/>
        <v>0</v>
      </c>
      <c r="L247" s="101">
        <f t="shared" si="222"/>
        <v>0</v>
      </c>
      <c r="M247" s="101">
        <f t="shared" si="223"/>
        <v>0</v>
      </c>
      <c r="N247" s="101"/>
      <c r="O247" s="101">
        <f t="shared" si="224"/>
        <v>0</v>
      </c>
      <c r="P247" s="101">
        <f t="shared" si="225"/>
        <v>0</v>
      </c>
      <c r="Q247" s="101">
        <f t="shared" si="226"/>
        <v>0</v>
      </c>
      <c r="R247" s="101"/>
      <c r="S247" s="101">
        <f t="shared" si="227"/>
        <v>0</v>
      </c>
      <c r="T247" s="101">
        <f t="shared" si="228"/>
        <v>1798545.4687433171</v>
      </c>
      <c r="U247" s="101">
        <f t="shared" si="229"/>
        <v>0</v>
      </c>
      <c r="V247" s="101">
        <f t="shared" si="230"/>
        <v>0</v>
      </c>
      <c r="W247" s="101">
        <f t="shared" si="231"/>
        <v>0</v>
      </c>
      <c r="X247" s="101">
        <f t="shared" si="232"/>
        <v>0</v>
      </c>
      <c r="Y247" s="101">
        <f t="shared" si="233"/>
        <v>0</v>
      </c>
      <c r="Z247" s="101">
        <f t="shared" si="234"/>
        <v>0</v>
      </c>
      <c r="AA247" s="101">
        <f t="shared" si="235"/>
        <v>0</v>
      </c>
      <c r="AB247" s="101">
        <f t="shared" si="236"/>
        <v>0</v>
      </c>
      <c r="AC247" s="101">
        <f t="shared" si="237"/>
        <v>0</v>
      </c>
      <c r="AD247" s="101">
        <f t="shared" si="238"/>
        <v>0</v>
      </c>
      <c r="AE247" s="101"/>
      <c r="AF247" s="101">
        <f t="shared" si="239"/>
        <v>0</v>
      </c>
      <c r="AG247" s="101"/>
      <c r="AH247" s="101">
        <f t="shared" si="240"/>
        <v>0</v>
      </c>
      <c r="AI247" s="101"/>
      <c r="AJ247" s="101">
        <f t="shared" si="241"/>
        <v>0</v>
      </c>
      <c r="AK247" s="101">
        <f t="shared" si="242"/>
        <v>1798545.4687433171</v>
      </c>
      <c r="AL247" s="98" t="str">
        <f t="shared" si="243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18"/>
        <v>0</v>
      </c>
      <c r="I248" s="101">
        <f t="shared" si="219"/>
        <v>0</v>
      </c>
      <c r="J248" s="101">
        <f t="shared" si="220"/>
        <v>0</v>
      </c>
      <c r="K248" s="101">
        <f t="shared" si="221"/>
        <v>0</v>
      </c>
      <c r="L248" s="101">
        <f t="shared" si="222"/>
        <v>0</v>
      </c>
      <c r="M248" s="101">
        <f t="shared" si="223"/>
        <v>0</v>
      </c>
      <c r="N248" s="101"/>
      <c r="O248" s="101">
        <f t="shared" si="224"/>
        <v>0</v>
      </c>
      <c r="P248" s="101">
        <f t="shared" si="225"/>
        <v>0</v>
      </c>
      <c r="Q248" s="101">
        <f t="shared" si="226"/>
        <v>0</v>
      </c>
      <c r="R248" s="101"/>
      <c r="S248" s="101">
        <f t="shared" si="227"/>
        <v>0</v>
      </c>
      <c r="T248" s="101">
        <f t="shared" si="228"/>
        <v>0</v>
      </c>
      <c r="U248" s="101">
        <f t="shared" si="229"/>
        <v>0</v>
      </c>
      <c r="V248" s="101">
        <f t="shared" si="230"/>
        <v>1252454.4211040954</v>
      </c>
      <c r="W248" s="101">
        <f t="shared" si="231"/>
        <v>1816534.603899814</v>
      </c>
      <c r="X248" s="101">
        <f t="shared" si="232"/>
        <v>668193.36467123881</v>
      </c>
      <c r="Y248" s="101">
        <f t="shared" si="233"/>
        <v>969134.16454032401</v>
      </c>
      <c r="Z248" s="101">
        <f t="shared" si="234"/>
        <v>0</v>
      </c>
      <c r="AA248" s="101">
        <f t="shared" si="235"/>
        <v>0</v>
      </c>
      <c r="AB248" s="101">
        <f t="shared" si="236"/>
        <v>0</v>
      </c>
      <c r="AC248" s="101">
        <f t="shared" si="237"/>
        <v>0</v>
      </c>
      <c r="AD248" s="101">
        <f t="shared" si="238"/>
        <v>0</v>
      </c>
      <c r="AE248" s="101"/>
      <c r="AF248" s="101">
        <f t="shared" si="239"/>
        <v>0</v>
      </c>
      <c r="AG248" s="101"/>
      <c r="AH248" s="101">
        <f t="shared" si="240"/>
        <v>0</v>
      </c>
      <c r="AI248" s="101"/>
      <c r="AJ248" s="101">
        <f t="shared" si="241"/>
        <v>0</v>
      </c>
      <c r="AK248" s="101">
        <f t="shared" si="242"/>
        <v>4706316.5542154722</v>
      </c>
      <c r="AL248" s="98" t="str">
        <f t="shared" si="243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18"/>
        <v>0</v>
      </c>
      <c r="I249" s="101">
        <f t="shared" si="219"/>
        <v>0</v>
      </c>
      <c r="J249" s="101">
        <f t="shared" si="220"/>
        <v>0</v>
      </c>
      <c r="K249" s="101">
        <f t="shared" si="221"/>
        <v>0</v>
      </c>
      <c r="L249" s="101">
        <f t="shared" si="222"/>
        <v>0</v>
      </c>
      <c r="M249" s="101">
        <f t="shared" si="223"/>
        <v>0</v>
      </c>
      <c r="N249" s="101"/>
      <c r="O249" s="101">
        <f t="shared" si="224"/>
        <v>0</v>
      </c>
      <c r="P249" s="101">
        <f t="shared" si="225"/>
        <v>0</v>
      </c>
      <c r="Q249" s="101">
        <f t="shared" si="226"/>
        <v>0</v>
      </c>
      <c r="R249" s="101"/>
      <c r="S249" s="101">
        <f t="shared" si="227"/>
        <v>0</v>
      </c>
      <c r="T249" s="101">
        <f t="shared" si="228"/>
        <v>0</v>
      </c>
      <c r="U249" s="101">
        <f t="shared" si="229"/>
        <v>0</v>
      </c>
      <c r="V249" s="101">
        <f t="shared" si="230"/>
        <v>0</v>
      </c>
      <c r="W249" s="101">
        <f t="shared" si="231"/>
        <v>0</v>
      </c>
      <c r="X249" s="101">
        <f t="shared" si="232"/>
        <v>0</v>
      </c>
      <c r="Y249" s="101">
        <f t="shared" si="233"/>
        <v>0</v>
      </c>
      <c r="Z249" s="101">
        <f t="shared" si="234"/>
        <v>0</v>
      </c>
      <c r="AA249" s="101">
        <f t="shared" si="235"/>
        <v>0</v>
      </c>
      <c r="AB249" s="101">
        <f t="shared" si="236"/>
        <v>0</v>
      </c>
      <c r="AC249" s="101">
        <f t="shared" si="237"/>
        <v>0</v>
      </c>
      <c r="AD249" s="101">
        <f t="shared" si="238"/>
        <v>0</v>
      </c>
      <c r="AE249" s="101"/>
      <c r="AF249" s="101">
        <f t="shared" si="239"/>
        <v>0</v>
      </c>
      <c r="AG249" s="101"/>
      <c r="AH249" s="101">
        <f t="shared" si="240"/>
        <v>0</v>
      </c>
      <c r="AI249" s="101"/>
      <c r="AJ249" s="101">
        <f t="shared" si="241"/>
        <v>0</v>
      </c>
      <c r="AK249" s="101">
        <f t="shared" si="242"/>
        <v>0</v>
      </c>
      <c r="AL249" s="98" t="str">
        <f t="shared" si="243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18"/>
        <v>0</v>
      </c>
      <c r="I250" s="101">
        <f t="shared" si="219"/>
        <v>0</v>
      </c>
      <c r="J250" s="101">
        <f t="shared" si="220"/>
        <v>0</v>
      </c>
      <c r="K250" s="101">
        <f t="shared" si="221"/>
        <v>0</v>
      </c>
      <c r="L250" s="101">
        <f t="shared" si="222"/>
        <v>0</v>
      </c>
      <c r="M250" s="101">
        <f t="shared" si="223"/>
        <v>0</v>
      </c>
      <c r="N250" s="101"/>
      <c r="O250" s="101">
        <f t="shared" si="224"/>
        <v>0</v>
      </c>
      <c r="P250" s="101">
        <f t="shared" si="225"/>
        <v>0</v>
      </c>
      <c r="Q250" s="101">
        <f t="shared" si="226"/>
        <v>0</v>
      </c>
      <c r="R250" s="101"/>
      <c r="S250" s="101">
        <f t="shared" si="227"/>
        <v>0</v>
      </c>
      <c r="T250" s="101">
        <f t="shared" si="228"/>
        <v>0</v>
      </c>
      <c r="U250" s="101">
        <f t="shared" si="229"/>
        <v>0</v>
      </c>
      <c r="V250" s="101">
        <f t="shared" si="230"/>
        <v>0</v>
      </c>
      <c r="W250" s="101">
        <f t="shared" si="231"/>
        <v>0</v>
      </c>
      <c r="X250" s="101">
        <f t="shared" si="232"/>
        <v>0</v>
      </c>
      <c r="Y250" s="101">
        <f t="shared" si="233"/>
        <v>0</v>
      </c>
      <c r="Z250" s="101">
        <f t="shared" si="234"/>
        <v>0</v>
      </c>
      <c r="AA250" s="101">
        <f t="shared" si="235"/>
        <v>0</v>
      </c>
      <c r="AB250" s="101">
        <f t="shared" si="236"/>
        <v>0</v>
      </c>
      <c r="AC250" s="101">
        <f t="shared" si="237"/>
        <v>0</v>
      </c>
      <c r="AD250" s="101">
        <f t="shared" si="238"/>
        <v>0</v>
      </c>
      <c r="AE250" s="101"/>
      <c r="AF250" s="101">
        <f t="shared" si="239"/>
        <v>0</v>
      </c>
      <c r="AG250" s="101"/>
      <c r="AH250" s="101">
        <f t="shared" si="240"/>
        <v>0</v>
      </c>
      <c r="AI250" s="101"/>
      <c r="AJ250" s="101">
        <f t="shared" si="241"/>
        <v>0</v>
      </c>
      <c r="AK250" s="101">
        <f t="shared" si="242"/>
        <v>0</v>
      </c>
      <c r="AL250" s="98" t="str">
        <f t="shared" si="243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18"/>
        <v>0</v>
      </c>
      <c r="I251" s="101">
        <f t="shared" si="219"/>
        <v>0</v>
      </c>
      <c r="J251" s="101">
        <f t="shared" si="220"/>
        <v>0</v>
      </c>
      <c r="K251" s="101">
        <f t="shared" si="221"/>
        <v>0</v>
      </c>
      <c r="L251" s="101">
        <f t="shared" si="222"/>
        <v>0</v>
      </c>
      <c r="M251" s="101">
        <f t="shared" si="223"/>
        <v>0</v>
      </c>
      <c r="N251" s="101"/>
      <c r="O251" s="101">
        <f t="shared" si="224"/>
        <v>0</v>
      </c>
      <c r="P251" s="101">
        <f t="shared" si="225"/>
        <v>0</v>
      </c>
      <c r="Q251" s="101">
        <f t="shared" si="226"/>
        <v>0</v>
      </c>
      <c r="R251" s="101"/>
      <c r="S251" s="101">
        <f t="shared" si="227"/>
        <v>0</v>
      </c>
      <c r="T251" s="101">
        <f t="shared" si="228"/>
        <v>0</v>
      </c>
      <c r="U251" s="101">
        <f t="shared" si="229"/>
        <v>0</v>
      </c>
      <c r="V251" s="101">
        <f t="shared" si="230"/>
        <v>0</v>
      </c>
      <c r="W251" s="101">
        <f t="shared" si="231"/>
        <v>0</v>
      </c>
      <c r="X251" s="101">
        <f t="shared" si="232"/>
        <v>0</v>
      </c>
      <c r="Y251" s="101">
        <f t="shared" si="233"/>
        <v>0</v>
      </c>
      <c r="Z251" s="101">
        <f t="shared" si="234"/>
        <v>0</v>
      </c>
      <c r="AA251" s="101">
        <f t="shared" si="235"/>
        <v>0</v>
      </c>
      <c r="AB251" s="101">
        <f t="shared" si="236"/>
        <v>0</v>
      </c>
      <c r="AC251" s="101">
        <f t="shared" si="237"/>
        <v>8749182.5699744299</v>
      </c>
      <c r="AD251" s="101">
        <f t="shared" si="238"/>
        <v>0</v>
      </c>
      <c r="AE251" s="101"/>
      <c r="AF251" s="101">
        <f t="shared" si="239"/>
        <v>0</v>
      </c>
      <c r="AG251" s="101"/>
      <c r="AH251" s="101">
        <f t="shared" si="240"/>
        <v>0</v>
      </c>
      <c r="AI251" s="101"/>
      <c r="AJ251" s="101">
        <f t="shared" si="241"/>
        <v>0</v>
      </c>
      <c r="AK251" s="101">
        <f t="shared" si="242"/>
        <v>8749182.5699744299</v>
      </c>
      <c r="AL251" s="98" t="str">
        <f t="shared" si="243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18"/>
        <v>0</v>
      </c>
      <c r="I252" s="101">
        <f t="shared" si="219"/>
        <v>0</v>
      </c>
      <c r="J252" s="101">
        <f t="shared" si="220"/>
        <v>0</v>
      </c>
      <c r="K252" s="101">
        <f t="shared" si="221"/>
        <v>0</v>
      </c>
      <c r="L252" s="101">
        <f t="shared" si="222"/>
        <v>0</v>
      </c>
      <c r="M252" s="101">
        <f t="shared" si="223"/>
        <v>0</v>
      </c>
      <c r="N252" s="101"/>
      <c r="O252" s="101">
        <f t="shared" si="224"/>
        <v>0</v>
      </c>
      <c r="P252" s="101">
        <f t="shared" si="225"/>
        <v>0</v>
      </c>
      <c r="Q252" s="101">
        <f t="shared" si="226"/>
        <v>0</v>
      </c>
      <c r="R252" s="101"/>
      <c r="S252" s="101">
        <f t="shared" si="227"/>
        <v>0</v>
      </c>
      <c r="T252" s="101">
        <f t="shared" si="228"/>
        <v>0</v>
      </c>
      <c r="U252" s="101">
        <f t="shared" si="229"/>
        <v>0</v>
      </c>
      <c r="V252" s="101">
        <f t="shared" si="230"/>
        <v>0</v>
      </c>
      <c r="W252" s="101">
        <f t="shared" si="231"/>
        <v>0</v>
      </c>
      <c r="X252" s="101">
        <f t="shared" si="232"/>
        <v>0</v>
      </c>
      <c r="Y252" s="101">
        <f t="shared" si="233"/>
        <v>0</v>
      </c>
      <c r="Z252" s="101">
        <f t="shared" si="234"/>
        <v>0</v>
      </c>
      <c r="AA252" s="101">
        <f t="shared" si="235"/>
        <v>0</v>
      </c>
      <c r="AB252" s="101">
        <f t="shared" si="236"/>
        <v>0</v>
      </c>
      <c r="AC252" s="101">
        <f t="shared" si="237"/>
        <v>0</v>
      </c>
      <c r="AD252" s="101">
        <f t="shared" si="238"/>
        <v>0</v>
      </c>
      <c r="AE252" s="101"/>
      <c r="AF252" s="101">
        <f t="shared" si="239"/>
        <v>0</v>
      </c>
      <c r="AG252" s="101"/>
      <c r="AH252" s="101">
        <f t="shared" si="240"/>
        <v>0</v>
      </c>
      <c r="AI252" s="101"/>
      <c r="AJ252" s="101">
        <f t="shared" si="241"/>
        <v>0</v>
      </c>
      <c r="AK252" s="101">
        <f t="shared" si="242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18"/>
        <v>0</v>
      </c>
      <c r="I253" s="101">
        <f t="shared" si="219"/>
        <v>0</v>
      </c>
      <c r="J253" s="101">
        <f t="shared" si="220"/>
        <v>0</v>
      </c>
      <c r="K253" s="101">
        <f t="shared" si="221"/>
        <v>0</v>
      </c>
      <c r="L253" s="101">
        <f t="shared" si="222"/>
        <v>0</v>
      </c>
      <c r="M253" s="101">
        <f t="shared" si="223"/>
        <v>0</v>
      </c>
      <c r="N253" s="101"/>
      <c r="O253" s="101">
        <f t="shared" si="224"/>
        <v>0</v>
      </c>
      <c r="P253" s="101">
        <f t="shared" si="225"/>
        <v>0</v>
      </c>
      <c r="Q253" s="101">
        <f t="shared" si="226"/>
        <v>0</v>
      </c>
      <c r="R253" s="101"/>
      <c r="S253" s="101">
        <f t="shared" si="227"/>
        <v>0</v>
      </c>
      <c r="T253" s="101">
        <f t="shared" si="228"/>
        <v>0</v>
      </c>
      <c r="U253" s="101">
        <f t="shared" si="229"/>
        <v>0</v>
      </c>
      <c r="V253" s="101">
        <f t="shared" si="230"/>
        <v>0</v>
      </c>
      <c r="W253" s="101">
        <f t="shared" si="231"/>
        <v>0</v>
      </c>
      <c r="X253" s="101">
        <f t="shared" si="232"/>
        <v>0</v>
      </c>
      <c r="Y253" s="101">
        <f t="shared" si="233"/>
        <v>0</v>
      </c>
      <c r="Z253" s="101">
        <f t="shared" si="234"/>
        <v>0</v>
      </c>
      <c r="AA253" s="101">
        <f t="shared" si="235"/>
        <v>0</v>
      </c>
      <c r="AB253" s="101">
        <f t="shared" si="236"/>
        <v>0</v>
      </c>
      <c r="AC253" s="101">
        <f t="shared" si="237"/>
        <v>0</v>
      </c>
      <c r="AD253" s="101">
        <f t="shared" si="238"/>
        <v>-142800</v>
      </c>
      <c r="AE253" s="101"/>
      <c r="AF253" s="101">
        <f t="shared" si="239"/>
        <v>0</v>
      </c>
      <c r="AG253" s="101"/>
      <c r="AH253" s="101">
        <f t="shared" si="240"/>
        <v>0</v>
      </c>
      <c r="AI253" s="101"/>
      <c r="AJ253" s="101">
        <f t="shared" si="241"/>
        <v>0</v>
      </c>
      <c r="AK253" s="101">
        <f t="shared" si="242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18"/>
        <v>0</v>
      </c>
      <c r="I254" s="101">
        <f t="shared" si="219"/>
        <v>0</v>
      </c>
      <c r="J254" s="101">
        <f t="shared" si="220"/>
        <v>0</v>
      </c>
      <c r="K254" s="101">
        <f t="shared" si="221"/>
        <v>0</v>
      </c>
      <c r="L254" s="101">
        <f t="shared" si="222"/>
        <v>0</v>
      </c>
      <c r="M254" s="101">
        <f t="shared" si="223"/>
        <v>0</v>
      </c>
      <c r="N254" s="101"/>
      <c r="O254" s="101">
        <f t="shared" si="224"/>
        <v>0</v>
      </c>
      <c r="P254" s="101">
        <f t="shared" si="225"/>
        <v>0</v>
      </c>
      <c r="Q254" s="101">
        <f t="shared" si="226"/>
        <v>0</v>
      </c>
      <c r="R254" s="101"/>
      <c r="S254" s="101">
        <f t="shared" si="227"/>
        <v>0</v>
      </c>
      <c r="T254" s="101">
        <f t="shared" si="228"/>
        <v>816418.19448586286</v>
      </c>
      <c r="U254" s="101">
        <f t="shared" si="229"/>
        <v>0</v>
      </c>
      <c r="V254" s="101">
        <f t="shared" si="230"/>
        <v>889644.33356781083</v>
      </c>
      <c r="W254" s="101">
        <f t="shared" si="231"/>
        <v>1649765.3149780508</v>
      </c>
      <c r="X254" s="101">
        <f t="shared" si="232"/>
        <v>409553.36664886225</v>
      </c>
      <c r="Y254" s="101">
        <f t="shared" si="233"/>
        <v>626072.40687948256</v>
      </c>
      <c r="Z254" s="101">
        <f t="shared" si="234"/>
        <v>635769.15263034031</v>
      </c>
      <c r="AA254" s="101">
        <f t="shared" si="235"/>
        <v>565757.88462238177</v>
      </c>
      <c r="AB254" s="101">
        <f t="shared" si="236"/>
        <v>378759.24756478198</v>
      </c>
      <c r="AC254" s="101">
        <f t="shared" si="237"/>
        <v>323170.23628035962</v>
      </c>
      <c r="AD254" s="101">
        <f t="shared" si="238"/>
        <v>448262.86242256284</v>
      </c>
      <c r="AE254" s="101"/>
      <c r="AF254" s="101">
        <f t="shared" si="239"/>
        <v>0</v>
      </c>
      <c r="AG254" s="101"/>
      <c r="AH254" s="101">
        <f t="shared" si="240"/>
        <v>0</v>
      </c>
      <c r="AI254" s="101"/>
      <c r="AJ254" s="101">
        <f t="shared" si="241"/>
        <v>0</v>
      </c>
      <c r="AK254" s="101">
        <f t="shared" si="242"/>
        <v>6743173.0000804961</v>
      </c>
      <c r="AL254" s="98" t="str">
        <f t="shared" si="243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18"/>
        <v>0</v>
      </c>
      <c r="I255" s="101">
        <f t="shared" si="219"/>
        <v>0</v>
      </c>
      <c r="J255" s="101">
        <f t="shared" si="220"/>
        <v>0</v>
      </c>
      <c r="K255" s="101">
        <f t="shared" si="221"/>
        <v>0</v>
      </c>
      <c r="L255" s="101">
        <f t="shared" si="222"/>
        <v>0</v>
      </c>
      <c r="M255" s="101">
        <f t="shared" si="223"/>
        <v>0</v>
      </c>
      <c r="N255" s="101"/>
      <c r="O255" s="101">
        <f t="shared" si="224"/>
        <v>0</v>
      </c>
      <c r="P255" s="101">
        <f t="shared" si="225"/>
        <v>0</v>
      </c>
      <c r="Q255" s="101">
        <f t="shared" si="226"/>
        <v>0</v>
      </c>
      <c r="R255" s="101"/>
      <c r="S255" s="101">
        <f t="shared" si="227"/>
        <v>0</v>
      </c>
      <c r="T255" s="101">
        <f t="shared" si="228"/>
        <v>0</v>
      </c>
      <c r="U255" s="101">
        <f t="shared" si="229"/>
        <v>0</v>
      </c>
      <c r="V255" s="101">
        <f t="shared" si="230"/>
        <v>0</v>
      </c>
      <c r="W255" s="101">
        <f t="shared" si="231"/>
        <v>0</v>
      </c>
      <c r="X255" s="101">
        <f t="shared" si="232"/>
        <v>0</v>
      </c>
      <c r="Y255" s="101">
        <f t="shared" si="233"/>
        <v>0</v>
      </c>
      <c r="Z255" s="101">
        <f t="shared" si="234"/>
        <v>0</v>
      </c>
      <c r="AA255" s="101">
        <f t="shared" si="235"/>
        <v>0</v>
      </c>
      <c r="AB255" s="101">
        <f t="shared" si="236"/>
        <v>0</v>
      </c>
      <c r="AC255" s="101">
        <f t="shared" si="237"/>
        <v>0</v>
      </c>
      <c r="AD255" s="101">
        <f t="shared" si="238"/>
        <v>0</v>
      </c>
      <c r="AE255" s="101"/>
      <c r="AF255" s="101">
        <f t="shared" si="239"/>
        <v>0</v>
      </c>
      <c r="AG255" s="101"/>
      <c r="AH255" s="101">
        <f t="shared" si="240"/>
        <v>0</v>
      </c>
      <c r="AI255" s="101"/>
      <c r="AJ255" s="101">
        <f t="shared" si="241"/>
        <v>0</v>
      </c>
      <c r="AK255" s="101">
        <f t="shared" si="242"/>
        <v>0</v>
      </c>
      <c r="AL255" s="98" t="str">
        <f t="shared" si="243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18"/>
        <v>0</v>
      </c>
      <c r="I256" s="101">
        <f t="shared" si="219"/>
        <v>0</v>
      </c>
      <c r="J256" s="101">
        <f t="shared" si="220"/>
        <v>0</v>
      </c>
      <c r="K256" s="101">
        <f t="shared" si="221"/>
        <v>0</v>
      </c>
      <c r="L256" s="101">
        <f t="shared" si="222"/>
        <v>0</v>
      </c>
      <c r="M256" s="101">
        <f t="shared" si="223"/>
        <v>0</v>
      </c>
      <c r="N256" s="101"/>
      <c r="O256" s="101">
        <f t="shared" si="224"/>
        <v>0</v>
      </c>
      <c r="P256" s="101">
        <f t="shared" si="225"/>
        <v>0</v>
      </c>
      <c r="Q256" s="101">
        <f t="shared" si="226"/>
        <v>0</v>
      </c>
      <c r="R256" s="101"/>
      <c r="S256" s="101">
        <f t="shared" si="227"/>
        <v>0</v>
      </c>
      <c r="T256" s="101">
        <f t="shared" si="228"/>
        <v>0</v>
      </c>
      <c r="U256" s="101">
        <f t="shared" si="229"/>
        <v>0</v>
      </c>
      <c r="V256" s="101">
        <f t="shared" si="230"/>
        <v>0</v>
      </c>
      <c r="W256" s="101">
        <f t="shared" si="231"/>
        <v>0</v>
      </c>
      <c r="X256" s="101">
        <f t="shared" si="232"/>
        <v>0</v>
      </c>
      <c r="Y256" s="101">
        <f t="shared" si="233"/>
        <v>0</v>
      </c>
      <c r="Z256" s="101">
        <f t="shared" si="234"/>
        <v>0</v>
      </c>
      <c r="AA256" s="101">
        <f t="shared" si="235"/>
        <v>0</v>
      </c>
      <c r="AB256" s="101">
        <f t="shared" si="236"/>
        <v>0</v>
      </c>
      <c r="AC256" s="101">
        <f t="shared" si="237"/>
        <v>0</v>
      </c>
      <c r="AD256" s="101">
        <f t="shared" si="238"/>
        <v>0</v>
      </c>
      <c r="AE256" s="101"/>
      <c r="AF256" s="101">
        <f t="shared" si="239"/>
        <v>0</v>
      </c>
      <c r="AG256" s="101"/>
      <c r="AH256" s="101">
        <f t="shared" si="240"/>
        <v>0</v>
      </c>
      <c r="AI256" s="101"/>
      <c r="AJ256" s="101">
        <f t="shared" si="241"/>
        <v>0</v>
      </c>
      <c r="AK256" s="101">
        <f t="shared" si="242"/>
        <v>0</v>
      </c>
      <c r="AL256" s="98" t="str">
        <f t="shared" si="243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4">SUM(F245:F257)</f>
        <v>23705895.029375821</v>
      </c>
      <c r="G258" s="100">
        <f t="shared" si="244"/>
        <v>0</v>
      </c>
      <c r="H258" s="100">
        <f t="shared" si="244"/>
        <v>0</v>
      </c>
      <c r="I258" s="100">
        <f t="shared" si="244"/>
        <v>0</v>
      </c>
      <c r="J258" s="100">
        <f t="shared" si="244"/>
        <v>0</v>
      </c>
      <c r="K258" s="100">
        <f t="shared" si="244"/>
        <v>0</v>
      </c>
      <c r="L258" s="100">
        <f t="shared" si="244"/>
        <v>0</v>
      </c>
      <c r="M258" s="100">
        <f t="shared" si="244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45">SUM(S245:S257)</f>
        <v>0</v>
      </c>
      <c r="T258" s="100">
        <f t="shared" si="245"/>
        <v>3152428.7401640639</v>
      </c>
      <c r="U258" s="100">
        <f t="shared" si="245"/>
        <v>0</v>
      </c>
      <c r="V258" s="100">
        <f t="shared" si="245"/>
        <v>2265730.6472096122</v>
      </c>
      <c r="W258" s="100">
        <f t="shared" si="245"/>
        <v>3667242.0948627964</v>
      </c>
      <c r="X258" s="100">
        <f t="shared" si="245"/>
        <v>1139789.2384614102</v>
      </c>
      <c r="Y258" s="100">
        <f t="shared" si="245"/>
        <v>1687121.2047675091</v>
      </c>
      <c r="Z258" s="100">
        <f t="shared" si="245"/>
        <v>674025.64972991298</v>
      </c>
      <c r="AA258" s="100">
        <f t="shared" si="245"/>
        <v>599801.5540620992</v>
      </c>
      <c r="AB258" s="100">
        <f t="shared" si="245"/>
        <v>401550.54216589552</v>
      </c>
      <c r="AC258" s="100">
        <f t="shared" si="245"/>
        <v>9785768.9205693528</v>
      </c>
      <c r="AD258" s="100">
        <f t="shared" si="245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46">IF(VLOOKUP($D263,$C$5:$AJ$644,6,)=0,0,((VLOOKUP($D263,$C$5:$AJ$644,6,)/VLOOKUP($D263,$C$5:$AJ$644,4,))*$F263))</f>
        <v>0</v>
      </c>
      <c r="I263" s="101">
        <f t="shared" ref="I263:I271" si="247">IF(VLOOKUP($D263,$C$5:$AJ$644,7,)=0,0,((VLOOKUP($D263,$C$5:$AJ$644,7,)/VLOOKUP($D263,$C$5:$AJ$644,4,))*$F263))</f>
        <v>0</v>
      </c>
      <c r="J263" s="101">
        <f t="shared" ref="J263:J271" si="248">IF(VLOOKUP($D263,$C$5:$AJ$644,8,)=0,0,((VLOOKUP($D263,$C$5:$AJ$644,8,)/VLOOKUP($D263,$C$5:$AJ$644,4,))*$F263))</f>
        <v>0</v>
      </c>
      <c r="K263" s="101">
        <f t="shared" ref="K263:K271" si="249">IF(VLOOKUP($D263,$C$5:$AJ$644,9,)=0,0,((VLOOKUP($D263,$C$5:$AJ$644,9,)/VLOOKUP($D263,$C$5:$AJ$644,4,))*$F263))</f>
        <v>0</v>
      </c>
      <c r="L263" s="101">
        <f t="shared" ref="L263:L271" si="250">IF(VLOOKUP($D263,$C$5:$AJ$644,10,)=0,0,((VLOOKUP($D263,$C$5:$AJ$644,10,)/VLOOKUP($D263,$C$5:$AJ$644,4,))*$F263))</f>
        <v>0</v>
      </c>
      <c r="M263" s="101">
        <f t="shared" ref="M263:M271" si="251">IF(VLOOKUP($D263,$C$5:$AJ$644,11,)=0,0,((VLOOKUP($D263,$C$5:$AJ$644,11,)/VLOOKUP($D263,$C$5:$AJ$644,4,))*$F263))</f>
        <v>0</v>
      </c>
      <c r="N263" s="101"/>
      <c r="O263" s="101">
        <f t="shared" ref="O263:O271" si="252">IF(VLOOKUP($D263,$C$5:$AJ$644,13,)=0,0,((VLOOKUP($D263,$C$5:$AJ$644,13,)/VLOOKUP($D263,$C$5:$AJ$644,4,))*$F263))</f>
        <v>0</v>
      </c>
      <c r="P263" s="101">
        <f t="shared" ref="P263:P271" si="253">IF(VLOOKUP($D263,$C$5:$AJ$644,14,)=0,0,((VLOOKUP($D263,$C$5:$AJ$644,14,)/VLOOKUP($D263,$C$5:$AJ$644,4,))*$F263))</f>
        <v>0</v>
      </c>
      <c r="Q263" s="101">
        <f t="shared" ref="Q263:Q271" si="254">IF(VLOOKUP($D263,$C$5:$AJ$644,15,)=0,0,((VLOOKUP($D263,$C$5:$AJ$644,15,)/VLOOKUP($D263,$C$5:$AJ$644,4,))*$F263))</f>
        <v>0</v>
      </c>
      <c r="R263" s="101"/>
      <c r="S263" s="101">
        <f t="shared" ref="S263:S271" si="255">IF(VLOOKUP($D263,$C$5:$AJ$644,17,)=0,0,((VLOOKUP($D263,$C$5:$AJ$644,17,)/VLOOKUP($D263,$C$5:$AJ$644,4,))*$F263))</f>
        <v>0</v>
      </c>
      <c r="T263" s="101">
        <f t="shared" ref="T263:T271" si="256">IF(VLOOKUP($D263,$C$5:$AJ$644,18,)=0,0,((VLOOKUP($D263,$C$5:$AJ$644,18,)/VLOOKUP($D263,$C$5:$AJ$644,4,))*$F263))</f>
        <v>4810.2013351609412</v>
      </c>
      <c r="U263" s="101">
        <f t="shared" ref="U263:U271" si="257">IF(VLOOKUP($D263,$C$5:$AJ$644,19,)=0,0,((VLOOKUP($D263,$C$5:$AJ$644,19,)/VLOOKUP($D263,$C$5:$AJ$644,4,))*$F263))</f>
        <v>0</v>
      </c>
      <c r="V263" s="101">
        <f t="shared" ref="V263:V271" si="258">IF(VLOOKUP($D263,$C$5:$AJ$644,20,)=0,0,((VLOOKUP($D263,$C$5:$AJ$644,20,)/VLOOKUP($D263,$C$5:$AJ$644,4,))*$F263))</f>
        <v>13640.111670781604</v>
      </c>
      <c r="W263" s="101">
        <f t="shared" ref="W263:W271" si="259">IF(VLOOKUP($D263,$C$5:$AJ$644,21,)=0,0,((VLOOKUP($D263,$C$5:$AJ$644,21,)/VLOOKUP($D263,$C$5:$AJ$644,4,))*$F263))</f>
        <v>21294.070695657778</v>
      </c>
      <c r="X263" s="101">
        <f t="shared" ref="X263:X271" si="260">IF(VLOOKUP($D263,$C$5:$AJ$644,22,)=0,0,((VLOOKUP($D263,$C$5:$AJ$644,22,)/VLOOKUP($D263,$C$5:$AJ$644,4,))*$F263))</f>
        <v>7003.5751017641978</v>
      </c>
      <c r="Y263" s="101">
        <f t="shared" ref="Y263:Y271" si="261">IF(VLOOKUP($D263,$C$5:$AJ$644,23,)=0,0,((VLOOKUP($D263,$C$5:$AJ$644,23,)/VLOOKUP($D263,$C$5:$AJ$644,4,))*$F263))</f>
        <v>10292.609884689378</v>
      </c>
      <c r="Z263" s="101">
        <f t="shared" ref="Z263:Z271" si="262">IF(VLOOKUP($D263,$C$5:$AJ$644,24,)=0,0,((VLOOKUP($D263,$C$5:$AJ$644,24,)/VLOOKUP($D263,$C$5:$AJ$644,4,))*$F263))</f>
        <v>216.2302462212383</v>
      </c>
      <c r="AA263" s="101">
        <f t="shared" ref="AA263:AA271" si="263">IF(VLOOKUP($D263,$C$5:$AJ$644,25,)=0,0,((VLOOKUP($D263,$C$5:$AJ$644,25,)/VLOOKUP($D263,$C$5:$AJ$644,4,))*$F263))</f>
        <v>192.41884603456691</v>
      </c>
      <c r="AB263" s="101">
        <f t="shared" ref="AB263:AB271" si="264">IF(VLOOKUP($D263,$C$5:$AJ$644,26,)=0,0,((VLOOKUP($D263,$C$5:$AJ$644,26,)/VLOOKUP($D263,$C$5:$AJ$644,4,))*$F263))</f>
        <v>0</v>
      </c>
      <c r="AC263" s="101">
        <f t="shared" ref="AC263:AC271" si="265">IF(VLOOKUP($D263,$C$5:$AJ$644,27,)=0,0,((VLOOKUP($D263,$C$5:$AJ$644,27,)/VLOOKUP($D263,$C$5:$AJ$644,4,))*$F263))</f>
        <v>0</v>
      </c>
      <c r="AD263" s="101">
        <f t="shared" ref="AD263:AD271" si="266">IF(VLOOKUP($D263,$C$5:$AJ$644,28,)=0,0,((VLOOKUP($D263,$C$5:$AJ$644,28,)/VLOOKUP($D263,$C$5:$AJ$644,4,))*$F263))</f>
        <v>0</v>
      </c>
      <c r="AE263" s="101"/>
      <c r="AF263" s="101">
        <f t="shared" ref="AF263:AF271" si="267">IF(VLOOKUP($D263,$C$5:$AJ$644,30,)=0,0,((VLOOKUP($D263,$C$5:$AJ$644,30,)/VLOOKUP($D263,$C$5:$AJ$644,4,))*$F263))</f>
        <v>0</v>
      </c>
      <c r="AG263" s="101"/>
      <c r="AH263" s="101">
        <f t="shared" ref="AH263:AH271" si="268">IF(VLOOKUP($D263,$C$5:$AJ$644,32,)=0,0,((VLOOKUP($D263,$C$5:$AJ$644,32,)/VLOOKUP($D263,$C$5:$AJ$644,4,))*$F263))</f>
        <v>0</v>
      </c>
      <c r="AI263" s="101"/>
      <c r="AJ263" s="101">
        <f t="shared" ref="AJ263:AJ271" si="269">IF(VLOOKUP($D263,$C$5:$AJ$644,34,)=0,0,((VLOOKUP($D263,$C$5:$AJ$644,34,)/VLOOKUP($D263,$C$5:$AJ$644,4,))*$F263))</f>
        <v>0</v>
      </c>
      <c r="AK263" s="101">
        <f t="shared" ref="AK263:AK271" si="270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46"/>
        <v>0</v>
      </c>
      <c r="I264" s="101">
        <f t="shared" si="247"/>
        <v>0</v>
      </c>
      <c r="J264" s="101">
        <f t="shared" si="248"/>
        <v>0</v>
      </c>
      <c r="K264" s="101">
        <f t="shared" si="249"/>
        <v>0</v>
      </c>
      <c r="L264" s="101">
        <f t="shared" si="250"/>
        <v>0</v>
      </c>
      <c r="M264" s="101">
        <f t="shared" si="251"/>
        <v>0</v>
      </c>
      <c r="N264" s="101"/>
      <c r="O264" s="101">
        <f t="shared" si="252"/>
        <v>0</v>
      </c>
      <c r="P264" s="101">
        <f t="shared" si="253"/>
        <v>0</v>
      </c>
      <c r="Q264" s="101">
        <f t="shared" si="254"/>
        <v>0</v>
      </c>
      <c r="R264" s="101"/>
      <c r="S264" s="101">
        <f t="shared" si="255"/>
        <v>0</v>
      </c>
      <c r="T264" s="101">
        <f t="shared" si="256"/>
        <v>0</v>
      </c>
      <c r="U264" s="101">
        <f t="shared" si="257"/>
        <v>0</v>
      </c>
      <c r="V264" s="101">
        <f t="shared" si="258"/>
        <v>0</v>
      </c>
      <c r="W264" s="101">
        <f t="shared" si="259"/>
        <v>0</v>
      </c>
      <c r="X264" s="101">
        <f t="shared" si="260"/>
        <v>0</v>
      </c>
      <c r="Y264" s="101">
        <f t="shared" si="261"/>
        <v>0</v>
      </c>
      <c r="Z264" s="101">
        <f t="shared" si="262"/>
        <v>0</v>
      </c>
      <c r="AA264" s="101">
        <f t="shared" si="263"/>
        <v>0</v>
      </c>
      <c r="AB264" s="101">
        <f t="shared" si="264"/>
        <v>0</v>
      </c>
      <c r="AC264" s="101">
        <f t="shared" si="265"/>
        <v>0</v>
      </c>
      <c r="AD264" s="101">
        <f t="shared" si="266"/>
        <v>0</v>
      </c>
      <c r="AE264" s="101"/>
      <c r="AF264" s="101">
        <f t="shared" si="267"/>
        <v>0</v>
      </c>
      <c r="AG264" s="101"/>
      <c r="AH264" s="101">
        <f t="shared" si="268"/>
        <v>0</v>
      </c>
      <c r="AI264" s="101"/>
      <c r="AJ264" s="101">
        <f t="shared" si="269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46"/>
        <v>0</v>
      </c>
      <c r="I265" s="101">
        <f t="shared" si="247"/>
        <v>0</v>
      </c>
      <c r="J265" s="101">
        <f t="shared" si="248"/>
        <v>0</v>
      </c>
      <c r="K265" s="101">
        <f t="shared" si="249"/>
        <v>0</v>
      </c>
      <c r="L265" s="101">
        <f t="shared" si="250"/>
        <v>0</v>
      </c>
      <c r="M265" s="101">
        <f t="shared" si="251"/>
        <v>0</v>
      </c>
      <c r="N265" s="101"/>
      <c r="O265" s="101">
        <f t="shared" si="252"/>
        <v>0</v>
      </c>
      <c r="P265" s="101">
        <f t="shared" si="253"/>
        <v>0</v>
      </c>
      <c r="Q265" s="101">
        <f t="shared" si="254"/>
        <v>0</v>
      </c>
      <c r="R265" s="101"/>
      <c r="S265" s="101">
        <f t="shared" si="255"/>
        <v>0</v>
      </c>
      <c r="T265" s="101">
        <f t="shared" si="256"/>
        <v>1286691.8462125435</v>
      </c>
      <c r="U265" s="101">
        <f t="shared" si="257"/>
        <v>0</v>
      </c>
      <c r="V265" s="101">
        <f t="shared" si="258"/>
        <v>0</v>
      </c>
      <c r="W265" s="101">
        <f t="shared" si="259"/>
        <v>0</v>
      </c>
      <c r="X265" s="101">
        <f t="shared" si="260"/>
        <v>0</v>
      </c>
      <c r="Y265" s="101">
        <f t="shared" si="261"/>
        <v>0</v>
      </c>
      <c r="Z265" s="101">
        <f t="shared" si="262"/>
        <v>0</v>
      </c>
      <c r="AA265" s="101">
        <f t="shared" si="263"/>
        <v>0</v>
      </c>
      <c r="AB265" s="101">
        <f t="shared" si="264"/>
        <v>0</v>
      </c>
      <c r="AC265" s="101">
        <f t="shared" si="265"/>
        <v>0</v>
      </c>
      <c r="AD265" s="101">
        <f t="shared" si="266"/>
        <v>0</v>
      </c>
      <c r="AE265" s="101"/>
      <c r="AF265" s="101">
        <f t="shared" si="267"/>
        <v>0</v>
      </c>
      <c r="AG265" s="101"/>
      <c r="AH265" s="101">
        <f t="shared" si="268"/>
        <v>0</v>
      </c>
      <c r="AI265" s="101"/>
      <c r="AJ265" s="101">
        <f t="shared" si="269"/>
        <v>0</v>
      </c>
      <c r="AK265" s="101">
        <f t="shared" si="270"/>
        <v>1286691.8462125435</v>
      </c>
      <c r="AL265" s="98" t="str">
        <f t="shared" ref="AL265:AL271" si="271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46"/>
        <v>0</v>
      </c>
      <c r="I266" s="101">
        <f t="shared" si="247"/>
        <v>0</v>
      </c>
      <c r="J266" s="101">
        <f t="shared" si="248"/>
        <v>0</v>
      </c>
      <c r="K266" s="101">
        <f t="shared" si="249"/>
        <v>0</v>
      </c>
      <c r="L266" s="101">
        <f t="shared" si="250"/>
        <v>0</v>
      </c>
      <c r="M266" s="101">
        <f t="shared" si="251"/>
        <v>0</v>
      </c>
      <c r="N266" s="101"/>
      <c r="O266" s="101">
        <f t="shared" si="252"/>
        <v>0</v>
      </c>
      <c r="P266" s="101">
        <f t="shared" si="253"/>
        <v>0</v>
      </c>
      <c r="Q266" s="101">
        <f t="shared" si="254"/>
        <v>0</v>
      </c>
      <c r="R266" s="101"/>
      <c r="S266" s="101">
        <f t="shared" si="255"/>
        <v>0</v>
      </c>
      <c r="T266" s="101">
        <f t="shared" si="256"/>
        <v>0</v>
      </c>
      <c r="U266" s="101">
        <f t="shared" si="257"/>
        <v>0</v>
      </c>
      <c r="V266" s="101">
        <f t="shared" si="258"/>
        <v>8047320.6448661117</v>
      </c>
      <c r="W266" s="101">
        <f t="shared" si="259"/>
        <v>11671671.378819533</v>
      </c>
      <c r="X266" s="101">
        <f t="shared" si="260"/>
        <v>4293302.9479357768</v>
      </c>
      <c r="Y266" s="101">
        <f t="shared" si="261"/>
        <v>6226919.9090497084</v>
      </c>
      <c r="Z266" s="101">
        <f t="shared" si="262"/>
        <v>0</v>
      </c>
      <c r="AA266" s="101">
        <f t="shared" si="263"/>
        <v>0</v>
      </c>
      <c r="AB266" s="101">
        <f t="shared" si="264"/>
        <v>0</v>
      </c>
      <c r="AC266" s="101">
        <f t="shared" si="265"/>
        <v>0</v>
      </c>
      <c r="AD266" s="101">
        <f t="shared" si="266"/>
        <v>0</v>
      </c>
      <c r="AE266" s="101"/>
      <c r="AF266" s="101">
        <f t="shared" si="267"/>
        <v>0</v>
      </c>
      <c r="AG266" s="101"/>
      <c r="AH266" s="101">
        <f t="shared" si="268"/>
        <v>0</v>
      </c>
      <c r="AI266" s="101"/>
      <c r="AJ266" s="101">
        <f t="shared" si="269"/>
        <v>0</v>
      </c>
      <c r="AK266" s="101">
        <f t="shared" si="270"/>
        <v>30239214.880671132</v>
      </c>
      <c r="AL266" s="98" t="str">
        <f t="shared" si="271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46"/>
        <v>0</v>
      </c>
      <c r="I267" s="101">
        <f t="shared" si="247"/>
        <v>0</v>
      </c>
      <c r="J267" s="101">
        <f t="shared" si="248"/>
        <v>0</v>
      </c>
      <c r="K267" s="101">
        <f t="shared" si="249"/>
        <v>0</v>
      </c>
      <c r="L267" s="101">
        <f t="shared" si="250"/>
        <v>0</v>
      </c>
      <c r="M267" s="101">
        <f t="shared" si="251"/>
        <v>0</v>
      </c>
      <c r="N267" s="101"/>
      <c r="O267" s="101">
        <f t="shared" si="252"/>
        <v>0</v>
      </c>
      <c r="P267" s="101">
        <f t="shared" si="253"/>
        <v>0</v>
      </c>
      <c r="Q267" s="101">
        <f t="shared" si="254"/>
        <v>0</v>
      </c>
      <c r="R267" s="101"/>
      <c r="S267" s="101">
        <f t="shared" si="255"/>
        <v>0</v>
      </c>
      <c r="T267" s="101">
        <f t="shared" si="256"/>
        <v>0</v>
      </c>
      <c r="U267" s="101">
        <f t="shared" si="257"/>
        <v>0</v>
      </c>
      <c r="V267" s="101">
        <f t="shared" si="258"/>
        <v>147982.1306115849</v>
      </c>
      <c r="W267" s="101">
        <f t="shared" si="259"/>
        <v>577776.23432997905</v>
      </c>
      <c r="X267" s="101">
        <f t="shared" si="260"/>
        <v>13200.889333502671</v>
      </c>
      <c r="Y267" s="101">
        <f t="shared" si="261"/>
        <v>51541.088761164669</v>
      </c>
      <c r="Z267" s="101">
        <f t="shared" si="262"/>
        <v>0</v>
      </c>
      <c r="AA267" s="101">
        <f t="shared" si="263"/>
        <v>0</v>
      </c>
      <c r="AB267" s="101">
        <f t="shared" si="264"/>
        <v>0</v>
      </c>
      <c r="AC267" s="101">
        <f t="shared" si="265"/>
        <v>0</v>
      </c>
      <c r="AD267" s="101">
        <f t="shared" si="266"/>
        <v>0</v>
      </c>
      <c r="AE267" s="101"/>
      <c r="AF267" s="101">
        <f t="shared" si="267"/>
        <v>0</v>
      </c>
      <c r="AG267" s="101"/>
      <c r="AH267" s="101">
        <f t="shared" si="268"/>
        <v>0</v>
      </c>
      <c r="AI267" s="101"/>
      <c r="AJ267" s="101">
        <f t="shared" si="269"/>
        <v>0</v>
      </c>
      <c r="AK267" s="101">
        <f t="shared" si="270"/>
        <v>790500.34303623124</v>
      </c>
      <c r="AL267" s="98" t="str">
        <f t="shared" si="271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46"/>
        <v>0</v>
      </c>
      <c r="I268" s="101">
        <f t="shared" si="247"/>
        <v>0</v>
      </c>
      <c r="J268" s="101">
        <f t="shared" si="248"/>
        <v>0</v>
      </c>
      <c r="K268" s="101">
        <f t="shared" si="249"/>
        <v>0</v>
      </c>
      <c r="L268" s="101">
        <f t="shared" si="250"/>
        <v>0</v>
      </c>
      <c r="M268" s="101">
        <f t="shared" si="251"/>
        <v>0</v>
      </c>
      <c r="N268" s="101"/>
      <c r="O268" s="101">
        <f t="shared" si="252"/>
        <v>0</v>
      </c>
      <c r="P268" s="101">
        <f t="shared" si="253"/>
        <v>0</v>
      </c>
      <c r="Q268" s="101">
        <f t="shared" si="254"/>
        <v>0</v>
      </c>
      <c r="R268" s="101"/>
      <c r="S268" s="101">
        <f t="shared" si="255"/>
        <v>0</v>
      </c>
      <c r="T268" s="101">
        <f t="shared" si="256"/>
        <v>0</v>
      </c>
      <c r="U268" s="101">
        <f t="shared" si="257"/>
        <v>0</v>
      </c>
      <c r="V268" s="101">
        <f t="shared" si="258"/>
        <v>0</v>
      </c>
      <c r="W268" s="101">
        <f t="shared" si="259"/>
        <v>0</v>
      </c>
      <c r="X268" s="101">
        <f t="shared" si="260"/>
        <v>0</v>
      </c>
      <c r="Y268" s="101">
        <f t="shared" si="261"/>
        <v>0</v>
      </c>
      <c r="Z268" s="101">
        <f t="shared" si="262"/>
        <v>50972.05858066323</v>
      </c>
      <c r="AA268" s="101">
        <f t="shared" si="263"/>
        <v>45358.985912000586</v>
      </c>
      <c r="AB268" s="101">
        <f t="shared" si="264"/>
        <v>0</v>
      </c>
      <c r="AC268" s="101">
        <f t="shared" si="265"/>
        <v>0</v>
      </c>
      <c r="AD268" s="101">
        <f t="shared" si="266"/>
        <v>0</v>
      </c>
      <c r="AE268" s="101"/>
      <c r="AF268" s="101">
        <f t="shared" si="267"/>
        <v>0</v>
      </c>
      <c r="AG268" s="101"/>
      <c r="AH268" s="101">
        <f t="shared" si="268"/>
        <v>0</v>
      </c>
      <c r="AI268" s="101"/>
      <c r="AJ268" s="101">
        <f t="shared" si="269"/>
        <v>0</v>
      </c>
      <c r="AK268" s="101">
        <f t="shared" si="270"/>
        <v>96331.044492663816</v>
      </c>
      <c r="AL268" s="98" t="str">
        <f t="shared" si="271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46"/>
        <v>0</v>
      </c>
      <c r="I269" s="101">
        <f t="shared" si="247"/>
        <v>0</v>
      </c>
      <c r="J269" s="101">
        <f t="shared" si="248"/>
        <v>0</v>
      </c>
      <c r="K269" s="101">
        <f t="shared" si="249"/>
        <v>0</v>
      </c>
      <c r="L269" s="101">
        <f t="shared" si="250"/>
        <v>0</v>
      </c>
      <c r="M269" s="101">
        <f t="shared" si="251"/>
        <v>0</v>
      </c>
      <c r="N269" s="101"/>
      <c r="O269" s="101">
        <f t="shared" si="252"/>
        <v>0</v>
      </c>
      <c r="P269" s="101">
        <f t="shared" si="253"/>
        <v>0</v>
      </c>
      <c r="Q269" s="101">
        <f t="shared" si="254"/>
        <v>0</v>
      </c>
      <c r="R269" s="101"/>
      <c r="S269" s="101">
        <f t="shared" si="255"/>
        <v>0</v>
      </c>
      <c r="T269" s="101">
        <f t="shared" si="256"/>
        <v>0</v>
      </c>
      <c r="U269" s="101">
        <f t="shared" si="257"/>
        <v>0</v>
      </c>
      <c r="V269" s="101">
        <f t="shared" si="258"/>
        <v>0</v>
      </c>
      <c r="W269" s="101">
        <f t="shared" si="259"/>
        <v>0</v>
      </c>
      <c r="X269" s="101">
        <f t="shared" si="260"/>
        <v>0</v>
      </c>
      <c r="Y269" s="101">
        <f t="shared" si="261"/>
        <v>0</v>
      </c>
      <c r="Z269" s="101">
        <f t="shared" si="262"/>
        <v>0</v>
      </c>
      <c r="AA269" s="101">
        <f t="shared" si="263"/>
        <v>0</v>
      </c>
      <c r="AB269" s="101">
        <f t="shared" si="264"/>
        <v>0</v>
      </c>
      <c r="AC269" s="101">
        <f t="shared" si="265"/>
        <v>0</v>
      </c>
      <c r="AD269" s="101">
        <f t="shared" si="266"/>
        <v>0</v>
      </c>
      <c r="AE269" s="101"/>
      <c r="AF269" s="101">
        <f t="shared" si="267"/>
        <v>0</v>
      </c>
      <c r="AG269" s="101"/>
      <c r="AH269" s="101">
        <f t="shared" si="268"/>
        <v>0</v>
      </c>
      <c r="AI269" s="101"/>
      <c r="AJ269" s="101">
        <f t="shared" si="269"/>
        <v>0</v>
      </c>
      <c r="AK269" s="101">
        <f t="shared" si="270"/>
        <v>0</v>
      </c>
      <c r="AL269" s="98" t="str">
        <f t="shared" si="271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46"/>
        <v>0</v>
      </c>
      <c r="I270" s="101">
        <f t="shared" si="247"/>
        <v>0</v>
      </c>
      <c r="J270" s="101">
        <f t="shared" si="248"/>
        <v>0</v>
      </c>
      <c r="K270" s="101">
        <f t="shared" si="249"/>
        <v>0</v>
      </c>
      <c r="L270" s="101">
        <f t="shared" si="250"/>
        <v>0</v>
      </c>
      <c r="M270" s="101">
        <f t="shared" si="251"/>
        <v>0</v>
      </c>
      <c r="N270" s="101"/>
      <c r="O270" s="101">
        <f t="shared" si="252"/>
        <v>0</v>
      </c>
      <c r="P270" s="101">
        <f t="shared" si="253"/>
        <v>0</v>
      </c>
      <c r="Q270" s="101">
        <f t="shared" si="254"/>
        <v>0</v>
      </c>
      <c r="R270" s="101"/>
      <c r="S270" s="101">
        <f t="shared" si="255"/>
        <v>0</v>
      </c>
      <c r="T270" s="101">
        <f t="shared" si="256"/>
        <v>0</v>
      </c>
      <c r="U270" s="101">
        <f t="shared" si="257"/>
        <v>0</v>
      </c>
      <c r="V270" s="101">
        <f t="shared" si="258"/>
        <v>0</v>
      </c>
      <c r="W270" s="101">
        <f t="shared" si="259"/>
        <v>0</v>
      </c>
      <c r="X270" s="101">
        <f t="shared" si="260"/>
        <v>0</v>
      </c>
      <c r="Y270" s="101">
        <f t="shared" si="261"/>
        <v>0</v>
      </c>
      <c r="Z270" s="101">
        <f t="shared" si="262"/>
        <v>0</v>
      </c>
      <c r="AA270" s="101">
        <f t="shared" si="263"/>
        <v>0</v>
      </c>
      <c r="AB270" s="101">
        <f t="shared" si="264"/>
        <v>0</v>
      </c>
      <c r="AC270" s="101">
        <f t="shared" si="265"/>
        <v>1371953.1640689725</v>
      </c>
      <c r="AD270" s="101">
        <f t="shared" si="266"/>
        <v>0</v>
      </c>
      <c r="AE270" s="101"/>
      <c r="AF270" s="101">
        <f t="shared" si="267"/>
        <v>0</v>
      </c>
      <c r="AG270" s="101"/>
      <c r="AH270" s="101">
        <f t="shared" si="268"/>
        <v>0</v>
      </c>
      <c r="AI270" s="101"/>
      <c r="AJ270" s="101">
        <f t="shared" si="269"/>
        <v>0</v>
      </c>
      <c r="AK270" s="101">
        <f t="shared" si="270"/>
        <v>1371953.1640689725</v>
      </c>
      <c r="AL270" s="98" t="str">
        <f t="shared" si="271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46"/>
        <v>0</v>
      </c>
      <c r="I271" s="101">
        <f t="shared" si="247"/>
        <v>0</v>
      </c>
      <c r="J271" s="101">
        <f t="shared" si="248"/>
        <v>0</v>
      </c>
      <c r="K271" s="101">
        <f t="shared" si="249"/>
        <v>0</v>
      </c>
      <c r="L271" s="101">
        <f t="shared" si="250"/>
        <v>0</v>
      </c>
      <c r="M271" s="101">
        <f t="shared" si="251"/>
        <v>0</v>
      </c>
      <c r="N271" s="101"/>
      <c r="O271" s="101">
        <f t="shared" si="252"/>
        <v>0</v>
      </c>
      <c r="P271" s="101">
        <f t="shared" si="253"/>
        <v>0</v>
      </c>
      <c r="Q271" s="101">
        <f t="shared" si="254"/>
        <v>0</v>
      </c>
      <c r="R271" s="101"/>
      <c r="S271" s="101">
        <f t="shared" si="255"/>
        <v>0</v>
      </c>
      <c r="T271" s="101">
        <f t="shared" si="256"/>
        <v>66628.297004720458</v>
      </c>
      <c r="U271" s="101">
        <f t="shared" si="257"/>
        <v>0</v>
      </c>
      <c r="V271" s="101">
        <f t="shared" si="258"/>
        <v>72604.318823212016</v>
      </c>
      <c r="W271" s="101">
        <f t="shared" si="259"/>
        <v>134638.1721241113</v>
      </c>
      <c r="X271" s="101">
        <f t="shared" si="260"/>
        <v>33423.855000620133</v>
      </c>
      <c r="Y271" s="101">
        <f t="shared" si="261"/>
        <v>51094.082118412021</v>
      </c>
      <c r="Z271" s="101">
        <f t="shared" si="262"/>
        <v>51885.438386842907</v>
      </c>
      <c r="AA271" s="101">
        <f t="shared" si="263"/>
        <v>46171.783803913204</v>
      </c>
      <c r="AB271" s="101">
        <f t="shared" si="264"/>
        <v>30910.731547234926</v>
      </c>
      <c r="AC271" s="101">
        <f t="shared" si="265"/>
        <v>26374.084545645608</v>
      </c>
      <c r="AD271" s="101">
        <f t="shared" si="266"/>
        <v>36582.956302787105</v>
      </c>
      <c r="AE271" s="101"/>
      <c r="AF271" s="101">
        <f t="shared" si="267"/>
        <v>0</v>
      </c>
      <c r="AG271" s="101"/>
      <c r="AH271" s="101">
        <f t="shared" si="268"/>
        <v>0</v>
      </c>
      <c r="AI271" s="101"/>
      <c r="AJ271" s="101">
        <f t="shared" si="269"/>
        <v>0</v>
      </c>
      <c r="AK271" s="101">
        <f t="shared" si="270"/>
        <v>550313.71965749969</v>
      </c>
      <c r="AL271" s="98" t="str">
        <f t="shared" si="271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2">SUM(F263:F272)</f>
        <v>34392454.215919353</v>
      </c>
      <c r="G273" s="100">
        <f t="shared" si="272"/>
        <v>0</v>
      </c>
      <c r="H273" s="100">
        <f t="shared" si="272"/>
        <v>0</v>
      </c>
      <c r="I273" s="100">
        <f t="shared" si="272"/>
        <v>0</v>
      </c>
      <c r="J273" s="100">
        <f t="shared" si="272"/>
        <v>0</v>
      </c>
      <c r="K273" s="100">
        <f t="shared" si="272"/>
        <v>0</v>
      </c>
      <c r="L273" s="100">
        <f t="shared" si="272"/>
        <v>0</v>
      </c>
      <c r="M273" s="100">
        <f t="shared" si="272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3">SUM(S263:S272)</f>
        <v>0</v>
      </c>
      <c r="T273" s="100">
        <f t="shared" si="273"/>
        <v>1358130.344552425</v>
      </c>
      <c r="U273" s="100">
        <f t="shared" si="273"/>
        <v>0</v>
      </c>
      <c r="V273" s="100">
        <f t="shared" si="273"/>
        <v>8281547.2059716899</v>
      </c>
      <c r="W273" s="100">
        <f t="shared" si="273"/>
        <v>12405379.855969282</v>
      </c>
      <c r="X273" s="100">
        <f t="shared" si="273"/>
        <v>4346931.2673716629</v>
      </c>
      <c r="Y273" s="100">
        <f t="shared" si="273"/>
        <v>6339847.6898139752</v>
      </c>
      <c r="Z273" s="100">
        <f t="shared" si="273"/>
        <v>103073.72721372737</v>
      </c>
      <c r="AA273" s="100">
        <f t="shared" si="273"/>
        <v>91723.188561948366</v>
      </c>
      <c r="AB273" s="100">
        <f t="shared" si="273"/>
        <v>30910.731547234926</v>
      </c>
      <c r="AC273" s="100">
        <f t="shared" si="273"/>
        <v>1398327.2486146181</v>
      </c>
      <c r="AD273" s="100">
        <f t="shared" si="273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4">F258+F273</f>
        <v>58098349.245295174</v>
      </c>
      <c r="G275" s="101">
        <f t="shared" si="274"/>
        <v>0</v>
      </c>
      <c r="H275" s="101">
        <f t="shared" si="274"/>
        <v>0</v>
      </c>
      <c r="I275" s="101">
        <f t="shared" si="274"/>
        <v>0</v>
      </c>
      <c r="J275" s="101">
        <f t="shared" si="274"/>
        <v>0</v>
      </c>
      <c r="K275" s="101">
        <f t="shared" si="274"/>
        <v>0</v>
      </c>
      <c r="L275" s="101">
        <f t="shared" si="274"/>
        <v>0</v>
      </c>
      <c r="M275" s="101">
        <f t="shared" si="274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75">S258+S273</f>
        <v>0</v>
      </c>
      <c r="T275" s="101">
        <f t="shared" si="275"/>
        <v>4510559.0847164886</v>
      </c>
      <c r="U275" s="101">
        <f t="shared" si="275"/>
        <v>0</v>
      </c>
      <c r="V275" s="101">
        <f t="shared" si="275"/>
        <v>10547277.853181303</v>
      </c>
      <c r="W275" s="101">
        <f t="shared" si="275"/>
        <v>16072621.950832078</v>
      </c>
      <c r="X275" s="101">
        <f t="shared" si="275"/>
        <v>5486720.5058330726</v>
      </c>
      <c r="Y275" s="101">
        <f t="shared" si="275"/>
        <v>8026968.8945814846</v>
      </c>
      <c r="Z275" s="101">
        <f t="shared" si="275"/>
        <v>777099.37694364041</v>
      </c>
      <c r="AA275" s="101">
        <f t="shared" si="275"/>
        <v>691524.74262404756</v>
      </c>
      <c r="AB275" s="101">
        <f t="shared" si="275"/>
        <v>432461.27371313045</v>
      </c>
      <c r="AC275" s="101">
        <f t="shared" si="275"/>
        <v>11184096.169183971</v>
      </c>
      <c r="AD275" s="101">
        <f t="shared" si="275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76">F275+F242</f>
        <v>93804360.423808664</v>
      </c>
      <c r="G277" s="101">
        <f t="shared" si="276"/>
        <v>0</v>
      </c>
      <c r="H277" s="101">
        <f t="shared" si="276"/>
        <v>0</v>
      </c>
      <c r="I277" s="101">
        <f t="shared" si="276"/>
        <v>0</v>
      </c>
      <c r="J277" s="101">
        <f t="shared" si="276"/>
        <v>0</v>
      </c>
      <c r="K277" s="101">
        <f t="shared" si="276"/>
        <v>0</v>
      </c>
      <c r="L277" s="101">
        <f t="shared" si="276"/>
        <v>0</v>
      </c>
      <c r="M277" s="101">
        <f t="shared" si="276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77">S275+S242</f>
        <v>0</v>
      </c>
      <c r="T277" s="101">
        <f t="shared" si="277"/>
        <v>4510559.0847164886</v>
      </c>
      <c r="U277" s="101">
        <f t="shared" si="277"/>
        <v>0</v>
      </c>
      <c r="V277" s="101">
        <f t="shared" si="277"/>
        <v>10547277.853181303</v>
      </c>
      <c r="W277" s="101">
        <f t="shared" si="277"/>
        <v>16072621.950832078</v>
      </c>
      <c r="X277" s="101">
        <f t="shared" si="277"/>
        <v>5486720.5058330726</v>
      </c>
      <c r="Y277" s="101">
        <f t="shared" si="277"/>
        <v>8026968.8945814846</v>
      </c>
      <c r="Z277" s="101">
        <f t="shared" si="277"/>
        <v>777099.37694364041</v>
      </c>
      <c r="AA277" s="101">
        <f t="shared" si="277"/>
        <v>691524.74262404756</v>
      </c>
      <c r="AB277" s="101">
        <f t="shared" si="277"/>
        <v>432461.27371313045</v>
      </c>
      <c r="AC277" s="101">
        <f t="shared" si="277"/>
        <v>11184096.169183971</v>
      </c>
      <c r="AD277" s="101">
        <f t="shared" si="277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78">H224+H242+H275</f>
        <v>24218939.273041509</v>
      </c>
      <c r="I279" s="100">
        <f t="shared" si="278"/>
        <v>23093636.130027201</v>
      </c>
      <c r="J279" s="100">
        <f t="shared" si="278"/>
        <v>23178849.899386439</v>
      </c>
      <c r="K279" s="100">
        <f t="shared" si="278"/>
        <v>616805451.12231529</v>
      </c>
      <c r="L279" s="100">
        <f t="shared" si="278"/>
        <v>0</v>
      </c>
      <c r="M279" s="100">
        <f t="shared" si="278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79">S224+S242+S275</f>
        <v>0</v>
      </c>
      <c r="T279" s="100">
        <f t="shared" si="279"/>
        <v>4510559.0847164886</v>
      </c>
      <c r="U279" s="100">
        <f t="shared" si="279"/>
        <v>0</v>
      </c>
      <c r="V279" s="100">
        <f t="shared" si="279"/>
        <v>10547277.853181303</v>
      </c>
      <c r="W279" s="100">
        <f t="shared" si="279"/>
        <v>16072621.950832078</v>
      </c>
      <c r="X279" s="100">
        <f t="shared" si="279"/>
        <v>5486720.5058330726</v>
      </c>
      <c r="Y279" s="100">
        <f t="shared" si="279"/>
        <v>8026968.8945814846</v>
      </c>
      <c r="Z279" s="100">
        <f t="shared" si="279"/>
        <v>777099.37694364041</v>
      </c>
      <c r="AA279" s="100">
        <f t="shared" si="279"/>
        <v>691524.74262404756</v>
      </c>
      <c r="AB279" s="100">
        <f t="shared" si="279"/>
        <v>432461.27371313045</v>
      </c>
      <c r="AC279" s="100">
        <f t="shared" si="279"/>
        <v>11184096.169183971</v>
      </c>
      <c r="AD279" s="100">
        <f t="shared" si="279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0">SUM(F282:F287)</f>
        <v>34666663.739990681</v>
      </c>
      <c r="G288" s="100">
        <f t="shared" si="280"/>
        <v>0</v>
      </c>
      <c r="H288" s="100">
        <f t="shared" si="280"/>
        <v>0</v>
      </c>
      <c r="I288" s="100">
        <f t="shared" si="280"/>
        <v>0</v>
      </c>
      <c r="J288" s="100">
        <f t="shared" si="280"/>
        <v>0</v>
      </c>
      <c r="K288" s="100">
        <f t="shared" si="280"/>
        <v>0</v>
      </c>
      <c r="L288" s="100">
        <f t="shared" si="280"/>
        <v>0</v>
      </c>
      <c r="M288" s="100">
        <f t="shared" si="280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1">SUM(S282:S287)</f>
        <v>0</v>
      </c>
      <c r="T288" s="100">
        <f t="shared" si="281"/>
        <v>0</v>
      </c>
      <c r="U288" s="100">
        <f t="shared" si="281"/>
        <v>0</v>
      </c>
      <c r="V288" s="100">
        <f t="shared" si="281"/>
        <v>0</v>
      </c>
      <c r="W288" s="100">
        <f t="shared" si="281"/>
        <v>0</v>
      </c>
      <c r="X288" s="100">
        <f t="shared" si="281"/>
        <v>0</v>
      </c>
      <c r="Y288" s="100">
        <f t="shared" si="281"/>
        <v>0</v>
      </c>
      <c r="Z288" s="100">
        <f t="shared" si="281"/>
        <v>0</v>
      </c>
      <c r="AA288" s="100">
        <f t="shared" si="281"/>
        <v>0</v>
      </c>
      <c r="AB288" s="100">
        <f t="shared" si="281"/>
        <v>0</v>
      </c>
      <c r="AC288" s="100">
        <f t="shared" si="281"/>
        <v>0</v>
      </c>
      <c r="AD288" s="100">
        <f t="shared" si="281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2">IF(VLOOKUP($D291,$C$5:$AJ$644,6,)=0,0,((VLOOKUP($D291,$C$5:$AJ$644,6,)/VLOOKUP($D291,$C$5:$AJ$644,4,))*$F291))</f>
        <v>0</v>
      </c>
      <c r="I291" s="101">
        <f t="shared" ref="I291:I300" si="283">IF(VLOOKUP($D291,$C$5:$AJ$644,7,)=0,0,((VLOOKUP($D291,$C$5:$AJ$644,7,)/VLOOKUP($D291,$C$5:$AJ$644,4,))*$F291))</f>
        <v>0</v>
      </c>
      <c r="J291" s="101">
        <f t="shared" ref="J291:J300" si="284">IF(VLOOKUP($D291,$C$5:$AJ$644,8,)=0,0,((VLOOKUP($D291,$C$5:$AJ$644,8,)/VLOOKUP($D291,$C$5:$AJ$644,4,))*$F291))</f>
        <v>0</v>
      </c>
      <c r="K291" s="101">
        <f t="shared" ref="K291:K300" si="285">IF(VLOOKUP($D291,$C$5:$AJ$644,9,)=0,0,((VLOOKUP($D291,$C$5:$AJ$644,9,)/VLOOKUP($D291,$C$5:$AJ$644,4,))*$F291))</f>
        <v>0</v>
      </c>
      <c r="L291" s="101">
        <f t="shared" ref="L291:L300" si="286">IF(VLOOKUP($D291,$C$5:$AJ$644,10,)=0,0,((VLOOKUP($D291,$C$5:$AJ$644,10,)/VLOOKUP($D291,$C$5:$AJ$644,4,))*$F291))</f>
        <v>0</v>
      </c>
      <c r="M291" s="101">
        <f t="shared" ref="M291:M300" si="287">IF(VLOOKUP($D291,$C$5:$AJ$644,11,)=0,0,((VLOOKUP($D291,$C$5:$AJ$644,11,)/VLOOKUP($D291,$C$5:$AJ$644,4,))*$F291))</f>
        <v>0</v>
      </c>
      <c r="N291" s="101"/>
      <c r="O291" s="101">
        <f t="shared" ref="O291:O300" si="288">IF(VLOOKUP($D291,$C$5:$AJ$644,13,)=0,0,((VLOOKUP($D291,$C$5:$AJ$644,13,)/VLOOKUP($D291,$C$5:$AJ$644,4,))*$F291))</f>
        <v>0</v>
      </c>
      <c r="P291" s="101">
        <f t="shared" ref="P291:P300" si="289">IF(VLOOKUP($D291,$C$5:$AJ$644,14,)=0,0,((VLOOKUP($D291,$C$5:$AJ$644,14,)/VLOOKUP($D291,$C$5:$AJ$644,4,))*$F291))</f>
        <v>0</v>
      </c>
      <c r="Q291" s="101">
        <f t="shared" ref="Q291:Q300" si="290">IF(VLOOKUP($D291,$C$5:$AJ$644,15,)=0,0,((VLOOKUP($D291,$C$5:$AJ$644,15,)/VLOOKUP($D291,$C$5:$AJ$644,4,))*$F291))</f>
        <v>0</v>
      </c>
      <c r="R291" s="101"/>
      <c r="S291" s="101">
        <f t="shared" ref="S291:S300" si="291">IF(VLOOKUP($D291,$C$5:$AJ$644,17,)=0,0,((VLOOKUP($D291,$C$5:$AJ$644,17,)/VLOOKUP($D291,$C$5:$AJ$644,4,))*$F291))</f>
        <v>0</v>
      </c>
      <c r="T291" s="101">
        <f t="shared" ref="T291:T300" si="292">IF(VLOOKUP($D291,$C$5:$AJ$644,18,)=0,0,((VLOOKUP($D291,$C$5:$AJ$644,18,)/VLOOKUP($D291,$C$5:$AJ$644,4,))*$F291))</f>
        <v>0</v>
      </c>
      <c r="U291" s="101">
        <f t="shared" ref="U291:U300" si="293">IF(VLOOKUP($D291,$C$5:$AJ$644,19,)=0,0,((VLOOKUP($D291,$C$5:$AJ$644,19,)/VLOOKUP($D291,$C$5:$AJ$644,4,))*$F291))</f>
        <v>0</v>
      </c>
      <c r="V291" s="101">
        <f t="shared" ref="V291:V300" si="294">IF(VLOOKUP($D291,$C$5:$AJ$644,20,)=0,0,((VLOOKUP($D291,$C$5:$AJ$644,20,)/VLOOKUP($D291,$C$5:$AJ$644,4,))*$F291))</f>
        <v>0</v>
      </c>
      <c r="W291" s="101">
        <f t="shared" ref="W291:W300" si="295">IF(VLOOKUP($D291,$C$5:$AJ$644,21,)=0,0,((VLOOKUP($D291,$C$5:$AJ$644,21,)/VLOOKUP($D291,$C$5:$AJ$644,4,))*$F291))</f>
        <v>0</v>
      </c>
      <c r="X291" s="101">
        <f t="shared" ref="X291:X300" si="296">IF(VLOOKUP($D291,$C$5:$AJ$644,22,)=0,0,((VLOOKUP($D291,$C$5:$AJ$644,22,)/VLOOKUP($D291,$C$5:$AJ$644,4,))*$F291))</f>
        <v>0</v>
      </c>
      <c r="Y291" s="101">
        <f t="shared" ref="Y291:Y300" si="297">IF(VLOOKUP($D291,$C$5:$AJ$644,23,)=0,0,((VLOOKUP($D291,$C$5:$AJ$644,23,)/VLOOKUP($D291,$C$5:$AJ$644,4,))*$F291))</f>
        <v>0</v>
      </c>
      <c r="Z291" s="101">
        <f t="shared" ref="Z291:Z300" si="298">IF(VLOOKUP($D291,$C$5:$AJ$644,24,)=0,0,((VLOOKUP($D291,$C$5:$AJ$644,24,)/VLOOKUP($D291,$C$5:$AJ$644,4,))*$F291))</f>
        <v>0</v>
      </c>
      <c r="AA291" s="101">
        <f t="shared" ref="AA291:AA300" si="299">IF(VLOOKUP($D291,$C$5:$AJ$644,25,)=0,0,((VLOOKUP($D291,$C$5:$AJ$644,25,)/VLOOKUP($D291,$C$5:$AJ$644,4,))*$F291))</f>
        <v>0</v>
      </c>
      <c r="AB291" s="101">
        <f t="shared" ref="AB291:AB300" si="300">IF(VLOOKUP($D291,$C$5:$AJ$644,26,)=0,0,((VLOOKUP($D291,$C$5:$AJ$644,26,)/VLOOKUP($D291,$C$5:$AJ$644,4,))*$F291))</f>
        <v>0</v>
      </c>
      <c r="AC291" s="101">
        <f t="shared" ref="AC291:AC300" si="301">IF(VLOOKUP($D291,$C$5:$AJ$644,27,)=0,0,((VLOOKUP($D291,$C$5:$AJ$644,27,)/VLOOKUP($D291,$C$5:$AJ$644,4,))*$F291))</f>
        <v>0</v>
      </c>
      <c r="AD291" s="101">
        <f t="shared" ref="AD291:AD300" si="302">IF(VLOOKUP($D291,$C$5:$AJ$644,28,)=0,0,((VLOOKUP($D291,$C$5:$AJ$644,28,)/VLOOKUP($D291,$C$5:$AJ$644,4,))*$F291))</f>
        <v>0</v>
      </c>
      <c r="AE291" s="101"/>
      <c r="AF291" s="101">
        <f t="shared" ref="AF291:AF300" si="303">IF(VLOOKUP($D291,$C$5:$AJ$644,30,)=0,0,((VLOOKUP($D291,$C$5:$AJ$644,30,)/VLOOKUP($D291,$C$5:$AJ$644,4,))*$F291))</f>
        <v>0</v>
      </c>
      <c r="AG291" s="101"/>
      <c r="AH291" s="101">
        <f t="shared" ref="AH291:AH300" si="304">IF(VLOOKUP($D291,$C$5:$AJ$644,32,)=0,0,((VLOOKUP($D291,$C$5:$AJ$644,32,)/VLOOKUP($D291,$C$5:$AJ$644,4,))*$F291))</f>
        <v>651425.35319489997</v>
      </c>
      <c r="AI291" s="101"/>
      <c r="AJ291" s="101">
        <f t="shared" ref="AJ291:AJ300" si="305">IF(VLOOKUP($D291,$C$5:$AJ$644,34,)=0,0,((VLOOKUP($D291,$C$5:$AJ$644,34,)/VLOOKUP($D291,$C$5:$AJ$644,4,))*$F291))</f>
        <v>0</v>
      </c>
      <c r="AK291" s="101">
        <f t="shared" ref="AK291:AK300" si="306">SUM(H291:AJ291)</f>
        <v>651425.35319489997</v>
      </c>
      <c r="AL291" s="98" t="str">
        <f t="shared" ref="AL291:AL300" si="307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2"/>
        <v>0</v>
      </c>
      <c r="I292" s="101">
        <f t="shared" si="283"/>
        <v>0</v>
      </c>
      <c r="J292" s="101">
        <f t="shared" si="284"/>
        <v>0</v>
      </c>
      <c r="K292" s="101">
        <f t="shared" si="285"/>
        <v>0</v>
      </c>
      <c r="L292" s="101">
        <f t="shared" si="286"/>
        <v>0</v>
      </c>
      <c r="M292" s="101">
        <f t="shared" si="287"/>
        <v>0</v>
      </c>
      <c r="N292" s="101"/>
      <c r="O292" s="101">
        <f t="shared" si="288"/>
        <v>0</v>
      </c>
      <c r="P292" s="101">
        <f t="shared" si="289"/>
        <v>0</v>
      </c>
      <c r="Q292" s="101">
        <f t="shared" si="290"/>
        <v>0</v>
      </c>
      <c r="R292" s="101"/>
      <c r="S292" s="101">
        <f t="shared" si="291"/>
        <v>0</v>
      </c>
      <c r="T292" s="101">
        <f t="shared" si="292"/>
        <v>0</v>
      </c>
      <c r="U292" s="101">
        <f t="shared" si="293"/>
        <v>0</v>
      </c>
      <c r="V292" s="101">
        <f t="shared" si="294"/>
        <v>0</v>
      </c>
      <c r="W292" s="101">
        <f t="shared" si="295"/>
        <v>0</v>
      </c>
      <c r="X292" s="101">
        <f t="shared" si="296"/>
        <v>0</v>
      </c>
      <c r="Y292" s="101">
        <f t="shared" si="297"/>
        <v>0</v>
      </c>
      <c r="Z292" s="101">
        <f t="shared" si="298"/>
        <v>0</v>
      </c>
      <c r="AA292" s="101">
        <f t="shared" si="299"/>
        <v>0</v>
      </c>
      <c r="AB292" s="101">
        <f t="shared" si="300"/>
        <v>0</v>
      </c>
      <c r="AC292" s="101">
        <f t="shared" si="301"/>
        <v>0</v>
      </c>
      <c r="AD292" s="101">
        <f t="shared" si="302"/>
        <v>0</v>
      </c>
      <c r="AE292" s="101"/>
      <c r="AF292" s="101">
        <f t="shared" si="303"/>
        <v>0</v>
      </c>
      <c r="AG292" s="101"/>
      <c r="AH292" s="101">
        <f t="shared" si="304"/>
        <v>450051</v>
      </c>
      <c r="AI292" s="101"/>
      <c r="AJ292" s="101">
        <f t="shared" si="305"/>
        <v>0</v>
      </c>
      <c r="AK292" s="101">
        <f t="shared" si="306"/>
        <v>450051</v>
      </c>
      <c r="AL292" s="98" t="str">
        <f t="shared" si="307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2"/>
        <v>0</v>
      </c>
      <c r="I293" s="101">
        <f t="shared" si="283"/>
        <v>0</v>
      </c>
      <c r="J293" s="101">
        <f t="shared" si="284"/>
        <v>0</v>
      </c>
      <c r="K293" s="101">
        <f t="shared" si="285"/>
        <v>0</v>
      </c>
      <c r="L293" s="101">
        <f t="shared" si="286"/>
        <v>0</v>
      </c>
      <c r="M293" s="101">
        <f t="shared" si="287"/>
        <v>0</v>
      </c>
      <c r="N293" s="101"/>
      <c r="O293" s="101">
        <f t="shared" si="288"/>
        <v>0</v>
      </c>
      <c r="P293" s="101">
        <f t="shared" si="289"/>
        <v>0</v>
      </c>
      <c r="Q293" s="101">
        <f t="shared" si="290"/>
        <v>0</v>
      </c>
      <c r="R293" s="101"/>
      <c r="S293" s="101">
        <f t="shared" si="291"/>
        <v>0</v>
      </c>
      <c r="T293" s="101">
        <f t="shared" si="292"/>
        <v>0</v>
      </c>
      <c r="U293" s="101">
        <f t="shared" si="293"/>
        <v>0</v>
      </c>
      <c r="V293" s="101">
        <f t="shared" si="294"/>
        <v>0</v>
      </c>
      <c r="W293" s="101">
        <f t="shared" si="295"/>
        <v>0</v>
      </c>
      <c r="X293" s="101">
        <f t="shared" si="296"/>
        <v>0</v>
      </c>
      <c r="Y293" s="101">
        <f t="shared" si="297"/>
        <v>0</v>
      </c>
      <c r="Z293" s="101">
        <f t="shared" si="298"/>
        <v>0</v>
      </c>
      <c r="AA293" s="101">
        <f t="shared" si="299"/>
        <v>0</v>
      </c>
      <c r="AB293" s="101">
        <f t="shared" si="300"/>
        <v>0</v>
      </c>
      <c r="AC293" s="101">
        <f t="shared" si="301"/>
        <v>0</v>
      </c>
      <c r="AD293" s="101">
        <f t="shared" si="302"/>
        <v>0</v>
      </c>
      <c r="AE293" s="101"/>
      <c r="AF293" s="101">
        <f t="shared" si="303"/>
        <v>0</v>
      </c>
      <c r="AG293" s="101"/>
      <c r="AH293" s="101">
        <f t="shared" si="304"/>
        <v>0</v>
      </c>
      <c r="AI293" s="101"/>
      <c r="AJ293" s="101">
        <f t="shared" si="305"/>
        <v>0</v>
      </c>
      <c r="AK293" s="101">
        <f t="shared" si="306"/>
        <v>0</v>
      </c>
      <c r="AL293" s="98" t="str">
        <f t="shared" si="307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2"/>
        <v>0</v>
      </c>
      <c r="I294" s="101">
        <f t="shared" si="283"/>
        <v>0</v>
      </c>
      <c r="J294" s="101">
        <f t="shared" si="284"/>
        <v>0</v>
      </c>
      <c r="K294" s="101">
        <f t="shared" si="285"/>
        <v>0</v>
      </c>
      <c r="L294" s="101">
        <f t="shared" si="286"/>
        <v>0</v>
      </c>
      <c r="M294" s="101">
        <f t="shared" si="287"/>
        <v>0</v>
      </c>
      <c r="N294" s="101"/>
      <c r="O294" s="101">
        <f t="shared" si="288"/>
        <v>0</v>
      </c>
      <c r="P294" s="101">
        <f t="shared" si="289"/>
        <v>0</v>
      </c>
      <c r="Q294" s="101">
        <f t="shared" si="290"/>
        <v>0</v>
      </c>
      <c r="R294" s="101"/>
      <c r="S294" s="101">
        <f t="shared" si="291"/>
        <v>0</v>
      </c>
      <c r="T294" s="101">
        <f t="shared" si="292"/>
        <v>0</v>
      </c>
      <c r="U294" s="101">
        <f t="shared" si="293"/>
        <v>0</v>
      </c>
      <c r="V294" s="101">
        <f t="shared" si="294"/>
        <v>0</v>
      </c>
      <c r="W294" s="101">
        <f t="shared" si="295"/>
        <v>0</v>
      </c>
      <c r="X294" s="101">
        <f t="shared" si="296"/>
        <v>0</v>
      </c>
      <c r="Y294" s="101">
        <f t="shared" si="297"/>
        <v>0</v>
      </c>
      <c r="Z294" s="101">
        <f t="shared" si="298"/>
        <v>0</v>
      </c>
      <c r="AA294" s="101">
        <f t="shared" si="299"/>
        <v>0</v>
      </c>
      <c r="AB294" s="101">
        <f t="shared" si="300"/>
        <v>0</v>
      </c>
      <c r="AC294" s="101">
        <f t="shared" si="301"/>
        <v>0</v>
      </c>
      <c r="AD294" s="101">
        <f t="shared" si="302"/>
        <v>0</v>
      </c>
      <c r="AE294" s="101"/>
      <c r="AF294" s="101">
        <f t="shared" si="303"/>
        <v>0</v>
      </c>
      <c r="AG294" s="101"/>
      <c r="AH294" s="101">
        <f t="shared" si="304"/>
        <v>389844.86125564732</v>
      </c>
      <c r="AI294" s="101"/>
      <c r="AJ294" s="101">
        <f t="shared" si="305"/>
        <v>0</v>
      </c>
      <c r="AK294" s="101">
        <f t="shared" si="306"/>
        <v>389844.86125564732</v>
      </c>
      <c r="AL294" s="98" t="str">
        <f t="shared" si="307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2"/>
        <v>0</v>
      </c>
      <c r="I295" s="101">
        <f t="shared" si="283"/>
        <v>0</v>
      </c>
      <c r="J295" s="101">
        <f t="shared" si="284"/>
        <v>0</v>
      </c>
      <c r="K295" s="101">
        <f t="shared" si="285"/>
        <v>0</v>
      </c>
      <c r="L295" s="101">
        <f t="shared" si="286"/>
        <v>0</v>
      </c>
      <c r="M295" s="101">
        <f t="shared" si="287"/>
        <v>0</v>
      </c>
      <c r="N295" s="101"/>
      <c r="O295" s="101">
        <f t="shared" si="288"/>
        <v>0</v>
      </c>
      <c r="P295" s="101">
        <f t="shared" si="289"/>
        <v>0</v>
      </c>
      <c r="Q295" s="101">
        <f t="shared" si="290"/>
        <v>0</v>
      </c>
      <c r="R295" s="101"/>
      <c r="S295" s="101">
        <f t="shared" si="291"/>
        <v>0</v>
      </c>
      <c r="T295" s="101">
        <f t="shared" si="292"/>
        <v>0</v>
      </c>
      <c r="U295" s="101">
        <f t="shared" si="293"/>
        <v>0</v>
      </c>
      <c r="V295" s="101">
        <f t="shared" si="294"/>
        <v>0</v>
      </c>
      <c r="W295" s="101">
        <f t="shared" si="295"/>
        <v>0</v>
      </c>
      <c r="X295" s="101">
        <f t="shared" si="296"/>
        <v>0</v>
      </c>
      <c r="Y295" s="101">
        <f t="shared" si="297"/>
        <v>0</v>
      </c>
      <c r="Z295" s="101">
        <f t="shared" si="298"/>
        <v>0</v>
      </c>
      <c r="AA295" s="101">
        <f t="shared" si="299"/>
        <v>0</v>
      </c>
      <c r="AB295" s="101">
        <f t="shared" si="300"/>
        <v>0</v>
      </c>
      <c r="AC295" s="101">
        <f t="shared" si="301"/>
        <v>0</v>
      </c>
      <c r="AD295" s="101">
        <f t="shared" si="302"/>
        <v>0</v>
      </c>
      <c r="AE295" s="101"/>
      <c r="AF295" s="101">
        <f t="shared" si="303"/>
        <v>0</v>
      </c>
      <c r="AG295" s="101"/>
      <c r="AH295" s="101">
        <f t="shared" si="304"/>
        <v>0</v>
      </c>
      <c r="AI295" s="101"/>
      <c r="AJ295" s="101">
        <f t="shared" si="305"/>
        <v>0</v>
      </c>
      <c r="AK295" s="101">
        <f t="shared" si="306"/>
        <v>0</v>
      </c>
      <c r="AL295" s="98" t="str">
        <f t="shared" si="307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2"/>
        <v>0</v>
      </c>
      <c r="I296" s="101">
        <f t="shared" si="283"/>
        <v>0</v>
      </c>
      <c r="J296" s="101">
        <f t="shared" si="284"/>
        <v>0</v>
      </c>
      <c r="K296" s="101">
        <f t="shared" si="285"/>
        <v>0</v>
      </c>
      <c r="L296" s="101">
        <f t="shared" si="286"/>
        <v>0</v>
      </c>
      <c r="M296" s="101">
        <f t="shared" si="287"/>
        <v>0</v>
      </c>
      <c r="N296" s="101"/>
      <c r="O296" s="101">
        <f t="shared" si="288"/>
        <v>0</v>
      </c>
      <c r="P296" s="101">
        <f t="shared" si="289"/>
        <v>0</v>
      </c>
      <c r="Q296" s="101">
        <f t="shared" si="290"/>
        <v>0</v>
      </c>
      <c r="R296" s="101"/>
      <c r="S296" s="101">
        <f t="shared" si="291"/>
        <v>0</v>
      </c>
      <c r="T296" s="101">
        <f t="shared" si="292"/>
        <v>0</v>
      </c>
      <c r="U296" s="101">
        <f t="shared" si="293"/>
        <v>0</v>
      </c>
      <c r="V296" s="101">
        <f t="shared" si="294"/>
        <v>0</v>
      </c>
      <c r="W296" s="101">
        <f t="shared" si="295"/>
        <v>0</v>
      </c>
      <c r="X296" s="101">
        <f t="shared" si="296"/>
        <v>0</v>
      </c>
      <c r="Y296" s="101">
        <f t="shared" si="297"/>
        <v>0</v>
      </c>
      <c r="Z296" s="101">
        <f t="shared" si="298"/>
        <v>0</v>
      </c>
      <c r="AA296" s="101">
        <f t="shared" si="299"/>
        <v>0</v>
      </c>
      <c r="AB296" s="101">
        <f t="shared" si="300"/>
        <v>0</v>
      </c>
      <c r="AC296" s="101">
        <f t="shared" si="301"/>
        <v>0</v>
      </c>
      <c r="AD296" s="101">
        <f t="shared" si="302"/>
        <v>0</v>
      </c>
      <c r="AE296" s="101"/>
      <c r="AF296" s="101">
        <f t="shared" si="303"/>
        <v>0</v>
      </c>
      <c r="AG296" s="101"/>
      <c r="AH296" s="101">
        <f t="shared" si="304"/>
        <v>1861026.9033819989</v>
      </c>
      <c r="AI296" s="101"/>
      <c r="AJ296" s="101">
        <f t="shared" si="305"/>
        <v>0</v>
      </c>
      <c r="AK296" s="101">
        <f t="shared" si="306"/>
        <v>1861026.9033819989</v>
      </c>
      <c r="AL296" s="98" t="str">
        <f t="shared" si="307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2"/>
        <v>0</v>
      </c>
      <c r="I297" s="101">
        <f t="shared" si="283"/>
        <v>0</v>
      </c>
      <c r="J297" s="101">
        <f t="shared" si="284"/>
        <v>0</v>
      </c>
      <c r="K297" s="101">
        <f t="shared" si="285"/>
        <v>0</v>
      </c>
      <c r="L297" s="101">
        <f t="shared" si="286"/>
        <v>0</v>
      </c>
      <c r="M297" s="101">
        <f t="shared" si="287"/>
        <v>0</v>
      </c>
      <c r="N297" s="101"/>
      <c r="O297" s="101">
        <f t="shared" si="288"/>
        <v>0</v>
      </c>
      <c r="P297" s="101">
        <f t="shared" si="289"/>
        <v>0</v>
      </c>
      <c r="Q297" s="101">
        <f t="shared" si="290"/>
        <v>0</v>
      </c>
      <c r="R297" s="101"/>
      <c r="S297" s="101">
        <f t="shared" si="291"/>
        <v>0</v>
      </c>
      <c r="T297" s="101">
        <f t="shared" si="292"/>
        <v>0</v>
      </c>
      <c r="U297" s="101">
        <f t="shared" si="293"/>
        <v>0</v>
      </c>
      <c r="V297" s="101">
        <f t="shared" si="294"/>
        <v>0</v>
      </c>
      <c r="W297" s="101">
        <f t="shared" si="295"/>
        <v>0</v>
      </c>
      <c r="X297" s="101">
        <f t="shared" si="296"/>
        <v>0</v>
      </c>
      <c r="Y297" s="101">
        <f t="shared" si="297"/>
        <v>0</v>
      </c>
      <c r="Z297" s="101">
        <f t="shared" si="298"/>
        <v>0</v>
      </c>
      <c r="AA297" s="101">
        <f t="shared" si="299"/>
        <v>0</v>
      </c>
      <c r="AB297" s="101">
        <f t="shared" si="300"/>
        <v>0</v>
      </c>
      <c r="AC297" s="101">
        <f t="shared" si="301"/>
        <v>0</v>
      </c>
      <c r="AD297" s="101">
        <f t="shared" si="302"/>
        <v>0</v>
      </c>
      <c r="AE297" s="101"/>
      <c r="AF297" s="101">
        <f t="shared" si="303"/>
        <v>0</v>
      </c>
      <c r="AG297" s="101"/>
      <c r="AH297" s="101">
        <f t="shared" si="304"/>
        <v>0</v>
      </c>
      <c r="AI297" s="101"/>
      <c r="AJ297" s="101">
        <f t="shared" si="305"/>
        <v>0</v>
      </c>
      <c r="AK297" s="101">
        <f t="shared" si="306"/>
        <v>0</v>
      </c>
      <c r="AL297" s="98" t="str">
        <f t="shared" si="307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2"/>
        <v>0</v>
      </c>
      <c r="I298" s="101">
        <f t="shared" si="283"/>
        <v>0</v>
      </c>
      <c r="J298" s="101">
        <f t="shared" si="284"/>
        <v>0</v>
      </c>
      <c r="K298" s="101">
        <f t="shared" si="285"/>
        <v>0</v>
      </c>
      <c r="L298" s="101">
        <f t="shared" si="286"/>
        <v>0</v>
      </c>
      <c r="M298" s="101">
        <f t="shared" si="287"/>
        <v>0</v>
      </c>
      <c r="N298" s="101"/>
      <c r="O298" s="101">
        <f t="shared" si="288"/>
        <v>0</v>
      </c>
      <c r="P298" s="101">
        <f t="shared" si="289"/>
        <v>0</v>
      </c>
      <c r="Q298" s="101">
        <f t="shared" si="290"/>
        <v>0</v>
      </c>
      <c r="R298" s="101"/>
      <c r="S298" s="101">
        <f t="shared" si="291"/>
        <v>0</v>
      </c>
      <c r="T298" s="101">
        <f t="shared" si="292"/>
        <v>0</v>
      </c>
      <c r="U298" s="101">
        <f t="shared" si="293"/>
        <v>0</v>
      </c>
      <c r="V298" s="101">
        <f t="shared" si="294"/>
        <v>0</v>
      </c>
      <c r="W298" s="101">
        <f t="shared" si="295"/>
        <v>0</v>
      </c>
      <c r="X298" s="101">
        <f t="shared" si="296"/>
        <v>0</v>
      </c>
      <c r="Y298" s="101">
        <f t="shared" si="297"/>
        <v>0</v>
      </c>
      <c r="Z298" s="101">
        <f t="shared" si="298"/>
        <v>0</v>
      </c>
      <c r="AA298" s="101">
        <f t="shared" si="299"/>
        <v>0</v>
      </c>
      <c r="AB298" s="101">
        <f t="shared" si="300"/>
        <v>0</v>
      </c>
      <c r="AC298" s="101">
        <f t="shared" si="301"/>
        <v>0</v>
      </c>
      <c r="AD298" s="101">
        <f t="shared" si="302"/>
        <v>0</v>
      </c>
      <c r="AE298" s="101"/>
      <c r="AF298" s="101">
        <f t="shared" si="303"/>
        <v>0</v>
      </c>
      <c r="AG298" s="101"/>
      <c r="AH298" s="101">
        <f t="shared" si="304"/>
        <v>0</v>
      </c>
      <c r="AI298" s="101"/>
      <c r="AJ298" s="101">
        <f t="shared" si="305"/>
        <v>0</v>
      </c>
      <c r="AK298" s="101">
        <f t="shared" si="306"/>
        <v>0</v>
      </c>
      <c r="AL298" s="98" t="str">
        <f t="shared" si="307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2"/>
        <v>0</v>
      </c>
      <c r="I299" s="101">
        <f t="shared" si="283"/>
        <v>0</v>
      </c>
      <c r="J299" s="101">
        <f t="shared" si="284"/>
        <v>0</v>
      </c>
      <c r="K299" s="101">
        <f t="shared" si="285"/>
        <v>0</v>
      </c>
      <c r="L299" s="101">
        <f t="shared" si="286"/>
        <v>0</v>
      </c>
      <c r="M299" s="101">
        <f t="shared" si="287"/>
        <v>0</v>
      </c>
      <c r="N299" s="101"/>
      <c r="O299" s="101">
        <f t="shared" si="288"/>
        <v>0</v>
      </c>
      <c r="P299" s="101">
        <f t="shared" si="289"/>
        <v>0</v>
      </c>
      <c r="Q299" s="101">
        <f t="shared" si="290"/>
        <v>0</v>
      </c>
      <c r="R299" s="101"/>
      <c r="S299" s="101">
        <f t="shared" si="291"/>
        <v>0</v>
      </c>
      <c r="T299" s="101">
        <f t="shared" si="292"/>
        <v>0</v>
      </c>
      <c r="U299" s="101">
        <f t="shared" si="293"/>
        <v>0</v>
      </c>
      <c r="V299" s="101">
        <f t="shared" si="294"/>
        <v>0</v>
      </c>
      <c r="W299" s="101">
        <f t="shared" si="295"/>
        <v>0</v>
      </c>
      <c r="X299" s="101">
        <f t="shared" si="296"/>
        <v>0</v>
      </c>
      <c r="Y299" s="101">
        <f t="shared" si="297"/>
        <v>0</v>
      </c>
      <c r="Z299" s="101">
        <f t="shared" si="298"/>
        <v>0</v>
      </c>
      <c r="AA299" s="101">
        <f t="shared" si="299"/>
        <v>0</v>
      </c>
      <c r="AB299" s="101">
        <f t="shared" si="300"/>
        <v>0</v>
      </c>
      <c r="AC299" s="101">
        <f t="shared" si="301"/>
        <v>0</v>
      </c>
      <c r="AD299" s="101">
        <f t="shared" si="302"/>
        <v>0</v>
      </c>
      <c r="AE299" s="101"/>
      <c r="AF299" s="101">
        <f t="shared" si="303"/>
        <v>0</v>
      </c>
      <c r="AG299" s="101"/>
      <c r="AH299" s="101">
        <f t="shared" si="304"/>
        <v>794217.3368437452</v>
      </c>
      <c r="AI299" s="101"/>
      <c r="AJ299" s="101">
        <f t="shared" si="305"/>
        <v>0</v>
      </c>
      <c r="AK299" s="101">
        <f t="shared" si="306"/>
        <v>794217.3368437452</v>
      </c>
      <c r="AL299" s="98" t="str">
        <f t="shared" si="307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2"/>
        <v>0</v>
      </c>
      <c r="I300" s="101">
        <f t="shared" si="283"/>
        <v>0</v>
      </c>
      <c r="J300" s="101">
        <f t="shared" si="284"/>
        <v>0</v>
      </c>
      <c r="K300" s="101">
        <f t="shared" si="285"/>
        <v>0</v>
      </c>
      <c r="L300" s="101">
        <f t="shared" si="286"/>
        <v>0</v>
      </c>
      <c r="M300" s="101">
        <f t="shared" si="287"/>
        <v>0</v>
      </c>
      <c r="N300" s="101"/>
      <c r="O300" s="101">
        <f t="shared" si="288"/>
        <v>0</v>
      </c>
      <c r="P300" s="101">
        <f t="shared" si="289"/>
        <v>0</v>
      </c>
      <c r="Q300" s="101">
        <f t="shared" si="290"/>
        <v>0</v>
      </c>
      <c r="R300" s="101"/>
      <c r="S300" s="101">
        <f t="shared" si="291"/>
        <v>0</v>
      </c>
      <c r="T300" s="101">
        <f t="shared" si="292"/>
        <v>0</v>
      </c>
      <c r="U300" s="101">
        <f t="shared" si="293"/>
        <v>0</v>
      </c>
      <c r="V300" s="101">
        <f t="shared" si="294"/>
        <v>0</v>
      </c>
      <c r="W300" s="101">
        <f t="shared" si="295"/>
        <v>0</v>
      </c>
      <c r="X300" s="101">
        <f t="shared" si="296"/>
        <v>0</v>
      </c>
      <c r="Y300" s="101">
        <f t="shared" si="297"/>
        <v>0</v>
      </c>
      <c r="Z300" s="101">
        <f t="shared" si="298"/>
        <v>0</v>
      </c>
      <c r="AA300" s="101">
        <f t="shared" si="299"/>
        <v>0</v>
      </c>
      <c r="AB300" s="101">
        <f t="shared" si="300"/>
        <v>0</v>
      </c>
      <c r="AC300" s="101">
        <f t="shared" si="301"/>
        <v>0</v>
      </c>
      <c r="AD300" s="101">
        <f t="shared" si="302"/>
        <v>0</v>
      </c>
      <c r="AE300" s="101"/>
      <c r="AF300" s="101">
        <f t="shared" si="303"/>
        <v>0</v>
      </c>
      <c r="AG300" s="101"/>
      <c r="AH300" s="101">
        <f t="shared" si="304"/>
        <v>0</v>
      </c>
      <c r="AI300" s="101"/>
      <c r="AJ300" s="101">
        <f t="shared" si="305"/>
        <v>0</v>
      </c>
      <c r="AK300" s="101">
        <f t="shared" si="306"/>
        <v>0</v>
      </c>
      <c r="AL300" s="98" t="str">
        <f t="shared" si="307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08">SUM(F291:F301)</f>
        <v>4146565.4546762914</v>
      </c>
      <c r="G302" s="100">
        <f t="shared" si="308"/>
        <v>0</v>
      </c>
      <c r="H302" s="100">
        <f t="shared" si="308"/>
        <v>0</v>
      </c>
      <c r="I302" s="100">
        <f t="shared" si="308"/>
        <v>0</v>
      </c>
      <c r="J302" s="100">
        <f t="shared" si="308"/>
        <v>0</v>
      </c>
      <c r="K302" s="100">
        <f t="shared" si="308"/>
        <v>0</v>
      </c>
      <c r="L302" s="100">
        <f t="shared" si="308"/>
        <v>0</v>
      </c>
      <c r="M302" s="100">
        <f t="shared" si="308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09">SUM(S291:S301)</f>
        <v>0</v>
      </c>
      <c r="T302" s="100">
        <f t="shared" si="309"/>
        <v>0</v>
      </c>
      <c r="U302" s="100">
        <f t="shared" si="309"/>
        <v>0</v>
      </c>
      <c r="V302" s="100">
        <f t="shared" si="309"/>
        <v>0</v>
      </c>
      <c r="W302" s="100">
        <f t="shared" si="309"/>
        <v>0</v>
      </c>
      <c r="X302" s="100">
        <f t="shared" si="309"/>
        <v>0</v>
      </c>
      <c r="Y302" s="100">
        <f t="shared" si="309"/>
        <v>0</v>
      </c>
      <c r="Z302" s="100">
        <f t="shared" si="309"/>
        <v>0</v>
      </c>
      <c r="AA302" s="100">
        <f t="shared" si="309"/>
        <v>0</v>
      </c>
      <c r="AB302" s="100">
        <f t="shared" si="309"/>
        <v>0</v>
      </c>
      <c r="AC302" s="100">
        <f t="shared" si="309"/>
        <v>0</v>
      </c>
      <c r="AD302" s="100">
        <f t="shared" si="309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0">H279+H288+H302</f>
        <v>24218939.273041509</v>
      </c>
      <c r="I304" s="101">
        <f t="shared" si="310"/>
        <v>23093636.130027201</v>
      </c>
      <c r="J304" s="101">
        <f t="shared" si="310"/>
        <v>23178849.899386439</v>
      </c>
      <c r="K304" s="101">
        <f t="shared" si="310"/>
        <v>616805451.12231529</v>
      </c>
      <c r="L304" s="101">
        <f t="shared" si="310"/>
        <v>0</v>
      </c>
      <c r="M304" s="101">
        <f t="shared" si="310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1">S279+S288+S302</f>
        <v>0</v>
      </c>
      <c r="T304" s="101">
        <f t="shared" si="311"/>
        <v>4510559.0847164886</v>
      </c>
      <c r="U304" s="101">
        <f t="shared" si="311"/>
        <v>0</v>
      </c>
      <c r="V304" s="101">
        <f t="shared" si="311"/>
        <v>10547277.853181303</v>
      </c>
      <c r="W304" s="101">
        <f t="shared" si="311"/>
        <v>16072621.950832078</v>
      </c>
      <c r="X304" s="101">
        <f t="shared" si="311"/>
        <v>5486720.5058330726</v>
      </c>
      <c r="Y304" s="101">
        <f t="shared" si="311"/>
        <v>8026968.8945814846</v>
      </c>
      <c r="Z304" s="101">
        <f t="shared" si="311"/>
        <v>777099.37694364041</v>
      </c>
      <c r="AA304" s="101">
        <f t="shared" si="311"/>
        <v>691524.74262404756</v>
      </c>
      <c r="AB304" s="101">
        <f t="shared" si="311"/>
        <v>432461.27371313045</v>
      </c>
      <c r="AC304" s="101">
        <f t="shared" si="311"/>
        <v>11184096.169183971</v>
      </c>
      <c r="AD304" s="101">
        <f t="shared" si="311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2">IF(VLOOKUP($D313,$C$5:$AJ$644,6,)=0,0,((VLOOKUP($D313,$C$5:$AJ$644,6,)/VLOOKUP($D313,$C$5:$AJ$644,4,))*$F313))</f>
        <v>3683644.8470305847</v>
      </c>
      <c r="I313" s="101">
        <f t="shared" ref="I313:I324" si="313">IF(VLOOKUP($D313,$C$5:$AJ$644,7,)=0,0,((VLOOKUP($D313,$C$5:$AJ$644,7,)/VLOOKUP($D313,$C$5:$AJ$644,4,))*$F313))</f>
        <v>3472490.031198021</v>
      </c>
      <c r="J313" s="101">
        <f t="shared" ref="J313:J324" si="314">IF(VLOOKUP($D313,$C$5:$AJ$644,8,)=0,0,((VLOOKUP($D313,$C$5:$AJ$644,8,)/VLOOKUP($D313,$C$5:$AJ$644,4,))*$F313))</f>
        <v>3566271.2340241438</v>
      </c>
      <c r="K313" s="101">
        <f t="shared" ref="K313:K324" si="315">IF(VLOOKUP($D313,$C$5:$AJ$644,9,)=0,0,((VLOOKUP($D313,$C$5:$AJ$644,9,)/VLOOKUP($D313,$C$5:$AJ$644,4,))*$F313))</f>
        <v>7680250.7495813007</v>
      </c>
      <c r="L313" s="101">
        <f t="shared" ref="L313:L324" si="316">IF(VLOOKUP($D313,$C$5:$AJ$644,10,)=0,0,((VLOOKUP($D313,$C$5:$AJ$644,10,)/VLOOKUP($D313,$C$5:$AJ$644,4,))*$F313))</f>
        <v>0</v>
      </c>
      <c r="M313" s="101">
        <f t="shared" ref="M313:M324" si="317">IF(VLOOKUP($D313,$C$5:$AJ$644,11,)=0,0,((VLOOKUP($D313,$C$5:$AJ$644,11,)/VLOOKUP($D313,$C$5:$AJ$644,4,))*$F313))</f>
        <v>0</v>
      </c>
      <c r="N313" s="101"/>
      <c r="O313" s="101">
        <f t="shared" ref="O313:O324" si="318">IF(VLOOKUP($D313,$C$5:$AJ$644,13,)=0,0,((VLOOKUP($D313,$C$5:$AJ$644,13,)/VLOOKUP($D313,$C$5:$AJ$644,4,))*$F313))</f>
        <v>2272731.5905083567</v>
      </c>
      <c r="P313" s="101">
        <f t="shared" ref="P313:P324" si="319">IF(VLOOKUP($D313,$C$5:$AJ$644,14,)=0,0,((VLOOKUP($D313,$C$5:$AJ$644,14,)/VLOOKUP($D313,$C$5:$AJ$644,4,))*$F313))</f>
        <v>0</v>
      </c>
      <c r="Q313" s="101">
        <f t="shared" ref="Q313:Q324" si="320">IF(VLOOKUP($D313,$C$5:$AJ$644,15,)=0,0,((VLOOKUP($D313,$C$5:$AJ$644,15,)/VLOOKUP($D313,$C$5:$AJ$644,4,))*$F313))</f>
        <v>0</v>
      </c>
      <c r="R313" s="101"/>
      <c r="S313" s="101">
        <f t="shared" ref="S313:S324" si="321">IF(VLOOKUP($D313,$C$5:$AJ$644,17,)=0,0,((VLOOKUP($D313,$C$5:$AJ$644,17,)/VLOOKUP($D313,$C$5:$AJ$644,4,))*$F313))</f>
        <v>0</v>
      </c>
      <c r="T313" s="101">
        <f t="shared" ref="T313:T324" si="322">IF(VLOOKUP($D313,$C$5:$AJ$644,18,)=0,0,((VLOOKUP($D313,$C$5:$AJ$644,18,)/VLOOKUP($D313,$C$5:$AJ$644,4,))*$F313))</f>
        <v>796958.82461085077</v>
      </c>
      <c r="U313" s="101">
        <f t="shared" ref="U313:U324" si="323">IF(VLOOKUP($D313,$C$5:$AJ$644,19,)=0,0,((VLOOKUP($D313,$C$5:$AJ$644,19,)/VLOOKUP($D313,$C$5:$AJ$644,4,))*$F313))</f>
        <v>0</v>
      </c>
      <c r="V313" s="101">
        <f t="shared" ref="V313:V324" si="324">IF(VLOOKUP($D313,$C$5:$AJ$644,20,)=0,0,((VLOOKUP($D313,$C$5:$AJ$644,20,)/VLOOKUP($D313,$C$5:$AJ$644,4,))*$F313))</f>
        <v>951795.252646707</v>
      </c>
      <c r="W313" s="101">
        <f t="shared" ref="W313:W324" si="325">IF(VLOOKUP($D313,$C$5:$AJ$644,21,)=0,0,((VLOOKUP($D313,$C$5:$AJ$644,21,)/VLOOKUP($D313,$C$5:$AJ$644,4,))*$F313))</f>
        <v>1509838.7992050059</v>
      </c>
      <c r="X313" s="101">
        <f t="shared" ref="X313:X324" si="326">IF(VLOOKUP($D313,$C$5:$AJ$644,22,)=0,0,((VLOOKUP($D313,$C$5:$AJ$644,22,)/VLOOKUP($D313,$C$5:$AJ$644,4,))*$F313))</f>
        <v>484365.98091403564</v>
      </c>
      <c r="Y313" s="101">
        <f t="shared" ref="Y313:Y324" si="327">IF(VLOOKUP($D313,$C$5:$AJ$644,23,)=0,0,((VLOOKUP($D313,$C$5:$AJ$644,23,)/VLOOKUP($D313,$C$5:$AJ$644,4,))*$F313))</f>
        <v>714055.58812314237</v>
      </c>
      <c r="Z313" s="101">
        <f t="shared" ref="Z313:Z324" si="328">IF(VLOOKUP($D313,$C$5:$AJ$644,24,)=0,0,((VLOOKUP($D313,$C$5:$AJ$644,24,)/VLOOKUP($D313,$C$5:$AJ$644,4,))*$F313))</f>
        <v>124659.58716575959</v>
      </c>
      <c r="AA313" s="101">
        <f t="shared" ref="AA313:AA324" si="329">IF(VLOOKUP($D313,$C$5:$AJ$644,25,)=0,0,((VLOOKUP($D313,$C$5:$AJ$644,25,)/VLOOKUP($D313,$C$5:$AJ$644,4,))*$F313))</f>
        <v>110932.0010903496</v>
      </c>
      <c r="AB313" s="101">
        <f t="shared" ref="AB313:AB324" si="330">IF(VLOOKUP($D313,$C$5:$AJ$644,26,)=0,0,((VLOOKUP($D313,$C$5:$AJ$644,26,)/VLOOKUP($D313,$C$5:$AJ$644,4,))*$F313))</f>
        <v>68801.727767802848</v>
      </c>
      <c r="AC313" s="101">
        <f t="shared" ref="AC313:AC324" si="331">IF(VLOOKUP($D313,$C$5:$AJ$644,27,)=0,0,((VLOOKUP($D313,$C$5:$AJ$644,27,)/VLOOKUP($D313,$C$5:$AJ$644,4,))*$F313))</f>
        <v>2153640.7712371093</v>
      </c>
      <c r="AD313" s="101">
        <f t="shared" ref="AD313:AD324" si="332">IF(VLOOKUP($D313,$C$5:$AJ$644,28,)=0,0,((VLOOKUP($D313,$C$5:$AJ$644,28,)/VLOOKUP($D313,$C$5:$AJ$644,4,))*$F313))</f>
        <v>81427.079674241395</v>
      </c>
      <c r="AE313" s="101"/>
      <c r="AF313" s="101">
        <f t="shared" ref="AF313:AF324" si="333">IF(VLOOKUP($D313,$C$5:$AJ$644,30,)=0,0,((VLOOKUP($D313,$C$5:$AJ$644,30,)/VLOOKUP($D313,$C$5:$AJ$644,4,))*$F313))</f>
        <v>5395653.982505084</v>
      </c>
      <c r="AG313" s="101"/>
      <c r="AH313" s="101">
        <f t="shared" ref="AH313:AH324" si="334">IF(VLOOKUP($D313,$C$5:$AJ$644,32,)=0,0,((VLOOKUP($D313,$C$5:$AJ$644,32,)/VLOOKUP($D313,$C$5:$AJ$644,4,))*$F313))</f>
        <v>741713.74330306624</v>
      </c>
      <c r="AI313" s="101"/>
      <c r="AJ313" s="101">
        <f t="shared" ref="AJ313:AJ324" si="335">IF(VLOOKUP($D313,$C$5:$AJ$644,34,)=0,0,((VLOOKUP($D313,$C$5:$AJ$644,34,)/VLOOKUP($D313,$C$5:$AJ$644,4,))*$F313))</f>
        <v>0</v>
      </c>
      <c r="AK313" s="101">
        <f t="shared" ref="AK313:AK323" si="336">SUM(H313:AJ313)</f>
        <v>33809231.790585555</v>
      </c>
      <c r="AL313" s="98" t="str">
        <f t="shared" ref="AL313:AL323" si="337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2"/>
        <v>791996.60620561789</v>
      </c>
      <c r="I314" s="101">
        <f t="shared" si="313"/>
        <v>746597.5776705594</v>
      </c>
      <c r="J314" s="101">
        <f t="shared" si="314"/>
        <v>766760.86632854259</v>
      </c>
      <c r="K314" s="101">
        <f t="shared" si="315"/>
        <v>1651280.9407725292</v>
      </c>
      <c r="L314" s="101">
        <f t="shared" si="316"/>
        <v>0</v>
      </c>
      <c r="M314" s="101">
        <f t="shared" si="317"/>
        <v>0</v>
      </c>
      <c r="N314" s="101"/>
      <c r="O314" s="101">
        <f t="shared" si="318"/>
        <v>488645.29053334374</v>
      </c>
      <c r="P314" s="101">
        <f t="shared" si="319"/>
        <v>0</v>
      </c>
      <c r="Q314" s="101">
        <f t="shared" si="320"/>
        <v>0</v>
      </c>
      <c r="R314" s="101"/>
      <c r="S314" s="101">
        <f t="shared" si="321"/>
        <v>0</v>
      </c>
      <c r="T314" s="101">
        <f t="shared" si="322"/>
        <v>171348.95208103961</v>
      </c>
      <c r="U314" s="101">
        <f t="shared" si="323"/>
        <v>0</v>
      </c>
      <c r="V314" s="101">
        <f t="shared" si="324"/>
        <v>204639.32903479275</v>
      </c>
      <c r="W314" s="101">
        <f t="shared" si="325"/>
        <v>324620.65550425241</v>
      </c>
      <c r="X314" s="101">
        <f t="shared" si="326"/>
        <v>104140.39055763136</v>
      </c>
      <c r="Y314" s="101">
        <f t="shared" si="327"/>
        <v>153524.46446935926</v>
      </c>
      <c r="Z314" s="101">
        <f t="shared" si="328"/>
        <v>26802.249963337807</v>
      </c>
      <c r="AA314" s="101">
        <f t="shared" si="329"/>
        <v>23850.770644726414</v>
      </c>
      <c r="AB314" s="101">
        <f t="shared" si="330"/>
        <v>14792.613608531801</v>
      </c>
      <c r="AC314" s="101">
        <f t="shared" si="331"/>
        <v>463040.34526585788</v>
      </c>
      <c r="AD314" s="101">
        <f t="shared" si="332"/>
        <v>17507.108701648995</v>
      </c>
      <c r="AE314" s="101"/>
      <c r="AF314" s="101">
        <f t="shared" si="333"/>
        <v>1160084.5955191979</v>
      </c>
      <c r="AG314" s="101"/>
      <c r="AH314" s="101">
        <f t="shared" si="334"/>
        <v>159471.06517221092</v>
      </c>
      <c r="AI314" s="101"/>
      <c r="AJ314" s="101">
        <f t="shared" si="335"/>
        <v>0</v>
      </c>
      <c r="AK314" s="101">
        <f t="shared" si="336"/>
        <v>7269103.8220331799</v>
      </c>
      <c r="AL314" s="98" t="str">
        <f t="shared" si="337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2"/>
        <v>-480951.10107385233</v>
      </c>
      <c r="I315" s="101">
        <f t="shared" si="313"/>
        <v>-453381.9011675198</v>
      </c>
      <c r="J315" s="101">
        <f t="shared" si="314"/>
        <v>-465626.34237514948</v>
      </c>
      <c r="K315" s="101">
        <f t="shared" si="315"/>
        <v>-1002763.6235105641</v>
      </c>
      <c r="L315" s="101">
        <f t="shared" si="316"/>
        <v>0</v>
      </c>
      <c r="M315" s="101">
        <f t="shared" si="317"/>
        <v>0</v>
      </c>
      <c r="N315" s="101"/>
      <c r="O315" s="101">
        <f t="shared" si="318"/>
        <v>-296736.7393687414</v>
      </c>
      <c r="P315" s="101">
        <f t="shared" si="319"/>
        <v>0</v>
      </c>
      <c r="Q315" s="101">
        <f t="shared" si="320"/>
        <v>0</v>
      </c>
      <c r="R315" s="101"/>
      <c r="S315" s="101">
        <f t="shared" si="321"/>
        <v>0</v>
      </c>
      <c r="T315" s="101">
        <f t="shared" si="322"/>
        <v>-104054.0660471358</v>
      </c>
      <c r="U315" s="101">
        <f t="shared" si="323"/>
        <v>0</v>
      </c>
      <c r="V315" s="101">
        <f t="shared" si="324"/>
        <v>-124270.11662818385</v>
      </c>
      <c r="W315" s="101">
        <f t="shared" si="325"/>
        <v>-197130.46807621341</v>
      </c>
      <c r="X315" s="101">
        <f t="shared" si="326"/>
        <v>-63240.719862315163</v>
      </c>
      <c r="Y315" s="101">
        <f t="shared" si="327"/>
        <v>-93229.8947366223</v>
      </c>
      <c r="Z315" s="101">
        <f t="shared" si="328"/>
        <v>-16276.044026099389</v>
      </c>
      <c r="AA315" s="101">
        <f t="shared" si="329"/>
        <v>-14483.716613380251</v>
      </c>
      <c r="AB315" s="101">
        <f t="shared" si="330"/>
        <v>-8983.0230925716278</v>
      </c>
      <c r="AC315" s="101">
        <f t="shared" si="331"/>
        <v>-281187.77549333824</v>
      </c>
      <c r="AD315" s="101">
        <f t="shared" si="332"/>
        <v>-10631.438494436796</v>
      </c>
      <c r="AE315" s="101"/>
      <c r="AF315" s="101">
        <f t="shared" si="333"/>
        <v>-704477.72020997736</v>
      </c>
      <c r="AG315" s="101"/>
      <c r="AH315" s="101">
        <f t="shared" si="334"/>
        <v>-96841.051821480476</v>
      </c>
      <c r="AI315" s="101"/>
      <c r="AJ315" s="101">
        <f t="shared" si="335"/>
        <v>0</v>
      </c>
      <c r="AK315" s="101">
        <f>SUM(H315:AJ315)</f>
        <v>-4414265.7425975828</v>
      </c>
      <c r="AL315" s="98" t="str">
        <f t="shared" si="337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2"/>
        <v>2084636.5621173657</v>
      </c>
      <c r="I316" s="101">
        <f t="shared" si="313"/>
        <v>1965140.501115026</v>
      </c>
      <c r="J316" s="101">
        <f t="shared" si="314"/>
        <v>2018212.8607938571</v>
      </c>
      <c r="K316" s="101">
        <f t="shared" si="315"/>
        <v>4346383.0482226592</v>
      </c>
      <c r="L316" s="101">
        <f t="shared" si="316"/>
        <v>0</v>
      </c>
      <c r="M316" s="101">
        <f t="shared" si="317"/>
        <v>0</v>
      </c>
      <c r="N316" s="101"/>
      <c r="O316" s="101">
        <f t="shared" si="318"/>
        <v>1286177.024712919</v>
      </c>
      <c r="P316" s="101">
        <f t="shared" si="319"/>
        <v>0</v>
      </c>
      <c r="Q316" s="101">
        <f t="shared" si="320"/>
        <v>0</v>
      </c>
      <c r="R316" s="101"/>
      <c r="S316" s="101">
        <f t="shared" si="321"/>
        <v>0</v>
      </c>
      <c r="T316" s="101">
        <f t="shared" si="322"/>
        <v>451012.40029290656</v>
      </c>
      <c r="U316" s="101">
        <f t="shared" si="323"/>
        <v>0</v>
      </c>
      <c r="V316" s="101">
        <f t="shared" si="324"/>
        <v>538636.93860620074</v>
      </c>
      <c r="W316" s="101">
        <f t="shared" si="325"/>
        <v>854443.16551399673</v>
      </c>
      <c r="X316" s="101">
        <f t="shared" si="326"/>
        <v>274110.8535675446</v>
      </c>
      <c r="Y316" s="101">
        <f t="shared" si="327"/>
        <v>404096.06468594557</v>
      </c>
      <c r="Z316" s="101">
        <f t="shared" si="328"/>
        <v>70546.956619252363</v>
      </c>
      <c r="AA316" s="101">
        <f t="shared" si="329"/>
        <v>62778.284819776003</v>
      </c>
      <c r="AB316" s="101">
        <f t="shared" si="330"/>
        <v>38936.054695181796</v>
      </c>
      <c r="AC316" s="101">
        <f t="shared" si="331"/>
        <v>1218781.5274880771</v>
      </c>
      <c r="AD316" s="101">
        <f t="shared" si="332"/>
        <v>46080.953643563356</v>
      </c>
      <c r="AE316" s="101"/>
      <c r="AF316" s="101">
        <f t="shared" si="333"/>
        <v>3053491.320568365</v>
      </c>
      <c r="AG316" s="101"/>
      <c r="AH316" s="101">
        <f t="shared" si="334"/>
        <v>419748.27979437629</v>
      </c>
      <c r="AI316" s="101"/>
      <c r="AJ316" s="101">
        <f t="shared" si="335"/>
        <v>0</v>
      </c>
      <c r="AK316" s="101">
        <f t="shared" si="336"/>
        <v>19133212.797257014</v>
      </c>
      <c r="AL316" s="98" t="str">
        <f t="shared" si="337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2"/>
        <v>1154196.2601319388</v>
      </c>
      <c r="I317" s="101">
        <f t="shared" si="313"/>
        <v>1209093.6365587346</v>
      </c>
      <c r="J317" s="101">
        <f t="shared" si="314"/>
        <v>993870.89216258761</v>
      </c>
      <c r="K317" s="101">
        <f t="shared" si="315"/>
        <v>0</v>
      </c>
      <c r="L317" s="101">
        <f t="shared" si="316"/>
        <v>0</v>
      </c>
      <c r="M317" s="101">
        <f t="shared" si="317"/>
        <v>0</v>
      </c>
      <c r="N317" s="101"/>
      <c r="O317" s="101">
        <f t="shared" si="318"/>
        <v>744464.54269416269</v>
      </c>
      <c r="P317" s="101">
        <f t="shared" si="319"/>
        <v>0</v>
      </c>
      <c r="Q317" s="101">
        <f t="shared" si="320"/>
        <v>0</v>
      </c>
      <c r="R317" s="101"/>
      <c r="S317" s="101">
        <f t="shared" si="321"/>
        <v>0</v>
      </c>
      <c r="T317" s="101">
        <f t="shared" si="322"/>
        <v>174617.19454872946</v>
      </c>
      <c r="U317" s="101">
        <f t="shared" si="323"/>
        <v>0</v>
      </c>
      <c r="V317" s="101">
        <f t="shared" si="324"/>
        <v>190278.95106087715</v>
      </c>
      <c r="W317" s="101">
        <f t="shared" si="325"/>
        <v>352855.18244321377</v>
      </c>
      <c r="X317" s="101">
        <f t="shared" si="326"/>
        <v>87596.112366466696</v>
      </c>
      <c r="Y317" s="101">
        <f t="shared" si="327"/>
        <v>133905.64788002032</v>
      </c>
      <c r="Z317" s="101">
        <f t="shared" si="328"/>
        <v>135979.60770931275</v>
      </c>
      <c r="AA317" s="101">
        <f t="shared" si="329"/>
        <v>121005.45440293316</v>
      </c>
      <c r="AB317" s="101">
        <f t="shared" si="330"/>
        <v>81009.80314482098</v>
      </c>
      <c r="AC317" s="101">
        <f t="shared" si="331"/>
        <v>69120.31162713583</v>
      </c>
      <c r="AD317" s="101">
        <f t="shared" si="332"/>
        <v>95875.378556334239</v>
      </c>
      <c r="AE317" s="101"/>
      <c r="AF317" s="101">
        <f t="shared" si="333"/>
        <v>0</v>
      </c>
      <c r="AG317" s="101"/>
      <c r="AH317" s="101">
        <f t="shared" si="334"/>
        <v>0</v>
      </c>
      <c r="AI317" s="101"/>
      <c r="AJ317" s="101">
        <f t="shared" si="335"/>
        <v>0</v>
      </c>
      <c r="AK317" s="101">
        <f t="shared" si="336"/>
        <v>5543868.9752872679</v>
      </c>
      <c r="AL317" s="98" t="str">
        <f t="shared" si="337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2"/>
        <v>425365.77445884229</v>
      </c>
      <c r="I318" s="101">
        <f t="shared" si="313"/>
        <v>400982.85061651381</v>
      </c>
      <c r="J318" s="101">
        <f t="shared" si="314"/>
        <v>411812.15572771966</v>
      </c>
      <c r="K318" s="101">
        <f t="shared" si="315"/>
        <v>886870.46221821336</v>
      </c>
      <c r="L318" s="101">
        <f t="shared" si="316"/>
        <v>0</v>
      </c>
      <c r="M318" s="101">
        <f t="shared" si="317"/>
        <v>0</v>
      </c>
      <c r="N318" s="101"/>
      <c r="O318" s="101">
        <f t="shared" si="318"/>
        <v>262441.75898579427</v>
      </c>
      <c r="P318" s="101">
        <f t="shared" si="319"/>
        <v>0</v>
      </c>
      <c r="Q318" s="101">
        <f t="shared" si="320"/>
        <v>0</v>
      </c>
      <c r="R318" s="101"/>
      <c r="S318" s="101">
        <f t="shared" si="321"/>
        <v>0</v>
      </c>
      <c r="T318" s="101">
        <f t="shared" si="322"/>
        <v>92028.146501602358</v>
      </c>
      <c r="U318" s="101">
        <f t="shared" si="323"/>
        <v>0</v>
      </c>
      <c r="V318" s="101">
        <f t="shared" si="324"/>
        <v>109907.75212617953</v>
      </c>
      <c r="W318" s="101">
        <f t="shared" si="325"/>
        <v>174347.35888003849</v>
      </c>
      <c r="X318" s="101">
        <f t="shared" si="326"/>
        <v>55931.752150075001</v>
      </c>
      <c r="Y318" s="101">
        <f t="shared" si="327"/>
        <v>82454.965356800793</v>
      </c>
      <c r="Z318" s="101">
        <f t="shared" si="328"/>
        <v>14394.960437412283</v>
      </c>
      <c r="AA318" s="101">
        <f t="shared" si="329"/>
        <v>12809.779041023256</v>
      </c>
      <c r="AB318" s="101">
        <f t="shared" si="330"/>
        <v>7944.82134716363</v>
      </c>
      <c r="AC318" s="101">
        <f t="shared" si="331"/>
        <v>248689.84731301523</v>
      </c>
      <c r="AD318" s="101">
        <f t="shared" si="332"/>
        <v>9402.7231847489693</v>
      </c>
      <c r="AE318" s="101"/>
      <c r="AF318" s="101">
        <f t="shared" si="333"/>
        <v>623058.58199938352</v>
      </c>
      <c r="AG318" s="101"/>
      <c r="AH318" s="101">
        <f t="shared" si="334"/>
        <v>85648.767443257311</v>
      </c>
      <c r="AI318" s="101"/>
      <c r="AJ318" s="101">
        <f t="shared" si="335"/>
        <v>0</v>
      </c>
      <c r="AK318" s="101">
        <f t="shared" si="336"/>
        <v>3904092.4577877834</v>
      </c>
      <c r="AL318" s="98" t="str">
        <f t="shared" si="337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2"/>
        <v>4239622.4679103745</v>
      </c>
      <c r="I319" s="101">
        <f t="shared" si="313"/>
        <v>3996597.763144698</v>
      </c>
      <c r="J319" s="101">
        <f t="shared" si="314"/>
        <v>4104533.4928581081</v>
      </c>
      <c r="K319" s="101">
        <f t="shared" si="315"/>
        <v>8839441.637094399</v>
      </c>
      <c r="L319" s="101">
        <f t="shared" si="316"/>
        <v>0</v>
      </c>
      <c r="M319" s="101">
        <f t="shared" si="317"/>
        <v>0</v>
      </c>
      <c r="N319" s="101"/>
      <c r="O319" s="101">
        <f t="shared" si="318"/>
        <v>2615758.1185971778</v>
      </c>
      <c r="P319" s="101">
        <f t="shared" si="319"/>
        <v>0</v>
      </c>
      <c r="Q319" s="101">
        <f t="shared" si="320"/>
        <v>0</v>
      </c>
      <c r="R319" s="101"/>
      <c r="S319" s="101">
        <f t="shared" si="321"/>
        <v>0</v>
      </c>
      <c r="T319" s="101">
        <f t="shared" si="322"/>
        <v>917244.92428831407</v>
      </c>
      <c r="U319" s="101">
        <f t="shared" si="323"/>
        <v>0</v>
      </c>
      <c r="V319" s="101">
        <f t="shared" si="324"/>
        <v>1095451.0289514635</v>
      </c>
      <c r="W319" s="101">
        <f t="shared" si="325"/>
        <v>1737720.8612259075</v>
      </c>
      <c r="X319" s="101">
        <f t="shared" si="326"/>
        <v>557472.00955867372</v>
      </c>
      <c r="Y319" s="101">
        <f t="shared" si="327"/>
        <v>821828.98744545982</v>
      </c>
      <c r="Z319" s="101">
        <f t="shared" si="328"/>
        <v>143474.63138701385</v>
      </c>
      <c r="AA319" s="101">
        <f t="shared" si="329"/>
        <v>127675.12172407848</v>
      </c>
      <c r="AB319" s="101">
        <f t="shared" si="330"/>
        <v>79186.067872576357</v>
      </c>
      <c r="AC319" s="101">
        <f t="shared" si="331"/>
        <v>2478692.7569591692</v>
      </c>
      <c r="AD319" s="101">
        <f t="shared" si="332"/>
        <v>93716.981636144061</v>
      </c>
      <c r="AE319" s="101"/>
      <c r="AF319" s="101">
        <f t="shared" si="333"/>
        <v>6210027.5143893957</v>
      </c>
      <c r="AG319" s="101"/>
      <c r="AH319" s="101">
        <f t="shared" si="334"/>
        <v>853661.62631027354</v>
      </c>
      <c r="AI319" s="101"/>
      <c r="AJ319" s="101">
        <f t="shared" si="335"/>
        <v>0</v>
      </c>
      <c r="AK319" s="101">
        <f t="shared" si="336"/>
        <v>38912105.991353229</v>
      </c>
      <c r="AL319" s="98" t="str">
        <f t="shared" si="337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2"/>
        <v>374811.74941418861</v>
      </c>
      <c r="I320" s="101">
        <f t="shared" si="313"/>
        <v>392639.03096717555</v>
      </c>
      <c r="J320" s="101">
        <f t="shared" si="314"/>
        <v>322747.95946810371</v>
      </c>
      <c r="K320" s="101">
        <f t="shared" si="315"/>
        <v>0</v>
      </c>
      <c r="L320" s="101">
        <f t="shared" si="316"/>
        <v>0</v>
      </c>
      <c r="M320" s="101">
        <f t="shared" si="317"/>
        <v>0</v>
      </c>
      <c r="N320" s="101"/>
      <c r="O320" s="101">
        <f t="shared" si="318"/>
        <v>241756.16163592145</v>
      </c>
      <c r="P320" s="101">
        <f t="shared" si="319"/>
        <v>0</v>
      </c>
      <c r="Q320" s="101">
        <f t="shared" si="320"/>
        <v>0</v>
      </c>
      <c r="R320" s="101"/>
      <c r="S320" s="101">
        <f t="shared" si="321"/>
        <v>0</v>
      </c>
      <c r="T320" s="101">
        <f t="shared" si="322"/>
        <v>56704.893636655383</v>
      </c>
      <c r="U320" s="101">
        <f t="shared" si="323"/>
        <v>0</v>
      </c>
      <c r="V320" s="101">
        <f t="shared" si="324"/>
        <v>61790.866066115603</v>
      </c>
      <c r="W320" s="101">
        <f t="shared" si="325"/>
        <v>114585.59760563196</v>
      </c>
      <c r="X320" s="101">
        <f t="shared" si="326"/>
        <v>28445.813985053217</v>
      </c>
      <c r="Y320" s="101">
        <f t="shared" si="327"/>
        <v>43484.294545031262</v>
      </c>
      <c r="Z320" s="101">
        <f t="shared" si="328"/>
        <v>44157.78876666649</v>
      </c>
      <c r="AA320" s="101">
        <f t="shared" si="329"/>
        <v>39295.107444064721</v>
      </c>
      <c r="AB320" s="101">
        <f t="shared" si="330"/>
        <v>26306.987022240464</v>
      </c>
      <c r="AC320" s="101">
        <f t="shared" si="331"/>
        <v>22446.013573167496</v>
      </c>
      <c r="AD320" s="101">
        <f t="shared" si="332"/>
        <v>31134.408942149392</v>
      </c>
      <c r="AE320" s="101"/>
      <c r="AF320" s="101">
        <f t="shared" si="333"/>
        <v>0</v>
      </c>
      <c r="AG320" s="101"/>
      <c r="AH320" s="101">
        <f t="shared" si="334"/>
        <v>0</v>
      </c>
      <c r="AI320" s="101"/>
      <c r="AJ320" s="101">
        <f t="shared" si="335"/>
        <v>0</v>
      </c>
      <c r="AK320" s="101">
        <f t="shared" si="336"/>
        <v>1800306.6730721649</v>
      </c>
      <c r="AL320" s="98" t="str">
        <f t="shared" si="337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2"/>
        <v>0</v>
      </c>
      <c r="I321" s="101">
        <f t="shared" si="313"/>
        <v>0</v>
      </c>
      <c r="J321" s="101">
        <f t="shared" si="314"/>
        <v>0</v>
      </c>
      <c r="K321" s="101">
        <f t="shared" si="315"/>
        <v>0</v>
      </c>
      <c r="L321" s="101">
        <f t="shared" si="316"/>
        <v>0</v>
      </c>
      <c r="M321" s="101">
        <f t="shared" si="317"/>
        <v>0</v>
      </c>
      <c r="N321" s="101"/>
      <c r="O321" s="101">
        <f t="shared" si="318"/>
        <v>0</v>
      </c>
      <c r="P321" s="101">
        <f t="shared" si="319"/>
        <v>0</v>
      </c>
      <c r="Q321" s="101">
        <f t="shared" si="320"/>
        <v>0</v>
      </c>
      <c r="R321" s="101"/>
      <c r="S321" s="101">
        <f t="shared" si="321"/>
        <v>0</v>
      </c>
      <c r="T321" s="101">
        <f t="shared" si="322"/>
        <v>0</v>
      </c>
      <c r="U321" s="101">
        <f t="shared" si="323"/>
        <v>0</v>
      </c>
      <c r="V321" s="101">
        <f t="shared" si="324"/>
        <v>0</v>
      </c>
      <c r="W321" s="101">
        <f t="shared" si="325"/>
        <v>0</v>
      </c>
      <c r="X321" s="101">
        <f t="shared" si="326"/>
        <v>0</v>
      </c>
      <c r="Y321" s="101">
        <f t="shared" si="327"/>
        <v>0</v>
      </c>
      <c r="Z321" s="101">
        <f t="shared" si="328"/>
        <v>0</v>
      </c>
      <c r="AA321" s="101">
        <f t="shared" si="329"/>
        <v>0</v>
      </c>
      <c r="AB321" s="101">
        <f t="shared" si="330"/>
        <v>0</v>
      </c>
      <c r="AC321" s="101">
        <f t="shared" si="331"/>
        <v>0</v>
      </c>
      <c r="AD321" s="101">
        <f t="shared" si="332"/>
        <v>0</v>
      </c>
      <c r="AE321" s="101"/>
      <c r="AF321" s="101">
        <f t="shared" si="333"/>
        <v>0</v>
      </c>
      <c r="AG321" s="101"/>
      <c r="AH321" s="101">
        <f t="shared" si="334"/>
        <v>0</v>
      </c>
      <c r="AI321" s="101"/>
      <c r="AJ321" s="101">
        <f t="shared" si="335"/>
        <v>0</v>
      </c>
      <c r="AK321" s="101">
        <f t="shared" si="336"/>
        <v>0</v>
      </c>
      <c r="AL321" s="98" t="str">
        <f t="shared" si="337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2"/>
        <v>566261.53417484276</v>
      </c>
      <c r="I322" s="101">
        <f t="shared" si="313"/>
        <v>533802.14817889384</v>
      </c>
      <c r="J322" s="101">
        <f t="shared" si="314"/>
        <v>548218.49122887338</v>
      </c>
      <c r="K322" s="101">
        <f t="shared" si="315"/>
        <v>1180632.4314384384</v>
      </c>
      <c r="L322" s="101">
        <f t="shared" si="316"/>
        <v>0</v>
      </c>
      <c r="M322" s="101">
        <f t="shared" si="317"/>
        <v>0</v>
      </c>
      <c r="N322" s="101"/>
      <c r="O322" s="101">
        <f t="shared" si="318"/>
        <v>349371.48684307112</v>
      </c>
      <c r="P322" s="101">
        <f t="shared" si="319"/>
        <v>0</v>
      </c>
      <c r="Q322" s="101">
        <f t="shared" si="320"/>
        <v>0</v>
      </c>
      <c r="R322" s="101"/>
      <c r="S322" s="101">
        <f t="shared" si="321"/>
        <v>0</v>
      </c>
      <c r="T322" s="101">
        <f t="shared" si="322"/>
        <v>122511.030633723</v>
      </c>
      <c r="U322" s="101">
        <f t="shared" si="323"/>
        <v>0</v>
      </c>
      <c r="V322" s="101">
        <f t="shared" si="324"/>
        <v>146312.97596958088</v>
      </c>
      <c r="W322" s="101">
        <f t="shared" si="325"/>
        <v>232097.19457176278</v>
      </c>
      <c r="X322" s="101">
        <f t="shared" si="326"/>
        <v>74458.270230796537</v>
      </c>
      <c r="Y322" s="101">
        <f t="shared" si="327"/>
        <v>109766.88296719857</v>
      </c>
      <c r="Z322" s="101">
        <f t="shared" si="328"/>
        <v>19163.065933185349</v>
      </c>
      <c r="AA322" s="101">
        <f t="shared" si="329"/>
        <v>17052.817992794175</v>
      </c>
      <c r="AB322" s="101">
        <f t="shared" si="330"/>
        <v>10576.419154816649</v>
      </c>
      <c r="AC322" s="101">
        <f t="shared" si="331"/>
        <v>331064.46951998782</v>
      </c>
      <c r="AD322" s="101">
        <f t="shared" si="332"/>
        <v>12517.228173308275</v>
      </c>
      <c r="AE322" s="101"/>
      <c r="AF322" s="101">
        <f t="shared" si="333"/>
        <v>829436.99213372113</v>
      </c>
      <c r="AG322" s="101"/>
      <c r="AH322" s="101">
        <f t="shared" si="334"/>
        <v>114018.5820410804</v>
      </c>
      <c r="AI322" s="101"/>
      <c r="AJ322" s="101">
        <f t="shared" si="335"/>
        <v>0</v>
      </c>
      <c r="AK322" s="101">
        <f t="shared" si="336"/>
        <v>5197262.0211860742</v>
      </c>
      <c r="AL322" s="98" t="str">
        <f t="shared" si="337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2"/>
        <v>383662.67107956141</v>
      </c>
      <c r="I323" s="101">
        <f t="shared" si="313"/>
        <v>401910.93162474554</v>
      </c>
      <c r="J323" s="101">
        <f t="shared" si="314"/>
        <v>330369.43054358586</v>
      </c>
      <c r="K323" s="101">
        <f t="shared" si="315"/>
        <v>0</v>
      </c>
      <c r="L323" s="101">
        <f t="shared" si="316"/>
        <v>0</v>
      </c>
      <c r="M323" s="101">
        <f t="shared" si="317"/>
        <v>0</v>
      </c>
      <c r="N323" s="101"/>
      <c r="O323" s="101">
        <f t="shared" si="318"/>
        <v>241214.34765703842</v>
      </c>
      <c r="P323" s="101">
        <f t="shared" si="319"/>
        <v>0</v>
      </c>
      <c r="Q323" s="101">
        <f t="shared" si="320"/>
        <v>0</v>
      </c>
      <c r="R323" s="101"/>
      <c r="S323" s="101">
        <f t="shared" si="321"/>
        <v>0</v>
      </c>
      <c r="T323" s="101">
        <f t="shared" si="322"/>
        <v>57385.873721027601</v>
      </c>
      <c r="U323" s="101">
        <f t="shared" si="323"/>
        <v>0</v>
      </c>
      <c r="V323" s="101">
        <f t="shared" si="324"/>
        <v>62532.92458150156</v>
      </c>
      <c r="W323" s="101">
        <f t="shared" si="325"/>
        <v>115961.67830909495</v>
      </c>
      <c r="X323" s="101">
        <f t="shared" si="326"/>
        <v>28787.425291684012</v>
      </c>
      <c r="Y323" s="101">
        <f t="shared" si="327"/>
        <v>44006.505886399515</v>
      </c>
      <c r="Z323" s="101">
        <f t="shared" si="328"/>
        <v>44688.088230989546</v>
      </c>
      <c r="AA323" s="101">
        <f t="shared" si="329"/>
        <v>39767.010023657545</v>
      </c>
      <c r="AB323" s="101">
        <f t="shared" si="330"/>
        <v>26622.912740341162</v>
      </c>
      <c r="AC323" s="101">
        <f t="shared" si="331"/>
        <v>22715.572111004072</v>
      </c>
      <c r="AD323" s="101">
        <f t="shared" si="332"/>
        <v>31508.308107963156</v>
      </c>
      <c r="AE323" s="101"/>
      <c r="AF323" s="101">
        <f t="shared" si="333"/>
        <v>0</v>
      </c>
      <c r="AG323" s="101"/>
      <c r="AH323" s="101">
        <f t="shared" si="334"/>
        <v>0</v>
      </c>
      <c r="AI323" s="101"/>
      <c r="AJ323" s="101">
        <f t="shared" si="335"/>
        <v>0</v>
      </c>
      <c r="AK323" s="101">
        <f t="shared" si="336"/>
        <v>1831133.6799085939</v>
      </c>
      <c r="AL323" s="98" t="str">
        <f t="shared" si="337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2"/>
        <v>183063.51900102364</v>
      </c>
      <c r="I324" s="101">
        <f t="shared" si="313"/>
        <v>191770.62303501551</v>
      </c>
      <c r="J324" s="101">
        <f t="shared" si="314"/>
        <v>157634.80548028462</v>
      </c>
      <c r="K324" s="101">
        <f t="shared" si="315"/>
        <v>0</v>
      </c>
      <c r="L324" s="101">
        <f t="shared" si="316"/>
        <v>0</v>
      </c>
      <c r="M324" s="101">
        <f t="shared" si="317"/>
        <v>0</v>
      </c>
      <c r="N324" s="101"/>
      <c r="O324" s="101">
        <f t="shared" si="318"/>
        <v>115094.71899203004</v>
      </c>
      <c r="P324" s="101">
        <f t="shared" si="319"/>
        <v>0</v>
      </c>
      <c r="Q324" s="101">
        <f t="shared" si="320"/>
        <v>0</v>
      </c>
      <c r="R324" s="101"/>
      <c r="S324" s="101">
        <f t="shared" si="321"/>
        <v>0</v>
      </c>
      <c r="T324" s="101">
        <f t="shared" si="322"/>
        <v>27381.501449592855</v>
      </c>
      <c r="U324" s="101">
        <f t="shared" si="323"/>
        <v>0</v>
      </c>
      <c r="V324" s="101">
        <f t="shared" si="324"/>
        <v>29837.401681805481</v>
      </c>
      <c r="W324" s="101">
        <f t="shared" si="325"/>
        <v>55330.774924739548</v>
      </c>
      <c r="X324" s="101">
        <f t="shared" si="326"/>
        <v>13735.835602786337</v>
      </c>
      <c r="Y324" s="101">
        <f t="shared" si="327"/>
        <v>20997.575301854056</v>
      </c>
      <c r="Z324" s="101">
        <f t="shared" si="328"/>
        <v>21322.790319876345</v>
      </c>
      <c r="AA324" s="101">
        <f t="shared" si="329"/>
        <v>18974.712276790866</v>
      </c>
      <c r="AB324" s="101">
        <f t="shared" si="330"/>
        <v>12703.04478303902</v>
      </c>
      <c r="AC324" s="101">
        <f t="shared" si="331"/>
        <v>10838.668654057243</v>
      </c>
      <c r="AD324" s="101">
        <f t="shared" si="332"/>
        <v>15034.096863742279</v>
      </c>
      <c r="AE324" s="101"/>
      <c r="AF324" s="101">
        <f t="shared" si="333"/>
        <v>0</v>
      </c>
      <c r="AG324" s="101"/>
      <c r="AH324" s="101">
        <f t="shared" si="334"/>
        <v>0</v>
      </c>
      <c r="AI324" s="101"/>
      <c r="AJ324" s="101">
        <f t="shared" si="335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38">SUM(F313:F325)</f>
        <v>113859772.5342399</v>
      </c>
      <c r="G326" s="100">
        <f t="shared" si="338"/>
        <v>0</v>
      </c>
      <c r="H326" s="100">
        <f t="shared" si="338"/>
        <v>13406310.890450487</v>
      </c>
      <c r="I326" s="100">
        <f t="shared" si="338"/>
        <v>12857643.192941865</v>
      </c>
      <c r="J326" s="100">
        <f t="shared" si="338"/>
        <v>12754805.846240658</v>
      </c>
      <c r="K326" s="100">
        <f t="shared" si="338"/>
        <v>23582095.645816974</v>
      </c>
      <c r="L326" s="100">
        <f t="shared" si="338"/>
        <v>0</v>
      </c>
      <c r="M326" s="100">
        <f t="shared" si="338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39">SUM(S313:S325)</f>
        <v>0</v>
      </c>
      <c r="T326" s="100">
        <f t="shared" si="339"/>
        <v>2763139.6757173059</v>
      </c>
      <c r="U326" s="100">
        <f t="shared" si="339"/>
        <v>0</v>
      </c>
      <c r="V326" s="100">
        <f t="shared" si="339"/>
        <v>3266913.3040970406</v>
      </c>
      <c r="W326" s="100">
        <f t="shared" si="339"/>
        <v>5274670.8001074297</v>
      </c>
      <c r="X326" s="100">
        <f t="shared" si="339"/>
        <v>1645803.724362432</v>
      </c>
      <c r="Y326" s="100">
        <f t="shared" si="339"/>
        <v>2434891.0819245894</v>
      </c>
      <c r="Z326" s="100">
        <f t="shared" si="339"/>
        <v>628913.68250670703</v>
      </c>
      <c r="AA326" s="100">
        <f t="shared" si="339"/>
        <v>559657.34284681396</v>
      </c>
      <c r="AB326" s="100">
        <f t="shared" si="339"/>
        <v>357897.42904394312</v>
      </c>
      <c r="AC326" s="100">
        <f t="shared" si="339"/>
        <v>6737842.5082552433</v>
      </c>
      <c r="AD326" s="100">
        <f t="shared" si="339"/>
        <v>423572.82898940728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0">H279+H288+H302+H326</f>
        <v>37625250.163491994</v>
      </c>
      <c r="I328" s="100">
        <f t="shared" si="340"/>
        <v>35951279.322969064</v>
      </c>
      <c r="J328" s="100">
        <f t="shared" si="340"/>
        <v>35933655.745627098</v>
      </c>
      <c r="K328" s="100">
        <f t="shared" si="340"/>
        <v>640387546.76813221</v>
      </c>
      <c r="L328" s="100">
        <f t="shared" si="340"/>
        <v>0</v>
      </c>
      <c r="M328" s="100">
        <f t="shared" si="340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1">S279+S288+S302+S326</f>
        <v>0</v>
      </c>
      <c r="T328" s="100">
        <f t="shared" si="341"/>
        <v>7273698.7604337949</v>
      </c>
      <c r="U328" s="100">
        <f t="shared" si="341"/>
        <v>0</v>
      </c>
      <c r="V328" s="100">
        <f t="shared" si="341"/>
        <v>13814191.157278344</v>
      </c>
      <c r="W328" s="100">
        <f t="shared" si="341"/>
        <v>21347292.750939507</v>
      </c>
      <c r="X328" s="100">
        <f t="shared" si="341"/>
        <v>7132524.2301955046</v>
      </c>
      <c r="Y328" s="100">
        <f t="shared" si="341"/>
        <v>10461859.976506073</v>
      </c>
      <c r="Z328" s="100">
        <f t="shared" si="341"/>
        <v>1406013.0594503474</v>
      </c>
      <c r="AA328" s="100">
        <f t="shared" si="341"/>
        <v>1251182.0854708615</v>
      </c>
      <c r="AB328" s="100">
        <f t="shared" si="341"/>
        <v>790358.70275707357</v>
      </c>
      <c r="AC328" s="100">
        <f t="shared" si="341"/>
        <v>17921938.677439213</v>
      </c>
      <c r="AD328" s="100">
        <f t="shared" si="341"/>
        <v>792592.22267536237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2">G328-G215</f>
        <v>0</v>
      </c>
      <c r="H330" s="102">
        <f t="shared" si="342"/>
        <v>35117936.311067909</v>
      </c>
      <c r="I330" s="102">
        <f t="shared" si="342"/>
        <v>33324709.363822792</v>
      </c>
      <c r="J330" s="102">
        <f t="shared" si="342"/>
        <v>33774624.096056968</v>
      </c>
      <c r="K330" s="102">
        <f t="shared" si="342"/>
        <v>597061155.56369448</v>
      </c>
      <c r="L330" s="102">
        <f t="shared" si="342"/>
        <v>0</v>
      </c>
      <c r="M330" s="102">
        <f t="shared" si="342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3">S328-S215</f>
        <v>0</v>
      </c>
      <c r="T330" s="102">
        <f t="shared" si="343"/>
        <v>7273698.7604337949</v>
      </c>
      <c r="U330" s="102">
        <f t="shared" si="343"/>
        <v>0</v>
      </c>
      <c r="V330" s="102">
        <f t="shared" si="343"/>
        <v>13814191.157278344</v>
      </c>
      <c r="W330" s="102">
        <f t="shared" si="343"/>
        <v>21347292.750939507</v>
      </c>
      <c r="X330" s="102">
        <f t="shared" si="343"/>
        <v>7132524.2301955046</v>
      </c>
      <c r="Y330" s="102">
        <f t="shared" si="343"/>
        <v>10461859.976506073</v>
      </c>
      <c r="Z330" s="102">
        <f t="shared" si="343"/>
        <v>1406013.0594503474</v>
      </c>
      <c r="AA330" s="102">
        <f t="shared" si="343"/>
        <v>1251182.0854708615</v>
      </c>
      <c r="AB330" s="102">
        <f t="shared" si="343"/>
        <v>790358.70275707357</v>
      </c>
      <c r="AC330" s="102">
        <f t="shared" si="343"/>
        <v>17921938.677439213</v>
      </c>
      <c r="AD330" s="102">
        <f t="shared" si="343"/>
        <v>792592.22267536237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4">IF(VLOOKUP($D359,$C$5:$AJ$644,6,)=0,0,((VLOOKUP($D359,$C$5:$AJ$644,6,)/VLOOKUP($D359,$C$5:$AJ$644,4,))*$F359))</f>
        <v>2127494.798009533</v>
      </c>
      <c r="I359" s="101">
        <f t="shared" ref="I359:I364" si="345">IF(VLOOKUP($D359,$C$5:$AJ$644,7,)=0,0,((VLOOKUP($D359,$C$5:$AJ$644,7,)/VLOOKUP($D359,$C$5:$AJ$644,4,))*$F359))</f>
        <v>2005542.0064366513</v>
      </c>
      <c r="J359" s="101">
        <f t="shared" ref="J359:J364" si="346">IF(VLOOKUP($D359,$C$5:$AJ$644,8,)=0,0,((VLOOKUP($D359,$C$5:$AJ$644,8,)/VLOOKUP($D359,$C$5:$AJ$644,4,))*$F359))</f>
        <v>2059705.4856668729</v>
      </c>
      <c r="K359" s="101">
        <f t="shared" ref="K359:K364" si="347">IF(VLOOKUP($D359,$C$5:$AJ$644,9,)=0,0,((VLOOKUP($D359,$C$5:$AJ$644,9,)/VLOOKUP($D359,$C$5:$AJ$644,4,))*$F359))</f>
        <v>983568.25871814007</v>
      </c>
      <c r="L359" s="101">
        <f t="shared" ref="L359:L364" si="348">IF(VLOOKUP($D359,$C$5:$AJ$644,10,)=0,0,((VLOOKUP($D359,$C$5:$AJ$644,10,)/VLOOKUP($D359,$C$5:$AJ$644,4,))*$F359))</f>
        <v>0</v>
      </c>
      <c r="M359" s="101">
        <f t="shared" ref="M359:M364" si="349">IF(VLOOKUP($D359,$C$5:$AJ$644,11,)=0,0,((VLOOKUP($D359,$C$5:$AJ$644,11,)/VLOOKUP($D359,$C$5:$AJ$644,4,))*$F359))</f>
        <v>0</v>
      </c>
      <c r="N359" s="101"/>
      <c r="O359" s="101">
        <f t="shared" ref="O359:O364" si="350">IF(VLOOKUP($D359,$C$5:$AJ$644,13,)=0,0,((VLOOKUP($D359,$C$5:$AJ$644,13,)/VLOOKUP($D359,$C$5:$AJ$644,4,))*$F359))</f>
        <v>0</v>
      </c>
      <c r="P359" s="101">
        <f t="shared" ref="P359:P364" si="351">IF(VLOOKUP($D359,$C$5:$AJ$644,14,)=0,0,((VLOOKUP($D359,$C$5:$AJ$644,14,)/VLOOKUP($D359,$C$5:$AJ$644,4,))*$F359))</f>
        <v>0</v>
      </c>
      <c r="Q359" s="101">
        <f t="shared" ref="Q359:Q364" si="352">IF(VLOOKUP($D359,$C$5:$AJ$644,15,)=0,0,((VLOOKUP($D359,$C$5:$AJ$644,15,)/VLOOKUP($D359,$C$5:$AJ$644,4,))*$F359))</f>
        <v>0</v>
      </c>
      <c r="R359" s="101"/>
      <c r="S359" s="101">
        <f t="shared" ref="S359:S364" si="353">IF(VLOOKUP($D359,$C$5:$AJ$644,17,)=0,0,((VLOOKUP($D359,$C$5:$AJ$644,17,)/VLOOKUP($D359,$C$5:$AJ$644,4,))*$F359))</f>
        <v>0</v>
      </c>
      <c r="T359" s="101">
        <f t="shared" ref="T359:T364" si="354">IF(VLOOKUP($D359,$C$5:$AJ$644,18,)=0,0,((VLOOKUP($D359,$C$5:$AJ$644,18,)/VLOOKUP($D359,$C$5:$AJ$644,4,))*$F359))</f>
        <v>0</v>
      </c>
      <c r="U359" s="101">
        <f t="shared" ref="U359:U364" si="355">IF(VLOOKUP($D359,$C$5:$AJ$644,19,)=0,0,((VLOOKUP($D359,$C$5:$AJ$644,19,)/VLOOKUP($D359,$C$5:$AJ$644,4,))*$F359))</f>
        <v>0</v>
      </c>
      <c r="V359" s="101">
        <f t="shared" ref="V359:V364" si="356">IF(VLOOKUP($D359,$C$5:$AJ$644,20,)=0,0,((VLOOKUP($D359,$C$5:$AJ$644,20,)/VLOOKUP($D359,$C$5:$AJ$644,4,))*$F359))</f>
        <v>0</v>
      </c>
      <c r="W359" s="101">
        <f t="shared" ref="W359:W364" si="357">IF(VLOOKUP($D359,$C$5:$AJ$644,21,)=0,0,((VLOOKUP($D359,$C$5:$AJ$644,21,)/VLOOKUP($D359,$C$5:$AJ$644,4,))*$F359))</f>
        <v>0</v>
      </c>
      <c r="X359" s="101">
        <f t="shared" ref="X359:X364" si="358">IF(VLOOKUP($D359,$C$5:$AJ$644,22,)=0,0,((VLOOKUP($D359,$C$5:$AJ$644,22,)/VLOOKUP($D359,$C$5:$AJ$644,4,))*$F359))</f>
        <v>0</v>
      </c>
      <c r="Y359" s="101">
        <f t="shared" ref="Y359:Y364" si="359">IF(VLOOKUP($D359,$C$5:$AJ$644,23,)=0,0,((VLOOKUP($D359,$C$5:$AJ$644,23,)/VLOOKUP($D359,$C$5:$AJ$644,4,))*$F359))</f>
        <v>0</v>
      </c>
      <c r="Z359" s="101">
        <f t="shared" ref="Z359:Z364" si="360">IF(VLOOKUP($D359,$C$5:$AJ$644,24,)=0,0,((VLOOKUP($D359,$C$5:$AJ$644,24,)/VLOOKUP($D359,$C$5:$AJ$644,4,))*$F359))</f>
        <v>0</v>
      </c>
      <c r="AA359" s="101">
        <f t="shared" ref="AA359:AA364" si="361">IF(VLOOKUP($D359,$C$5:$AJ$644,25,)=0,0,((VLOOKUP($D359,$C$5:$AJ$644,25,)/VLOOKUP($D359,$C$5:$AJ$644,4,))*$F359))</f>
        <v>0</v>
      </c>
      <c r="AB359" s="101">
        <f t="shared" ref="AB359:AB364" si="362">IF(VLOOKUP($D359,$C$5:$AJ$644,26,)=0,0,((VLOOKUP($D359,$C$5:$AJ$644,26,)/VLOOKUP($D359,$C$5:$AJ$644,4,))*$F359))</f>
        <v>0</v>
      </c>
      <c r="AC359" s="101">
        <f t="shared" ref="AC359:AC364" si="363">IF(VLOOKUP($D359,$C$5:$AJ$644,27,)=0,0,((VLOOKUP($D359,$C$5:$AJ$644,27,)/VLOOKUP($D359,$C$5:$AJ$644,4,))*$F359))</f>
        <v>0</v>
      </c>
      <c r="AD359" s="101">
        <f t="shared" ref="AD359:AD364" si="364">IF(VLOOKUP($D359,$C$5:$AJ$644,28,)=0,0,((VLOOKUP($D359,$C$5:$AJ$644,28,)/VLOOKUP($D359,$C$5:$AJ$644,4,))*$F359))</f>
        <v>0</v>
      </c>
      <c r="AE359" s="101"/>
      <c r="AF359" s="101">
        <f t="shared" ref="AF359:AF364" si="365">IF(VLOOKUP($D359,$C$5:$AJ$644,30,)=0,0,((VLOOKUP($D359,$C$5:$AJ$644,30,)/VLOOKUP($D359,$C$5:$AJ$644,4,))*$F359))</f>
        <v>0</v>
      </c>
      <c r="AG359" s="101"/>
      <c r="AH359" s="101">
        <f t="shared" ref="AH359:AH364" si="366">IF(VLOOKUP($D359,$C$5:$AJ$644,32,)=0,0,((VLOOKUP($D359,$C$5:$AJ$644,32,)/VLOOKUP($D359,$C$5:$AJ$644,4,))*$F359))</f>
        <v>0</v>
      </c>
      <c r="AI359" s="101"/>
      <c r="AJ359" s="101">
        <f t="shared" ref="AJ359:AJ364" si="367">IF(VLOOKUP($D359,$C$5:$AJ$644,34,)=0,0,((VLOOKUP($D359,$C$5:$AJ$644,34,)/VLOOKUP($D359,$C$5:$AJ$644,4,))*$F359))</f>
        <v>0</v>
      </c>
      <c r="AK359" s="101">
        <f t="shared" ref="AK359:AK377" si="368">SUM(H359:AJ359)</f>
        <v>7176310.5488311974</v>
      </c>
      <c r="AL359" s="98" t="str">
        <f t="shared" ref="AL359:AL377" si="369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4"/>
        <v>0</v>
      </c>
      <c r="I360" s="101">
        <f t="shared" si="345"/>
        <v>0</v>
      </c>
      <c r="J360" s="101">
        <f t="shared" si="346"/>
        <v>0</v>
      </c>
      <c r="K360" s="101">
        <f t="shared" si="347"/>
        <v>2518295.3741893796</v>
      </c>
      <c r="L360" s="101">
        <f t="shared" si="348"/>
        <v>0</v>
      </c>
      <c r="M360" s="101">
        <f t="shared" si="349"/>
        <v>0</v>
      </c>
      <c r="N360" s="101"/>
      <c r="O360" s="101">
        <f t="shared" si="350"/>
        <v>0</v>
      </c>
      <c r="P360" s="101">
        <f t="shared" si="351"/>
        <v>0</v>
      </c>
      <c r="Q360" s="101">
        <f t="shared" si="352"/>
        <v>0</v>
      </c>
      <c r="R360" s="101"/>
      <c r="S360" s="101">
        <f t="shared" si="353"/>
        <v>0</v>
      </c>
      <c r="T360" s="101">
        <f t="shared" si="354"/>
        <v>0</v>
      </c>
      <c r="U360" s="101">
        <f t="shared" si="355"/>
        <v>0</v>
      </c>
      <c r="V360" s="101">
        <f t="shared" si="356"/>
        <v>0</v>
      </c>
      <c r="W360" s="101">
        <f t="shared" si="357"/>
        <v>0</v>
      </c>
      <c r="X360" s="101">
        <f t="shared" si="358"/>
        <v>0</v>
      </c>
      <c r="Y360" s="101">
        <f t="shared" si="359"/>
        <v>0</v>
      </c>
      <c r="Z360" s="101">
        <f t="shared" si="360"/>
        <v>0</v>
      </c>
      <c r="AA360" s="101">
        <f t="shared" si="361"/>
        <v>0</v>
      </c>
      <c r="AB360" s="101">
        <f t="shared" si="362"/>
        <v>0</v>
      </c>
      <c r="AC360" s="101">
        <f t="shared" si="363"/>
        <v>0</v>
      </c>
      <c r="AD360" s="101">
        <f t="shared" si="364"/>
        <v>0</v>
      </c>
      <c r="AE360" s="101"/>
      <c r="AF360" s="101">
        <f t="shared" si="365"/>
        <v>0</v>
      </c>
      <c r="AG360" s="101"/>
      <c r="AH360" s="101">
        <f t="shared" si="366"/>
        <v>0</v>
      </c>
      <c r="AI360" s="101"/>
      <c r="AJ360" s="101">
        <f t="shared" si="367"/>
        <v>0</v>
      </c>
      <c r="AK360" s="101">
        <f t="shared" si="368"/>
        <v>2518295.3741893796</v>
      </c>
      <c r="AL360" s="98" t="str">
        <f t="shared" si="369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4"/>
        <v>2836708.4205598361</v>
      </c>
      <c r="I361" s="101">
        <f t="shared" si="345"/>
        <v>2674101.9074490941</v>
      </c>
      <c r="J361" s="101">
        <f t="shared" si="346"/>
        <v>2746321.1193423206</v>
      </c>
      <c r="K361" s="101">
        <f t="shared" si="347"/>
        <v>0</v>
      </c>
      <c r="L361" s="101">
        <f t="shared" si="348"/>
        <v>0</v>
      </c>
      <c r="M361" s="101">
        <f t="shared" si="349"/>
        <v>0</v>
      </c>
      <c r="N361" s="101"/>
      <c r="O361" s="101">
        <f t="shared" si="350"/>
        <v>0</v>
      </c>
      <c r="P361" s="101">
        <f t="shared" si="351"/>
        <v>0</v>
      </c>
      <c r="Q361" s="101">
        <f t="shared" si="352"/>
        <v>0</v>
      </c>
      <c r="R361" s="101"/>
      <c r="S361" s="101">
        <f t="shared" si="353"/>
        <v>0</v>
      </c>
      <c r="T361" s="101">
        <f t="shared" si="354"/>
        <v>0</v>
      </c>
      <c r="U361" s="101">
        <f t="shared" si="355"/>
        <v>0</v>
      </c>
      <c r="V361" s="101">
        <f t="shared" si="356"/>
        <v>0</v>
      </c>
      <c r="W361" s="101">
        <f t="shared" si="357"/>
        <v>0</v>
      </c>
      <c r="X361" s="101">
        <f t="shared" si="358"/>
        <v>0</v>
      </c>
      <c r="Y361" s="101">
        <f t="shared" si="359"/>
        <v>0</v>
      </c>
      <c r="Z361" s="101">
        <f t="shared" si="360"/>
        <v>0</v>
      </c>
      <c r="AA361" s="101">
        <f t="shared" si="361"/>
        <v>0</v>
      </c>
      <c r="AB361" s="101">
        <f t="shared" si="362"/>
        <v>0</v>
      </c>
      <c r="AC361" s="101">
        <f t="shared" si="363"/>
        <v>0</v>
      </c>
      <c r="AD361" s="101">
        <f t="shared" si="364"/>
        <v>0</v>
      </c>
      <c r="AE361" s="101"/>
      <c r="AF361" s="101">
        <f t="shared" si="365"/>
        <v>0</v>
      </c>
      <c r="AG361" s="101"/>
      <c r="AH361" s="101">
        <f t="shared" si="366"/>
        <v>0</v>
      </c>
      <c r="AI361" s="101"/>
      <c r="AJ361" s="101">
        <f t="shared" si="367"/>
        <v>0</v>
      </c>
      <c r="AK361" s="101">
        <f t="shared" si="368"/>
        <v>8257131.4473512508</v>
      </c>
      <c r="AL361" s="98" t="str">
        <f t="shared" si="369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4"/>
        <v>2023579.3654843117</v>
      </c>
      <c r="I362" s="101">
        <f t="shared" si="345"/>
        <v>1907583.2404545445</v>
      </c>
      <c r="J362" s="101">
        <f t="shared" si="346"/>
        <v>1959101.1567548143</v>
      </c>
      <c r="K362" s="101">
        <f t="shared" si="347"/>
        <v>0</v>
      </c>
      <c r="L362" s="101">
        <f t="shared" si="348"/>
        <v>0</v>
      </c>
      <c r="M362" s="101">
        <f t="shared" si="349"/>
        <v>0</v>
      </c>
      <c r="N362" s="101"/>
      <c r="O362" s="101">
        <f t="shared" si="350"/>
        <v>0</v>
      </c>
      <c r="P362" s="101">
        <f t="shared" si="351"/>
        <v>0</v>
      </c>
      <c r="Q362" s="101">
        <f t="shared" si="352"/>
        <v>0</v>
      </c>
      <c r="R362" s="101"/>
      <c r="S362" s="101">
        <f t="shared" si="353"/>
        <v>0</v>
      </c>
      <c r="T362" s="101">
        <f t="shared" si="354"/>
        <v>0</v>
      </c>
      <c r="U362" s="101">
        <f t="shared" si="355"/>
        <v>0</v>
      </c>
      <c r="V362" s="101">
        <f t="shared" si="356"/>
        <v>0</v>
      </c>
      <c r="W362" s="101">
        <f t="shared" si="357"/>
        <v>0</v>
      </c>
      <c r="X362" s="101">
        <f t="shared" si="358"/>
        <v>0</v>
      </c>
      <c r="Y362" s="101">
        <f t="shared" si="359"/>
        <v>0</v>
      </c>
      <c r="Z362" s="101">
        <f t="shared" si="360"/>
        <v>0</v>
      </c>
      <c r="AA362" s="101">
        <f t="shared" si="361"/>
        <v>0</v>
      </c>
      <c r="AB362" s="101">
        <f t="shared" si="362"/>
        <v>0</v>
      </c>
      <c r="AC362" s="101">
        <f t="shared" si="363"/>
        <v>0</v>
      </c>
      <c r="AD362" s="101">
        <f t="shared" si="364"/>
        <v>0</v>
      </c>
      <c r="AE362" s="101"/>
      <c r="AF362" s="101">
        <f t="shared" si="365"/>
        <v>0</v>
      </c>
      <c r="AG362" s="101"/>
      <c r="AH362" s="101">
        <f t="shared" si="366"/>
        <v>0</v>
      </c>
      <c r="AI362" s="101"/>
      <c r="AJ362" s="101">
        <f t="shared" si="367"/>
        <v>0</v>
      </c>
      <c r="AK362" s="101">
        <f t="shared" si="368"/>
        <v>5890263.7626936706</v>
      </c>
      <c r="AL362" s="98" t="str">
        <f t="shared" si="369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4"/>
        <v>586878.9570366845</v>
      </c>
      <c r="I363" s="101">
        <f t="shared" si="345"/>
        <v>553237.73394510895</v>
      </c>
      <c r="J363" s="101">
        <f t="shared" si="346"/>
        <v>568178.97198237735</v>
      </c>
      <c r="K363" s="101">
        <f t="shared" si="347"/>
        <v>0</v>
      </c>
      <c r="L363" s="101">
        <f t="shared" si="348"/>
        <v>0</v>
      </c>
      <c r="M363" s="101">
        <f t="shared" si="349"/>
        <v>0</v>
      </c>
      <c r="N363" s="101"/>
      <c r="O363" s="101">
        <f t="shared" si="350"/>
        <v>0</v>
      </c>
      <c r="P363" s="101">
        <f t="shared" si="351"/>
        <v>0</v>
      </c>
      <c r="Q363" s="101">
        <f t="shared" si="352"/>
        <v>0</v>
      </c>
      <c r="R363" s="101"/>
      <c r="S363" s="101">
        <f t="shared" si="353"/>
        <v>0</v>
      </c>
      <c r="T363" s="101">
        <f t="shared" si="354"/>
        <v>0</v>
      </c>
      <c r="U363" s="101">
        <f t="shared" si="355"/>
        <v>0</v>
      </c>
      <c r="V363" s="101">
        <f t="shared" si="356"/>
        <v>0</v>
      </c>
      <c r="W363" s="101">
        <f t="shared" si="357"/>
        <v>0</v>
      </c>
      <c r="X363" s="101">
        <f t="shared" si="358"/>
        <v>0</v>
      </c>
      <c r="Y363" s="101">
        <f t="shared" si="359"/>
        <v>0</v>
      </c>
      <c r="Z363" s="101">
        <f t="shared" si="360"/>
        <v>0</v>
      </c>
      <c r="AA363" s="101">
        <f t="shared" si="361"/>
        <v>0</v>
      </c>
      <c r="AB363" s="101">
        <f t="shared" si="362"/>
        <v>0</v>
      </c>
      <c r="AC363" s="101">
        <f t="shared" si="363"/>
        <v>0</v>
      </c>
      <c r="AD363" s="101">
        <f t="shared" si="364"/>
        <v>0</v>
      </c>
      <c r="AE363" s="101"/>
      <c r="AF363" s="101">
        <f t="shared" si="365"/>
        <v>0</v>
      </c>
      <c r="AG363" s="101"/>
      <c r="AH363" s="101">
        <f t="shared" si="366"/>
        <v>0</v>
      </c>
      <c r="AI363" s="101"/>
      <c r="AJ363" s="101">
        <f t="shared" si="367"/>
        <v>0</v>
      </c>
      <c r="AK363" s="101">
        <f t="shared" si="368"/>
        <v>1708295.6629641708</v>
      </c>
      <c r="AL363" s="98" t="str">
        <f t="shared" si="369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4"/>
        <v>0</v>
      </c>
      <c r="I364" s="101">
        <f t="shared" si="345"/>
        <v>0</v>
      </c>
      <c r="J364" s="101">
        <f t="shared" si="346"/>
        <v>0</v>
      </c>
      <c r="K364" s="101">
        <f t="shared" si="347"/>
        <v>0</v>
      </c>
      <c r="L364" s="101">
        <f t="shared" si="348"/>
        <v>0</v>
      </c>
      <c r="M364" s="101">
        <f t="shared" si="349"/>
        <v>0</v>
      </c>
      <c r="N364" s="101"/>
      <c r="O364" s="101">
        <f t="shared" si="350"/>
        <v>0</v>
      </c>
      <c r="P364" s="101">
        <f t="shared" si="351"/>
        <v>0</v>
      </c>
      <c r="Q364" s="101">
        <f t="shared" si="352"/>
        <v>0</v>
      </c>
      <c r="R364" s="101"/>
      <c r="S364" s="101">
        <f t="shared" si="353"/>
        <v>0</v>
      </c>
      <c r="T364" s="101">
        <f t="shared" si="354"/>
        <v>0</v>
      </c>
      <c r="U364" s="101">
        <f t="shared" si="355"/>
        <v>0</v>
      </c>
      <c r="V364" s="101">
        <f t="shared" si="356"/>
        <v>0</v>
      </c>
      <c r="W364" s="101">
        <f t="shared" si="357"/>
        <v>0</v>
      </c>
      <c r="X364" s="101">
        <f t="shared" si="358"/>
        <v>0</v>
      </c>
      <c r="Y364" s="101">
        <f t="shared" si="359"/>
        <v>0</v>
      </c>
      <c r="Z364" s="101">
        <f t="shared" si="360"/>
        <v>0</v>
      </c>
      <c r="AA364" s="101">
        <f t="shared" si="361"/>
        <v>0</v>
      </c>
      <c r="AB364" s="101">
        <f t="shared" si="362"/>
        <v>0</v>
      </c>
      <c r="AC364" s="101">
        <f t="shared" si="363"/>
        <v>0</v>
      </c>
      <c r="AD364" s="101">
        <f t="shared" si="364"/>
        <v>0</v>
      </c>
      <c r="AE364" s="101"/>
      <c r="AF364" s="101">
        <f t="shared" si="365"/>
        <v>0</v>
      </c>
      <c r="AG364" s="101"/>
      <c r="AH364" s="101">
        <f t="shared" si="366"/>
        <v>0</v>
      </c>
      <c r="AI364" s="101"/>
      <c r="AJ364" s="101">
        <f t="shared" si="367"/>
        <v>0</v>
      </c>
      <c r="AK364" s="101">
        <f t="shared" si="368"/>
        <v>0</v>
      </c>
      <c r="AL364" s="98" t="str">
        <f t="shared" si="369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0">SUM(H359:H365)</f>
        <v>7574661.5410903646</v>
      </c>
      <c r="I366" s="100">
        <f t="shared" si="370"/>
        <v>7140464.8882853985</v>
      </c>
      <c r="J366" s="100">
        <f t="shared" si="370"/>
        <v>7333306.7337463852</v>
      </c>
      <c r="K366" s="100">
        <f t="shared" si="370"/>
        <v>3501863.6329075196</v>
      </c>
      <c r="L366" s="100">
        <f t="shared" si="370"/>
        <v>0</v>
      </c>
      <c r="M366" s="100">
        <f t="shared" si="370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1">SUM(S359:S365)</f>
        <v>0</v>
      </c>
      <c r="T366" s="100">
        <f t="shared" si="371"/>
        <v>0</v>
      </c>
      <c r="U366" s="100">
        <f t="shared" si="371"/>
        <v>0</v>
      </c>
      <c r="V366" s="100">
        <f t="shared" si="371"/>
        <v>0</v>
      </c>
      <c r="W366" s="100">
        <f t="shared" si="371"/>
        <v>0</v>
      </c>
      <c r="X366" s="100">
        <f t="shared" si="371"/>
        <v>0</v>
      </c>
      <c r="Y366" s="100">
        <f t="shared" si="371"/>
        <v>0</v>
      </c>
      <c r="Z366" s="100">
        <f t="shared" si="371"/>
        <v>0</v>
      </c>
      <c r="AA366" s="100">
        <f t="shared" si="371"/>
        <v>0</v>
      </c>
      <c r="AB366" s="100">
        <f t="shared" si="371"/>
        <v>0</v>
      </c>
      <c r="AC366" s="100">
        <f t="shared" si="371"/>
        <v>0</v>
      </c>
      <c r="AD366" s="100">
        <f t="shared" si="371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68"/>
        <v>25550296.796029668</v>
      </c>
      <c r="AL366" s="98" t="str">
        <f t="shared" si="369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68"/>
        <v>8497622</v>
      </c>
      <c r="AL369" s="98" t="str">
        <f t="shared" si="369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68"/>
        <v>1238874.0419501355</v>
      </c>
      <c r="AL370" s="98" t="str">
        <f t="shared" si="369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68"/>
        <v>9213874.4899729565</v>
      </c>
      <c r="AL371" s="98" t="str">
        <f t="shared" si="369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68"/>
        <v>1992105.4662811111</v>
      </c>
      <c r="AL372" s="98" t="str">
        <f t="shared" si="369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68"/>
        <v>397543.52902510809</v>
      </c>
      <c r="AL373" s="98" t="str">
        <f t="shared" si="369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2">SUM(H369:H374)</f>
        <v>707231.10985912965</v>
      </c>
      <c r="I375" s="100">
        <f t="shared" si="372"/>
        <v>666691.03041207197</v>
      </c>
      <c r="J375" s="100">
        <f t="shared" si="372"/>
        <v>684696.29066730756</v>
      </c>
      <c r="K375" s="100">
        <f t="shared" si="372"/>
        <v>19281401.096290801</v>
      </c>
      <c r="L375" s="100">
        <f t="shared" si="372"/>
        <v>0</v>
      </c>
      <c r="M375" s="100">
        <f t="shared" si="372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3">SUM(S369:S374)</f>
        <v>0</v>
      </c>
      <c r="T375" s="100">
        <f t="shared" si="373"/>
        <v>0</v>
      </c>
      <c r="U375" s="100">
        <f t="shared" si="373"/>
        <v>0</v>
      </c>
      <c r="V375" s="100">
        <f t="shared" si="373"/>
        <v>0</v>
      </c>
      <c r="W375" s="100">
        <f t="shared" si="373"/>
        <v>0</v>
      </c>
      <c r="X375" s="100">
        <f t="shared" si="373"/>
        <v>0</v>
      </c>
      <c r="Y375" s="100">
        <f t="shared" si="373"/>
        <v>0</v>
      </c>
      <c r="Z375" s="100">
        <f t="shared" si="373"/>
        <v>0</v>
      </c>
      <c r="AA375" s="100">
        <f t="shared" si="373"/>
        <v>0</v>
      </c>
      <c r="AB375" s="100">
        <f t="shared" si="373"/>
        <v>0</v>
      </c>
      <c r="AC375" s="100">
        <f t="shared" si="373"/>
        <v>0</v>
      </c>
      <c r="AD375" s="100">
        <f t="shared" si="373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68"/>
        <v>21340019.527229309</v>
      </c>
      <c r="AL375" s="98" t="str">
        <f t="shared" si="369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4">H366+H375</f>
        <v>8281892.650949494</v>
      </c>
      <c r="I377" s="100">
        <f t="shared" si="374"/>
        <v>7807155.9186974708</v>
      </c>
      <c r="J377" s="100">
        <f t="shared" si="374"/>
        <v>8018003.0244136928</v>
      </c>
      <c r="K377" s="100">
        <f t="shared" si="374"/>
        <v>22783264.729198322</v>
      </c>
      <c r="L377" s="100">
        <f t="shared" si="374"/>
        <v>0</v>
      </c>
      <c r="M377" s="100">
        <f t="shared" si="374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75">S366+S375</f>
        <v>0</v>
      </c>
      <c r="T377" s="100">
        <f t="shared" si="375"/>
        <v>0</v>
      </c>
      <c r="U377" s="100">
        <f t="shared" si="375"/>
        <v>0</v>
      </c>
      <c r="V377" s="100">
        <f t="shared" si="375"/>
        <v>0</v>
      </c>
      <c r="W377" s="100">
        <f t="shared" si="375"/>
        <v>0</v>
      </c>
      <c r="X377" s="100">
        <f t="shared" si="375"/>
        <v>0</v>
      </c>
      <c r="Y377" s="100">
        <f t="shared" si="375"/>
        <v>0</v>
      </c>
      <c r="Z377" s="100">
        <f t="shared" si="375"/>
        <v>0</v>
      </c>
      <c r="AA377" s="100">
        <f t="shared" si="375"/>
        <v>0</v>
      </c>
      <c r="AB377" s="100">
        <f t="shared" si="375"/>
        <v>0</v>
      </c>
      <c r="AC377" s="100">
        <f t="shared" si="375"/>
        <v>0</v>
      </c>
      <c r="AD377" s="100">
        <f t="shared" si="375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68"/>
        <v>46890316.323258981</v>
      </c>
      <c r="AL377" s="98" t="str">
        <f t="shared" si="369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76">IF(VLOOKUP($D380,$C$5:$AJ$644,6,)=0,0,((VLOOKUP($D380,$C$5:$AJ$644,6,)/VLOOKUP($D380,$C$5:$AJ$644,4,))*$F380))</f>
        <v>0</v>
      </c>
      <c r="I380" s="101">
        <f t="shared" ref="I380:I385" si="377">IF(VLOOKUP($D380,$C$5:$AJ$644,7,)=0,0,((VLOOKUP($D380,$C$5:$AJ$644,7,)/VLOOKUP($D380,$C$5:$AJ$644,4,))*$F380))</f>
        <v>0</v>
      </c>
      <c r="J380" s="101">
        <f t="shared" ref="J380:J385" si="378">IF(VLOOKUP($D380,$C$5:$AJ$644,8,)=0,0,((VLOOKUP($D380,$C$5:$AJ$644,8,)/VLOOKUP($D380,$C$5:$AJ$644,4,))*$F380))</f>
        <v>0</v>
      </c>
      <c r="K380" s="101">
        <f t="shared" ref="K380:K385" si="379">IF(VLOOKUP($D380,$C$5:$AJ$644,9,)=0,0,((VLOOKUP($D380,$C$5:$AJ$644,9,)/VLOOKUP($D380,$C$5:$AJ$644,4,))*$F380))</f>
        <v>0</v>
      </c>
      <c r="L380" s="101">
        <f t="shared" ref="L380:L385" si="380">IF(VLOOKUP($D380,$C$5:$AJ$644,10,)=0,0,((VLOOKUP($D380,$C$5:$AJ$644,10,)/VLOOKUP($D380,$C$5:$AJ$644,4,))*$F380))</f>
        <v>0</v>
      </c>
      <c r="M380" s="101">
        <f t="shared" ref="M380:M385" si="381">IF(VLOOKUP($D380,$C$5:$AJ$644,11,)=0,0,((VLOOKUP($D380,$C$5:$AJ$644,11,)/VLOOKUP($D380,$C$5:$AJ$644,4,))*$F380))</f>
        <v>0</v>
      </c>
      <c r="N380" s="101"/>
      <c r="O380" s="101">
        <f t="shared" ref="O380:O385" si="382">IF(VLOOKUP($D380,$C$5:$AJ$644,13,)=0,0,((VLOOKUP($D380,$C$5:$AJ$644,13,)/VLOOKUP($D380,$C$5:$AJ$644,4,))*$F380))</f>
        <v>0</v>
      </c>
      <c r="P380" s="101">
        <f t="shared" ref="P380:P385" si="383">IF(VLOOKUP($D380,$C$5:$AJ$644,14,)=0,0,((VLOOKUP($D380,$C$5:$AJ$644,14,)/VLOOKUP($D380,$C$5:$AJ$644,4,))*$F380))</f>
        <v>0</v>
      </c>
      <c r="Q380" s="101">
        <f t="shared" ref="Q380:Q385" si="384">IF(VLOOKUP($D380,$C$5:$AJ$644,15,)=0,0,((VLOOKUP($D380,$C$5:$AJ$644,15,)/VLOOKUP($D380,$C$5:$AJ$644,4,))*$F380))</f>
        <v>0</v>
      </c>
      <c r="R380" s="101"/>
      <c r="S380" s="101">
        <f t="shared" ref="S380:S385" si="385">IF(VLOOKUP($D380,$C$5:$AJ$644,17,)=0,0,((VLOOKUP($D380,$C$5:$AJ$644,17,)/VLOOKUP($D380,$C$5:$AJ$644,4,))*$F380))</f>
        <v>0</v>
      </c>
      <c r="T380" s="101">
        <f t="shared" ref="T380:T385" si="386">IF(VLOOKUP($D380,$C$5:$AJ$644,18,)=0,0,((VLOOKUP($D380,$C$5:$AJ$644,18,)/VLOOKUP($D380,$C$5:$AJ$644,4,))*$F380))</f>
        <v>0</v>
      </c>
      <c r="U380" s="101">
        <f t="shared" ref="U380:U385" si="387">IF(VLOOKUP($D380,$C$5:$AJ$644,19,)=0,0,((VLOOKUP($D380,$C$5:$AJ$644,19,)/VLOOKUP($D380,$C$5:$AJ$644,4,))*$F380))</f>
        <v>0</v>
      </c>
      <c r="V380" s="101">
        <f t="shared" ref="V380:V385" si="388">IF(VLOOKUP($D380,$C$5:$AJ$644,20,)=0,0,((VLOOKUP($D380,$C$5:$AJ$644,20,)/VLOOKUP($D380,$C$5:$AJ$644,4,))*$F380))</f>
        <v>0</v>
      </c>
      <c r="W380" s="101">
        <f t="shared" ref="W380:W385" si="389">IF(VLOOKUP($D380,$C$5:$AJ$644,21,)=0,0,((VLOOKUP($D380,$C$5:$AJ$644,21,)/VLOOKUP($D380,$C$5:$AJ$644,4,))*$F380))</f>
        <v>0</v>
      </c>
      <c r="X380" s="101">
        <f t="shared" ref="X380:X385" si="390">IF(VLOOKUP($D380,$C$5:$AJ$644,22,)=0,0,((VLOOKUP($D380,$C$5:$AJ$644,22,)/VLOOKUP($D380,$C$5:$AJ$644,4,))*$F380))</f>
        <v>0</v>
      </c>
      <c r="Y380" s="101">
        <f t="shared" ref="Y380:Y385" si="391">IF(VLOOKUP($D380,$C$5:$AJ$644,23,)=0,0,((VLOOKUP($D380,$C$5:$AJ$644,23,)/VLOOKUP($D380,$C$5:$AJ$644,4,))*$F380))</f>
        <v>0</v>
      </c>
      <c r="Z380" s="101">
        <f t="shared" ref="Z380:Z385" si="392">IF(VLOOKUP($D380,$C$5:$AJ$644,24,)=0,0,((VLOOKUP($D380,$C$5:$AJ$644,24,)/VLOOKUP($D380,$C$5:$AJ$644,4,))*$F380))</f>
        <v>0</v>
      </c>
      <c r="AA380" s="101">
        <f t="shared" ref="AA380:AA385" si="393">IF(VLOOKUP($D380,$C$5:$AJ$644,25,)=0,0,((VLOOKUP($D380,$C$5:$AJ$644,25,)/VLOOKUP($D380,$C$5:$AJ$644,4,))*$F380))</f>
        <v>0</v>
      </c>
      <c r="AB380" s="101">
        <f t="shared" ref="AB380:AB385" si="394">IF(VLOOKUP($D380,$C$5:$AJ$644,26,)=0,0,((VLOOKUP($D380,$C$5:$AJ$644,26,)/VLOOKUP($D380,$C$5:$AJ$644,4,))*$F380))</f>
        <v>0</v>
      </c>
      <c r="AC380" s="101">
        <f t="shared" ref="AC380:AC385" si="395">IF(VLOOKUP($D380,$C$5:$AJ$644,27,)=0,0,((VLOOKUP($D380,$C$5:$AJ$644,27,)/VLOOKUP($D380,$C$5:$AJ$644,4,))*$F380))</f>
        <v>0</v>
      </c>
      <c r="AD380" s="101">
        <f t="shared" ref="AD380:AD385" si="396">IF(VLOOKUP($D380,$C$5:$AJ$644,28,)=0,0,((VLOOKUP($D380,$C$5:$AJ$644,28,)/VLOOKUP($D380,$C$5:$AJ$644,4,))*$F380))</f>
        <v>0</v>
      </c>
      <c r="AE380" s="101"/>
      <c r="AF380" s="101">
        <f t="shared" ref="AF380:AF385" si="397">IF(VLOOKUP($D380,$C$5:$AJ$644,30,)=0,0,((VLOOKUP($D380,$C$5:$AJ$644,30,)/VLOOKUP($D380,$C$5:$AJ$644,4,))*$F380))</f>
        <v>0</v>
      </c>
      <c r="AG380" s="101"/>
      <c r="AH380" s="101">
        <f t="shared" ref="AH380:AH385" si="398">IF(VLOOKUP($D380,$C$5:$AJ$644,32,)=0,0,((VLOOKUP($D380,$C$5:$AJ$644,32,)/VLOOKUP($D380,$C$5:$AJ$644,4,))*$F380))</f>
        <v>0</v>
      </c>
      <c r="AI380" s="101"/>
      <c r="AJ380" s="101">
        <f t="shared" ref="AJ380:AJ385" si="399">IF(VLOOKUP($D380,$C$5:$AJ$644,34,)=0,0,((VLOOKUP($D380,$C$5:$AJ$644,34,)/VLOOKUP($D380,$C$5:$AJ$644,4,))*$F380))</f>
        <v>0</v>
      </c>
      <c r="AK380" s="101">
        <f t="shared" ref="AK380:AK385" si="400">SUM(H380:AJ380)</f>
        <v>0</v>
      </c>
      <c r="AL380" s="98" t="str">
        <f t="shared" ref="AL380:AL385" si="401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76"/>
        <v>0</v>
      </c>
      <c r="I381" s="101">
        <f t="shared" si="377"/>
        <v>0</v>
      </c>
      <c r="J381" s="101">
        <f t="shared" si="378"/>
        <v>0</v>
      </c>
      <c r="K381" s="101">
        <f t="shared" si="379"/>
        <v>0</v>
      </c>
      <c r="L381" s="101">
        <f t="shared" si="380"/>
        <v>0</v>
      </c>
      <c r="M381" s="101">
        <f t="shared" si="381"/>
        <v>0</v>
      </c>
      <c r="N381" s="101"/>
      <c r="O381" s="101">
        <f t="shared" si="382"/>
        <v>0</v>
      </c>
      <c r="P381" s="101">
        <f t="shared" si="383"/>
        <v>0</v>
      </c>
      <c r="Q381" s="101">
        <f t="shared" si="384"/>
        <v>0</v>
      </c>
      <c r="R381" s="101"/>
      <c r="S381" s="101">
        <f t="shared" si="385"/>
        <v>0</v>
      </c>
      <c r="T381" s="101">
        <f t="shared" si="386"/>
        <v>0</v>
      </c>
      <c r="U381" s="101">
        <f t="shared" si="387"/>
        <v>0</v>
      </c>
      <c r="V381" s="101">
        <f t="shared" si="388"/>
        <v>0</v>
      </c>
      <c r="W381" s="101">
        <f t="shared" si="389"/>
        <v>0</v>
      </c>
      <c r="X381" s="101">
        <f t="shared" si="390"/>
        <v>0</v>
      </c>
      <c r="Y381" s="101">
        <f t="shared" si="391"/>
        <v>0</v>
      </c>
      <c r="Z381" s="101">
        <f t="shared" si="392"/>
        <v>0</v>
      </c>
      <c r="AA381" s="101">
        <f t="shared" si="393"/>
        <v>0</v>
      </c>
      <c r="AB381" s="101">
        <f t="shared" si="394"/>
        <v>0</v>
      </c>
      <c r="AC381" s="101">
        <f t="shared" si="395"/>
        <v>0</v>
      </c>
      <c r="AD381" s="101">
        <f t="shared" si="396"/>
        <v>0</v>
      </c>
      <c r="AE381" s="101"/>
      <c r="AF381" s="101">
        <f t="shared" si="397"/>
        <v>0</v>
      </c>
      <c r="AG381" s="101"/>
      <c r="AH381" s="101">
        <f t="shared" si="398"/>
        <v>0</v>
      </c>
      <c r="AI381" s="101"/>
      <c r="AJ381" s="101">
        <f t="shared" si="399"/>
        <v>0</v>
      </c>
      <c r="AK381" s="101">
        <f t="shared" si="400"/>
        <v>0</v>
      </c>
      <c r="AL381" s="98" t="str">
        <f t="shared" si="401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76"/>
        <v>0</v>
      </c>
      <c r="I382" s="101">
        <f t="shared" si="377"/>
        <v>0</v>
      </c>
      <c r="J382" s="101">
        <f t="shared" si="378"/>
        <v>0</v>
      </c>
      <c r="K382" s="101">
        <f t="shared" si="379"/>
        <v>0</v>
      </c>
      <c r="L382" s="101">
        <f t="shared" si="380"/>
        <v>0</v>
      </c>
      <c r="M382" s="101">
        <f t="shared" si="381"/>
        <v>0</v>
      </c>
      <c r="N382" s="101"/>
      <c r="O382" s="101">
        <f t="shared" si="382"/>
        <v>0</v>
      </c>
      <c r="P382" s="101">
        <f t="shared" si="383"/>
        <v>0</v>
      </c>
      <c r="Q382" s="101">
        <f t="shared" si="384"/>
        <v>0</v>
      </c>
      <c r="R382" s="101"/>
      <c r="S382" s="101">
        <f t="shared" si="385"/>
        <v>0</v>
      </c>
      <c r="T382" s="101">
        <f t="shared" si="386"/>
        <v>0</v>
      </c>
      <c r="U382" s="101">
        <f t="shared" si="387"/>
        <v>0</v>
      </c>
      <c r="V382" s="101">
        <f t="shared" si="388"/>
        <v>0</v>
      </c>
      <c r="W382" s="101">
        <f t="shared" si="389"/>
        <v>0</v>
      </c>
      <c r="X382" s="101">
        <f t="shared" si="390"/>
        <v>0</v>
      </c>
      <c r="Y382" s="101">
        <f t="shared" si="391"/>
        <v>0</v>
      </c>
      <c r="Z382" s="101">
        <f t="shared" si="392"/>
        <v>0</v>
      </c>
      <c r="AA382" s="101">
        <f t="shared" si="393"/>
        <v>0</v>
      </c>
      <c r="AB382" s="101">
        <f t="shared" si="394"/>
        <v>0</v>
      </c>
      <c r="AC382" s="101">
        <f t="shared" si="395"/>
        <v>0</v>
      </c>
      <c r="AD382" s="101">
        <f t="shared" si="396"/>
        <v>0</v>
      </c>
      <c r="AE382" s="101"/>
      <c r="AF382" s="101">
        <f t="shared" si="397"/>
        <v>0</v>
      </c>
      <c r="AG382" s="101"/>
      <c r="AH382" s="101">
        <f t="shared" si="398"/>
        <v>0</v>
      </c>
      <c r="AI382" s="101"/>
      <c r="AJ382" s="101">
        <f t="shared" si="399"/>
        <v>0</v>
      </c>
      <c r="AK382" s="101">
        <f t="shared" si="400"/>
        <v>0</v>
      </c>
      <c r="AL382" s="98" t="str">
        <f t="shared" si="401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76"/>
        <v>0</v>
      </c>
      <c r="I383" s="101">
        <f t="shared" si="377"/>
        <v>0</v>
      </c>
      <c r="J383" s="101">
        <f t="shared" si="378"/>
        <v>0</v>
      </c>
      <c r="K383" s="101">
        <f t="shared" si="379"/>
        <v>0</v>
      </c>
      <c r="L383" s="101">
        <f t="shared" si="380"/>
        <v>0</v>
      </c>
      <c r="M383" s="101">
        <f t="shared" si="381"/>
        <v>0</v>
      </c>
      <c r="N383" s="101"/>
      <c r="O383" s="101">
        <f t="shared" si="382"/>
        <v>0</v>
      </c>
      <c r="P383" s="101">
        <f t="shared" si="383"/>
        <v>0</v>
      </c>
      <c r="Q383" s="101">
        <f t="shared" si="384"/>
        <v>0</v>
      </c>
      <c r="R383" s="101"/>
      <c r="S383" s="101">
        <f t="shared" si="385"/>
        <v>0</v>
      </c>
      <c r="T383" s="101">
        <f t="shared" si="386"/>
        <v>0</v>
      </c>
      <c r="U383" s="101">
        <f t="shared" si="387"/>
        <v>0</v>
      </c>
      <c r="V383" s="101">
        <f t="shared" si="388"/>
        <v>0</v>
      </c>
      <c r="W383" s="101">
        <f t="shared" si="389"/>
        <v>0</v>
      </c>
      <c r="X383" s="101">
        <f t="shared" si="390"/>
        <v>0</v>
      </c>
      <c r="Y383" s="101">
        <f t="shared" si="391"/>
        <v>0</v>
      </c>
      <c r="Z383" s="101">
        <f t="shared" si="392"/>
        <v>0</v>
      </c>
      <c r="AA383" s="101">
        <f t="shared" si="393"/>
        <v>0</v>
      </c>
      <c r="AB383" s="101">
        <f t="shared" si="394"/>
        <v>0</v>
      </c>
      <c r="AC383" s="101">
        <f t="shared" si="395"/>
        <v>0</v>
      </c>
      <c r="AD383" s="101">
        <f t="shared" si="396"/>
        <v>0</v>
      </c>
      <c r="AE383" s="101"/>
      <c r="AF383" s="101">
        <f t="shared" si="397"/>
        <v>0</v>
      </c>
      <c r="AG383" s="101"/>
      <c r="AH383" s="101">
        <f t="shared" si="398"/>
        <v>0</v>
      </c>
      <c r="AI383" s="101"/>
      <c r="AJ383" s="101">
        <f t="shared" si="399"/>
        <v>0</v>
      </c>
      <c r="AK383" s="101">
        <f t="shared" si="400"/>
        <v>0</v>
      </c>
      <c r="AL383" s="98" t="str">
        <f t="shared" si="401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76"/>
        <v>0</v>
      </c>
      <c r="I384" s="101">
        <f t="shared" si="377"/>
        <v>0</v>
      </c>
      <c r="J384" s="101">
        <f t="shared" si="378"/>
        <v>0</v>
      </c>
      <c r="K384" s="101">
        <f t="shared" si="379"/>
        <v>0</v>
      </c>
      <c r="L384" s="101">
        <f t="shared" si="380"/>
        <v>0</v>
      </c>
      <c r="M384" s="101">
        <f t="shared" si="381"/>
        <v>0</v>
      </c>
      <c r="N384" s="101"/>
      <c r="O384" s="101">
        <f t="shared" si="382"/>
        <v>0</v>
      </c>
      <c r="P384" s="101">
        <f t="shared" si="383"/>
        <v>0</v>
      </c>
      <c r="Q384" s="101">
        <f t="shared" si="384"/>
        <v>0</v>
      </c>
      <c r="R384" s="101"/>
      <c r="S384" s="101">
        <f t="shared" si="385"/>
        <v>0</v>
      </c>
      <c r="T384" s="101">
        <f t="shared" si="386"/>
        <v>0</v>
      </c>
      <c r="U384" s="101">
        <f t="shared" si="387"/>
        <v>0</v>
      </c>
      <c r="V384" s="101">
        <f t="shared" si="388"/>
        <v>0</v>
      </c>
      <c r="W384" s="101">
        <f t="shared" si="389"/>
        <v>0</v>
      </c>
      <c r="X384" s="101">
        <f t="shared" si="390"/>
        <v>0</v>
      </c>
      <c r="Y384" s="101">
        <f t="shared" si="391"/>
        <v>0</v>
      </c>
      <c r="Z384" s="101">
        <f t="shared" si="392"/>
        <v>0</v>
      </c>
      <c r="AA384" s="101">
        <f t="shared" si="393"/>
        <v>0</v>
      </c>
      <c r="AB384" s="101">
        <f t="shared" si="394"/>
        <v>0</v>
      </c>
      <c r="AC384" s="101">
        <f t="shared" si="395"/>
        <v>0</v>
      </c>
      <c r="AD384" s="101">
        <f t="shared" si="396"/>
        <v>0</v>
      </c>
      <c r="AE384" s="101"/>
      <c r="AF384" s="101">
        <f t="shared" si="397"/>
        <v>0</v>
      </c>
      <c r="AG384" s="101"/>
      <c r="AH384" s="101">
        <f t="shared" si="398"/>
        <v>0</v>
      </c>
      <c r="AI384" s="101"/>
      <c r="AJ384" s="101">
        <f t="shared" si="399"/>
        <v>0</v>
      </c>
      <c r="AK384" s="101">
        <f t="shared" si="400"/>
        <v>0</v>
      </c>
      <c r="AL384" s="98" t="str">
        <f t="shared" si="401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76"/>
        <v>0</v>
      </c>
      <c r="I385" s="101">
        <f t="shared" si="377"/>
        <v>0</v>
      </c>
      <c r="J385" s="101">
        <f t="shared" si="378"/>
        <v>0</v>
      </c>
      <c r="K385" s="101">
        <f t="shared" si="379"/>
        <v>0</v>
      </c>
      <c r="L385" s="101">
        <f t="shared" si="380"/>
        <v>0</v>
      </c>
      <c r="M385" s="101">
        <f t="shared" si="381"/>
        <v>0</v>
      </c>
      <c r="N385" s="101"/>
      <c r="O385" s="101">
        <f t="shared" si="382"/>
        <v>0</v>
      </c>
      <c r="P385" s="101">
        <f t="shared" si="383"/>
        <v>0</v>
      </c>
      <c r="Q385" s="101">
        <f t="shared" si="384"/>
        <v>0</v>
      </c>
      <c r="R385" s="101"/>
      <c r="S385" s="101">
        <f t="shared" si="385"/>
        <v>0</v>
      </c>
      <c r="T385" s="101">
        <f t="shared" si="386"/>
        <v>0</v>
      </c>
      <c r="U385" s="101">
        <f t="shared" si="387"/>
        <v>0</v>
      </c>
      <c r="V385" s="101">
        <f t="shared" si="388"/>
        <v>0</v>
      </c>
      <c r="W385" s="101">
        <f t="shared" si="389"/>
        <v>0</v>
      </c>
      <c r="X385" s="101">
        <f t="shared" si="390"/>
        <v>0</v>
      </c>
      <c r="Y385" s="101">
        <f t="shared" si="391"/>
        <v>0</v>
      </c>
      <c r="Z385" s="101">
        <f t="shared" si="392"/>
        <v>0</v>
      </c>
      <c r="AA385" s="101">
        <f t="shared" si="393"/>
        <v>0</v>
      </c>
      <c r="AB385" s="101">
        <f t="shared" si="394"/>
        <v>0</v>
      </c>
      <c r="AC385" s="101">
        <f t="shared" si="395"/>
        <v>0</v>
      </c>
      <c r="AD385" s="101">
        <f t="shared" si="396"/>
        <v>0</v>
      </c>
      <c r="AE385" s="101"/>
      <c r="AF385" s="101">
        <f t="shared" si="397"/>
        <v>0</v>
      </c>
      <c r="AG385" s="101"/>
      <c r="AH385" s="101">
        <f t="shared" si="398"/>
        <v>0</v>
      </c>
      <c r="AI385" s="101"/>
      <c r="AJ385" s="101">
        <f t="shared" si="399"/>
        <v>0</v>
      </c>
      <c r="AK385" s="101">
        <f t="shared" si="400"/>
        <v>0</v>
      </c>
      <c r="AL385" s="98" t="str">
        <f t="shared" si="401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2">SUM(H380:H386)</f>
        <v>0</v>
      </c>
      <c r="I387" s="100">
        <f t="shared" si="402"/>
        <v>0</v>
      </c>
      <c r="J387" s="100">
        <f t="shared" si="402"/>
        <v>0</v>
      </c>
      <c r="K387" s="100">
        <f t="shared" si="402"/>
        <v>0</v>
      </c>
      <c r="L387" s="100">
        <f t="shared" si="402"/>
        <v>0</v>
      </c>
      <c r="M387" s="100">
        <f t="shared" si="402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3">SUM(S380:S386)</f>
        <v>0</v>
      </c>
      <c r="T387" s="100">
        <f t="shared" si="403"/>
        <v>0</v>
      </c>
      <c r="U387" s="100">
        <f t="shared" si="403"/>
        <v>0</v>
      </c>
      <c r="V387" s="100">
        <f t="shared" si="403"/>
        <v>0</v>
      </c>
      <c r="W387" s="100">
        <f t="shared" si="403"/>
        <v>0</v>
      </c>
      <c r="X387" s="100">
        <f t="shared" si="403"/>
        <v>0</v>
      </c>
      <c r="Y387" s="100">
        <f t="shared" si="403"/>
        <v>0</v>
      </c>
      <c r="Z387" s="100">
        <f t="shared" si="403"/>
        <v>0</v>
      </c>
      <c r="AA387" s="100">
        <f t="shared" si="403"/>
        <v>0</v>
      </c>
      <c r="AB387" s="100">
        <f t="shared" si="403"/>
        <v>0</v>
      </c>
      <c r="AC387" s="100">
        <f t="shared" si="403"/>
        <v>0</v>
      </c>
      <c r="AD387" s="100">
        <f t="shared" si="403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4">SUM(H390:H395)</f>
        <v>73476.563269507024</v>
      </c>
      <c r="I396" s="100">
        <f t="shared" si="404"/>
        <v>69264.721240900704</v>
      </c>
      <c r="J396" s="100">
        <f t="shared" si="404"/>
        <v>71135.346876403753</v>
      </c>
      <c r="K396" s="100">
        <f t="shared" si="404"/>
        <v>0</v>
      </c>
      <c r="L396" s="100">
        <f t="shared" si="404"/>
        <v>0</v>
      </c>
      <c r="M396" s="100">
        <f t="shared" si="404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05">SUM(S390:S395)</f>
        <v>0</v>
      </c>
      <c r="T396" s="100">
        <f t="shared" si="405"/>
        <v>0</v>
      </c>
      <c r="U396" s="100">
        <f t="shared" si="405"/>
        <v>0</v>
      </c>
      <c r="V396" s="100">
        <f t="shared" si="405"/>
        <v>0</v>
      </c>
      <c r="W396" s="100">
        <f t="shared" si="405"/>
        <v>0</v>
      </c>
      <c r="X396" s="100">
        <f t="shared" si="405"/>
        <v>0</v>
      </c>
      <c r="Y396" s="100">
        <f t="shared" si="405"/>
        <v>0</v>
      </c>
      <c r="Z396" s="100">
        <f t="shared" si="405"/>
        <v>0</v>
      </c>
      <c r="AA396" s="100">
        <f t="shared" si="405"/>
        <v>0</v>
      </c>
      <c r="AB396" s="100">
        <f t="shared" si="405"/>
        <v>0</v>
      </c>
      <c r="AC396" s="100">
        <f t="shared" si="405"/>
        <v>0</v>
      </c>
      <c r="AD396" s="100">
        <f t="shared" si="405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06">H387+H396</f>
        <v>73476.563269507024</v>
      </c>
      <c r="I398" s="100">
        <f t="shared" si="406"/>
        <v>69264.721240900704</v>
      </c>
      <c r="J398" s="100">
        <f t="shared" si="406"/>
        <v>71135.346876403753</v>
      </c>
      <c r="K398" s="100">
        <f t="shared" si="406"/>
        <v>0</v>
      </c>
      <c r="L398" s="100">
        <f t="shared" si="406"/>
        <v>0</v>
      </c>
      <c r="M398" s="100">
        <f t="shared" si="406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07">S387+S396</f>
        <v>0</v>
      </c>
      <c r="T398" s="100">
        <f t="shared" si="407"/>
        <v>0</v>
      </c>
      <c r="U398" s="100">
        <f t="shared" si="407"/>
        <v>0</v>
      </c>
      <c r="V398" s="100">
        <f t="shared" si="407"/>
        <v>0</v>
      </c>
      <c r="W398" s="100">
        <f t="shared" si="407"/>
        <v>0</v>
      </c>
      <c r="X398" s="100">
        <f t="shared" si="407"/>
        <v>0</v>
      </c>
      <c r="Y398" s="100">
        <f t="shared" si="407"/>
        <v>0</v>
      </c>
      <c r="Z398" s="100">
        <f t="shared" si="407"/>
        <v>0</v>
      </c>
      <c r="AA398" s="100">
        <f t="shared" si="407"/>
        <v>0</v>
      </c>
      <c r="AB398" s="100">
        <f t="shared" si="407"/>
        <v>0</v>
      </c>
      <c r="AC398" s="100">
        <f t="shared" si="407"/>
        <v>0</v>
      </c>
      <c r="AD398" s="100">
        <f t="shared" si="407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08">SUM(H401:AJ401)</f>
        <v>848267.98828943609</v>
      </c>
      <c r="AL401" s="98" t="str">
        <f t="shared" ref="AL401:AL407" si="409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08"/>
        <v>0</v>
      </c>
      <c r="AL402" s="98" t="str">
        <f t="shared" si="409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08"/>
        <v>327050.66979425657</v>
      </c>
      <c r="AL403" s="98" t="str">
        <f t="shared" si="409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08"/>
        <v>1662761.3567689024</v>
      </c>
      <c r="AL404" s="98" t="str">
        <f t="shared" si="409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08"/>
        <v>0</v>
      </c>
      <c r="AL405" s="98" t="str">
        <f t="shared" si="409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0">SUM(H401:H406)</f>
        <v>975012.39112979174</v>
      </c>
      <c r="I407" s="100">
        <f t="shared" si="410"/>
        <v>919122.48576895334</v>
      </c>
      <c r="J407" s="100">
        <f t="shared" si="410"/>
        <v>943945.13795384974</v>
      </c>
      <c r="K407" s="100">
        <f t="shared" si="410"/>
        <v>0</v>
      </c>
      <c r="L407" s="100">
        <f t="shared" si="410"/>
        <v>0</v>
      </c>
      <c r="M407" s="100">
        <f t="shared" si="410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1">SUM(S401:S406)</f>
        <v>0</v>
      </c>
      <c r="T407" s="100">
        <f t="shared" si="411"/>
        <v>0</v>
      </c>
      <c r="U407" s="100">
        <f t="shared" si="411"/>
        <v>0</v>
      </c>
      <c r="V407" s="100">
        <f t="shared" si="411"/>
        <v>0</v>
      </c>
      <c r="W407" s="100">
        <f t="shared" si="411"/>
        <v>0</v>
      </c>
      <c r="X407" s="100">
        <f t="shared" si="411"/>
        <v>0</v>
      </c>
      <c r="Y407" s="100">
        <f t="shared" si="411"/>
        <v>0</v>
      </c>
      <c r="Z407" s="100">
        <f t="shared" si="411"/>
        <v>0</v>
      </c>
      <c r="AA407" s="100">
        <f t="shared" si="411"/>
        <v>0</v>
      </c>
      <c r="AB407" s="100">
        <f t="shared" si="411"/>
        <v>0</v>
      </c>
      <c r="AC407" s="100">
        <f t="shared" si="411"/>
        <v>0</v>
      </c>
      <c r="AD407" s="100">
        <f t="shared" si="411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08"/>
        <v>2838080.0148525946</v>
      </c>
      <c r="AL407" s="98" t="str">
        <f t="shared" si="409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2">SUM(H410:AJ410)</f>
        <v>201321.65433513024</v>
      </c>
      <c r="AL410" s="98" t="str">
        <f t="shared" ref="AL410:AL417" si="413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2"/>
        <v>0</v>
      </c>
      <c r="AL411" s="98" t="str">
        <f t="shared" si="413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2"/>
        <v>1017670.1209554366</v>
      </c>
      <c r="AL412" s="98" t="str">
        <f t="shared" si="413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2"/>
        <v>1600551.1800908926</v>
      </c>
      <c r="AL413" s="98" t="str">
        <f t="shared" si="413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4">SUM(H410:H414)</f>
        <v>968644.04965073522</v>
      </c>
      <c r="I415" s="100">
        <f t="shared" si="414"/>
        <v>913119.19196088857</v>
      </c>
      <c r="J415" s="100">
        <f t="shared" si="414"/>
        <v>937779.71376983565</v>
      </c>
      <c r="K415" s="100">
        <f t="shared" si="414"/>
        <v>0</v>
      </c>
      <c r="L415" s="100">
        <f t="shared" si="414"/>
        <v>0</v>
      </c>
      <c r="M415" s="100">
        <f t="shared" si="414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15">SUM(S410:S414)</f>
        <v>0</v>
      </c>
      <c r="T415" s="100">
        <f t="shared" si="415"/>
        <v>0</v>
      </c>
      <c r="U415" s="100">
        <f t="shared" si="415"/>
        <v>0</v>
      </c>
      <c r="V415" s="100">
        <f t="shared" si="415"/>
        <v>0</v>
      </c>
      <c r="W415" s="100">
        <f t="shared" si="415"/>
        <v>0</v>
      </c>
      <c r="X415" s="100">
        <f t="shared" si="415"/>
        <v>0</v>
      </c>
      <c r="Y415" s="100">
        <f t="shared" si="415"/>
        <v>0</v>
      </c>
      <c r="Z415" s="100">
        <f t="shared" si="415"/>
        <v>0</v>
      </c>
      <c r="AA415" s="100">
        <f t="shared" si="415"/>
        <v>0</v>
      </c>
      <c r="AB415" s="100">
        <f t="shared" si="415"/>
        <v>0</v>
      </c>
      <c r="AC415" s="100">
        <f t="shared" si="415"/>
        <v>0</v>
      </c>
      <c r="AD415" s="100">
        <f t="shared" si="415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2"/>
        <v>2819542.9553814596</v>
      </c>
      <c r="AL415" s="98" t="str">
        <f t="shared" si="413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16">H407+H415</f>
        <v>1943656.440780527</v>
      </c>
      <c r="I417" s="100">
        <f t="shared" si="416"/>
        <v>1832241.6777298418</v>
      </c>
      <c r="J417" s="100">
        <f t="shared" si="416"/>
        <v>1881724.8517236854</v>
      </c>
      <c r="K417" s="100">
        <f t="shared" si="416"/>
        <v>0</v>
      </c>
      <c r="L417" s="100">
        <f t="shared" si="416"/>
        <v>0</v>
      </c>
      <c r="M417" s="100">
        <f t="shared" si="416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17">S407+S415</f>
        <v>0</v>
      </c>
      <c r="T417" s="100">
        <f t="shared" si="417"/>
        <v>0</v>
      </c>
      <c r="U417" s="100">
        <f t="shared" si="417"/>
        <v>0</v>
      </c>
      <c r="V417" s="100">
        <f t="shared" si="417"/>
        <v>0</v>
      </c>
      <c r="W417" s="100">
        <f t="shared" si="417"/>
        <v>0</v>
      </c>
      <c r="X417" s="100">
        <f t="shared" si="417"/>
        <v>0</v>
      </c>
      <c r="Y417" s="100">
        <f t="shared" si="417"/>
        <v>0</v>
      </c>
      <c r="Z417" s="100">
        <f t="shared" si="417"/>
        <v>0</v>
      </c>
      <c r="AA417" s="100">
        <f t="shared" si="417"/>
        <v>0</v>
      </c>
      <c r="AB417" s="100">
        <f t="shared" si="417"/>
        <v>0</v>
      </c>
      <c r="AC417" s="100">
        <f t="shared" si="417"/>
        <v>0</v>
      </c>
      <c r="AD417" s="100">
        <f t="shared" si="417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2"/>
        <v>5657622.9702340541</v>
      </c>
      <c r="AL417" s="98" t="str">
        <f t="shared" si="413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18">H417+H377+H398</f>
        <v>10299025.654999528</v>
      </c>
      <c r="I419" s="100">
        <f t="shared" si="418"/>
        <v>9708662.3176682126</v>
      </c>
      <c r="J419" s="100">
        <f t="shared" si="418"/>
        <v>9970863.223013781</v>
      </c>
      <c r="K419" s="100">
        <f t="shared" si="418"/>
        <v>22783264.729198322</v>
      </c>
      <c r="L419" s="100">
        <f t="shared" si="418"/>
        <v>0</v>
      </c>
      <c r="M419" s="100">
        <f t="shared" si="418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19">S417+S377+S398</f>
        <v>0</v>
      </c>
      <c r="T419" s="100">
        <f t="shared" si="419"/>
        <v>0</v>
      </c>
      <c r="U419" s="100">
        <f t="shared" si="419"/>
        <v>0</v>
      </c>
      <c r="V419" s="100">
        <f t="shared" si="419"/>
        <v>0</v>
      </c>
      <c r="W419" s="100">
        <f t="shared" si="419"/>
        <v>0</v>
      </c>
      <c r="X419" s="100">
        <f t="shared" si="419"/>
        <v>0</v>
      </c>
      <c r="Y419" s="100">
        <f t="shared" si="419"/>
        <v>0</v>
      </c>
      <c r="Z419" s="100">
        <f t="shared" si="419"/>
        <v>0</v>
      </c>
      <c r="AA419" s="100">
        <f t="shared" si="419"/>
        <v>0</v>
      </c>
      <c r="AB419" s="100">
        <f t="shared" si="419"/>
        <v>0</v>
      </c>
      <c r="AC419" s="100">
        <f t="shared" si="419"/>
        <v>0</v>
      </c>
      <c r="AD419" s="100">
        <f t="shared" si="419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0">SUM(H422:H424)</f>
        <v>628411.28093910462</v>
      </c>
      <c r="I426" s="100">
        <f t="shared" si="420"/>
        <v>592389.33153734112</v>
      </c>
      <c r="J426" s="100">
        <f t="shared" si="420"/>
        <v>608387.93298869464</v>
      </c>
      <c r="K426" s="100">
        <f t="shared" si="420"/>
        <v>0</v>
      </c>
      <c r="L426" s="100">
        <f t="shared" si="420"/>
        <v>0</v>
      </c>
      <c r="M426" s="100">
        <f t="shared" si="420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1">SUM(S422:S424)</f>
        <v>0</v>
      </c>
      <c r="T426" s="100">
        <f t="shared" si="421"/>
        <v>0</v>
      </c>
      <c r="U426" s="100">
        <f t="shared" si="421"/>
        <v>0</v>
      </c>
      <c r="V426" s="100">
        <f t="shared" si="421"/>
        <v>0</v>
      </c>
      <c r="W426" s="100">
        <f t="shared" si="421"/>
        <v>0</v>
      </c>
      <c r="X426" s="100">
        <f t="shared" si="421"/>
        <v>0</v>
      </c>
      <c r="Y426" s="100">
        <f t="shared" si="421"/>
        <v>0</v>
      </c>
      <c r="Z426" s="100">
        <f t="shared" si="421"/>
        <v>0</v>
      </c>
      <c r="AA426" s="100">
        <f t="shared" si="421"/>
        <v>0</v>
      </c>
      <c r="AB426" s="100">
        <f t="shared" si="421"/>
        <v>0</v>
      </c>
      <c r="AC426" s="100">
        <f t="shared" si="421"/>
        <v>0</v>
      </c>
      <c r="AD426" s="100">
        <f t="shared" si="421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2">IF(VLOOKUP($D429,$C$5:$AJ$644,6,)=0,0,((VLOOKUP($D429,$C$5:$AJ$644,6,)/VLOOKUP($D429,$C$5:$AJ$644,4,))*$F429))</f>
        <v>0</v>
      </c>
      <c r="I429" s="101">
        <f t="shared" ref="I429:I438" si="423">IF(VLOOKUP($D429,$C$5:$AJ$644,7,)=0,0,((VLOOKUP($D429,$C$5:$AJ$644,7,)/VLOOKUP($D429,$C$5:$AJ$644,4,))*$F429))</f>
        <v>0</v>
      </c>
      <c r="J429" s="101">
        <f t="shared" ref="J429:J438" si="424">IF(VLOOKUP($D429,$C$5:$AJ$644,8,)=0,0,((VLOOKUP($D429,$C$5:$AJ$644,8,)/VLOOKUP($D429,$C$5:$AJ$644,4,))*$F429))</f>
        <v>0</v>
      </c>
      <c r="K429" s="101">
        <f t="shared" ref="K429:K438" si="425">IF(VLOOKUP($D429,$C$5:$AJ$644,9,)=0,0,((VLOOKUP($D429,$C$5:$AJ$644,9,)/VLOOKUP($D429,$C$5:$AJ$644,4,))*$F429))</f>
        <v>0</v>
      </c>
      <c r="L429" s="101">
        <f t="shared" ref="L429:L438" si="426">IF(VLOOKUP($D429,$C$5:$AJ$644,10,)=0,0,((VLOOKUP($D429,$C$5:$AJ$644,10,)/VLOOKUP($D429,$C$5:$AJ$644,4,))*$F429))</f>
        <v>0</v>
      </c>
      <c r="M429" s="101">
        <f t="shared" ref="M429:M438" si="427">IF(VLOOKUP($D429,$C$5:$AJ$644,11,)=0,0,((VLOOKUP($D429,$C$5:$AJ$644,11,)/VLOOKUP($D429,$C$5:$AJ$644,4,))*$F429))</f>
        <v>0</v>
      </c>
      <c r="N429" s="101"/>
      <c r="O429" s="101">
        <f t="shared" ref="O429:O438" si="428">IF(VLOOKUP($D429,$C$5:$AJ$644,13,)=0,0,((VLOOKUP($D429,$C$5:$AJ$644,13,)/VLOOKUP($D429,$C$5:$AJ$644,4,))*$F429))</f>
        <v>1648654.4511149053</v>
      </c>
      <c r="P429" s="101">
        <f t="shared" ref="P429:P438" si="429">IF(VLOOKUP($D429,$C$5:$AJ$644,14,)=0,0,((VLOOKUP($D429,$C$5:$AJ$644,14,)/VLOOKUP($D429,$C$5:$AJ$644,4,))*$F429))</f>
        <v>0</v>
      </c>
      <c r="Q429" s="101">
        <f t="shared" ref="Q429:Q438" si="430">IF(VLOOKUP($D429,$C$5:$AJ$644,15,)=0,0,((VLOOKUP($D429,$C$5:$AJ$644,15,)/VLOOKUP($D429,$C$5:$AJ$644,4,))*$F429))</f>
        <v>0</v>
      </c>
      <c r="R429" s="101"/>
      <c r="S429" s="101">
        <f t="shared" ref="S429:S438" si="431">IF(VLOOKUP($D429,$C$5:$AJ$644,17,)=0,0,((VLOOKUP($D429,$C$5:$AJ$644,17,)/VLOOKUP($D429,$C$5:$AJ$644,4,))*$F429))</f>
        <v>0</v>
      </c>
      <c r="T429" s="101">
        <f t="shared" ref="T429:T438" si="432">IF(VLOOKUP($D429,$C$5:$AJ$644,18,)=0,0,((VLOOKUP($D429,$C$5:$AJ$644,18,)/VLOOKUP($D429,$C$5:$AJ$644,4,))*$F429))</f>
        <v>0</v>
      </c>
      <c r="U429" s="101">
        <f t="shared" ref="U429:U438" si="433">IF(VLOOKUP($D429,$C$5:$AJ$644,19,)=0,0,((VLOOKUP($D429,$C$5:$AJ$644,19,)/VLOOKUP($D429,$C$5:$AJ$644,4,))*$F429))</f>
        <v>0</v>
      </c>
      <c r="V429" s="101">
        <f t="shared" ref="V429:V438" si="434">IF(VLOOKUP($D429,$C$5:$AJ$644,20,)=0,0,((VLOOKUP($D429,$C$5:$AJ$644,20,)/VLOOKUP($D429,$C$5:$AJ$644,4,))*$F429))</f>
        <v>0</v>
      </c>
      <c r="W429" s="101">
        <f t="shared" ref="W429:W438" si="435">IF(VLOOKUP($D429,$C$5:$AJ$644,21,)=0,0,((VLOOKUP($D429,$C$5:$AJ$644,21,)/VLOOKUP($D429,$C$5:$AJ$644,4,))*$F429))</f>
        <v>0</v>
      </c>
      <c r="X429" s="101">
        <f t="shared" ref="X429:X438" si="436">IF(VLOOKUP($D429,$C$5:$AJ$644,22,)=0,0,((VLOOKUP($D429,$C$5:$AJ$644,22,)/VLOOKUP($D429,$C$5:$AJ$644,4,))*$F429))</f>
        <v>0</v>
      </c>
      <c r="Y429" s="101">
        <f t="shared" ref="Y429:Y438" si="437">IF(VLOOKUP($D429,$C$5:$AJ$644,23,)=0,0,((VLOOKUP($D429,$C$5:$AJ$644,23,)/VLOOKUP($D429,$C$5:$AJ$644,4,))*$F429))</f>
        <v>0</v>
      </c>
      <c r="Z429" s="101">
        <f t="shared" ref="Z429:Z438" si="438">IF(VLOOKUP($D429,$C$5:$AJ$644,24,)=0,0,((VLOOKUP($D429,$C$5:$AJ$644,24,)/VLOOKUP($D429,$C$5:$AJ$644,4,))*$F429))</f>
        <v>0</v>
      </c>
      <c r="AA429" s="101">
        <f t="shared" ref="AA429:AA438" si="439">IF(VLOOKUP($D429,$C$5:$AJ$644,25,)=0,0,((VLOOKUP($D429,$C$5:$AJ$644,25,)/VLOOKUP($D429,$C$5:$AJ$644,4,))*$F429))</f>
        <v>0</v>
      </c>
      <c r="AB429" s="101">
        <f t="shared" ref="AB429:AB438" si="440">IF(VLOOKUP($D429,$C$5:$AJ$644,26,)=0,0,((VLOOKUP($D429,$C$5:$AJ$644,26,)/VLOOKUP($D429,$C$5:$AJ$644,4,))*$F429))</f>
        <v>0</v>
      </c>
      <c r="AC429" s="101">
        <f t="shared" ref="AC429:AC438" si="441">IF(VLOOKUP($D429,$C$5:$AJ$644,27,)=0,0,((VLOOKUP($D429,$C$5:$AJ$644,27,)/VLOOKUP($D429,$C$5:$AJ$644,4,))*$F429))</f>
        <v>0</v>
      </c>
      <c r="AD429" s="101">
        <f t="shared" ref="AD429:AD438" si="442">IF(VLOOKUP($D429,$C$5:$AJ$644,28,)=0,0,((VLOOKUP($D429,$C$5:$AJ$644,28,)/VLOOKUP($D429,$C$5:$AJ$644,4,))*$F429))</f>
        <v>0</v>
      </c>
      <c r="AE429" s="101"/>
      <c r="AF429" s="101">
        <f t="shared" ref="AF429:AF438" si="443">IF(VLOOKUP($D429,$C$5:$AJ$644,30,)=0,0,((VLOOKUP($D429,$C$5:$AJ$644,30,)/VLOOKUP($D429,$C$5:$AJ$644,4,))*$F429))</f>
        <v>0</v>
      </c>
      <c r="AG429" s="101"/>
      <c r="AH429" s="101">
        <f t="shared" ref="AH429:AH438" si="444">IF(VLOOKUP($D429,$C$5:$AJ$644,32,)=0,0,((VLOOKUP($D429,$C$5:$AJ$644,32,)/VLOOKUP($D429,$C$5:$AJ$644,4,))*$F429))</f>
        <v>0</v>
      </c>
      <c r="AI429" s="101"/>
      <c r="AJ429" s="101">
        <f t="shared" ref="AJ429:AJ438" si="445">IF(VLOOKUP($D429,$C$5:$AJ$644,34,)=0,0,((VLOOKUP($D429,$C$5:$AJ$644,34,)/VLOOKUP($D429,$C$5:$AJ$644,4,))*$F429))</f>
        <v>0</v>
      </c>
      <c r="AK429" s="101">
        <f t="shared" ref="AK429:AK438" si="446">SUM(H429:AJ429)</f>
        <v>1648654.4511149053</v>
      </c>
      <c r="AL429" s="98" t="str">
        <f t="shared" ref="AL429:AL438" si="447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2"/>
        <v>0</v>
      </c>
      <c r="I430" s="101">
        <f t="shared" si="423"/>
        <v>0</v>
      </c>
      <c r="J430" s="101">
        <f t="shared" si="424"/>
        <v>0</v>
      </c>
      <c r="K430" s="101">
        <f t="shared" si="425"/>
        <v>0</v>
      </c>
      <c r="L430" s="101">
        <f t="shared" si="426"/>
        <v>0</v>
      </c>
      <c r="M430" s="101">
        <f t="shared" si="427"/>
        <v>0</v>
      </c>
      <c r="N430" s="101"/>
      <c r="O430" s="101">
        <f t="shared" si="428"/>
        <v>3065460.3901622416</v>
      </c>
      <c r="P430" s="101">
        <f t="shared" si="429"/>
        <v>0</v>
      </c>
      <c r="Q430" s="101">
        <f t="shared" si="430"/>
        <v>0</v>
      </c>
      <c r="R430" s="101"/>
      <c r="S430" s="101">
        <f t="shared" si="431"/>
        <v>0</v>
      </c>
      <c r="T430" s="101">
        <f t="shared" si="432"/>
        <v>0</v>
      </c>
      <c r="U430" s="101">
        <f t="shared" si="433"/>
        <v>0</v>
      </c>
      <c r="V430" s="101">
        <f t="shared" si="434"/>
        <v>0</v>
      </c>
      <c r="W430" s="101">
        <f t="shared" si="435"/>
        <v>0</v>
      </c>
      <c r="X430" s="101">
        <f t="shared" si="436"/>
        <v>0</v>
      </c>
      <c r="Y430" s="101">
        <f t="shared" si="437"/>
        <v>0</v>
      </c>
      <c r="Z430" s="101">
        <f t="shared" si="438"/>
        <v>0</v>
      </c>
      <c r="AA430" s="101">
        <f t="shared" si="439"/>
        <v>0</v>
      </c>
      <c r="AB430" s="101">
        <f t="shared" si="440"/>
        <v>0</v>
      </c>
      <c r="AC430" s="101">
        <f t="shared" si="441"/>
        <v>0</v>
      </c>
      <c r="AD430" s="101">
        <f t="shared" si="442"/>
        <v>0</v>
      </c>
      <c r="AE430" s="101"/>
      <c r="AF430" s="101">
        <f t="shared" si="443"/>
        <v>0</v>
      </c>
      <c r="AG430" s="101"/>
      <c r="AH430" s="101">
        <f t="shared" si="444"/>
        <v>0</v>
      </c>
      <c r="AI430" s="101"/>
      <c r="AJ430" s="101">
        <f t="shared" si="445"/>
        <v>0</v>
      </c>
      <c r="AK430" s="101">
        <f t="shared" si="446"/>
        <v>3065460.3901622416</v>
      </c>
      <c r="AL430" s="98" t="str">
        <f t="shared" si="447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2"/>
        <v>0</v>
      </c>
      <c r="I431" s="101">
        <f t="shared" si="423"/>
        <v>0</v>
      </c>
      <c r="J431" s="101">
        <f t="shared" si="424"/>
        <v>0</v>
      </c>
      <c r="K431" s="101">
        <f t="shared" si="425"/>
        <v>0</v>
      </c>
      <c r="L431" s="101">
        <f t="shared" si="426"/>
        <v>0</v>
      </c>
      <c r="M431" s="101">
        <f t="shared" si="427"/>
        <v>0</v>
      </c>
      <c r="N431" s="101"/>
      <c r="O431" s="101">
        <f t="shared" si="428"/>
        <v>505134.89586892055</v>
      </c>
      <c r="P431" s="101">
        <f t="shared" si="429"/>
        <v>0</v>
      </c>
      <c r="Q431" s="101">
        <f t="shared" si="430"/>
        <v>0</v>
      </c>
      <c r="R431" s="101"/>
      <c r="S431" s="101">
        <f t="shared" si="431"/>
        <v>0</v>
      </c>
      <c r="T431" s="101">
        <f t="shared" si="432"/>
        <v>0</v>
      </c>
      <c r="U431" s="101">
        <f t="shared" si="433"/>
        <v>0</v>
      </c>
      <c r="V431" s="101">
        <f t="shared" si="434"/>
        <v>0</v>
      </c>
      <c r="W431" s="101">
        <f t="shared" si="435"/>
        <v>0</v>
      </c>
      <c r="X431" s="101">
        <f t="shared" si="436"/>
        <v>0</v>
      </c>
      <c r="Y431" s="101">
        <f t="shared" si="437"/>
        <v>0</v>
      </c>
      <c r="Z431" s="101">
        <f t="shared" si="438"/>
        <v>0</v>
      </c>
      <c r="AA431" s="101">
        <f t="shared" si="439"/>
        <v>0</v>
      </c>
      <c r="AB431" s="101">
        <f t="shared" si="440"/>
        <v>0</v>
      </c>
      <c r="AC431" s="101">
        <f t="shared" si="441"/>
        <v>0</v>
      </c>
      <c r="AD431" s="101">
        <f t="shared" si="442"/>
        <v>0</v>
      </c>
      <c r="AE431" s="101"/>
      <c r="AF431" s="101">
        <f t="shared" si="443"/>
        <v>0</v>
      </c>
      <c r="AG431" s="101"/>
      <c r="AH431" s="101">
        <f t="shared" si="444"/>
        <v>0</v>
      </c>
      <c r="AI431" s="101"/>
      <c r="AJ431" s="101">
        <f t="shared" si="445"/>
        <v>0</v>
      </c>
      <c r="AK431" s="101">
        <f t="shared" si="446"/>
        <v>505134.89586892055</v>
      </c>
      <c r="AL431" s="98" t="str">
        <f t="shared" si="447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2"/>
        <v>0</v>
      </c>
      <c r="I432" s="101">
        <f t="shared" si="423"/>
        <v>0</v>
      </c>
      <c r="J432" s="101">
        <f t="shared" si="424"/>
        <v>0</v>
      </c>
      <c r="K432" s="101">
        <f t="shared" si="425"/>
        <v>0</v>
      </c>
      <c r="L432" s="101">
        <f t="shared" si="426"/>
        <v>0</v>
      </c>
      <c r="M432" s="101">
        <f t="shared" si="427"/>
        <v>0</v>
      </c>
      <c r="N432" s="101"/>
      <c r="O432" s="101">
        <f t="shared" si="428"/>
        <v>0</v>
      </c>
      <c r="P432" s="101">
        <f t="shared" si="429"/>
        <v>0</v>
      </c>
      <c r="Q432" s="101">
        <f t="shared" si="430"/>
        <v>0</v>
      </c>
      <c r="R432" s="101"/>
      <c r="S432" s="101">
        <f t="shared" si="431"/>
        <v>0</v>
      </c>
      <c r="T432" s="101">
        <f t="shared" si="432"/>
        <v>0</v>
      </c>
      <c r="U432" s="101">
        <f t="shared" si="433"/>
        <v>0</v>
      </c>
      <c r="V432" s="101">
        <f t="shared" si="434"/>
        <v>0</v>
      </c>
      <c r="W432" s="101">
        <f t="shared" si="435"/>
        <v>0</v>
      </c>
      <c r="X432" s="101">
        <f t="shared" si="436"/>
        <v>0</v>
      </c>
      <c r="Y432" s="101">
        <f t="shared" si="437"/>
        <v>0</v>
      </c>
      <c r="Z432" s="101">
        <f t="shared" si="438"/>
        <v>0</v>
      </c>
      <c r="AA432" s="101">
        <f t="shared" si="439"/>
        <v>0</v>
      </c>
      <c r="AB432" s="101">
        <f t="shared" si="440"/>
        <v>0</v>
      </c>
      <c r="AC432" s="101">
        <f t="shared" si="441"/>
        <v>0</v>
      </c>
      <c r="AD432" s="101">
        <f t="shared" si="442"/>
        <v>0</v>
      </c>
      <c r="AE432" s="101"/>
      <c r="AF432" s="101">
        <f t="shared" si="443"/>
        <v>0</v>
      </c>
      <c r="AG432" s="101"/>
      <c r="AH432" s="101">
        <f t="shared" si="444"/>
        <v>0</v>
      </c>
      <c r="AI432" s="101"/>
      <c r="AJ432" s="101">
        <f t="shared" si="445"/>
        <v>0</v>
      </c>
      <c r="AK432" s="101">
        <f t="shared" si="446"/>
        <v>0</v>
      </c>
      <c r="AL432" s="98" t="str">
        <f t="shared" si="447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2"/>
        <v>0</v>
      </c>
      <c r="I433" s="101">
        <f t="shared" si="423"/>
        <v>0</v>
      </c>
      <c r="J433" s="101">
        <f t="shared" si="424"/>
        <v>0</v>
      </c>
      <c r="K433" s="101">
        <f t="shared" si="425"/>
        <v>0</v>
      </c>
      <c r="L433" s="101">
        <f t="shared" si="426"/>
        <v>0</v>
      </c>
      <c r="M433" s="101">
        <f t="shared" si="427"/>
        <v>0</v>
      </c>
      <c r="N433" s="101"/>
      <c r="O433" s="101">
        <f t="shared" si="428"/>
        <v>118041.54258528871</v>
      </c>
      <c r="P433" s="101">
        <f t="shared" si="429"/>
        <v>0</v>
      </c>
      <c r="Q433" s="101">
        <f t="shared" si="430"/>
        <v>0</v>
      </c>
      <c r="R433" s="101"/>
      <c r="S433" s="101">
        <f t="shared" si="431"/>
        <v>0</v>
      </c>
      <c r="T433" s="101">
        <f t="shared" si="432"/>
        <v>0</v>
      </c>
      <c r="U433" s="101">
        <f t="shared" si="433"/>
        <v>0</v>
      </c>
      <c r="V433" s="101">
        <f t="shared" si="434"/>
        <v>0</v>
      </c>
      <c r="W433" s="101">
        <f t="shared" si="435"/>
        <v>0</v>
      </c>
      <c r="X433" s="101">
        <f t="shared" si="436"/>
        <v>0</v>
      </c>
      <c r="Y433" s="101">
        <f t="shared" si="437"/>
        <v>0</v>
      </c>
      <c r="Z433" s="101">
        <f t="shared" si="438"/>
        <v>0</v>
      </c>
      <c r="AA433" s="101">
        <f t="shared" si="439"/>
        <v>0</v>
      </c>
      <c r="AB433" s="101">
        <f t="shared" si="440"/>
        <v>0</v>
      </c>
      <c r="AC433" s="101">
        <f t="shared" si="441"/>
        <v>0</v>
      </c>
      <c r="AD433" s="101">
        <f t="shared" si="442"/>
        <v>0</v>
      </c>
      <c r="AE433" s="101"/>
      <c r="AF433" s="101">
        <f t="shared" si="443"/>
        <v>0</v>
      </c>
      <c r="AG433" s="101"/>
      <c r="AH433" s="101">
        <f t="shared" si="444"/>
        <v>0</v>
      </c>
      <c r="AI433" s="101"/>
      <c r="AJ433" s="101">
        <f t="shared" si="445"/>
        <v>0</v>
      </c>
      <c r="AK433" s="101">
        <f t="shared" si="446"/>
        <v>118041.54258528871</v>
      </c>
      <c r="AL433" s="98" t="str">
        <f t="shared" si="447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2"/>
        <v>0</v>
      </c>
      <c r="I434" s="101">
        <f t="shared" si="423"/>
        <v>0</v>
      </c>
      <c r="J434" s="101">
        <f t="shared" si="424"/>
        <v>0</v>
      </c>
      <c r="K434" s="101">
        <f t="shared" si="425"/>
        <v>0</v>
      </c>
      <c r="L434" s="101">
        <f t="shared" si="426"/>
        <v>0</v>
      </c>
      <c r="M434" s="101">
        <f t="shared" si="427"/>
        <v>0</v>
      </c>
      <c r="N434" s="101"/>
      <c r="O434" s="101">
        <f t="shared" si="428"/>
        <v>0</v>
      </c>
      <c r="P434" s="101">
        <f t="shared" si="429"/>
        <v>0</v>
      </c>
      <c r="Q434" s="101">
        <f t="shared" si="430"/>
        <v>0</v>
      </c>
      <c r="R434" s="101"/>
      <c r="S434" s="101">
        <f t="shared" si="431"/>
        <v>0</v>
      </c>
      <c r="T434" s="101">
        <f t="shared" si="432"/>
        <v>0</v>
      </c>
      <c r="U434" s="101">
        <f t="shared" si="433"/>
        <v>0</v>
      </c>
      <c r="V434" s="101">
        <f t="shared" si="434"/>
        <v>0</v>
      </c>
      <c r="W434" s="101">
        <f t="shared" si="435"/>
        <v>0</v>
      </c>
      <c r="X434" s="101">
        <f t="shared" si="436"/>
        <v>0</v>
      </c>
      <c r="Y434" s="101">
        <f t="shared" si="437"/>
        <v>0</v>
      </c>
      <c r="Z434" s="101">
        <f t="shared" si="438"/>
        <v>0</v>
      </c>
      <c r="AA434" s="101">
        <f t="shared" si="439"/>
        <v>0</v>
      </c>
      <c r="AB434" s="101">
        <f t="shared" si="440"/>
        <v>0</v>
      </c>
      <c r="AC434" s="101">
        <f t="shared" si="441"/>
        <v>0</v>
      </c>
      <c r="AD434" s="101">
        <f t="shared" si="442"/>
        <v>0</v>
      </c>
      <c r="AE434" s="101"/>
      <c r="AF434" s="101">
        <f t="shared" si="443"/>
        <v>0</v>
      </c>
      <c r="AG434" s="101"/>
      <c r="AH434" s="101">
        <f t="shared" si="444"/>
        <v>0</v>
      </c>
      <c r="AI434" s="101"/>
      <c r="AJ434" s="101">
        <f t="shared" si="445"/>
        <v>0</v>
      </c>
      <c r="AK434" s="101">
        <f t="shared" si="446"/>
        <v>0</v>
      </c>
      <c r="AL434" s="98" t="str">
        <f t="shared" si="447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2"/>
        <v>0</v>
      </c>
      <c r="I435" s="101">
        <f t="shared" si="423"/>
        <v>0</v>
      </c>
      <c r="J435" s="101">
        <f t="shared" si="424"/>
        <v>0</v>
      </c>
      <c r="K435" s="101">
        <f t="shared" si="425"/>
        <v>0</v>
      </c>
      <c r="L435" s="101">
        <f t="shared" si="426"/>
        <v>0</v>
      </c>
      <c r="M435" s="101">
        <f t="shared" si="427"/>
        <v>0</v>
      </c>
      <c r="N435" s="101"/>
      <c r="O435" s="101">
        <f t="shared" si="428"/>
        <v>937915.11876465706</v>
      </c>
      <c r="P435" s="101">
        <f t="shared" si="429"/>
        <v>0</v>
      </c>
      <c r="Q435" s="101">
        <f t="shared" si="430"/>
        <v>0</v>
      </c>
      <c r="R435" s="101"/>
      <c r="S435" s="101">
        <f t="shared" si="431"/>
        <v>0</v>
      </c>
      <c r="T435" s="101">
        <f t="shared" si="432"/>
        <v>0</v>
      </c>
      <c r="U435" s="101">
        <f t="shared" si="433"/>
        <v>0</v>
      </c>
      <c r="V435" s="101">
        <f t="shared" si="434"/>
        <v>0</v>
      </c>
      <c r="W435" s="101">
        <f t="shared" si="435"/>
        <v>0</v>
      </c>
      <c r="X435" s="101">
        <f t="shared" si="436"/>
        <v>0</v>
      </c>
      <c r="Y435" s="101">
        <f t="shared" si="437"/>
        <v>0</v>
      </c>
      <c r="Z435" s="101">
        <f t="shared" si="438"/>
        <v>0</v>
      </c>
      <c r="AA435" s="101">
        <f t="shared" si="439"/>
        <v>0</v>
      </c>
      <c r="AB435" s="101">
        <f t="shared" si="440"/>
        <v>0</v>
      </c>
      <c r="AC435" s="101">
        <f t="shared" si="441"/>
        <v>0</v>
      </c>
      <c r="AD435" s="101">
        <f t="shared" si="442"/>
        <v>0</v>
      </c>
      <c r="AE435" s="101"/>
      <c r="AF435" s="101">
        <f t="shared" si="443"/>
        <v>0</v>
      </c>
      <c r="AG435" s="101"/>
      <c r="AH435" s="101">
        <f t="shared" si="444"/>
        <v>0</v>
      </c>
      <c r="AI435" s="101"/>
      <c r="AJ435" s="101">
        <f t="shared" si="445"/>
        <v>0</v>
      </c>
      <c r="AK435" s="101">
        <f t="shared" si="446"/>
        <v>937915.11876465706</v>
      </c>
      <c r="AL435" s="98" t="str">
        <f t="shared" si="447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2"/>
        <v>0</v>
      </c>
      <c r="I436" s="101">
        <f t="shared" si="423"/>
        <v>0</v>
      </c>
      <c r="J436" s="101">
        <f t="shared" si="424"/>
        <v>0</v>
      </c>
      <c r="K436" s="101">
        <f t="shared" si="425"/>
        <v>0</v>
      </c>
      <c r="L436" s="101">
        <f t="shared" si="426"/>
        <v>0</v>
      </c>
      <c r="M436" s="101">
        <f t="shared" si="427"/>
        <v>0</v>
      </c>
      <c r="N436" s="101"/>
      <c r="O436" s="101">
        <f t="shared" si="428"/>
        <v>466792.94153682649</v>
      </c>
      <c r="P436" s="101">
        <f t="shared" si="429"/>
        <v>0</v>
      </c>
      <c r="Q436" s="101">
        <f t="shared" si="430"/>
        <v>0</v>
      </c>
      <c r="R436" s="101"/>
      <c r="S436" s="101">
        <f t="shared" si="431"/>
        <v>0</v>
      </c>
      <c r="T436" s="101">
        <f t="shared" si="432"/>
        <v>0</v>
      </c>
      <c r="U436" s="101">
        <f t="shared" si="433"/>
        <v>0</v>
      </c>
      <c r="V436" s="101">
        <f t="shared" si="434"/>
        <v>0</v>
      </c>
      <c r="W436" s="101">
        <f t="shared" si="435"/>
        <v>0</v>
      </c>
      <c r="X436" s="101">
        <f t="shared" si="436"/>
        <v>0</v>
      </c>
      <c r="Y436" s="101">
        <f t="shared" si="437"/>
        <v>0</v>
      </c>
      <c r="Z436" s="101">
        <f t="shared" si="438"/>
        <v>0</v>
      </c>
      <c r="AA436" s="101">
        <f t="shared" si="439"/>
        <v>0</v>
      </c>
      <c r="AB436" s="101">
        <f t="shared" si="440"/>
        <v>0</v>
      </c>
      <c r="AC436" s="101">
        <f t="shared" si="441"/>
        <v>0</v>
      </c>
      <c r="AD436" s="101">
        <f t="shared" si="442"/>
        <v>0</v>
      </c>
      <c r="AE436" s="101"/>
      <c r="AF436" s="101">
        <f t="shared" si="443"/>
        <v>0</v>
      </c>
      <c r="AG436" s="101"/>
      <c r="AH436" s="101">
        <f t="shared" si="444"/>
        <v>0</v>
      </c>
      <c r="AI436" s="101"/>
      <c r="AJ436" s="101">
        <f t="shared" si="445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2"/>
        <v>0</v>
      </c>
      <c r="I437" s="101">
        <f t="shared" si="423"/>
        <v>0</v>
      </c>
      <c r="J437" s="101">
        <f t="shared" si="424"/>
        <v>0</v>
      </c>
      <c r="K437" s="101">
        <f t="shared" si="425"/>
        <v>0</v>
      </c>
      <c r="L437" s="101">
        <f t="shared" si="426"/>
        <v>0</v>
      </c>
      <c r="M437" s="101">
        <f t="shared" si="427"/>
        <v>0</v>
      </c>
      <c r="N437" s="101"/>
      <c r="O437" s="101">
        <f t="shared" si="428"/>
        <v>0</v>
      </c>
      <c r="P437" s="101">
        <f t="shared" si="429"/>
        <v>0</v>
      </c>
      <c r="Q437" s="101">
        <f t="shared" si="430"/>
        <v>0</v>
      </c>
      <c r="R437" s="101"/>
      <c r="S437" s="101">
        <f t="shared" si="431"/>
        <v>0</v>
      </c>
      <c r="T437" s="101">
        <f t="shared" si="432"/>
        <v>0</v>
      </c>
      <c r="U437" s="101">
        <f t="shared" si="433"/>
        <v>0</v>
      </c>
      <c r="V437" s="101">
        <f t="shared" si="434"/>
        <v>0</v>
      </c>
      <c r="W437" s="101">
        <f t="shared" si="435"/>
        <v>0</v>
      </c>
      <c r="X437" s="101">
        <f t="shared" si="436"/>
        <v>0</v>
      </c>
      <c r="Y437" s="101">
        <f t="shared" si="437"/>
        <v>0</v>
      </c>
      <c r="Z437" s="101">
        <f t="shared" si="438"/>
        <v>0</v>
      </c>
      <c r="AA437" s="101">
        <f t="shared" si="439"/>
        <v>0</v>
      </c>
      <c r="AB437" s="101">
        <f t="shared" si="440"/>
        <v>0</v>
      </c>
      <c r="AC437" s="101">
        <f t="shared" si="441"/>
        <v>0</v>
      </c>
      <c r="AD437" s="101">
        <f t="shared" si="442"/>
        <v>0</v>
      </c>
      <c r="AE437" s="101"/>
      <c r="AF437" s="101">
        <f t="shared" si="443"/>
        <v>0</v>
      </c>
      <c r="AG437" s="101"/>
      <c r="AH437" s="101">
        <f t="shared" si="444"/>
        <v>0</v>
      </c>
      <c r="AI437" s="101"/>
      <c r="AJ437" s="101">
        <f t="shared" si="445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2"/>
        <v>0</v>
      </c>
      <c r="I438" s="101">
        <f t="shared" si="423"/>
        <v>0</v>
      </c>
      <c r="J438" s="101">
        <f t="shared" si="424"/>
        <v>0</v>
      </c>
      <c r="K438" s="101">
        <f t="shared" si="425"/>
        <v>0</v>
      </c>
      <c r="L438" s="101">
        <f t="shared" si="426"/>
        <v>0</v>
      </c>
      <c r="M438" s="101">
        <f t="shared" si="427"/>
        <v>0</v>
      </c>
      <c r="N438" s="101"/>
      <c r="O438" s="101">
        <f t="shared" si="428"/>
        <v>0</v>
      </c>
      <c r="P438" s="101">
        <f t="shared" si="429"/>
        <v>0</v>
      </c>
      <c r="Q438" s="101">
        <f t="shared" si="430"/>
        <v>0</v>
      </c>
      <c r="R438" s="101"/>
      <c r="S438" s="101">
        <f t="shared" si="431"/>
        <v>0</v>
      </c>
      <c r="T438" s="101">
        <f t="shared" si="432"/>
        <v>0</v>
      </c>
      <c r="U438" s="101">
        <f t="shared" si="433"/>
        <v>0</v>
      </c>
      <c r="V438" s="101">
        <f t="shared" si="434"/>
        <v>0</v>
      </c>
      <c r="W438" s="101">
        <f t="shared" si="435"/>
        <v>0</v>
      </c>
      <c r="X438" s="101">
        <f t="shared" si="436"/>
        <v>0</v>
      </c>
      <c r="Y438" s="101">
        <f t="shared" si="437"/>
        <v>0</v>
      </c>
      <c r="Z438" s="101">
        <f t="shared" si="438"/>
        <v>0</v>
      </c>
      <c r="AA438" s="101">
        <f t="shared" si="439"/>
        <v>0</v>
      </c>
      <c r="AB438" s="101">
        <f t="shared" si="440"/>
        <v>0</v>
      </c>
      <c r="AC438" s="101">
        <f t="shared" si="441"/>
        <v>0</v>
      </c>
      <c r="AD438" s="101">
        <f t="shared" si="442"/>
        <v>0</v>
      </c>
      <c r="AE438" s="101"/>
      <c r="AF438" s="101">
        <f t="shared" si="443"/>
        <v>0</v>
      </c>
      <c r="AG438" s="101"/>
      <c r="AH438" s="101">
        <f t="shared" si="444"/>
        <v>0</v>
      </c>
      <c r="AI438" s="101"/>
      <c r="AJ438" s="101">
        <f t="shared" si="445"/>
        <v>0</v>
      </c>
      <c r="AK438" s="101">
        <f t="shared" si="446"/>
        <v>0</v>
      </c>
      <c r="AL438" s="98" t="str">
        <f t="shared" si="447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48">SUM(H429:H439)</f>
        <v>0</v>
      </c>
      <c r="I440" s="102">
        <f t="shared" si="448"/>
        <v>0</v>
      </c>
      <c r="J440" s="102">
        <f t="shared" si="448"/>
        <v>0</v>
      </c>
      <c r="K440" s="102">
        <f t="shared" si="448"/>
        <v>0</v>
      </c>
      <c r="L440" s="102">
        <f t="shared" si="448"/>
        <v>0</v>
      </c>
      <c r="M440" s="102">
        <f t="shared" si="448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49">SUM(S429:S439)</f>
        <v>0</v>
      </c>
      <c r="T440" s="102">
        <f t="shared" si="449"/>
        <v>0</v>
      </c>
      <c r="U440" s="102">
        <f t="shared" si="449"/>
        <v>0</v>
      </c>
      <c r="V440" s="102">
        <f t="shared" si="449"/>
        <v>0</v>
      </c>
      <c r="W440" s="102">
        <f t="shared" si="449"/>
        <v>0</v>
      </c>
      <c r="X440" s="102">
        <f t="shared" si="449"/>
        <v>0</v>
      </c>
      <c r="Y440" s="102">
        <f t="shared" si="449"/>
        <v>0</v>
      </c>
      <c r="Z440" s="102">
        <f t="shared" si="449"/>
        <v>0</v>
      </c>
      <c r="AA440" s="102">
        <f t="shared" si="449"/>
        <v>0</v>
      </c>
      <c r="AB440" s="102">
        <f t="shared" si="449"/>
        <v>0</v>
      </c>
      <c r="AC440" s="102">
        <f t="shared" si="449"/>
        <v>0</v>
      </c>
      <c r="AD440" s="102">
        <f t="shared" si="449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0">IF(VLOOKUP($D443,$C$5:$AJ$644,6,)=0,0,((VLOOKUP($D443,$C$5:$AJ$644,6,)/VLOOKUP($D443,$C$5:$AJ$644,4,))*$F443))</f>
        <v>0</v>
      </c>
      <c r="I443" s="101">
        <f t="shared" ref="I443:I453" si="451">IF(VLOOKUP($D443,$C$5:$AJ$644,7,)=0,0,((VLOOKUP($D443,$C$5:$AJ$644,7,)/VLOOKUP($D443,$C$5:$AJ$644,4,))*$F443))</f>
        <v>0</v>
      </c>
      <c r="J443" s="101">
        <f t="shared" ref="J443:J453" si="452">IF(VLOOKUP($D443,$C$5:$AJ$644,8,)=0,0,((VLOOKUP($D443,$C$5:$AJ$644,8,)/VLOOKUP($D443,$C$5:$AJ$644,4,))*$F443))</f>
        <v>0</v>
      </c>
      <c r="K443" s="101">
        <f t="shared" ref="K443:K453" si="453">IF(VLOOKUP($D443,$C$5:$AJ$644,9,)=0,0,((VLOOKUP($D443,$C$5:$AJ$644,9,)/VLOOKUP($D443,$C$5:$AJ$644,4,))*$F443))</f>
        <v>0</v>
      </c>
      <c r="L443" s="101">
        <f t="shared" ref="L443:L453" si="454">IF(VLOOKUP($D443,$C$5:$AJ$644,10,)=0,0,((VLOOKUP($D443,$C$5:$AJ$644,10,)/VLOOKUP($D443,$C$5:$AJ$644,4,))*$F443))</f>
        <v>0</v>
      </c>
      <c r="M443" s="101">
        <f t="shared" ref="M443:M453" si="455">IF(VLOOKUP($D443,$C$5:$AJ$644,11,)=0,0,((VLOOKUP($D443,$C$5:$AJ$644,11,)/VLOOKUP($D443,$C$5:$AJ$644,4,))*$F443))</f>
        <v>0</v>
      </c>
      <c r="N443" s="101"/>
      <c r="O443" s="101">
        <f t="shared" ref="O443:O453" si="456">IF(VLOOKUP($D443,$C$5:$AJ$644,13,)=0,0,((VLOOKUP($D443,$C$5:$AJ$644,13,)/VLOOKUP($D443,$C$5:$AJ$644,4,))*$F443))</f>
        <v>0</v>
      </c>
      <c r="P443" s="101">
        <f t="shared" ref="P443:P453" si="457">IF(VLOOKUP($D443,$C$5:$AJ$644,14,)=0,0,((VLOOKUP($D443,$C$5:$AJ$644,14,)/VLOOKUP($D443,$C$5:$AJ$644,4,))*$F443))</f>
        <v>0</v>
      </c>
      <c r="Q443" s="101">
        <f t="shared" ref="Q443:Q453" si="458">IF(VLOOKUP($D443,$C$5:$AJ$644,15,)=0,0,((VLOOKUP($D443,$C$5:$AJ$644,15,)/VLOOKUP($D443,$C$5:$AJ$644,4,))*$F443))</f>
        <v>0</v>
      </c>
      <c r="R443" s="101"/>
      <c r="S443" s="101">
        <f t="shared" ref="S443:S453" si="459">IF(VLOOKUP($D443,$C$5:$AJ$644,17,)=0,0,((VLOOKUP($D443,$C$5:$AJ$644,17,)/VLOOKUP($D443,$C$5:$AJ$644,4,))*$F443))</f>
        <v>0</v>
      </c>
      <c r="T443" s="101">
        <f t="shared" ref="T443:T453" si="460">IF(VLOOKUP($D443,$C$5:$AJ$644,18,)=0,0,((VLOOKUP($D443,$C$5:$AJ$644,18,)/VLOOKUP($D443,$C$5:$AJ$644,4,))*$F443))</f>
        <v>140662.97450661057</v>
      </c>
      <c r="U443" s="101">
        <f t="shared" ref="U443:U453" si="461">IF(VLOOKUP($D443,$C$5:$AJ$644,19,)=0,0,((VLOOKUP($D443,$C$5:$AJ$644,19,)/VLOOKUP($D443,$C$5:$AJ$644,4,))*$F443))</f>
        <v>0</v>
      </c>
      <c r="V443" s="101">
        <f t="shared" ref="V443:V453" si="462">IF(VLOOKUP($D443,$C$5:$AJ$644,20,)=0,0,((VLOOKUP($D443,$C$5:$AJ$644,20,)/VLOOKUP($D443,$C$5:$AJ$644,4,))*$F443))</f>
        <v>88540.676362337021</v>
      </c>
      <c r="W443" s="101">
        <f t="shared" ref="W443:W453" si="463">IF(VLOOKUP($D443,$C$5:$AJ$644,21,)=0,0,((VLOOKUP($D443,$C$5:$AJ$644,21,)/VLOOKUP($D443,$C$5:$AJ$644,4,))*$F443))</f>
        <v>143907.49673268551</v>
      </c>
      <c r="X443" s="101">
        <f t="shared" ref="X443:X453" si="464">IF(VLOOKUP($D443,$C$5:$AJ$644,22,)=0,0,((VLOOKUP($D443,$C$5:$AJ$644,22,)/VLOOKUP($D443,$C$5:$AJ$644,4,))*$F443))</f>
        <v>44432.592858928103</v>
      </c>
      <c r="Y443" s="101">
        <f t="shared" ref="Y443:Y453" si="465">IF(VLOOKUP($D443,$C$5:$AJ$644,23,)=0,0,((VLOOKUP($D443,$C$5:$AJ$644,23,)/VLOOKUP($D443,$C$5:$AJ$644,4,))*$F443))</f>
        <v>65825.925957736021</v>
      </c>
      <c r="Z443" s="101">
        <f t="shared" ref="Z443:Z453" si="466">IF(VLOOKUP($D443,$C$5:$AJ$644,24,)=0,0,((VLOOKUP($D443,$C$5:$AJ$644,24,)/VLOOKUP($D443,$C$5:$AJ$644,4,))*$F443))</f>
        <v>27397.915367322319</v>
      </c>
      <c r="AA443" s="101">
        <f t="shared" ref="AA443:AA453" si="467">IF(VLOOKUP($D443,$C$5:$AJ$644,25,)=0,0,((VLOOKUP($D443,$C$5:$AJ$644,25,)/VLOOKUP($D443,$C$5:$AJ$644,4,))*$F443))</f>
        <v>24380.841028775008</v>
      </c>
      <c r="AB443" s="101">
        <f t="shared" ref="AB443:AB453" si="468">IF(VLOOKUP($D443,$C$5:$AJ$644,26,)=0,0,((VLOOKUP($D443,$C$5:$AJ$644,26,)/VLOOKUP($D443,$C$5:$AJ$644,4,))*$F443))</f>
        <v>16322.298378959375</v>
      </c>
      <c r="AC443" s="101">
        <f t="shared" ref="AC443:AC453" si="469">IF(VLOOKUP($D443,$C$5:$AJ$644,27,)=0,0,((VLOOKUP($D443,$C$5:$AJ$644,27,)/VLOOKUP($D443,$C$5:$AJ$644,4,))*$F443))</f>
        <v>510922.74001983047</v>
      </c>
      <c r="AD443" s="101">
        <f t="shared" ref="AD443:AD453" si="470">IF(VLOOKUP($D443,$C$5:$AJ$644,28,)=0,0,((VLOOKUP($D443,$C$5:$AJ$644,28,)/VLOOKUP($D443,$C$5:$AJ$644,4,))*$F443))</f>
        <v>19317.495849170151</v>
      </c>
      <c r="AE443" s="101"/>
      <c r="AF443" s="101">
        <f t="shared" ref="AF443:AF453" si="471">IF(VLOOKUP($D443,$C$5:$AJ$644,30,)=0,0,((VLOOKUP($D443,$C$5:$AJ$644,30,)/VLOOKUP($D443,$C$5:$AJ$644,4,))*$F443))</f>
        <v>0</v>
      </c>
      <c r="AG443" s="101"/>
      <c r="AH443" s="101">
        <f t="shared" ref="AH443:AH453" si="472">IF(VLOOKUP($D443,$C$5:$AJ$644,32,)=0,0,((VLOOKUP($D443,$C$5:$AJ$644,32,)/VLOOKUP($D443,$C$5:$AJ$644,4,))*$F443))</f>
        <v>0</v>
      </c>
      <c r="AI443" s="101"/>
      <c r="AJ443" s="101">
        <f t="shared" ref="AJ443:AJ453" si="473">IF(VLOOKUP($D443,$C$5:$AJ$644,34,)=0,0,((VLOOKUP($D443,$C$5:$AJ$644,34,)/VLOOKUP($D443,$C$5:$AJ$644,4,))*$F443))</f>
        <v>0</v>
      </c>
      <c r="AK443" s="101">
        <f t="shared" ref="AK443:AK453" si="474">SUM(H443:AJ443)</f>
        <v>1081710.9570623548</v>
      </c>
      <c r="AL443" s="98" t="str">
        <f t="shared" ref="AL443:AL453" si="475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0"/>
        <v>0</v>
      </c>
      <c r="I444" s="101">
        <f t="shared" si="451"/>
        <v>0</v>
      </c>
      <c r="J444" s="101">
        <f t="shared" si="452"/>
        <v>0</v>
      </c>
      <c r="K444" s="101">
        <f t="shared" si="453"/>
        <v>0</v>
      </c>
      <c r="L444" s="101">
        <f t="shared" si="454"/>
        <v>0</v>
      </c>
      <c r="M444" s="101">
        <f t="shared" si="455"/>
        <v>0</v>
      </c>
      <c r="N444" s="101"/>
      <c r="O444" s="101">
        <f t="shared" si="456"/>
        <v>0</v>
      </c>
      <c r="P444" s="101">
        <f t="shared" si="457"/>
        <v>0</v>
      </c>
      <c r="Q444" s="101">
        <f t="shared" si="458"/>
        <v>0</v>
      </c>
      <c r="R444" s="101"/>
      <c r="S444" s="101">
        <f t="shared" si="459"/>
        <v>0</v>
      </c>
      <c r="T444" s="101">
        <f t="shared" si="460"/>
        <v>342506.27938109287</v>
      </c>
      <c r="U444" s="101">
        <f t="shared" si="461"/>
        <v>0</v>
      </c>
      <c r="V444" s="101">
        <f t="shared" si="462"/>
        <v>0</v>
      </c>
      <c r="W444" s="101">
        <f t="shared" si="463"/>
        <v>0</v>
      </c>
      <c r="X444" s="101">
        <f t="shared" si="464"/>
        <v>0</v>
      </c>
      <c r="Y444" s="101">
        <f t="shared" si="465"/>
        <v>0</v>
      </c>
      <c r="Z444" s="101">
        <f t="shared" si="466"/>
        <v>0</v>
      </c>
      <c r="AA444" s="101">
        <f t="shared" si="467"/>
        <v>0</v>
      </c>
      <c r="AB444" s="101">
        <f t="shared" si="468"/>
        <v>0</v>
      </c>
      <c r="AC444" s="101">
        <f t="shared" si="469"/>
        <v>0</v>
      </c>
      <c r="AD444" s="101">
        <f t="shared" si="470"/>
        <v>0</v>
      </c>
      <c r="AE444" s="101"/>
      <c r="AF444" s="101">
        <f t="shared" si="471"/>
        <v>0</v>
      </c>
      <c r="AG444" s="101"/>
      <c r="AH444" s="101">
        <f t="shared" si="472"/>
        <v>0</v>
      </c>
      <c r="AI444" s="101"/>
      <c r="AJ444" s="101">
        <f t="shared" si="473"/>
        <v>0</v>
      </c>
      <c r="AK444" s="101">
        <f t="shared" si="474"/>
        <v>342506.27938109287</v>
      </c>
      <c r="AL444" s="98" t="str">
        <f t="shared" si="475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0"/>
        <v>0</v>
      </c>
      <c r="I445" s="101">
        <f t="shared" si="451"/>
        <v>0</v>
      </c>
      <c r="J445" s="101">
        <f t="shared" si="452"/>
        <v>0</v>
      </c>
      <c r="K445" s="101">
        <f t="shared" si="453"/>
        <v>0</v>
      </c>
      <c r="L445" s="101">
        <f t="shared" si="454"/>
        <v>0</v>
      </c>
      <c r="M445" s="101">
        <f t="shared" si="455"/>
        <v>0</v>
      </c>
      <c r="N445" s="101"/>
      <c r="O445" s="101">
        <f t="shared" si="456"/>
        <v>0</v>
      </c>
      <c r="P445" s="101">
        <f t="shared" si="457"/>
        <v>0</v>
      </c>
      <c r="Q445" s="101">
        <f t="shared" si="458"/>
        <v>0</v>
      </c>
      <c r="R445" s="101"/>
      <c r="S445" s="101">
        <f t="shared" si="459"/>
        <v>0</v>
      </c>
      <c r="T445" s="101">
        <f t="shared" si="460"/>
        <v>870966.55608474847</v>
      </c>
      <c r="U445" s="101">
        <f t="shared" si="461"/>
        <v>0</v>
      </c>
      <c r="V445" s="101">
        <f t="shared" si="462"/>
        <v>0</v>
      </c>
      <c r="W445" s="101">
        <f t="shared" si="463"/>
        <v>0</v>
      </c>
      <c r="X445" s="101">
        <f t="shared" si="464"/>
        <v>0</v>
      </c>
      <c r="Y445" s="101">
        <f t="shared" si="465"/>
        <v>0</v>
      </c>
      <c r="Z445" s="101">
        <f t="shared" si="466"/>
        <v>0</v>
      </c>
      <c r="AA445" s="101">
        <f t="shared" si="467"/>
        <v>0</v>
      </c>
      <c r="AB445" s="101">
        <f t="shared" si="468"/>
        <v>0</v>
      </c>
      <c r="AC445" s="101">
        <f t="shared" si="469"/>
        <v>0</v>
      </c>
      <c r="AD445" s="101">
        <f t="shared" si="470"/>
        <v>0</v>
      </c>
      <c r="AE445" s="101"/>
      <c r="AF445" s="101">
        <f t="shared" si="471"/>
        <v>0</v>
      </c>
      <c r="AG445" s="101"/>
      <c r="AH445" s="101">
        <f t="shared" si="472"/>
        <v>0</v>
      </c>
      <c r="AI445" s="101"/>
      <c r="AJ445" s="101">
        <f t="shared" si="473"/>
        <v>0</v>
      </c>
      <c r="AK445" s="101">
        <f t="shared" si="474"/>
        <v>870966.55608474847</v>
      </c>
      <c r="AL445" s="98" t="str">
        <f t="shared" si="475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0"/>
        <v>0</v>
      </c>
      <c r="I446" s="101">
        <f t="shared" si="451"/>
        <v>0</v>
      </c>
      <c r="J446" s="101">
        <f t="shared" si="452"/>
        <v>0</v>
      </c>
      <c r="K446" s="101">
        <f t="shared" si="453"/>
        <v>0</v>
      </c>
      <c r="L446" s="101">
        <f t="shared" si="454"/>
        <v>0</v>
      </c>
      <c r="M446" s="101">
        <f t="shared" si="455"/>
        <v>0</v>
      </c>
      <c r="N446" s="101"/>
      <c r="O446" s="101">
        <f t="shared" si="456"/>
        <v>0</v>
      </c>
      <c r="P446" s="101">
        <f t="shared" si="457"/>
        <v>0</v>
      </c>
      <c r="Q446" s="101">
        <f t="shared" si="458"/>
        <v>0</v>
      </c>
      <c r="R446" s="101"/>
      <c r="S446" s="101">
        <f t="shared" si="459"/>
        <v>0</v>
      </c>
      <c r="T446" s="101">
        <f t="shared" si="460"/>
        <v>0</v>
      </c>
      <c r="U446" s="101">
        <f t="shared" si="461"/>
        <v>0</v>
      </c>
      <c r="V446" s="101">
        <f t="shared" si="462"/>
        <v>577540.3897132019</v>
      </c>
      <c r="W446" s="101">
        <f t="shared" si="463"/>
        <v>837652.92004715558</v>
      </c>
      <c r="X446" s="101">
        <f t="shared" si="464"/>
        <v>308121.9162417159</v>
      </c>
      <c r="Y446" s="101">
        <f t="shared" si="465"/>
        <v>446893.80598743353</v>
      </c>
      <c r="Z446" s="101">
        <f t="shared" si="466"/>
        <v>0</v>
      </c>
      <c r="AA446" s="101">
        <f t="shared" si="467"/>
        <v>0</v>
      </c>
      <c r="AB446" s="101">
        <f t="shared" si="468"/>
        <v>0</v>
      </c>
      <c r="AC446" s="101">
        <f t="shared" si="469"/>
        <v>0</v>
      </c>
      <c r="AD446" s="101">
        <f t="shared" si="470"/>
        <v>0</v>
      </c>
      <c r="AE446" s="101"/>
      <c r="AF446" s="101">
        <f t="shared" si="471"/>
        <v>0</v>
      </c>
      <c r="AG446" s="101"/>
      <c r="AH446" s="101">
        <f t="shared" si="472"/>
        <v>0</v>
      </c>
      <c r="AI446" s="101"/>
      <c r="AJ446" s="101">
        <f t="shared" si="473"/>
        <v>0</v>
      </c>
      <c r="AK446" s="101">
        <f t="shared" si="474"/>
        <v>2170209.0319895069</v>
      </c>
      <c r="AL446" s="98" t="str">
        <f t="shared" si="475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0"/>
        <v>0</v>
      </c>
      <c r="I447" s="101">
        <f t="shared" si="451"/>
        <v>0</v>
      </c>
      <c r="J447" s="101">
        <f t="shared" si="452"/>
        <v>0</v>
      </c>
      <c r="K447" s="101">
        <f t="shared" si="453"/>
        <v>0</v>
      </c>
      <c r="L447" s="101">
        <f t="shared" si="454"/>
        <v>0</v>
      </c>
      <c r="M447" s="101">
        <f t="shared" si="455"/>
        <v>0</v>
      </c>
      <c r="N447" s="101"/>
      <c r="O447" s="101">
        <f t="shared" si="456"/>
        <v>0</v>
      </c>
      <c r="P447" s="101">
        <f t="shared" si="457"/>
        <v>0</v>
      </c>
      <c r="Q447" s="101">
        <f t="shared" si="458"/>
        <v>0</v>
      </c>
      <c r="R447" s="101"/>
      <c r="S447" s="101">
        <f t="shared" si="459"/>
        <v>0</v>
      </c>
      <c r="T447" s="101">
        <f t="shared" si="460"/>
        <v>0</v>
      </c>
      <c r="U447" s="101">
        <f t="shared" si="461"/>
        <v>0</v>
      </c>
      <c r="V447" s="101">
        <f t="shared" si="462"/>
        <v>0</v>
      </c>
      <c r="W447" s="101">
        <f t="shared" si="463"/>
        <v>0</v>
      </c>
      <c r="X447" s="101">
        <f t="shared" si="464"/>
        <v>0</v>
      </c>
      <c r="Y447" s="101">
        <f t="shared" si="465"/>
        <v>0</v>
      </c>
      <c r="Z447" s="101">
        <f t="shared" si="466"/>
        <v>0</v>
      </c>
      <c r="AA447" s="101">
        <f t="shared" si="467"/>
        <v>0</v>
      </c>
      <c r="AB447" s="101">
        <f t="shared" si="468"/>
        <v>0</v>
      </c>
      <c r="AC447" s="101">
        <f t="shared" si="469"/>
        <v>0</v>
      </c>
      <c r="AD447" s="101">
        <f t="shared" si="470"/>
        <v>0</v>
      </c>
      <c r="AE447" s="101"/>
      <c r="AF447" s="101">
        <f t="shared" si="471"/>
        <v>0</v>
      </c>
      <c r="AG447" s="101"/>
      <c r="AH447" s="101">
        <f t="shared" si="472"/>
        <v>0</v>
      </c>
      <c r="AI447" s="101"/>
      <c r="AJ447" s="101">
        <f t="shared" si="473"/>
        <v>0</v>
      </c>
      <c r="AK447" s="101">
        <f t="shared" si="474"/>
        <v>0</v>
      </c>
      <c r="AL447" s="98" t="str">
        <f t="shared" si="475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0"/>
        <v>0</v>
      </c>
      <c r="I448" s="101">
        <f t="shared" si="451"/>
        <v>0</v>
      </c>
      <c r="J448" s="101">
        <f t="shared" si="452"/>
        <v>0</v>
      </c>
      <c r="K448" s="101">
        <f t="shared" si="453"/>
        <v>0</v>
      </c>
      <c r="L448" s="101">
        <f t="shared" si="454"/>
        <v>0</v>
      </c>
      <c r="M448" s="101">
        <f t="shared" si="455"/>
        <v>0</v>
      </c>
      <c r="N448" s="101"/>
      <c r="O448" s="101">
        <f t="shared" si="456"/>
        <v>0</v>
      </c>
      <c r="P448" s="101">
        <f t="shared" si="457"/>
        <v>0</v>
      </c>
      <c r="Q448" s="101">
        <f t="shared" si="458"/>
        <v>0</v>
      </c>
      <c r="R448" s="101"/>
      <c r="S448" s="101">
        <f t="shared" si="459"/>
        <v>0</v>
      </c>
      <c r="T448" s="101">
        <f t="shared" si="460"/>
        <v>0</v>
      </c>
      <c r="U448" s="101">
        <f t="shared" si="461"/>
        <v>0</v>
      </c>
      <c r="V448" s="101">
        <f t="shared" si="462"/>
        <v>0</v>
      </c>
      <c r="W448" s="101">
        <f t="shared" si="463"/>
        <v>0</v>
      </c>
      <c r="X448" s="101">
        <f t="shared" si="464"/>
        <v>0</v>
      </c>
      <c r="Y448" s="101">
        <f t="shared" si="465"/>
        <v>0</v>
      </c>
      <c r="Z448" s="101">
        <f t="shared" si="466"/>
        <v>0</v>
      </c>
      <c r="AA448" s="101">
        <f t="shared" si="467"/>
        <v>0</v>
      </c>
      <c r="AB448" s="101">
        <f t="shared" si="468"/>
        <v>0</v>
      </c>
      <c r="AC448" s="101">
        <f t="shared" si="469"/>
        <v>0</v>
      </c>
      <c r="AD448" s="101">
        <f t="shared" si="470"/>
        <v>0</v>
      </c>
      <c r="AE448" s="101"/>
      <c r="AF448" s="101">
        <f t="shared" si="471"/>
        <v>0</v>
      </c>
      <c r="AG448" s="101"/>
      <c r="AH448" s="101">
        <f t="shared" si="472"/>
        <v>0</v>
      </c>
      <c r="AI448" s="101"/>
      <c r="AJ448" s="101">
        <f t="shared" si="473"/>
        <v>0</v>
      </c>
      <c r="AK448" s="101">
        <f t="shared" si="474"/>
        <v>0</v>
      </c>
      <c r="AL448" s="98" t="str">
        <f t="shared" si="475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0"/>
        <v>0</v>
      </c>
      <c r="I449" s="101">
        <f t="shared" si="451"/>
        <v>0</v>
      </c>
      <c r="J449" s="101">
        <f t="shared" si="452"/>
        <v>0</v>
      </c>
      <c r="K449" s="101">
        <f t="shared" si="453"/>
        <v>0</v>
      </c>
      <c r="L449" s="101">
        <f t="shared" si="454"/>
        <v>0</v>
      </c>
      <c r="M449" s="101">
        <f t="shared" si="455"/>
        <v>0</v>
      </c>
      <c r="N449" s="101"/>
      <c r="O449" s="101">
        <f t="shared" si="456"/>
        <v>0</v>
      </c>
      <c r="P449" s="101">
        <f t="shared" si="457"/>
        <v>0</v>
      </c>
      <c r="Q449" s="101">
        <f t="shared" si="458"/>
        <v>0</v>
      </c>
      <c r="R449" s="101"/>
      <c r="S449" s="101">
        <f t="shared" si="459"/>
        <v>0</v>
      </c>
      <c r="T449" s="101">
        <f t="shared" si="460"/>
        <v>0</v>
      </c>
      <c r="U449" s="101">
        <f t="shared" si="461"/>
        <v>0</v>
      </c>
      <c r="V449" s="101">
        <f t="shared" si="462"/>
        <v>0</v>
      </c>
      <c r="W449" s="101">
        <f t="shared" si="463"/>
        <v>0</v>
      </c>
      <c r="X449" s="101">
        <f t="shared" si="464"/>
        <v>0</v>
      </c>
      <c r="Y449" s="101">
        <f t="shared" si="465"/>
        <v>0</v>
      </c>
      <c r="Z449" s="101">
        <f t="shared" si="466"/>
        <v>0</v>
      </c>
      <c r="AA449" s="101">
        <f t="shared" si="467"/>
        <v>0</v>
      </c>
      <c r="AB449" s="101">
        <f t="shared" si="468"/>
        <v>0</v>
      </c>
      <c r="AC449" s="101">
        <f t="shared" si="469"/>
        <v>5717579.7126991935</v>
      </c>
      <c r="AD449" s="101">
        <f t="shared" si="470"/>
        <v>0</v>
      </c>
      <c r="AE449" s="101"/>
      <c r="AF449" s="101">
        <f t="shared" si="471"/>
        <v>0</v>
      </c>
      <c r="AG449" s="101"/>
      <c r="AH449" s="101">
        <f t="shared" si="472"/>
        <v>0</v>
      </c>
      <c r="AI449" s="101"/>
      <c r="AJ449" s="101">
        <f t="shared" si="473"/>
        <v>0</v>
      </c>
      <c r="AK449" s="101">
        <f t="shared" si="474"/>
        <v>5717579.7126991935</v>
      </c>
      <c r="AL449" s="98" t="str">
        <f t="shared" si="475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0"/>
        <v>0</v>
      </c>
      <c r="I450" s="101">
        <f t="shared" si="451"/>
        <v>0</v>
      </c>
      <c r="J450" s="101">
        <f t="shared" si="452"/>
        <v>0</v>
      </c>
      <c r="K450" s="101">
        <f t="shared" si="453"/>
        <v>0</v>
      </c>
      <c r="L450" s="101">
        <f t="shared" si="454"/>
        <v>0</v>
      </c>
      <c r="M450" s="101">
        <f t="shared" si="455"/>
        <v>0</v>
      </c>
      <c r="N450" s="101"/>
      <c r="O450" s="101">
        <f t="shared" si="456"/>
        <v>0</v>
      </c>
      <c r="P450" s="101">
        <f t="shared" si="457"/>
        <v>0</v>
      </c>
      <c r="Q450" s="101">
        <f t="shared" si="458"/>
        <v>0</v>
      </c>
      <c r="R450" s="101"/>
      <c r="S450" s="101">
        <f t="shared" si="459"/>
        <v>0</v>
      </c>
      <c r="T450" s="101">
        <f t="shared" si="460"/>
        <v>0</v>
      </c>
      <c r="U450" s="101">
        <f t="shared" si="461"/>
        <v>0</v>
      </c>
      <c r="V450" s="101">
        <f t="shared" si="462"/>
        <v>0</v>
      </c>
      <c r="W450" s="101">
        <f t="shared" si="463"/>
        <v>0</v>
      </c>
      <c r="X450" s="101">
        <f t="shared" si="464"/>
        <v>0</v>
      </c>
      <c r="Y450" s="101">
        <f t="shared" si="465"/>
        <v>0</v>
      </c>
      <c r="Z450" s="101">
        <f t="shared" si="466"/>
        <v>0</v>
      </c>
      <c r="AA450" s="101">
        <f t="shared" si="467"/>
        <v>0</v>
      </c>
      <c r="AB450" s="101">
        <f t="shared" si="468"/>
        <v>0</v>
      </c>
      <c r="AC450" s="101">
        <f t="shared" si="469"/>
        <v>0</v>
      </c>
      <c r="AD450" s="101">
        <f t="shared" si="470"/>
        <v>0</v>
      </c>
      <c r="AE450" s="101"/>
      <c r="AF450" s="101">
        <f t="shared" si="471"/>
        <v>0</v>
      </c>
      <c r="AG450" s="101"/>
      <c r="AH450" s="101">
        <f t="shared" si="472"/>
        <v>0</v>
      </c>
      <c r="AI450" s="101"/>
      <c r="AJ450" s="101">
        <f t="shared" si="473"/>
        <v>0</v>
      </c>
      <c r="AK450" s="101">
        <f t="shared" si="474"/>
        <v>0</v>
      </c>
      <c r="AL450" s="98" t="str">
        <f t="shared" si="475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0"/>
        <v>0</v>
      </c>
      <c r="I451" s="101">
        <f t="shared" si="451"/>
        <v>0</v>
      </c>
      <c r="J451" s="101">
        <f t="shared" si="452"/>
        <v>0</v>
      </c>
      <c r="K451" s="101">
        <f t="shared" si="453"/>
        <v>0</v>
      </c>
      <c r="L451" s="101">
        <f t="shared" si="454"/>
        <v>0</v>
      </c>
      <c r="M451" s="101">
        <f t="shared" si="455"/>
        <v>0</v>
      </c>
      <c r="N451" s="101"/>
      <c r="O451" s="101">
        <f t="shared" si="456"/>
        <v>0</v>
      </c>
      <c r="P451" s="101">
        <f t="shared" si="457"/>
        <v>0</v>
      </c>
      <c r="Q451" s="101">
        <f t="shared" si="458"/>
        <v>0</v>
      </c>
      <c r="R451" s="101"/>
      <c r="S451" s="101">
        <f t="shared" si="459"/>
        <v>0</v>
      </c>
      <c r="T451" s="101">
        <f t="shared" si="460"/>
        <v>0</v>
      </c>
      <c r="U451" s="101">
        <f t="shared" si="461"/>
        <v>0</v>
      </c>
      <c r="V451" s="101">
        <f t="shared" si="462"/>
        <v>0</v>
      </c>
      <c r="W451" s="101">
        <f t="shared" si="463"/>
        <v>0</v>
      </c>
      <c r="X451" s="101">
        <f t="shared" si="464"/>
        <v>0</v>
      </c>
      <c r="Y451" s="101">
        <f t="shared" si="465"/>
        <v>0</v>
      </c>
      <c r="Z451" s="101">
        <f t="shared" si="466"/>
        <v>0</v>
      </c>
      <c r="AA451" s="101">
        <f t="shared" si="467"/>
        <v>0</v>
      </c>
      <c r="AB451" s="101">
        <f t="shared" si="468"/>
        <v>0</v>
      </c>
      <c r="AC451" s="101">
        <f t="shared" si="469"/>
        <v>0</v>
      </c>
      <c r="AD451" s="101">
        <f t="shared" si="470"/>
        <v>0</v>
      </c>
      <c r="AE451" s="101"/>
      <c r="AF451" s="101">
        <f t="shared" si="471"/>
        <v>0</v>
      </c>
      <c r="AG451" s="101"/>
      <c r="AH451" s="101">
        <f t="shared" si="472"/>
        <v>0</v>
      </c>
      <c r="AI451" s="101"/>
      <c r="AJ451" s="101">
        <f t="shared" si="473"/>
        <v>0</v>
      </c>
      <c r="AK451" s="101">
        <f t="shared" si="474"/>
        <v>0</v>
      </c>
      <c r="AL451" s="98" t="str">
        <f t="shared" si="475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0"/>
        <v>0</v>
      </c>
      <c r="I452" s="101">
        <f t="shared" si="451"/>
        <v>0</v>
      </c>
      <c r="J452" s="101">
        <f t="shared" si="452"/>
        <v>0</v>
      </c>
      <c r="K452" s="101">
        <f t="shared" si="453"/>
        <v>0</v>
      </c>
      <c r="L452" s="101">
        <f t="shared" si="454"/>
        <v>0</v>
      </c>
      <c r="M452" s="101">
        <f t="shared" si="455"/>
        <v>0</v>
      </c>
      <c r="N452" s="101"/>
      <c r="O452" s="101">
        <f t="shared" si="456"/>
        <v>0</v>
      </c>
      <c r="P452" s="101">
        <f t="shared" si="457"/>
        <v>0</v>
      </c>
      <c r="Q452" s="101">
        <f t="shared" si="458"/>
        <v>0</v>
      </c>
      <c r="R452" s="101"/>
      <c r="S452" s="101">
        <f t="shared" si="459"/>
        <v>0</v>
      </c>
      <c r="T452" s="101">
        <f t="shared" si="460"/>
        <v>404752.99940838426</v>
      </c>
      <c r="U452" s="101">
        <f t="shared" si="461"/>
        <v>0</v>
      </c>
      <c r="V452" s="101">
        <f t="shared" si="462"/>
        <v>441056.08479856059</v>
      </c>
      <c r="W452" s="101">
        <f t="shared" si="463"/>
        <v>817898.7975369608</v>
      </c>
      <c r="X452" s="101">
        <f t="shared" si="464"/>
        <v>203042.94378608334</v>
      </c>
      <c r="Y452" s="101">
        <f t="shared" si="465"/>
        <v>310385.88586438569</v>
      </c>
      <c r="Z452" s="101">
        <f t="shared" si="466"/>
        <v>315193.21004416078</v>
      </c>
      <c r="AA452" s="101">
        <f t="shared" si="467"/>
        <v>280483.95085567492</v>
      </c>
      <c r="AB452" s="101">
        <f t="shared" si="468"/>
        <v>187776.2432794029</v>
      </c>
      <c r="AC452" s="101">
        <f t="shared" si="469"/>
        <v>160217.05951367892</v>
      </c>
      <c r="AD452" s="101">
        <f t="shared" si="470"/>
        <v>222233.8249127077</v>
      </c>
      <c r="AE452" s="101"/>
      <c r="AF452" s="101">
        <f t="shared" si="471"/>
        <v>0</v>
      </c>
      <c r="AG452" s="101"/>
      <c r="AH452" s="101">
        <f t="shared" si="472"/>
        <v>0</v>
      </c>
      <c r="AI452" s="101"/>
      <c r="AJ452" s="101">
        <f t="shared" si="473"/>
        <v>0</v>
      </c>
      <c r="AK452" s="101">
        <f t="shared" si="474"/>
        <v>3343041.0000000005</v>
      </c>
      <c r="AL452" s="98" t="str">
        <f t="shared" si="475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0"/>
        <v>0</v>
      </c>
      <c r="I453" s="101">
        <f t="shared" si="451"/>
        <v>0</v>
      </c>
      <c r="J453" s="101">
        <f t="shared" si="452"/>
        <v>0</v>
      </c>
      <c r="K453" s="101">
        <f t="shared" si="453"/>
        <v>0</v>
      </c>
      <c r="L453" s="101">
        <f t="shared" si="454"/>
        <v>0</v>
      </c>
      <c r="M453" s="101">
        <f t="shared" si="455"/>
        <v>0</v>
      </c>
      <c r="N453" s="101"/>
      <c r="O453" s="101">
        <f t="shared" si="456"/>
        <v>0</v>
      </c>
      <c r="P453" s="101">
        <f t="shared" si="457"/>
        <v>0</v>
      </c>
      <c r="Q453" s="101">
        <f t="shared" si="458"/>
        <v>0</v>
      </c>
      <c r="R453" s="101"/>
      <c r="S453" s="101">
        <f t="shared" si="459"/>
        <v>0</v>
      </c>
      <c r="T453" s="101">
        <f t="shared" si="460"/>
        <v>0</v>
      </c>
      <c r="U453" s="101">
        <f t="shared" si="461"/>
        <v>0</v>
      </c>
      <c r="V453" s="101">
        <f t="shared" si="462"/>
        <v>0</v>
      </c>
      <c r="W453" s="101">
        <f t="shared" si="463"/>
        <v>0</v>
      </c>
      <c r="X453" s="101">
        <f t="shared" si="464"/>
        <v>0</v>
      </c>
      <c r="Y453" s="101">
        <f t="shared" si="465"/>
        <v>0</v>
      </c>
      <c r="Z453" s="101">
        <f t="shared" si="466"/>
        <v>0</v>
      </c>
      <c r="AA453" s="101">
        <f t="shared" si="467"/>
        <v>0</v>
      </c>
      <c r="AB453" s="101">
        <f t="shared" si="468"/>
        <v>0</v>
      </c>
      <c r="AC453" s="101">
        <f t="shared" si="469"/>
        <v>0</v>
      </c>
      <c r="AD453" s="101">
        <f t="shared" si="470"/>
        <v>0</v>
      </c>
      <c r="AE453" s="101"/>
      <c r="AF453" s="101">
        <f t="shared" si="471"/>
        <v>0</v>
      </c>
      <c r="AG453" s="101"/>
      <c r="AH453" s="101">
        <f t="shared" si="472"/>
        <v>0</v>
      </c>
      <c r="AI453" s="101"/>
      <c r="AJ453" s="101">
        <f t="shared" si="473"/>
        <v>0</v>
      </c>
      <c r="AK453" s="101">
        <f t="shared" si="474"/>
        <v>0</v>
      </c>
      <c r="AL453" s="98" t="str">
        <f t="shared" si="475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76">SUM(G443:G454)</f>
        <v>0</v>
      </c>
      <c r="H455" s="100">
        <f t="shared" si="476"/>
        <v>0</v>
      </c>
      <c r="I455" s="100">
        <f t="shared" si="476"/>
        <v>0</v>
      </c>
      <c r="J455" s="100">
        <f t="shared" si="476"/>
        <v>0</v>
      </c>
      <c r="K455" s="100">
        <f t="shared" si="476"/>
        <v>0</v>
      </c>
      <c r="L455" s="100">
        <f t="shared" si="476"/>
        <v>0</v>
      </c>
      <c r="M455" s="100">
        <f t="shared" si="476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77">SUM(S443:S454)</f>
        <v>0</v>
      </c>
      <c r="T455" s="100">
        <f t="shared" si="477"/>
        <v>1758888.8093808363</v>
      </c>
      <c r="U455" s="100">
        <f t="shared" si="477"/>
        <v>0</v>
      </c>
      <c r="V455" s="100">
        <f t="shared" si="477"/>
        <v>1107137.1508740997</v>
      </c>
      <c r="W455" s="100">
        <f t="shared" si="477"/>
        <v>1799459.2143168019</v>
      </c>
      <c r="X455" s="100">
        <f t="shared" si="477"/>
        <v>555597.45288672729</v>
      </c>
      <c r="Y455" s="100">
        <f t="shared" si="477"/>
        <v>823105.61780955526</v>
      </c>
      <c r="Z455" s="100">
        <f t="shared" si="477"/>
        <v>342591.12541148311</v>
      </c>
      <c r="AA455" s="100">
        <f t="shared" si="477"/>
        <v>304864.79188444995</v>
      </c>
      <c r="AB455" s="100">
        <f t="shared" si="477"/>
        <v>204098.54165836229</v>
      </c>
      <c r="AC455" s="100">
        <f t="shared" si="477"/>
        <v>6388719.5122327032</v>
      </c>
      <c r="AD455" s="100">
        <f t="shared" si="477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78">IF(VLOOKUP($D469,$C$5:$AJ$644,6,)=0,0,((VLOOKUP($D469,$C$5:$AJ$644,6,)/VLOOKUP($D469,$C$5:$AJ$644,4,))*$F469))</f>
        <v>0</v>
      </c>
      <c r="I469" s="101">
        <f t="shared" ref="I469:I477" si="479">IF(VLOOKUP($D469,$C$5:$AJ$644,7,)=0,0,((VLOOKUP($D469,$C$5:$AJ$644,7,)/VLOOKUP($D469,$C$5:$AJ$644,4,))*$F469))</f>
        <v>0</v>
      </c>
      <c r="J469" s="101">
        <f t="shared" ref="J469:J477" si="480">IF(VLOOKUP($D469,$C$5:$AJ$644,8,)=0,0,((VLOOKUP($D469,$C$5:$AJ$644,8,)/VLOOKUP($D469,$C$5:$AJ$644,4,))*$F469))</f>
        <v>0</v>
      </c>
      <c r="K469" s="101">
        <f t="shared" ref="K469:K477" si="481">IF(VLOOKUP($D469,$C$5:$AJ$644,9,)=0,0,((VLOOKUP($D469,$C$5:$AJ$644,9,)/VLOOKUP($D469,$C$5:$AJ$644,4,))*$F469))</f>
        <v>0</v>
      </c>
      <c r="L469" s="101">
        <f t="shared" ref="L469:L477" si="482">IF(VLOOKUP($D469,$C$5:$AJ$644,10,)=0,0,((VLOOKUP($D469,$C$5:$AJ$644,10,)/VLOOKUP($D469,$C$5:$AJ$644,4,))*$F469))</f>
        <v>0</v>
      </c>
      <c r="M469" s="101">
        <f t="shared" ref="M469:M477" si="483">IF(VLOOKUP($D469,$C$5:$AJ$644,11,)=0,0,((VLOOKUP($D469,$C$5:$AJ$644,11,)/VLOOKUP($D469,$C$5:$AJ$644,4,))*$F469))</f>
        <v>0</v>
      </c>
      <c r="N469" s="101"/>
      <c r="O469" s="101">
        <f t="shared" ref="O469:O477" si="484">IF(VLOOKUP($D469,$C$5:$AJ$644,13,)=0,0,((VLOOKUP($D469,$C$5:$AJ$644,13,)/VLOOKUP($D469,$C$5:$AJ$644,4,))*$F469))</f>
        <v>0</v>
      </c>
      <c r="P469" s="101">
        <f t="shared" ref="P469:P477" si="485">IF(VLOOKUP($D469,$C$5:$AJ$644,14,)=0,0,((VLOOKUP($D469,$C$5:$AJ$644,14,)/VLOOKUP($D469,$C$5:$AJ$644,4,))*$F469))</f>
        <v>0</v>
      </c>
      <c r="Q469" s="101">
        <f t="shared" ref="Q469:Q477" si="486">IF(VLOOKUP($D469,$C$5:$AJ$644,15,)=0,0,((VLOOKUP($D469,$C$5:$AJ$644,15,)/VLOOKUP($D469,$C$5:$AJ$644,4,))*$F469))</f>
        <v>0</v>
      </c>
      <c r="R469" s="101"/>
      <c r="S469" s="101">
        <f t="shared" ref="S469:S477" si="487">IF(VLOOKUP($D469,$C$5:$AJ$644,17,)=0,0,((VLOOKUP($D469,$C$5:$AJ$644,17,)/VLOOKUP($D469,$C$5:$AJ$644,4,))*$F469))</f>
        <v>0</v>
      </c>
      <c r="T469" s="101">
        <f t="shared" ref="T469:T477" si="488">IF(VLOOKUP($D469,$C$5:$AJ$644,18,)=0,0,((VLOOKUP($D469,$C$5:$AJ$644,18,)/VLOOKUP($D469,$C$5:$AJ$644,4,))*$F469))</f>
        <v>0</v>
      </c>
      <c r="U469" s="101">
        <f t="shared" ref="U469:U477" si="489">IF(VLOOKUP($D469,$C$5:$AJ$644,19,)=0,0,((VLOOKUP($D469,$C$5:$AJ$644,19,)/VLOOKUP($D469,$C$5:$AJ$644,4,))*$F469))</f>
        <v>0</v>
      </c>
      <c r="V469" s="101">
        <f t="shared" ref="V469:V477" si="490">IF(VLOOKUP($D469,$C$5:$AJ$644,20,)=0,0,((VLOOKUP($D469,$C$5:$AJ$644,20,)/VLOOKUP($D469,$C$5:$AJ$644,4,))*$F469))</f>
        <v>0</v>
      </c>
      <c r="W469" s="101">
        <f t="shared" ref="W469:W477" si="491">IF(VLOOKUP($D469,$C$5:$AJ$644,21,)=0,0,((VLOOKUP($D469,$C$5:$AJ$644,21,)/VLOOKUP($D469,$C$5:$AJ$644,4,))*$F469))</f>
        <v>0</v>
      </c>
      <c r="X469" s="101">
        <f t="shared" ref="X469:X477" si="492">IF(VLOOKUP($D469,$C$5:$AJ$644,22,)=0,0,((VLOOKUP($D469,$C$5:$AJ$644,22,)/VLOOKUP($D469,$C$5:$AJ$644,4,))*$F469))</f>
        <v>0</v>
      </c>
      <c r="Y469" s="101">
        <f t="shared" ref="Y469:Y477" si="493">IF(VLOOKUP($D469,$C$5:$AJ$644,23,)=0,0,((VLOOKUP($D469,$C$5:$AJ$644,23,)/VLOOKUP($D469,$C$5:$AJ$644,4,))*$F469))</f>
        <v>0</v>
      </c>
      <c r="Z469" s="101">
        <f t="shared" ref="Z469:Z477" si="494">IF(VLOOKUP($D469,$C$5:$AJ$644,24,)=0,0,((VLOOKUP($D469,$C$5:$AJ$644,24,)/VLOOKUP($D469,$C$5:$AJ$644,4,))*$F469))</f>
        <v>0</v>
      </c>
      <c r="AA469" s="101">
        <f t="shared" ref="AA469:AA477" si="495">IF(VLOOKUP($D469,$C$5:$AJ$644,25,)=0,0,((VLOOKUP($D469,$C$5:$AJ$644,25,)/VLOOKUP($D469,$C$5:$AJ$644,4,))*$F469))</f>
        <v>0</v>
      </c>
      <c r="AB469" s="101">
        <f t="shared" ref="AB469:AB477" si="496">IF(VLOOKUP($D469,$C$5:$AJ$644,26,)=0,0,((VLOOKUP($D469,$C$5:$AJ$644,26,)/VLOOKUP($D469,$C$5:$AJ$644,4,))*$F469))</f>
        <v>0</v>
      </c>
      <c r="AC469" s="101">
        <f t="shared" ref="AC469:AC477" si="497">IF(VLOOKUP($D469,$C$5:$AJ$644,27,)=0,0,((VLOOKUP($D469,$C$5:$AJ$644,27,)/VLOOKUP($D469,$C$5:$AJ$644,4,))*$F469))</f>
        <v>0</v>
      </c>
      <c r="AD469" s="101">
        <f t="shared" ref="AD469:AD477" si="498">IF(VLOOKUP($D469,$C$5:$AJ$644,28,)=0,0,((VLOOKUP($D469,$C$5:$AJ$644,28,)/VLOOKUP($D469,$C$5:$AJ$644,4,))*$F469))</f>
        <v>0</v>
      </c>
      <c r="AE469" s="101"/>
      <c r="AF469" s="101">
        <f t="shared" ref="AF469:AF477" si="499">IF(VLOOKUP($D469,$C$5:$AJ$644,30,)=0,0,((VLOOKUP($D469,$C$5:$AJ$644,30,)/VLOOKUP($D469,$C$5:$AJ$644,4,))*$F469))</f>
        <v>0</v>
      </c>
      <c r="AG469" s="101"/>
      <c r="AH469" s="101">
        <f t="shared" ref="AH469:AH477" si="500">IF(VLOOKUP($D469,$C$5:$AJ$644,32,)=0,0,((VLOOKUP($D469,$C$5:$AJ$644,32,)/VLOOKUP($D469,$C$5:$AJ$644,4,))*$F469))</f>
        <v>0</v>
      </c>
      <c r="AI469" s="101"/>
      <c r="AJ469" s="101">
        <f t="shared" ref="AJ469:AJ477" si="501">IF(VLOOKUP($D469,$C$5:$AJ$644,34,)=0,0,((VLOOKUP($D469,$C$5:$AJ$644,34,)/VLOOKUP($D469,$C$5:$AJ$644,4,))*$F469))</f>
        <v>0</v>
      </c>
      <c r="AK469" s="101">
        <f t="shared" ref="AK469:AK477" si="502">SUM(H469:AJ469)</f>
        <v>0</v>
      </c>
      <c r="AL469" s="98" t="str">
        <f t="shared" ref="AL469:AL477" si="503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78"/>
        <v>0</v>
      </c>
      <c r="I470" s="101">
        <f t="shared" si="479"/>
        <v>0</v>
      </c>
      <c r="J470" s="101">
        <f t="shared" si="480"/>
        <v>0</v>
      </c>
      <c r="K470" s="101">
        <f t="shared" si="481"/>
        <v>0</v>
      </c>
      <c r="L470" s="101">
        <f t="shared" si="482"/>
        <v>0</v>
      </c>
      <c r="M470" s="101">
        <f t="shared" si="483"/>
        <v>0</v>
      </c>
      <c r="N470" s="101"/>
      <c r="O470" s="101">
        <f t="shared" si="484"/>
        <v>0</v>
      </c>
      <c r="P470" s="101">
        <f t="shared" si="485"/>
        <v>0</v>
      </c>
      <c r="Q470" s="101">
        <f t="shared" si="486"/>
        <v>0</v>
      </c>
      <c r="R470" s="101"/>
      <c r="S470" s="101">
        <f t="shared" si="487"/>
        <v>0</v>
      </c>
      <c r="T470" s="101">
        <f t="shared" si="488"/>
        <v>0</v>
      </c>
      <c r="U470" s="101">
        <f t="shared" si="489"/>
        <v>0</v>
      </c>
      <c r="V470" s="101">
        <f t="shared" si="490"/>
        <v>0</v>
      </c>
      <c r="W470" s="101">
        <f t="shared" si="491"/>
        <v>0</v>
      </c>
      <c r="X470" s="101">
        <f t="shared" si="492"/>
        <v>0</v>
      </c>
      <c r="Y470" s="101">
        <f t="shared" si="493"/>
        <v>0</v>
      </c>
      <c r="Z470" s="101">
        <f t="shared" si="494"/>
        <v>0</v>
      </c>
      <c r="AA470" s="101">
        <f t="shared" si="495"/>
        <v>0</v>
      </c>
      <c r="AB470" s="101">
        <f t="shared" si="496"/>
        <v>0</v>
      </c>
      <c r="AC470" s="101">
        <f t="shared" si="497"/>
        <v>0</v>
      </c>
      <c r="AD470" s="101">
        <f t="shared" si="498"/>
        <v>0</v>
      </c>
      <c r="AE470" s="101"/>
      <c r="AF470" s="101">
        <f t="shared" si="499"/>
        <v>0</v>
      </c>
      <c r="AG470" s="101"/>
      <c r="AH470" s="101">
        <f t="shared" si="500"/>
        <v>0</v>
      </c>
      <c r="AI470" s="101"/>
      <c r="AJ470" s="101">
        <f t="shared" si="501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78"/>
        <v>0</v>
      </c>
      <c r="I471" s="101">
        <f t="shared" si="479"/>
        <v>0</v>
      </c>
      <c r="J471" s="101">
        <f t="shared" si="480"/>
        <v>0</v>
      </c>
      <c r="K471" s="101">
        <f t="shared" si="481"/>
        <v>0</v>
      </c>
      <c r="L471" s="101">
        <f t="shared" si="482"/>
        <v>0</v>
      </c>
      <c r="M471" s="101">
        <f t="shared" si="483"/>
        <v>0</v>
      </c>
      <c r="N471" s="101"/>
      <c r="O471" s="101">
        <f t="shared" si="484"/>
        <v>0</v>
      </c>
      <c r="P471" s="101">
        <f t="shared" si="485"/>
        <v>0</v>
      </c>
      <c r="Q471" s="101">
        <f t="shared" si="486"/>
        <v>0</v>
      </c>
      <c r="R471" s="101"/>
      <c r="S471" s="101">
        <f t="shared" si="487"/>
        <v>0</v>
      </c>
      <c r="T471" s="101">
        <f t="shared" si="488"/>
        <v>605268.88174267509</v>
      </c>
      <c r="U471" s="101">
        <f t="shared" si="489"/>
        <v>0</v>
      </c>
      <c r="V471" s="101">
        <f t="shared" si="490"/>
        <v>0</v>
      </c>
      <c r="W471" s="101">
        <f t="shared" si="491"/>
        <v>0</v>
      </c>
      <c r="X471" s="101">
        <f t="shared" si="492"/>
        <v>0</v>
      </c>
      <c r="Y471" s="101">
        <f t="shared" si="493"/>
        <v>0</v>
      </c>
      <c r="Z471" s="101">
        <f t="shared" si="494"/>
        <v>0</v>
      </c>
      <c r="AA471" s="101">
        <f t="shared" si="495"/>
        <v>0</v>
      </c>
      <c r="AB471" s="101">
        <f t="shared" si="496"/>
        <v>0</v>
      </c>
      <c r="AC471" s="101">
        <f t="shared" si="497"/>
        <v>0</v>
      </c>
      <c r="AD471" s="101">
        <f t="shared" si="498"/>
        <v>0</v>
      </c>
      <c r="AE471" s="101"/>
      <c r="AF471" s="101">
        <f t="shared" si="499"/>
        <v>0</v>
      </c>
      <c r="AG471" s="101"/>
      <c r="AH471" s="101">
        <f t="shared" si="500"/>
        <v>0</v>
      </c>
      <c r="AI471" s="101"/>
      <c r="AJ471" s="101">
        <f t="shared" si="501"/>
        <v>0</v>
      </c>
      <c r="AK471" s="101">
        <f t="shared" si="502"/>
        <v>605268.88174267509</v>
      </c>
      <c r="AL471" s="98" t="str">
        <f t="shared" si="503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78"/>
        <v>0</v>
      </c>
      <c r="I472" s="101">
        <f t="shared" si="479"/>
        <v>0</v>
      </c>
      <c r="J472" s="101">
        <f t="shared" si="480"/>
        <v>0</v>
      </c>
      <c r="K472" s="101">
        <f t="shared" si="481"/>
        <v>0</v>
      </c>
      <c r="L472" s="101">
        <f t="shared" si="482"/>
        <v>0</v>
      </c>
      <c r="M472" s="101">
        <f t="shared" si="483"/>
        <v>0</v>
      </c>
      <c r="N472" s="101"/>
      <c r="O472" s="101">
        <f t="shared" si="484"/>
        <v>0</v>
      </c>
      <c r="P472" s="101">
        <f t="shared" si="485"/>
        <v>0</v>
      </c>
      <c r="Q472" s="101">
        <f t="shared" si="486"/>
        <v>0</v>
      </c>
      <c r="R472" s="101"/>
      <c r="S472" s="101">
        <f t="shared" si="487"/>
        <v>0</v>
      </c>
      <c r="T472" s="101">
        <f t="shared" si="488"/>
        <v>0</v>
      </c>
      <c r="U472" s="101">
        <f t="shared" si="489"/>
        <v>0</v>
      </c>
      <c r="V472" s="101">
        <f t="shared" si="490"/>
        <v>1638874.8656966831</v>
      </c>
      <c r="W472" s="101">
        <f t="shared" si="491"/>
        <v>2376991.0144716161</v>
      </c>
      <c r="X472" s="101">
        <f t="shared" si="492"/>
        <v>874351.42735144298</v>
      </c>
      <c r="Y472" s="101">
        <f t="shared" si="493"/>
        <v>1268141.6560875252</v>
      </c>
      <c r="Z472" s="101">
        <f t="shared" si="494"/>
        <v>0</v>
      </c>
      <c r="AA472" s="101">
        <f t="shared" si="495"/>
        <v>0</v>
      </c>
      <c r="AB472" s="101">
        <f t="shared" si="496"/>
        <v>0</v>
      </c>
      <c r="AC472" s="101">
        <f t="shared" si="497"/>
        <v>0</v>
      </c>
      <c r="AD472" s="101">
        <f t="shared" si="498"/>
        <v>0</v>
      </c>
      <c r="AE472" s="101"/>
      <c r="AF472" s="101">
        <f t="shared" si="499"/>
        <v>0</v>
      </c>
      <c r="AG472" s="101"/>
      <c r="AH472" s="101">
        <f t="shared" si="500"/>
        <v>0</v>
      </c>
      <c r="AI472" s="101"/>
      <c r="AJ472" s="101">
        <f t="shared" si="501"/>
        <v>0</v>
      </c>
      <c r="AK472" s="101">
        <f t="shared" si="502"/>
        <v>6158358.9636072675</v>
      </c>
      <c r="AL472" s="98" t="str">
        <f t="shared" si="503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78"/>
        <v>0</v>
      </c>
      <c r="I473" s="101">
        <f t="shared" si="479"/>
        <v>0</v>
      </c>
      <c r="J473" s="101">
        <f t="shared" si="480"/>
        <v>0</v>
      </c>
      <c r="K473" s="101">
        <f t="shared" si="481"/>
        <v>0</v>
      </c>
      <c r="L473" s="101">
        <f t="shared" si="482"/>
        <v>0</v>
      </c>
      <c r="M473" s="101">
        <f t="shared" si="483"/>
        <v>0</v>
      </c>
      <c r="N473" s="101"/>
      <c r="O473" s="101">
        <f t="shared" si="484"/>
        <v>0</v>
      </c>
      <c r="P473" s="101">
        <f t="shared" si="485"/>
        <v>0</v>
      </c>
      <c r="Q473" s="101">
        <f t="shared" si="486"/>
        <v>0</v>
      </c>
      <c r="R473" s="101"/>
      <c r="S473" s="101">
        <f t="shared" si="487"/>
        <v>0</v>
      </c>
      <c r="T473" s="101">
        <f t="shared" si="488"/>
        <v>0</v>
      </c>
      <c r="U473" s="101">
        <f t="shared" si="489"/>
        <v>0</v>
      </c>
      <c r="V473" s="101">
        <f t="shared" si="490"/>
        <v>77463.924006588742</v>
      </c>
      <c r="W473" s="101">
        <f t="shared" si="491"/>
        <v>302447.42472606816</v>
      </c>
      <c r="X473" s="101">
        <f t="shared" si="492"/>
        <v>6910.2443918305389</v>
      </c>
      <c r="Y473" s="101">
        <f t="shared" si="493"/>
        <v>26980.115548485985</v>
      </c>
      <c r="Z473" s="101">
        <f t="shared" si="494"/>
        <v>0</v>
      </c>
      <c r="AA473" s="101">
        <f t="shared" si="495"/>
        <v>0</v>
      </c>
      <c r="AB473" s="101">
        <f t="shared" si="496"/>
        <v>0</v>
      </c>
      <c r="AC473" s="101">
        <f t="shared" si="497"/>
        <v>0</v>
      </c>
      <c r="AD473" s="101">
        <f t="shared" si="498"/>
        <v>0</v>
      </c>
      <c r="AE473" s="101"/>
      <c r="AF473" s="101">
        <f t="shared" si="499"/>
        <v>0</v>
      </c>
      <c r="AG473" s="101"/>
      <c r="AH473" s="101">
        <f t="shared" si="500"/>
        <v>0</v>
      </c>
      <c r="AI473" s="101"/>
      <c r="AJ473" s="101">
        <f t="shared" si="501"/>
        <v>0</v>
      </c>
      <c r="AK473" s="101">
        <f t="shared" si="502"/>
        <v>413801.70867297344</v>
      </c>
      <c r="AL473" s="98" t="str">
        <f t="shared" si="503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78"/>
        <v>0</v>
      </c>
      <c r="I474" s="101">
        <f t="shared" si="479"/>
        <v>0</v>
      </c>
      <c r="J474" s="101">
        <f t="shared" si="480"/>
        <v>0</v>
      </c>
      <c r="K474" s="101">
        <f t="shared" si="481"/>
        <v>0</v>
      </c>
      <c r="L474" s="101">
        <f t="shared" si="482"/>
        <v>0</v>
      </c>
      <c r="M474" s="101">
        <f t="shared" si="483"/>
        <v>0</v>
      </c>
      <c r="N474" s="101"/>
      <c r="O474" s="101">
        <f t="shared" si="484"/>
        <v>0</v>
      </c>
      <c r="P474" s="101">
        <f t="shared" si="485"/>
        <v>0</v>
      </c>
      <c r="Q474" s="101">
        <f t="shared" si="486"/>
        <v>0</v>
      </c>
      <c r="R474" s="101"/>
      <c r="S474" s="101">
        <f t="shared" si="487"/>
        <v>0</v>
      </c>
      <c r="T474" s="101">
        <f t="shared" si="488"/>
        <v>0</v>
      </c>
      <c r="U474" s="101">
        <f t="shared" si="489"/>
        <v>0</v>
      </c>
      <c r="V474" s="101">
        <f t="shared" si="490"/>
        <v>0</v>
      </c>
      <c r="W474" s="101">
        <f t="shared" si="491"/>
        <v>0</v>
      </c>
      <c r="X474" s="101">
        <f t="shared" si="492"/>
        <v>0</v>
      </c>
      <c r="Y474" s="101">
        <f t="shared" si="493"/>
        <v>0</v>
      </c>
      <c r="Z474" s="101">
        <f t="shared" si="494"/>
        <v>27208.3079709372</v>
      </c>
      <c r="AA474" s="101">
        <f t="shared" si="495"/>
        <v>24212.113308904056</v>
      </c>
      <c r="AB474" s="101">
        <f t="shared" si="496"/>
        <v>0</v>
      </c>
      <c r="AC474" s="101">
        <f t="shared" si="497"/>
        <v>0</v>
      </c>
      <c r="AD474" s="101">
        <f t="shared" si="498"/>
        <v>0</v>
      </c>
      <c r="AE474" s="101"/>
      <c r="AF474" s="101">
        <f t="shared" si="499"/>
        <v>0</v>
      </c>
      <c r="AG474" s="101"/>
      <c r="AH474" s="101">
        <f t="shared" si="500"/>
        <v>0</v>
      </c>
      <c r="AI474" s="101"/>
      <c r="AJ474" s="101">
        <f t="shared" si="501"/>
        <v>0</v>
      </c>
      <c r="AK474" s="101">
        <f t="shared" si="502"/>
        <v>51420.421279841255</v>
      </c>
      <c r="AL474" s="98" t="str">
        <f t="shared" si="503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78"/>
        <v>0</v>
      </c>
      <c r="I475" s="101">
        <f t="shared" si="479"/>
        <v>0</v>
      </c>
      <c r="J475" s="101">
        <f t="shared" si="480"/>
        <v>0</v>
      </c>
      <c r="K475" s="101">
        <f t="shared" si="481"/>
        <v>0</v>
      </c>
      <c r="L475" s="101">
        <f t="shared" si="482"/>
        <v>0</v>
      </c>
      <c r="M475" s="101">
        <f t="shared" si="483"/>
        <v>0</v>
      </c>
      <c r="N475" s="101"/>
      <c r="O475" s="101">
        <f t="shared" si="484"/>
        <v>0</v>
      </c>
      <c r="P475" s="101">
        <f t="shared" si="485"/>
        <v>0</v>
      </c>
      <c r="Q475" s="101">
        <f t="shared" si="486"/>
        <v>0</v>
      </c>
      <c r="R475" s="101"/>
      <c r="S475" s="101">
        <f t="shared" si="487"/>
        <v>0</v>
      </c>
      <c r="T475" s="101">
        <f t="shared" si="488"/>
        <v>0</v>
      </c>
      <c r="U475" s="101">
        <f t="shared" si="489"/>
        <v>0</v>
      </c>
      <c r="V475" s="101">
        <f t="shared" si="490"/>
        <v>0</v>
      </c>
      <c r="W475" s="101">
        <f t="shared" si="491"/>
        <v>0</v>
      </c>
      <c r="X475" s="101">
        <f t="shared" si="492"/>
        <v>0</v>
      </c>
      <c r="Y475" s="101">
        <f t="shared" si="493"/>
        <v>0</v>
      </c>
      <c r="Z475" s="101">
        <f t="shared" si="494"/>
        <v>0</v>
      </c>
      <c r="AA475" s="101">
        <f t="shared" si="495"/>
        <v>0</v>
      </c>
      <c r="AB475" s="101">
        <f t="shared" si="496"/>
        <v>0</v>
      </c>
      <c r="AC475" s="101">
        <f t="shared" si="497"/>
        <v>0</v>
      </c>
      <c r="AD475" s="101">
        <f t="shared" si="498"/>
        <v>0</v>
      </c>
      <c r="AE475" s="101"/>
      <c r="AF475" s="101">
        <f t="shared" si="499"/>
        <v>0</v>
      </c>
      <c r="AG475" s="101"/>
      <c r="AH475" s="101">
        <f t="shared" si="500"/>
        <v>0</v>
      </c>
      <c r="AI475" s="101"/>
      <c r="AJ475" s="101">
        <f t="shared" si="501"/>
        <v>0</v>
      </c>
      <c r="AK475" s="101">
        <f t="shared" si="502"/>
        <v>0</v>
      </c>
      <c r="AL475" s="98" t="str">
        <f t="shared" si="503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78"/>
        <v>0</v>
      </c>
      <c r="I476" s="101">
        <f t="shared" si="479"/>
        <v>0</v>
      </c>
      <c r="J476" s="101">
        <f t="shared" si="480"/>
        <v>0</v>
      </c>
      <c r="K476" s="101">
        <f t="shared" si="481"/>
        <v>0</v>
      </c>
      <c r="L476" s="101">
        <f t="shared" si="482"/>
        <v>0</v>
      </c>
      <c r="M476" s="101">
        <f t="shared" si="483"/>
        <v>0</v>
      </c>
      <c r="N476" s="101"/>
      <c r="O476" s="101">
        <f t="shared" si="484"/>
        <v>0</v>
      </c>
      <c r="P476" s="101">
        <f t="shared" si="485"/>
        <v>0</v>
      </c>
      <c r="Q476" s="101">
        <f t="shared" si="486"/>
        <v>0</v>
      </c>
      <c r="R476" s="101"/>
      <c r="S476" s="101">
        <f t="shared" si="487"/>
        <v>0</v>
      </c>
      <c r="T476" s="101">
        <f t="shared" si="488"/>
        <v>0</v>
      </c>
      <c r="U476" s="101">
        <f t="shared" si="489"/>
        <v>0</v>
      </c>
      <c r="V476" s="101">
        <f t="shared" si="490"/>
        <v>0</v>
      </c>
      <c r="W476" s="101">
        <f t="shared" si="491"/>
        <v>0</v>
      </c>
      <c r="X476" s="101">
        <f t="shared" si="492"/>
        <v>0</v>
      </c>
      <c r="Y476" s="101">
        <f t="shared" si="493"/>
        <v>0</v>
      </c>
      <c r="Z476" s="101">
        <f t="shared" si="494"/>
        <v>0</v>
      </c>
      <c r="AA476" s="101">
        <f t="shared" si="495"/>
        <v>0</v>
      </c>
      <c r="AB476" s="101">
        <f t="shared" si="496"/>
        <v>0</v>
      </c>
      <c r="AC476" s="101">
        <f t="shared" si="497"/>
        <v>0</v>
      </c>
      <c r="AD476" s="101">
        <f t="shared" si="498"/>
        <v>0</v>
      </c>
      <c r="AE476" s="101"/>
      <c r="AF476" s="101">
        <f t="shared" si="499"/>
        <v>0</v>
      </c>
      <c r="AG476" s="101"/>
      <c r="AH476" s="101">
        <f t="shared" si="500"/>
        <v>0</v>
      </c>
      <c r="AI476" s="101"/>
      <c r="AJ476" s="101">
        <f t="shared" si="501"/>
        <v>0</v>
      </c>
      <c r="AK476" s="101">
        <f t="shared" si="502"/>
        <v>0</v>
      </c>
      <c r="AL476" s="98" t="str">
        <f t="shared" si="503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78"/>
        <v>0</v>
      </c>
      <c r="I477" s="101">
        <f t="shared" si="479"/>
        <v>0</v>
      </c>
      <c r="J477" s="101">
        <f t="shared" si="480"/>
        <v>0</v>
      </c>
      <c r="K477" s="101">
        <f t="shared" si="481"/>
        <v>0</v>
      </c>
      <c r="L477" s="101">
        <f t="shared" si="482"/>
        <v>0</v>
      </c>
      <c r="M477" s="101">
        <f t="shared" si="483"/>
        <v>0</v>
      </c>
      <c r="N477" s="101"/>
      <c r="O477" s="101">
        <f t="shared" si="484"/>
        <v>0</v>
      </c>
      <c r="P477" s="101">
        <f t="shared" si="485"/>
        <v>0</v>
      </c>
      <c r="Q477" s="101">
        <f t="shared" si="486"/>
        <v>0</v>
      </c>
      <c r="R477" s="101"/>
      <c r="S477" s="101">
        <f t="shared" si="487"/>
        <v>0</v>
      </c>
      <c r="T477" s="101">
        <f t="shared" si="488"/>
        <v>0</v>
      </c>
      <c r="U477" s="101">
        <f t="shared" si="489"/>
        <v>0</v>
      </c>
      <c r="V477" s="101">
        <f t="shared" si="490"/>
        <v>0</v>
      </c>
      <c r="W477" s="101">
        <f t="shared" si="491"/>
        <v>0</v>
      </c>
      <c r="X477" s="101">
        <f t="shared" si="492"/>
        <v>0</v>
      </c>
      <c r="Y477" s="101">
        <f t="shared" si="493"/>
        <v>0</v>
      </c>
      <c r="Z477" s="101">
        <f t="shared" si="494"/>
        <v>0</v>
      </c>
      <c r="AA477" s="101">
        <f t="shared" si="495"/>
        <v>0</v>
      </c>
      <c r="AB477" s="101">
        <f t="shared" si="496"/>
        <v>0</v>
      </c>
      <c r="AC477" s="101">
        <f t="shared" si="497"/>
        <v>0</v>
      </c>
      <c r="AD477" s="101">
        <f t="shared" si="498"/>
        <v>0</v>
      </c>
      <c r="AE477" s="101"/>
      <c r="AF477" s="101">
        <f t="shared" si="499"/>
        <v>0</v>
      </c>
      <c r="AG477" s="101"/>
      <c r="AH477" s="101">
        <f t="shared" si="500"/>
        <v>0</v>
      </c>
      <c r="AI477" s="101"/>
      <c r="AJ477" s="101">
        <f t="shared" si="501"/>
        <v>0</v>
      </c>
      <c r="AK477" s="101">
        <f t="shared" si="502"/>
        <v>0</v>
      </c>
      <c r="AL477" s="98" t="str">
        <f t="shared" si="503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4">SUM(F469:F478)</f>
        <v>7228849.9753027568</v>
      </c>
      <c r="G479" s="100">
        <f t="shared" si="504"/>
        <v>0</v>
      </c>
      <c r="H479" s="100">
        <f t="shared" si="504"/>
        <v>0</v>
      </c>
      <c r="I479" s="100">
        <f t="shared" si="504"/>
        <v>0</v>
      </c>
      <c r="J479" s="100">
        <f t="shared" si="504"/>
        <v>0</v>
      </c>
      <c r="K479" s="100">
        <f t="shared" si="504"/>
        <v>0</v>
      </c>
      <c r="L479" s="100">
        <f t="shared" si="504"/>
        <v>0</v>
      </c>
      <c r="M479" s="100">
        <f t="shared" si="504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05">SUM(S469:S478)</f>
        <v>0</v>
      </c>
      <c r="T479" s="100">
        <f t="shared" si="505"/>
        <v>605268.88174267509</v>
      </c>
      <c r="U479" s="100">
        <f t="shared" si="505"/>
        <v>0</v>
      </c>
      <c r="V479" s="100">
        <f t="shared" si="505"/>
        <v>1716338.7897032718</v>
      </c>
      <c r="W479" s="100">
        <f t="shared" si="505"/>
        <v>2679438.4391976842</v>
      </c>
      <c r="X479" s="100">
        <f t="shared" si="505"/>
        <v>881261.6717432735</v>
      </c>
      <c r="Y479" s="100">
        <f t="shared" si="505"/>
        <v>1295121.7716360111</v>
      </c>
      <c r="Z479" s="100">
        <f t="shared" si="505"/>
        <v>27208.3079709372</v>
      </c>
      <c r="AA479" s="100">
        <f t="shared" si="505"/>
        <v>24212.113308904056</v>
      </c>
      <c r="AB479" s="100">
        <f t="shared" si="505"/>
        <v>0</v>
      </c>
      <c r="AC479" s="100">
        <f t="shared" si="505"/>
        <v>0</v>
      </c>
      <c r="AD479" s="100">
        <f t="shared" si="505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 t="shared" ref="H481:AJ481" si="506">H455+H479</f>
        <v>0</v>
      </c>
      <c r="I481" s="101">
        <f t="shared" si="506"/>
        <v>0</v>
      </c>
      <c r="J481" s="101">
        <f t="shared" si="506"/>
        <v>0</v>
      </c>
      <c r="K481" s="101">
        <f t="shared" si="506"/>
        <v>0</v>
      </c>
      <c r="L481" s="101">
        <f t="shared" si="506"/>
        <v>0</v>
      </c>
      <c r="M481" s="101">
        <f t="shared" si="506"/>
        <v>0</v>
      </c>
      <c r="N481" s="101">
        <f t="shared" si="506"/>
        <v>0</v>
      </c>
      <c r="O481" s="101">
        <f t="shared" si="506"/>
        <v>0</v>
      </c>
      <c r="P481" s="101">
        <f t="shared" si="506"/>
        <v>0</v>
      </c>
      <c r="Q481" s="101">
        <f t="shared" si="506"/>
        <v>0</v>
      </c>
      <c r="R481" s="101">
        <f t="shared" si="506"/>
        <v>0</v>
      </c>
      <c r="S481" s="101">
        <f t="shared" si="506"/>
        <v>0</v>
      </c>
      <c r="T481" s="101">
        <f t="shared" si="506"/>
        <v>2364157.6911235116</v>
      </c>
      <c r="U481" s="101">
        <f t="shared" si="506"/>
        <v>0</v>
      </c>
      <c r="V481" s="101">
        <f t="shared" si="506"/>
        <v>2823475.9405773715</v>
      </c>
      <c r="W481" s="101">
        <f t="shared" si="506"/>
        <v>4478897.6535144858</v>
      </c>
      <c r="X481" s="101">
        <f t="shared" si="506"/>
        <v>1436859.1246300009</v>
      </c>
      <c r="Y481" s="101">
        <f t="shared" si="506"/>
        <v>2118227.3894455666</v>
      </c>
      <c r="Z481" s="101">
        <f t="shared" si="506"/>
        <v>369799.43338242033</v>
      </c>
      <c r="AA481" s="101">
        <f t="shared" si="506"/>
        <v>329076.905193354</v>
      </c>
      <c r="AB481" s="101">
        <f t="shared" si="506"/>
        <v>204098.54165836229</v>
      </c>
      <c r="AC481" s="101">
        <f t="shared" si="506"/>
        <v>6388719.5122327032</v>
      </c>
      <c r="AD481" s="101">
        <f t="shared" si="506"/>
        <v>241551.32076187784</v>
      </c>
      <c r="AE481" s="101">
        <f t="shared" si="506"/>
        <v>0</v>
      </c>
      <c r="AF481" s="101">
        <f t="shared" si="506"/>
        <v>0</v>
      </c>
      <c r="AG481" s="101">
        <f t="shared" si="506"/>
        <v>0</v>
      </c>
      <c r="AH481" s="101">
        <f t="shared" si="506"/>
        <v>0</v>
      </c>
      <c r="AI481" s="101">
        <f t="shared" si="506"/>
        <v>0</v>
      </c>
      <c r="AJ481" s="101">
        <f t="shared" si="506"/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07">F481+F440</f>
        <v>27496862.852552492</v>
      </c>
      <c r="G483" s="101">
        <f t="shared" si="507"/>
        <v>0</v>
      </c>
      <c r="H483" s="101">
        <f t="shared" si="507"/>
        <v>0</v>
      </c>
      <c r="I483" s="101">
        <f t="shared" si="507"/>
        <v>0</v>
      </c>
      <c r="J483" s="101">
        <f t="shared" si="507"/>
        <v>0</v>
      </c>
      <c r="K483" s="101">
        <f t="shared" si="507"/>
        <v>0</v>
      </c>
      <c r="L483" s="101">
        <f t="shared" si="507"/>
        <v>0</v>
      </c>
      <c r="M483" s="101">
        <f t="shared" si="507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08">S481+S440</f>
        <v>0</v>
      </c>
      <c r="T483" s="101">
        <f t="shared" si="508"/>
        <v>2364157.6911235116</v>
      </c>
      <c r="U483" s="101">
        <f t="shared" si="508"/>
        <v>0</v>
      </c>
      <c r="V483" s="101">
        <f t="shared" si="508"/>
        <v>2823475.9405773715</v>
      </c>
      <c r="W483" s="101">
        <f t="shared" si="508"/>
        <v>4478897.6535144858</v>
      </c>
      <c r="X483" s="101">
        <f t="shared" si="508"/>
        <v>1436859.1246300009</v>
      </c>
      <c r="Y483" s="101">
        <f t="shared" si="508"/>
        <v>2118227.3894455666</v>
      </c>
      <c r="Z483" s="101">
        <f t="shared" si="508"/>
        <v>369799.43338242033</v>
      </c>
      <c r="AA483" s="101">
        <f t="shared" si="508"/>
        <v>329076.905193354</v>
      </c>
      <c r="AB483" s="101">
        <f t="shared" si="508"/>
        <v>204098.54165836229</v>
      </c>
      <c r="AC483" s="101">
        <f t="shared" si="508"/>
        <v>6388719.5122327032</v>
      </c>
      <c r="AD483" s="101">
        <f t="shared" si="508"/>
        <v>241551.32076187784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27496862.852552492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09">H483+H419+H426</f>
        <v>10927436.935938632</v>
      </c>
      <c r="I485" s="100">
        <f t="shared" si="509"/>
        <v>10301051.649205554</v>
      </c>
      <c r="J485" s="100">
        <f t="shared" si="509"/>
        <v>10579251.156002475</v>
      </c>
      <c r="K485" s="100">
        <f t="shared" si="509"/>
        <v>22783264.729198322</v>
      </c>
      <c r="L485" s="100">
        <f t="shared" si="509"/>
        <v>0</v>
      </c>
      <c r="M485" s="100">
        <f t="shared" si="509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10">S483+S419+S426</f>
        <v>0</v>
      </c>
      <c r="T485" s="100">
        <f t="shared" si="510"/>
        <v>2364157.6911235116</v>
      </c>
      <c r="U485" s="100">
        <f t="shared" si="510"/>
        <v>0</v>
      </c>
      <c r="V485" s="100">
        <f t="shared" si="510"/>
        <v>2823475.9405773715</v>
      </c>
      <c r="W485" s="100">
        <f t="shared" si="510"/>
        <v>4478897.6535144858</v>
      </c>
      <c r="X485" s="100">
        <f t="shared" si="510"/>
        <v>1436859.1246300009</v>
      </c>
      <c r="Y485" s="100">
        <f t="shared" si="510"/>
        <v>2118227.3894455666</v>
      </c>
      <c r="Z485" s="100">
        <f t="shared" si="510"/>
        <v>369799.43338242033</v>
      </c>
      <c r="AA485" s="100">
        <f t="shared" si="510"/>
        <v>329076.905193354</v>
      </c>
      <c r="AB485" s="100">
        <f t="shared" si="510"/>
        <v>204098.54165836229</v>
      </c>
      <c r="AC485" s="100">
        <f t="shared" si="510"/>
        <v>6388719.5122327032</v>
      </c>
      <c r="AD485" s="100">
        <f t="shared" si="510"/>
        <v>241551.32076187784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82087867.322897494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1">SUM(H488:H493)</f>
        <v>0</v>
      </c>
      <c r="I494" s="100">
        <f t="shared" si="511"/>
        <v>0</v>
      </c>
      <c r="J494" s="100">
        <f t="shared" si="511"/>
        <v>0</v>
      </c>
      <c r="K494" s="100">
        <f t="shared" si="511"/>
        <v>0</v>
      </c>
      <c r="L494" s="100">
        <f t="shared" si="511"/>
        <v>0</v>
      </c>
      <c r="M494" s="100">
        <f t="shared" si="511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2">SUM(S488:S493)</f>
        <v>0</v>
      </c>
      <c r="T494" s="100">
        <f t="shared" si="512"/>
        <v>0</v>
      </c>
      <c r="U494" s="100">
        <f t="shared" si="512"/>
        <v>0</v>
      </c>
      <c r="V494" s="100">
        <f t="shared" si="512"/>
        <v>0</v>
      </c>
      <c r="W494" s="100">
        <f t="shared" si="512"/>
        <v>0</v>
      </c>
      <c r="X494" s="100">
        <f t="shared" si="512"/>
        <v>0</v>
      </c>
      <c r="Y494" s="100">
        <f t="shared" si="512"/>
        <v>0</v>
      </c>
      <c r="Z494" s="100">
        <f t="shared" si="512"/>
        <v>0</v>
      </c>
      <c r="AA494" s="100">
        <f t="shared" si="512"/>
        <v>0</v>
      </c>
      <c r="AB494" s="100">
        <f t="shared" si="512"/>
        <v>0</v>
      </c>
      <c r="AC494" s="100">
        <f t="shared" si="512"/>
        <v>0</v>
      </c>
      <c r="AD494" s="100">
        <f t="shared" si="512"/>
        <v>0</v>
      </c>
      <c r="AE494" s="100"/>
      <c r="AF494" s="100">
        <f t="shared" si="512"/>
        <v>16006067.650495432</v>
      </c>
      <c r="AG494" s="101"/>
      <c r="AH494" s="100">
        <f t="shared" si="512"/>
        <v>0</v>
      </c>
      <c r="AI494" s="101"/>
      <c r="AJ494" s="100">
        <f t="shared" si="512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3">IF(VLOOKUP($D497,$C$5:$AJ$644,6,)=0,0,((VLOOKUP($D497,$C$5:$AJ$644,6,)/VLOOKUP($D497,$C$5:$AJ$644,4,))*$F497))</f>
        <v>0</v>
      </c>
      <c r="I497" s="101">
        <f t="shared" ref="I497:I506" si="514">IF(VLOOKUP($D497,$C$5:$AJ$644,7,)=0,0,((VLOOKUP($D497,$C$5:$AJ$644,7,)/VLOOKUP($D497,$C$5:$AJ$644,4,))*$F497))</f>
        <v>0</v>
      </c>
      <c r="J497" s="101">
        <f t="shared" ref="J497:J506" si="515">IF(VLOOKUP($D497,$C$5:$AJ$644,8,)=0,0,((VLOOKUP($D497,$C$5:$AJ$644,8,)/VLOOKUP($D497,$C$5:$AJ$644,4,))*$F497))</f>
        <v>0</v>
      </c>
      <c r="K497" s="101">
        <f t="shared" ref="K497:K506" si="516">IF(VLOOKUP($D497,$C$5:$AJ$644,9,)=0,0,((VLOOKUP($D497,$C$5:$AJ$644,9,)/VLOOKUP($D497,$C$5:$AJ$644,4,))*$F497))</f>
        <v>0</v>
      </c>
      <c r="L497" s="101">
        <f t="shared" ref="L497:L506" si="517">IF(VLOOKUP($D497,$C$5:$AJ$644,10,)=0,0,((VLOOKUP($D497,$C$5:$AJ$644,10,)/VLOOKUP($D497,$C$5:$AJ$644,4,))*$F497))</f>
        <v>0</v>
      </c>
      <c r="M497" s="101">
        <f t="shared" ref="M497:M506" si="518">IF(VLOOKUP($D497,$C$5:$AJ$644,11,)=0,0,((VLOOKUP($D497,$C$5:$AJ$644,11,)/VLOOKUP($D497,$C$5:$AJ$644,4,))*$F497))</f>
        <v>0</v>
      </c>
      <c r="N497" s="101"/>
      <c r="O497" s="101">
        <f t="shared" ref="O497:O506" si="519">IF(VLOOKUP($D497,$C$5:$AJ$644,13,)=0,0,((VLOOKUP($D497,$C$5:$AJ$644,13,)/VLOOKUP($D497,$C$5:$AJ$644,4,))*$F497))</f>
        <v>0</v>
      </c>
      <c r="P497" s="101">
        <f t="shared" ref="P497:P506" si="520">IF(VLOOKUP($D497,$C$5:$AJ$644,14,)=0,0,((VLOOKUP($D497,$C$5:$AJ$644,14,)/VLOOKUP($D497,$C$5:$AJ$644,4,))*$F497))</f>
        <v>0</v>
      </c>
      <c r="Q497" s="101">
        <f t="shared" ref="Q497:Q506" si="521">IF(VLOOKUP($D497,$C$5:$AJ$644,15,)=0,0,((VLOOKUP($D497,$C$5:$AJ$644,15,)/VLOOKUP($D497,$C$5:$AJ$644,4,))*$F497))</f>
        <v>0</v>
      </c>
      <c r="R497" s="101"/>
      <c r="S497" s="101">
        <f t="shared" ref="S497:S506" si="522">IF(VLOOKUP($D497,$C$5:$AJ$644,17,)=0,0,((VLOOKUP($D497,$C$5:$AJ$644,17,)/VLOOKUP($D497,$C$5:$AJ$644,4,))*$F497))</f>
        <v>0</v>
      </c>
      <c r="T497" s="101">
        <f t="shared" ref="T497:T506" si="523">IF(VLOOKUP($D497,$C$5:$AJ$644,18,)=0,0,((VLOOKUP($D497,$C$5:$AJ$644,18,)/VLOOKUP($D497,$C$5:$AJ$644,4,))*$F497))</f>
        <v>0</v>
      </c>
      <c r="U497" s="101">
        <f t="shared" ref="U497:U506" si="524">IF(VLOOKUP($D497,$C$5:$AJ$644,19,)=0,0,((VLOOKUP($D497,$C$5:$AJ$644,19,)/VLOOKUP($D497,$C$5:$AJ$644,4,))*$F497))</f>
        <v>0</v>
      </c>
      <c r="V497" s="101">
        <f t="shared" ref="V497:V506" si="525">IF(VLOOKUP($D497,$C$5:$AJ$644,20,)=0,0,((VLOOKUP($D497,$C$5:$AJ$644,20,)/VLOOKUP($D497,$C$5:$AJ$644,4,))*$F497))</f>
        <v>0</v>
      </c>
      <c r="W497" s="101">
        <f t="shared" ref="W497:W506" si="526">IF(VLOOKUP($D497,$C$5:$AJ$644,21,)=0,0,((VLOOKUP($D497,$C$5:$AJ$644,21,)/VLOOKUP($D497,$C$5:$AJ$644,4,))*$F497))</f>
        <v>0</v>
      </c>
      <c r="X497" s="101">
        <f t="shared" ref="X497:X506" si="527">IF(VLOOKUP($D497,$C$5:$AJ$644,22,)=0,0,((VLOOKUP($D497,$C$5:$AJ$644,22,)/VLOOKUP($D497,$C$5:$AJ$644,4,))*$F497))</f>
        <v>0</v>
      </c>
      <c r="Y497" s="101">
        <f t="shared" ref="Y497:Y506" si="528">IF(VLOOKUP($D497,$C$5:$AJ$644,23,)=0,0,((VLOOKUP($D497,$C$5:$AJ$644,23,)/VLOOKUP($D497,$C$5:$AJ$644,4,))*$F497))</f>
        <v>0</v>
      </c>
      <c r="Z497" s="101">
        <f t="shared" ref="Z497:Z506" si="529">IF(VLOOKUP($D497,$C$5:$AJ$644,24,)=0,0,((VLOOKUP($D497,$C$5:$AJ$644,24,)/VLOOKUP($D497,$C$5:$AJ$644,4,))*$F497))</f>
        <v>0</v>
      </c>
      <c r="AA497" s="101">
        <f t="shared" ref="AA497:AA506" si="530">IF(VLOOKUP($D497,$C$5:$AJ$644,25,)=0,0,((VLOOKUP($D497,$C$5:$AJ$644,25,)/VLOOKUP($D497,$C$5:$AJ$644,4,))*$F497))</f>
        <v>0</v>
      </c>
      <c r="AB497" s="101">
        <f t="shared" ref="AB497:AB506" si="531">IF(VLOOKUP($D497,$C$5:$AJ$644,26,)=0,0,((VLOOKUP($D497,$C$5:$AJ$644,26,)/VLOOKUP($D497,$C$5:$AJ$644,4,))*$F497))</f>
        <v>0</v>
      </c>
      <c r="AC497" s="101">
        <f t="shared" ref="AC497:AC506" si="532">IF(VLOOKUP($D497,$C$5:$AJ$644,27,)=0,0,((VLOOKUP($D497,$C$5:$AJ$644,27,)/VLOOKUP($D497,$C$5:$AJ$644,4,))*$F497))</f>
        <v>0</v>
      </c>
      <c r="AD497" s="101">
        <f t="shared" ref="AD497:AD506" si="533">IF(VLOOKUP($D497,$C$5:$AJ$644,28,)=0,0,((VLOOKUP($D497,$C$5:$AJ$644,28,)/VLOOKUP($D497,$C$5:$AJ$644,4,))*$F497))</f>
        <v>0</v>
      </c>
      <c r="AE497" s="101"/>
      <c r="AF497" s="101">
        <f t="shared" ref="AF497:AF506" si="534">IF(VLOOKUP($D497,$C$5:$AJ$644,30,)=0,0,((VLOOKUP($D497,$C$5:$AJ$644,30,)/VLOOKUP($D497,$C$5:$AJ$644,4,))*$F497))</f>
        <v>0</v>
      </c>
      <c r="AG497" s="101"/>
      <c r="AH497" s="101">
        <f t="shared" ref="AH497:AH506" si="535">IF(VLOOKUP($D497,$C$5:$AJ$644,32,)=0,0,((VLOOKUP($D497,$C$5:$AJ$644,32,)/VLOOKUP($D497,$C$5:$AJ$644,4,))*$F497))</f>
        <v>614306.72725874442</v>
      </c>
      <c r="AI497" s="101"/>
      <c r="AJ497" s="101">
        <f t="shared" ref="AJ497:AJ506" si="536">IF(VLOOKUP($D497,$C$5:$AJ$644,34,)=0,0,((VLOOKUP($D497,$C$5:$AJ$644,34,)/VLOOKUP($D497,$C$5:$AJ$644,4,))*$F497))</f>
        <v>0</v>
      </c>
      <c r="AK497" s="101">
        <f t="shared" ref="AK497:AK506" si="537">SUM(H497:AJ497)</f>
        <v>614306.72725874442</v>
      </c>
      <c r="AL497" s="98" t="str">
        <f t="shared" ref="AL497:AL506" si="538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3"/>
        <v>0</v>
      </c>
      <c r="I498" s="101">
        <f t="shared" si="514"/>
        <v>0</v>
      </c>
      <c r="J498" s="101">
        <f t="shared" si="515"/>
        <v>0</v>
      </c>
      <c r="K498" s="101">
        <f t="shared" si="516"/>
        <v>0</v>
      </c>
      <c r="L498" s="101">
        <f t="shared" si="517"/>
        <v>0</v>
      </c>
      <c r="M498" s="101">
        <f t="shared" si="518"/>
        <v>0</v>
      </c>
      <c r="N498" s="101"/>
      <c r="O498" s="101">
        <f t="shared" si="519"/>
        <v>0</v>
      </c>
      <c r="P498" s="101">
        <f t="shared" si="520"/>
        <v>0</v>
      </c>
      <c r="Q498" s="101">
        <f t="shared" si="521"/>
        <v>0</v>
      </c>
      <c r="R498" s="101"/>
      <c r="S498" s="101">
        <f t="shared" si="522"/>
        <v>0</v>
      </c>
      <c r="T498" s="101">
        <f t="shared" si="523"/>
        <v>0</v>
      </c>
      <c r="U498" s="101">
        <f t="shared" si="524"/>
        <v>0</v>
      </c>
      <c r="V498" s="101">
        <f t="shared" si="525"/>
        <v>0</v>
      </c>
      <c r="W498" s="101">
        <f t="shared" si="526"/>
        <v>0</v>
      </c>
      <c r="X498" s="101">
        <f t="shared" si="527"/>
        <v>0</v>
      </c>
      <c r="Y498" s="101">
        <f t="shared" si="528"/>
        <v>0</v>
      </c>
      <c r="Z498" s="101">
        <f t="shared" si="529"/>
        <v>0</v>
      </c>
      <c r="AA498" s="101">
        <f t="shared" si="530"/>
        <v>0</v>
      </c>
      <c r="AB498" s="101">
        <f t="shared" si="531"/>
        <v>0</v>
      </c>
      <c r="AC498" s="101">
        <f t="shared" si="532"/>
        <v>0</v>
      </c>
      <c r="AD498" s="101">
        <f t="shared" si="533"/>
        <v>0</v>
      </c>
      <c r="AE498" s="101"/>
      <c r="AF498" s="101">
        <f t="shared" si="534"/>
        <v>0</v>
      </c>
      <c r="AG498" s="101"/>
      <c r="AH498" s="101">
        <f t="shared" si="535"/>
        <v>1585967.8624582202</v>
      </c>
      <c r="AI498" s="101"/>
      <c r="AJ498" s="101">
        <f t="shared" si="536"/>
        <v>0</v>
      </c>
      <c r="AK498" s="101">
        <f t="shared" si="537"/>
        <v>1585967.8624582202</v>
      </c>
      <c r="AL498" s="98" t="str">
        <f t="shared" si="538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3"/>
        <v>0</v>
      </c>
      <c r="I499" s="101">
        <f t="shared" si="514"/>
        <v>0</v>
      </c>
      <c r="J499" s="101">
        <f t="shared" si="515"/>
        <v>0</v>
      </c>
      <c r="K499" s="101">
        <f t="shared" si="516"/>
        <v>0</v>
      </c>
      <c r="L499" s="101">
        <f t="shared" si="517"/>
        <v>0</v>
      </c>
      <c r="M499" s="101">
        <f t="shared" si="518"/>
        <v>0</v>
      </c>
      <c r="N499" s="101"/>
      <c r="O499" s="101">
        <f t="shared" si="519"/>
        <v>0</v>
      </c>
      <c r="P499" s="101">
        <f t="shared" si="520"/>
        <v>0</v>
      </c>
      <c r="Q499" s="101">
        <f t="shared" si="521"/>
        <v>0</v>
      </c>
      <c r="R499" s="101"/>
      <c r="S499" s="101">
        <f t="shared" si="522"/>
        <v>0</v>
      </c>
      <c r="T499" s="101">
        <f t="shared" si="523"/>
        <v>0</v>
      </c>
      <c r="U499" s="101">
        <f t="shared" si="524"/>
        <v>0</v>
      </c>
      <c r="V499" s="101">
        <f t="shared" si="525"/>
        <v>0</v>
      </c>
      <c r="W499" s="101">
        <f t="shared" si="526"/>
        <v>0</v>
      </c>
      <c r="X499" s="101">
        <f t="shared" si="527"/>
        <v>0</v>
      </c>
      <c r="Y499" s="101">
        <f t="shared" si="528"/>
        <v>0</v>
      </c>
      <c r="Z499" s="101">
        <f t="shared" si="529"/>
        <v>0</v>
      </c>
      <c r="AA499" s="101">
        <f t="shared" si="530"/>
        <v>0</v>
      </c>
      <c r="AB499" s="101">
        <f t="shared" si="531"/>
        <v>0</v>
      </c>
      <c r="AC499" s="101">
        <f t="shared" si="532"/>
        <v>0</v>
      </c>
      <c r="AD499" s="101">
        <f t="shared" si="533"/>
        <v>0</v>
      </c>
      <c r="AE499" s="101"/>
      <c r="AF499" s="101">
        <f t="shared" si="534"/>
        <v>0</v>
      </c>
      <c r="AG499" s="101"/>
      <c r="AH499" s="101">
        <f t="shared" si="535"/>
        <v>0</v>
      </c>
      <c r="AI499" s="101"/>
      <c r="AJ499" s="101">
        <f t="shared" si="536"/>
        <v>0</v>
      </c>
      <c r="AK499" s="101">
        <f t="shared" si="537"/>
        <v>0</v>
      </c>
      <c r="AL499" s="98" t="str">
        <f t="shared" si="538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3"/>
        <v>0</v>
      </c>
      <c r="I500" s="101">
        <f t="shared" si="514"/>
        <v>0</v>
      </c>
      <c r="J500" s="101">
        <f t="shared" si="515"/>
        <v>0</v>
      </c>
      <c r="K500" s="101">
        <f t="shared" si="516"/>
        <v>0</v>
      </c>
      <c r="L500" s="101">
        <f t="shared" si="517"/>
        <v>0</v>
      </c>
      <c r="M500" s="101">
        <f t="shared" si="518"/>
        <v>0</v>
      </c>
      <c r="N500" s="101"/>
      <c r="O500" s="101">
        <f t="shared" si="519"/>
        <v>0</v>
      </c>
      <c r="P500" s="101">
        <f t="shared" si="520"/>
        <v>0</v>
      </c>
      <c r="Q500" s="101">
        <f t="shared" si="521"/>
        <v>0</v>
      </c>
      <c r="R500" s="101"/>
      <c r="S500" s="101">
        <f t="shared" si="522"/>
        <v>0</v>
      </c>
      <c r="T500" s="101">
        <f t="shared" si="523"/>
        <v>0</v>
      </c>
      <c r="U500" s="101">
        <f t="shared" si="524"/>
        <v>0</v>
      </c>
      <c r="V500" s="101">
        <f t="shared" si="525"/>
        <v>0</v>
      </c>
      <c r="W500" s="101">
        <f t="shared" si="526"/>
        <v>0</v>
      </c>
      <c r="X500" s="101">
        <f t="shared" si="527"/>
        <v>0</v>
      </c>
      <c r="Y500" s="101">
        <f t="shared" si="528"/>
        <v>0</v>
      </c>
      <c r="Z500" s="101">
        <f t="shared" si="529"/>
        <v>0</v>
      </c>
      <c r="AA500" s="101">
        <f t="shared" si="530"/>
        <v>0</v>
      </c>
      <c r="AB500" s="101">
        <f t="shared" si="531"/>
        <v>0</v>
      </c>
      <c r="AC500" s="101">
        <f t="shared" si="532"/>
        <v>0</v>
      </c>
      <c r="AD500" s="101">
        <f t="shared" si="533"/>
        <v>0</v>
      </c>
      <c r="AE500" s="101"/>
      <c r="AF500" s="101">
        <f t="shared" si="534"/>
        <v>0</v>
      </c>
      <c r="AG500" s="101"/>
      <c r="AH500" s="101">
        <f t="shared" si="535"/>
        <v>0</v>
      </c>
      <c r="AI500" s="101"/>
      <c r="AJ500" s="101">
        <f t="shared" si="536"/>
        <v>0</v>
      </c>
      <c r="AK500" s="101">
        <f t="shared" si="537"/>
        <v>0</v>
      </c>
      <c r="AL500" s="98" t="str">
        <f t="shared" si="538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3"/>
        <v>0</v>
      </c>
      <c r="I501" s="101">
        <f t="shared" si="514"/>
        <v>0</v>
      </c>
      <c r="J501" s="101">
        <f t="shared" si="515"/>
        <v>0</v>
      </c>
      <c r="K501" s="101">
        <f t="shared" si="516"/>
        <v>0</v>
      </c>
      <c r="L501" s="101">
        <f t="shared" si="517"/>
        <v>0</v>
      </c>
      <c r="M501" s="101">
        <f t="shared" si="518"/>
        <v>0</v>
      </c>
      <c r="N501" s="101"/>
      <c r="O501" s="101">
        <f t="shared" si="519"/>
        <v>0</v>
      </c>
      <c r="P501" s="101">
        <f t="shared" si="520"/>
        <v>0</v>
      </c>
      <c r="Q501" s="101">
        <f t="shared" si="521"/>
        <v>0</v>
      </c>
      <c r="R501" s="101"/>
      <c r="S501" s="101">
        <f t="shared" si="522"/>
        <v>0</v>
      </c>
      <c r="T501" s="101">
        <f t="shared" si="523"/>
        <v>0</v>
      </c>
      <c r="U501" s="101">
        <f t="shared" si="524"/>
        <v>0</v>
      </c>
      <c r="V501" s="101">
        <f t="shared" si="525"/>
        <v>0</v>
      </c>
      <c r="W501" s="101">
        <f t="shared" si="526"/>
        <v>0</v>
      </c>
      <c r="X501" s="101">
        <f t="shared" si="527"/>
        <v>0</v>
      </c>
      <c r="Y501" s="101">
        <f t="shared" si="528"/>
        <v>0</v>
      </c>
      <c r="Z501" s="101">
        <f t="shared" si="529"/>
        <v>0</v>
      </c>
      <c r="AA501" s="101">
        <f t="shared" si="530"/>
        <v>0</v>
      </c>
      <c r="AB501" s="101">
        <f t="shared" si="531"/>
        <v>0</v>
      </c>
      <c r="AC501" s="101">
        <f t="shared" si="532"/>
        <v>0</v>
      </c>
      <c r="AD501" s="101">
        <f t="shared" si="533"/>
        <v>0</v>
      </c>
      <c r="AE501" s="101"/>
      <c r="AF501" s="101">
        <f t="shared" si="534"/>
        <v>0</v>
      </c>
      <c r="AG501" s="101"/>
      <c r="AH501" s="101">
        <f t="shared" si="535"/>
        <v>0</v>
      </c>
      <c r="AI501" s="101"/>
      <c r="AJ501" s="101">
        <f t="shared" si="536"/>
        <v>0</v>
      </c>
      <c r="AK501" s="101">
        <f t="shared" si="537"/>
        <v>0</v>
      </c>
      <c r="AL501" s="98" t="str">
        <f t="shared" si="538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3"/>
        <v>0</v>
      </c>
      <c r="I502" s="101">
        <f t="shared" si="514"/>
        <v>0</v>
      </c>
      <c r="J502" s="101">
        <f t="shared" si="515"/>
        <v>0</v>
      </c>
      <c r="K502" s="101">
        <f t="shared" si="516"/>
        <v>0</v>
      </c>
      <c r="L502" s="101">
        <f t="shared" si="517"/>
        <v>0</v>
      </c>
      <c r="M502" s="101">
        <f t="shared" si="518"/>
        <v>0</v>
      </c>
      <c r="N502" s="101"/>
      <c r="O502" s="101">
        <f t="shared" si="519"/>
        <v>0</v>
      </c>
      <c r="P502" s="101">
        <f t="shared" si="520"/>
        <v>0</v>
      </c>
      <c r="Q502" s="101">
        <f t="shared" si="521"/>
        <v>0</v>
      </c>
      <c r="R502" s="101"/>
      <c r="S502" s="101">
        <f t="shared" si="522"/>
        <v>0</v>
      </c>
      <c r="T502" s="101">
        <f t="shared" si="523"/>
        <v>0</v>
      </c>
      <c r="U502" s="101">
        <f t="shared" si="524"/>
        <v>0</v>
      </c>
      <c r="V502" s="101">
        <f t="shared" si="525"/>
        <v>0</v>
      </c>
      <c r="W502" s="101">
        <f t="shared" si="526"/>
        <v>0</v>
      </c>
      <c r="X502" s="101">
        <f t="shared" si="527"/>
        <v>0</v>
      </c>
      <c r="Y502" s="101">
        <f t="shared" si="528"/>
        <v>0</v>
      </c>
      <c r="Z502" s="101">
        <f t="shared" si="529"/>
        <v>0</v>
      </c>
      <c r="AA502" s="101">
        <f t="shared" si="530"/>
        <v>0</v>
      </c>
      <c r="AB502" s="101">
        <f t="shared" si="531"/>
        <v>0</v>
      </c>
      <c r="AC502" s="101">
        <f t="shared" si="532"/>
        <v>0</v>
      </c>
      <c r="AD502" s="101">
        <f t="shared" si="533"/>
        <v>0</v>
      </c>
      <c r="AE502" s="101"/>
      <c r="AF502" s="101">
        <f t="shared" si="534"/>
        <v>0</v>
      </c>
      <c r="AG502" s="101"/>
      <c r="AH502" s="101">
        <f t="shared" si="535"/>
        <v>0</v>
      </c>
      <c r="AI502" s="101"/>
      <c r="AJ502" s="101">
        <f t="shared" si="536"/>
        <v>0</v>
      </c>
      <c r="AK502" s="101">
        <f t="shared" si="537"/>
        <v>0</v>
      </c>
      <c r="AL502" s="98" t="str">
        <f t="shared" si="538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3"/>
        <v>0</v>
      </c>
      <c r="I503" s="101">
        <f t="shared" si="514"/>
        <v>0</v>
      </c>
      <c r="J503" s="101">
        <f t="shared" si="515"/>
        <v>0</v>
      </c>
      <c r="K503" s="101">
        <f t="shared" si="516"/>
        <v>0</v>
      </c>
      <c r="L503" s="101">
        <f t="shared" si="517"/>
        <v>0</v>
      </c>
      <c r="M503" s="101">
        <f t="shared" si="518"/>
        <v>0</v>
      </c>
      <c r="N503" s="101"/>
      <c r="O503" s="101">
        <f t="shared" si="519"/>
        <v>0</v>
      </c>
      <c r="P503" s="101">
        <f t="shared" si="520"/>
        <v>0</v>
      </c>
      <c r="Q503" s="101">
        <f t="shared" si="521"/>
        <v>0</v>
      </c>
      <c r="R503" s="101"/>
      <c r="S503" s="101">
        <f t="shared" si="522"/>
        <v>0</v>
      </c>
      <c r="T503" s="101">
        <f t="shared" si="523"/>
        <v>0</v>
      </c>
      <c r="U503" s="101">
        <f t="shared" si="524"/>
        <v>0</v>
      </c>
      <c r="V503" s="101">
        <f t="shared" si="525"/>
        <v>0</v>
      </c>
      <c r="W503" s="101">
        <f t="shared" si="526"/>
        <v>0</v>
      </c>
      <c r="X503" s="101">
        <f t="shared" si="527"/>
        <v>0</v>
      </c>
      <c r="Y503" s="101">
        <f t="shared" si="528"/>
        <v>0</v>
      </c>
      <c r="Z503" s="101">
        <f t="shared" si="529"/>
        <v>0</v>
      </c>
      <c r="AA503" s="101">
        <f t="shared" si="530"/>
        <v>0</v>
      </c>
      <c r="AB503" s="101">
        <f t="shared" si="531"/>
        <v>0</v>
      </c>
      <c r="AC503" s="101">
        <f t="shared" si="532"/>
        <v>0</v>
      </c>
      <c r="AD503" s="101">
        <f t="shared" si="533"/>
        <v>0</v>
      </c>
      <c r="AE503" s="101"/>
      <c r="AF503" s="101">
        <f t="shared" si="534"/>
        <v>0</v>
      </c>
      <c r="AG503" s="101"/>
      <c r="AH503" s="101">
        <f t="shared" si="535"/>
        <v>0</v>
      </c>
      <c r="AI503" s="101"/>
      <c r="AJ503" s="101">
        <f t="shared" si="536"/>
        <v>0</v>
      </c>
      <c r="AK503" s="101">
        <f t="shared" si="537"/>
        <v>0</v>
      </c>
      <c r="AL503" s="98" t="str">
        <f t="shared" si="538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3"/>
        <v>0</v>
      </c>
      <c r="I504" s="101">
        <f t="shared" si="514"/>
        <v>0</v>
      </c>
      <c r="J504" s="101">
        <f t="shared" si="515"/>
        <v>0</v>
      </c>
      <c r="K504" s="101">
        <f t="shared" si="516"/>
        <v>0</v>
      </c>
      <c r="L504" s="101">
        <f t="shared" si="517"/>
        <v>0</v>
      </c>
      <c r="M504" s="101">
        <f t="shared" si="518"/>
        <v>0</v>
      </c>
      <c r="N504" s="101"/>
      <c r="O504" s="101">
        <f t="shared" si="519"/>
        <v>0</v>
      </c>
      <c r="P504" s="101">
        <f t="shared" si="520"/>
        <v>0</v>
      </c>
      <c r="Q504" s="101">
        <f t="shared" si="521"/>
        <v>0</v>
      </c>
      <c r="R504" s="101"/>
      <c r="S504" s="101">
        <f t="shared" si="522"/>
        <v>0</v>
      </c>
      <c r="T504" s="101">
        <f t="shared" si="523"/>
        <v>0</v>
      </c>
      <c r="U504" s="101">
        <f t="shared" si="524"/>
        <v>0</v>
      </c>
      <c r="V504" s="101">
        <f t="shared" si="525"/>
        <v>0</v>
      </c>
      <c r="W504" s="101">
        <f t="shared" si="526"/>
        <v>0</v>
      </c>
      <c r="X504" s="101">
        <f t="shared" si="527"/>
        <v>0</v>
      </c>
      <c r="Y504" s="101">
        <f t="shared" si="528"/>
        <v>0</v>
      </c>
      <c r="Z504" s="101">
        <f t="shared" si="529"/>
        <v>0</v>
      </c>
      <c r="AA504" s="101">
        <f t="shared" si="530"/>
        <v>0</v>
      </c>
      <c r="AB504" s="101">
        <f t="shared" si="531"/>
        <v>0</v>
      </c>
      <c r="AC504" s="101">
        <f t="shared" si="532"/>
        <v>0</v>
      </c>
      <c r="AD504" s="101">
        <f t="shared" si="533"/>
        <v>0</v>
      </c>
      <c r="AE504" s="101"/>
      <c r="AF504" s="101">
        <f t="shared" si="534"/>
        <v>0</v>
      </c>
      <c r="AG504" s="101"/>
      <c r="AH504" s="101">
        <f t="shared" si="535"/>
        <v>0</v>
      </c>
      <c r="AI504" s="101"/>
      <c r="AJ504" s="101">
        <f t="shared" si="536"/>
        <v>0</v>
      </c>
      <c r="AK504" s="101">
        <f t="shared" si="537"/>
        <v>0</v>
      </c>
      <c r="AL504" s="98" t="str">
        <f t="shared" si="538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3"/>
        <v>0</v>
      </c>
      <c r="I505" s="101">
        <f t="shared" si="514"/>
        <v>0</v>
      </c>
      <c r="J505" s="101">
        <f t="shared" si="515"/>
        <v>0</v>
      </c>
      <c r="K505" s="101">
        <f t="shared" si="516"/>
        <v>0</v>
      </c>
      <c r="L505" s="101">
        <f t="shared" si="517"/>
        <v>0</v>
      </c>
      <c r="M505" s="101">
        <f t="shared" si="518"/>
        <v>0</v>
      </c>
      <c r="N505" s="101"/>
      <c r="O505" s="101">
        <f t="shared" si="519"/>
        <v>0</v>
      </c>
      <c r="P505" s="101">
        <f t="shared" si="520"/>
        <v>0</v>
      </c>
      <c r="Q505" s="101">
        <f t="shared" si="521"/>
        <v>0</v>
      </c>
      <c r="R505" s="101"/>
      <c r="S505" s="101">
        <f t="shared" si="522"/>
        <v>0</v>
      </c>
      <c r="T505" s="101">
        <f t="shared" si="523"/>
        <v>0</v>
      </c>
      <c r="U505" s="101">
        <f t="shared" si="524"/>
        <v>0</v>
      </c>
      <c r="V505" s="101">
        <f t="shared" si="525"/>
        <v>0</v>
      </c>
      <c r="W505" s="101">
        <f t="shared" si="526"/>
        <v>0</v>
      </c>
      <c r="X505" s="101">
        <f t="shared" si="527"/>
        <v>0</v>
      </c>
      <c r="Y505" s="101">
        <f t="shared" si="528"/>
        <v>0</v>
      </c>
      <c r="Z505" s="101">
        <f t="shared" si="529"/>
        <v>0</v>
      </c>
      <c r="AA505" s="101">
        <f t="shared" si="530"/>
        <v>0</v>
      </c>
      <c r="AB505" s="101">
        <f t="shared" si="531"/>
        <v>0</v>
      </c>
      <c r="AC505" s="101">
        <f t="shared" si="532"/>
        <v>0</v>
      </c>
      <c r="AD505" s="101">
        <f t="shared" si="533"/>
        <v>0</v>
      </c>
      <c r="AE505" s="101"/>
      <c r="AF505" s="101">
        <f t="shared" si="534"/>
        <v>0</v>
      </c>
      <c r="AG505" s="101"/>
      <c r="AH505" s="101">
        <f t="shared" si="535"/>
        <v>0</v>
      </c>
      <c r="AI505" s="101"/>
      <c r="AJ505" s="101">
        <f t="shared" si="536"/>
        <v>0</v>
      </c>
      <c r="AK505" s="101">
        <f t="shared" si="537"/>
        <v>0</v>
      </c>
      <c r="AL505" s="98" t="str">
        <f t="shared" si="538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3"/>
        <v>0</v>
      </c>
      <c r="I506" s="101">
        <f t="shared" si="514"/>
        <v>0</v>
      </c>
      <c r="J506" s="101">
        <f t="shared" si="515"/>
        <v>0</v>
      </c>
      <c r="K506" s="101">
        <f t="shared" si="516"/>
        <v>0</v>
      </c>
      <c r="L506" s="101">
        <f t="shared" si="517"/>
        <v>0</v>
      </c>
      <c r="M506" s="101">
        <f t="shared" si="518"/>
        <v>0</v>
      </c>
      <c r="N506" s="101"/>
      <c r="O506" s="101">
        <f t="shared" si="519"/>
        <v>0</v>
      </c>
      <c r="P506" s="101">
        <f t="shared" si="520"/>
        <v>0</v>
      </c>
      <c r="Q506" s="101">
        <f t="shared" si="521"/>
        <v>0</v>
      </c>
      <c r="R506" s="101"/>
      <c r="S506" s="101">
        <f t="shared" si="522"/>
        <v>0</v>
      </c>
      <c r="T506" s="101">
        <f t="shared" si="523"/>
        <v>0</v>
      </c>
      <c r="U506" s="101">
        <f t="shared" si="524"/>
        <v>0</v>
      </c>
      <c r="V506" s="101">
        <f t="shared" si="525"/>
        <v>0</v>
      </c>
      <c r="W506" s="101">
        <f t="shared" si="526"/>
        <v>0</v>
      </c>
      <c r="X506" s="101">
        <f t="shared" si="527"/>
        <v>0</v>
      </c>
      <c r="Y506" s="101">
        <f t="shared" si="528"/>
        <v>0</v>
      </c>
      <c r="Z506" s="101">
        <f t="shared" si="529"/>
        <v>0</v>
      </c>
      <c r="AA506" s="101">
        <f t="shared" si="530"/>
        <v>0</v>
      </c>
      <c r="AB506" s="101">
        <f t="shared" si="531"/>
        <v>0</v>
      </c>
      <c r="AC506" s="101">
        <f t="shared" si="532"/>
        <v>0</v>
      </c>
      <c r="AD506" s="101">
        <f t="shared" si="533"/>
        <v>0</v>
      </c>
      <c r="AE506" s="101"/>
      <c r="AF506" s="101">
        <f t="shared" si="534"/>
        <v>0</v>
      </c>
      <c r="AG506" s="101"/>
      <c r="AH506" s="101">
        <f t="shared" si="535"/>
        <v>0</v>
      </c>
      <c r="AI506" s="101"/>
      <c r="AJ506" s="101">
        <f t="shared" si="536"/>
        <v>0</v>
      </c>
      <c r="AK506" s="101">
        <f t="shared" si="537"/>
        <v>0</v>
      </c>
      <c r="AL506" s="98" t="str">
        <f t="shared" si="538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39">SUM(F497:F507)</f>
        <v>2200274.5897169644</v>
      </c>
      <c r="G508" s="100">
        <f t="shared" si="539"/>
        <v>0</v>
      </c>
      <c r="H508" s="100">
        <f t="shared" si="539"/>
        <v>0</v>
      </c>
      <c r="I508" s="100">
        <f t="shared" si="539"/>
        <v>0</v>
      </c>
      <c r="J508" s="100">
        <f t="shared" si="539"/>
        <v>0</v>
      </c>
      <c r="K508" s="100">
        <f t="shared" si="539"/>
        <v>0</v>
      </c>
      <c r="L508" s="100">
        <f t="shared" si="539"/>
        <v>0</v>
      </c>
      <c r="M508" s="100">
        <f t="shared" si="539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40">SUM(S497:S507)</f>
        <v>0</v>
      </c>
      <c r="T508" s="100">
        <f t="shared" si="540"/>
        <v>0</v>
      </c>
      <c r="U508" s="100">
        <f t="shared" si="540"/>
        <v>0</v>
      </c>
      <c r="V508" s="100">
        <f t="shared" si="540"/>
        <v>0</v>
      </c>
      <c r="W508" s="100">
        <f t="shared" si="540"/>
        <v>0</v>
      </c>
      <c r="X508" s="100">
        <f t="shared" si="540"/>
        <v>0</v>
      </c>
      <c r="Y508" s="100">
        <f t="shared" si="540"/>
        <v>0</v>
      </c>
      <c r="Z508" s="100">
        <f t="shared" si="540"/>
        <v>0</v>
      </c>
      <c r="AA508" s="100">
        <f t="shared" si="540"/>
        <v>0</v>
      </c>
      <c r="AB508" s="100">
        <f t="shared" si="540"/>
        <v>0</v>
      </c>
      <c r="AC508" s="100">
        <f t="shared" si="540"/>
        <v>0</v>
      </c>
      <c r="AD508" s="100">
        <f t="shared" si="540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1">H485+H494+H508</f>
        <v>10927436.935938632</v>
      </c>
      <c r="I510" s="101">
        <f t="shared" si="541"/>
        <v>10301051.649205554</v>
      </c>
      <c r="J510" s="101">
        <f t="shared" si="541"/>
        <v>10579251.156002475</v>
      </c>
      <c r="K510" s="101">
        <f t="shared" si="541"/>
        <v>22783264.729198322</v>
      </c>
      <c r="L510" s="101">
        <f t="shared" si="541"/>
        <v>0</v>
      </c>
      <c r="M510" s="101">
        <f t="shared" si="541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2">S485+S494+S508</f>
        <v>0</v>
      </c>
      <c r="T510" s="101">
        <f t="shared" si="542"/>
        <v>2364157.6911235116</v>
      </c>
      <c r="U510" s="101">
        <f t="shared" si="542"/>
        <v>0</v>
      </c>
      <c r="V510" s="101">
        <f t="shared" si="542"/>
        <v>2823475.9405773715</v>
      </c>
      <c r="W510" s="101">
        <f t="shared" si="542"/>
        <v>4478897.6535144858</v>
      </c>
      <c r="X510" s="101">
        <f t="shared" si="542"/>
        <v>1436859.1246300009</v>
      </c>
      <c r="Y510" s="101">
        <f t="shared" si="542"/>
        <v>2118227.3894455666</v>
      </c>
      <c r="Z510" s="101">
        <f t="shared" si="542"/>
        <v>369799.43338242033</v>
      </c>
      <c r="AA510" s="101">
        <f t="shared" si="542"/>
        <v>329076.905193354</v>
      </c>
      <c r="AB510" s="101">
        <f t="shared" si="542"/>
        <v>204098.54165836229</v>
      </c>
      <c r="AC510" s="101">
        <f t="shared" si="542"/>
        <v>6388719.5122327032</v>
      </c>
      <c r="AD510" s="101">
        <f t="shared" si="542"/>
        <v>241551.32076187784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100294209.5631099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3">IF(VLOOKUP($D519,$C$5:$AJ$644,6,)=0,0,((VLOOKUP($D519,$C$5:$AJ$644,6,)/VLOOKUP($D519,$C$5:$AJ$644,4,))*$F519))</f>
        <v>3683645.3393441848</v>
      </c>
      <c r="I519" s="101">
        <f t="shared" ref="I519:I530" si="544">IF(VLOOKUP($D519,$C$5:$AJ$644,7,)=0,0,((VLOOKUP($D519,$C$5:$AJ$644,7,)/VLOOKUP($D519,$C$5:$AJ$644,4,))*$F519))</f>
        <v>3472490.4952910976</v>
      </c>
      <c r="J519" s="101">
        <f t="shared" ref="J519:J530" si="545">IF(VLOOKUP($D519,$C$5:$AJ$644,8,)=0,0,((VLOOKUP($D519,$C$5:$AJ$644,8,)/VLOOKUP($D519,$C$5:$AJ$644,4,))*$F519))</f>
        <v>3566271.7106509367</v>
      </c>
      <c r="K519" s="101">
        <f t="shared" ref="K519:K530" si="546">IF(VLOOKUP($D519,$C$5:$AJ$644,9,)=0,0,((VLOOKUP($D519,$C$5:$AJ$644,9,)/VLOOKUP($D519,$C$5:$AJ$644,4,))*$F519))</f>
        <v>7680251.7760352762</v>
      </c>
      <c r="L519" s="101">
        <f t="shared" ref="L519:L530" si="547">IF(VLOOKUP($D519,$C$5:$AJ$644,10,)=0,0,((VLOOKUP($D519,$C$5:$AJ$644,10,)/VLOOKUP($D519,$C$5:$AJ$644,4,))*$F519))</f>
        <v>0</v>
      </c>
      <c r="M519" s="101">
        <f t="shared" ref="M519:M530" si="548">IF(VLOOKUP($D519,$C$5:$AJ$644,11,)=0,0,((VLOOKUP($D519,$C$5:$AJ$644,11,)/VLOOKUP($D519,$C$5:$AJ$644,4,))*$F519))</f>
        <v>0</v>
      </c>
      <c r="N519" s="101"/>
      <c r="O519" s="101">
        <f t="shared" ref="O519:O530" si="549">IF(VLOOKUP($D519,$C$5:$AJ$644,13,)=0,0,((VLOOKUP($D519,$C$5:$AJ$644,13,)/VLOOKUP($D519,$C$5:$AJ$644,4,))*$F519))</f>
        <v>2272731.8942555198</v>
      </c>
      <c r="P519" s="101">
        <f t="shared" ref="P519:P530" si="550">IF(VLOOKUP($D519,$C$5:$AJ$644,14,)=0,0,((VLOOKUP($D519,$C$5:$AJ$644,14,)/VLOOKUP($D519,$C$5:$AJ$644,4,))*$F519))</f>
        <v>0</v>
      </c>
      <c r="Q519" s="101">
        <f t="shared" ref="Q519:Q530" si="551">IF(VLOOKUP($D519,$C$5:$AJ$644,15,)=0,0,((VLOOKUP($D519,$C$5:$AJ$644,15,)/VLOOKUP($D519,$C$5:$AJ$644,4,))*$F519))</f>
        <v>0</v>
      </c>
      <c r="R519" s="101"/>
      <c r="S519" s="101">
        <f t="shared" ref="S519:S530" si="552">IF(VLOOKUP($D519,$C$5:$AJ$644,17,)=0,0,((VLOOKUP($D519,$C$5:$AJ$644,17,)/VLOOKUP($D519,$C$5:$AJ$644,4,))*$F519))</f>
        <v>0</v>
      </c>
      <c r="T519" s="101">
        <f t="shared" ref="T519:T530" si="553">IF(VLOOKUP($D519,$C$5:$AJ$644,18,)=0,0,((VLOOKUP($D519,$C$5:$AJ$644,18,)/VLOOKUP($D519,$C$5:$AJ$644,4,))*$F519))</f>
        <v>796958.93112320057</v>
      </c>
      <c r="U519" s="101">
        <f t="shared" ref="U519:U530" si="554">IF(VLOOKUP($D519,$C$5:$AJ$644,19,)=0,0,((VLOOKUP($D519,$C$5:$AJ$644,19,)/VLOOKUP($D519,$C$5:$AJ$644,4,))*$F519))</f>
        <v>0</v>
      </c>
      <c r="V519" s="101">
        <f t="shared" ref="V519:V530" si="555">IF(VLOOKUP($D519,$C$5:$AJ$644,20,)=0,0,((VLOOKUP($D519,$C$5:$AJ$644,20,)/VLOOKUP($D519,$C$5:$AJ$644,4,))*$F519))</f>
        <v>951795.37985271274</v>
      </c>
      <c r="W519" s="101">
        <f t="shared" ref="W519:W530" si="556">IF(VLOOKUP($D519,$C$5:$AJ$644,21,)=0,0,((VLOOKUP($D519,$C$5:$AJ$644,21,)/VLOOKUP($D519,$C$5:$AJ$644,4,))*$F519))</f>
        <v>1509839.0009926932</v>
      </c>
      <c r="X519" s="101">
        <f t="shared" ref="X519:X530" si="557">IF(VLOOKUP($D519,$C$5:$AJ$644,22,)=0,0,((VLOOKUP($D519,$C$5:$AJ$644,22,)/VLOOKUP($D519,$C$5:$AJ$644,4,))*$F519))</f>
        <v>484366.0456488214</v>
      </c>
      <c r="Y519" s="101">
        <f t="shared" ref="Y519:Y530" si="558">IF(VLOOKUP($D519,$C$5:$AJ$644,23,)=0,0,((VLOOKUP($D519,$C$5:$AJ$644,23,)/VLOOKUP($D519,$C$5:$AJ$644,4,))*$F519))</f>
        <v>714055.68355559919</v>
      </c>
      <c r="Z519" s="101">
        <f t="shared" ref="Z519:Z530" si="559">IF(VLOOKUP($D519,$C$5:$AJ$644,24,)=0,0,((VLOOKUP($D519,$C$5:$AJ$644,24,)/VLOOKUP($D519,$C$5:$AJ$644,4,))*$F519))</f>
        <v>124659.60382632614</v>
      </c>
      <c r="AA519" s="101">
        <f t="shared" ref="AA519:AA530" si="560">IF(VLOOKUP($D519,$C$5:$AJ$644,25,)=0,0,((VLOOKUP($D519,$C$5:$AJ$644,25,)/VLOOKUP($D519,$C$5:$AJ$644,4,))*$F519))</f>
        <v>110932.0159162449</v>
      </c>
      <c r="AB519" s="101">
        <f t="shared" ref="AB519:AB530" si="561">IF(VLOOKUP($D519,$C$5:$AJ$644,26,)=0,0,((VLOOKUP($D519,$C$5:$AJ$644,26,)/VLOOKUP($D519,$C$5:$AJ$644,4,))*$F519))</f>
        <v>68801.736963050411</v>
      </c>
      <c r="AC519" s="101">
        <f t="shared" ref="AC519:AC530" si="562">IF(VLOOKUP($D519,$C$5:$AJ$644,27,)=0,0,((VLOOKUP($D519,$C$5:$AJ$644,27,)/VLOOKUP($D519,$C$5:$AJ$644,4,))*$F519))</f>
        <v>2153641.0590679632</v>
      </c>
      <c r="AD519" s="101">
        <f t="shared" ref="AD519:AD530" si="563">IF(VLOOKUP($D519,$C$5:$AJ$644,28,)=0,0,((VLOOKUP($D519,$C$5:$AJ$644,28,)/VLOOKUP($D519,$C$5:$AJ$644,4,))*$F519))</f>
        <v>81427.09055684827</v>
      </c>
      <c r="AE519" s="101"/>
      <c r="AF519" s="101">
        <f t="shared" ref="AF519:AF530" si="564">IF(VLOOKUP($D519,$C$5:$AJ$644,30,)=0,0,((VLOOKUP($D519,$C$5:$AJ$644,30,)/VLOOKUP($D519,$C$5:$AJ$644,4,))*$F519))</f>
        <v>5395654.7036261335</v>
      </c>
      <c r="AG519" s="101"/>
      <c r="AH519" s="101">
        <f t="shared" ref="AH519:AH530" si="565">IF(VLOOKUP($D519,$C$5:$AJ$644,32,)=0,0,((VLOOKUP($D519,$C$5:$AJ$644,32,)/VLOOKUP($D519,$C$5:$AJ$644,4,))*$F519))</f>
        <v>741713.84243199381</v>
      </c>
      <c r="AI519" s="101"/>
      <c r="AJ519" s="101">
        <f t="shared" ref="AJ519:AJ530" si="566">IF(VLOOKUP($D519,$C$5:$AJ$644,34,)=0,0,((VLOOKUP($D519,$C$5:$AJ$644,34,)/VLOOKUP($D519,$C$5:$AJ$644,4,))*$F519))</f>
        <v>0</v>
      </c>
      <c r="AK519" s="101">
        <f t="shared" ref="AK519:AK530" si="567">SUM(H519:AJ519)</f>
        <v>33809236.309138596</v>
      </c>
      <c r="AL519" s="98" t="str">
        <f t="shared" ref="AL519:AL530" si="568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3"/>
        <v>0</v>
      </c>
      <c r="I520" s="101">
        <f t="shared" si="544"/>
        <v>0</v>
      </c>
      <c r="J520" s="101">
        <f t="shared" si="545"/>
        <v>0</v>
      </c>
      <c r="K520" s="101">
        <f t="shared" si="546"/>
        <v>0</v>
      </c>
      <c r="L520" s="101">
        <f t="shared" si="547"/>
        <v>0</v>
      </c>
      <c r="M520" s="101">
        <f t="shared" si="548"/>
        <v>0</v>
      </c>
      <c r="N520" s="101"/>
      <c r="O520" s="101">
        <f t="shared" si="549"/>
        <v>0</v>
      </c>
      <c r="P520" s="101">
        <f t="shared" si="550"/>
        <v>0</v>
      </c>
      <c r="Q520" s="101">
        <f t="shared" si="551"/>
        <v>0</v>
      </c>
      <c r="R520" s="101"/>
      <c r="S520" s="101">
        <f t="shared" si="552"/>
        <v>0</v>
      </c>
      <c r="T520" s="101">
        <f t="shared" si="553"/>
        <v>0</v>
      </c>
      <c r="U520" s="101">
        <f t="shared" si="554"/>
        <v>0</v>
      </c>
      <c r="V520" s="101">
        <f t="shared" si="555"/>
        <v>0</v>
      </c>
      <c r="W520" s="101">
        <f t="shared" si="556"/>
        <v>0</v>
      </c>
      <c r="X520" s="101">
        <f t="shared" si="557"/>
        <v>0</v>
      </c>
      <c r="Y520" s="101">
        <f t="shared" si="558"/>
        <v>0</v>
      </c>
      <c r="Z520" s="101">
        <f t="shared" si="559"/>
        <v>0</v>
      </c>
      <c r="AA520" s="101">
        <f t="shared" si="560"/>
        <v>0</v>
      </c>
      <c r="AB520" s="101">
        <f t="shared" si="561"/>
        <v>0</v>
      </c>
      <c r="AC520" s="101">
        <f t="shared" si="562"/>
        <v>0</v>
      </c>
      <c r="AD520" s="101">
        <f t="shared" si="563"/>
        <v>0</v>
      </c>
      <c r="AE520" s="101"/>
      <c r="AF520" s="101">
        <f t="shared" si="564"/>
        <v>0</v>
      </c>
      <c r="AG520" s="101"/>
      <c r="AH520" s="101">
        <f t="shared" si="565"/>
        <v>0</v>
      </c>
      <c r="AI520" s="101"/>
      <c r="AJ520" s="101">
        <f t="shared" si="566"/>
        <v>0</v>
      </c>
      <c r="AK520" s="101">
        <f t="shared" si="567"/>
        <v>0</v>
      </c>
      <c r="AL520" s="98" t="str">
        <f t="shared" si="568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3"/>
        <v>-344420.82258848159</v>
      </c>
      <c r="I521" s="101">
        <f t="shared" si="544"/>
        <v>-324677.8456233716</v>
      </c>
      <c r="J521" s="101">
        <f t="shared" si="545"/>
        <v>-333446.38883587695</v>
      </c>
      <c r="K521" s="101">
        <f t="shared" si="546"/>
        <v>-718103.50636515394</v>
      </c>
      <c r="L521" s="101">
        <f t="shared" si="547"/>
        <v>0</v>
      </c>
      <c r="M521" s="101">
        <f t="shared" si="548"/>
        <v>0</v>
      </c>
      <c r="N521" s="101"/>
      <c r="O521" s="101">
        <f t="shared" si="549"/>
        <v>-212500.42184623698</v>
      </c>
      <c r="P521" s="101">
        <f t="shared" si="550"/>
        <v>0</v>
      </c>
      <c r="Q521" s="101">
        <f t="shared" si="551"/>
        <v>0</v>
      </c>
      <c r="R521" s="101"/>
      <c r="S521" s="101">
        <f t="shared" si="552"/>
        <v>0</v>
      </c>
      <c r="T521" s="101">
        <f t="shared" si="553"/>
        <v>-74515.656459901831</v>
      </c>
      <c r="U521" s="101">
        <f t="shared" si="554"/>
        <v>0</v>
      </c>
      <c r="V521" s="101">
        <f t="shared" si="555"/>
        <v>-88992.863716665641</v>
      </c>
      <c r="W521" s="101">
        <f t="shared" si="556"/>
        <v>-141169.93977239297</v>
      </c>
      <c r="X521" s="101">
        <f t="shared" si="557"/>
        <v>-45288.223080129035</v>
      </c>
      <c r="Y521" s="101">
        <f t="shared" si="558"/>
        <v>-66764.203186831481</v>
      </c>
      <c r="Z521" s="101">
        <f t="shared" si="559"/>
        <v>-11655.672394634345</v>
      </c>
      <c r="AA521" s="101">
        <f t="shared" si="560"/>
        <v>-10372.142987053636</v>
      </c>
      <c r="AB521" s="101">
        <f t="shared" si="561"/>
        <v>-6432.9620952458454</v>
      </c>
      <c r="AC521" s="101">
        <f t="shared" si="562"/>
        <v>-201365.42929417168</v>
      </c>
      <c r="AD521" s="101">
        <f t="shared" si="563"/>
        <v>-7613.4325992332006</v>
      </c>
      <c r="AE521" s="101"/>
      <c r="AF521" s="101">
        <f t="shared" si="564"/>
        <v>-504493.690415152</v>
      </c>
      <c r="AG521" s="101"/>
      <c r="AH521" s="101">
        <f t="shared" si="565"/>
        <v>-69350.24091683366</v>
      </c>
      <c r="AI521" s="101"/>
      <c r="AJ521" s="101">
        <f t="shared" si="566"/>
        <v>0</v>
      </c>
      <c r="AK521" s="101">
        <f>SUM(H521:AJ521)</f>
        <v>-3161163.442177366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3"/>
        <v>0</v>
      </c>
      <c r="I522" s="101">
        <f t="shared" si="544"/>
        <v>0</v>
      </c>
      <c r="J522" s="101">
        <f t="shared" si="545"/>
        <v>0</v>
      </c>
      <c r="K522" s="101">
        <f t="shared" si="546"/>
        <v>0</v>
      </c>
      <c r="L522" s="101">
        <f t="shared" si="547"/>
        <v>0</v>
      </c>
      <c r="M522" s="101">
        <f t="shared" si="548"/>
        <v>0</v>
      </c>
      <c r="N522" s="101"/>
      <c r="O522" s="101">
        <f t="shared" si="549"/>
        <v>0</v>
      </c>
      <c r="P522" s="101">
        <f t="shared" si="550"/>
        <v>0</v>
      </c>
      <c r="Q522" s="101">
        <f t="shared" si="551"/>
        <v>0</v>
      </c>
      <c r="R522" s="101"/>
      <c r="S522" s="101">
        <f t="shared" si="552"/>
        <v>0</v>
      </c>
      <c r="T522" s="101">
        <f t="shared" si="553"/>
        <v>0</v>
      </c>
      <c r="U522" s="101">
        <f t="shared" si="554"/>
        <v>0</v>
      </c>
      <c r="V522" s="101">
        <f t="shared" si="555"/>
        <v>0</v>
      </c>
      <c r="W522" s="101">
        <f t="shared" si="556"/>
        <v>0</v>
      </c>
      <c r="X522" s="101">
        <f t="shared" si="557"/>
        <v>0</v>
      </c>
      <c r="Y522" s="101">
        <f t="shared" si="558"/>
        <v>0</v>
      </c>
      <c r="Z522" s="101">
        <f t="shared" si="559"/>
        <v>0</v>
      </c>
      <c r="AA522" s="101">
        <f t="shared" si="560"/>
        <v>0</v>
      </c>
      <c r="AB522" s="101">
        <f t="shared" si="561"/>
        <v>0</v>
      </c>
      <c r="AC522" s="101">
        <f t="shared" si="562"/>
        <v>0</v>
      </c>
      <c r="AD522" s="101">
        <f t="shared" si="563"/>
        <v>0</v>
      </c>
      <c r="AE522" s="101"/>
      <c r="AF522" s="101">
        <f t="shared" si="564"/>
        <v>0</v>
      </c>
      <c r="AG522" s="101"/>
      <c r="AH522" s="101">
        <f t="shared" si="565"/>
        <v>0</v>
      </c>
      <c r="AI522" s="101"/>
      <c r="AJ522" s="101">
        <f t="shared" si="566"/>
        <v>0</v>
      </c>
      <c r="AK522" s="101">
        <f t="shared" si="567"/>
        <v>0</v>
      </c>
      <c r="AL522" s="98" t="str">
        <f t="shared" si="568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3"/>
        <v>0</v>
      </c>
      <c r="I523" s="101">
        <f t="shared" si="544"/>
        <v>0</v>
      </c>
      <c r="J523" s="101">
        <f t="shared" si="545"/>
        <v>0</v>
      </c>
      <c r="K523" s="101">
        <f t="shared" si="546"/>
        <v>0</v>
      </c>
      <c r="L523" s="101">
        <f t="shared" si="547"/>
        <v>0</v>
      </c>
      <c r="M523" s="101">
        <f t="shared" si="548"/>
        <v>0</v>
      </c>
      <c r="N523" s="101"/>
      <c r="O523" s="101">
        <f t="shared" si="549"/>
        <v>0</v>
      </c>
      <c r="P523" s="101">
        <f t="shared" si="550"/>
        <v>0</v>
      </c>
      <c r="Q523" s="101">
        <f t="shared" si="551"/>
        <v>0</v>
      </c>
      <c r="R523" s="101"/>
      <c r="S523" s="101">
        <f t="shared" si="552"/>
        <v>0</v>
      </c>
      <c r="T523" s="101">
        <f t="shared" si="553"/>
        <v>0</v>
      </c>
      <c r="U523" s="101">
        <f t="shared" si="554"/>
        <v>0</v>
      </c>
      <c r="V523" s="101">
        <f t="shared" si="555"/>
        <v>0</v>
      </c>
      <c r="W523" s="101">
        <f t="shared" si="556"/>
        <v>0</v>
      </c>
      <c r="X523" s="101">
        <f t="shared" si="557"/>
        <v>0</v>
      </c>
      <c r="Y523" s="101">
        <f t="shared" si="558"/>
        <v>0</v>
      </c>
      <c r="Z523" s="101">
        <f t="shared" si="559"/>
        <v>0</v>
      </c>
      <c r="AA523" s="101">
        <f t="shared" si="560"/>
        <v>0</v>
      </c>
      <c r="AB523" s="101">
        <f t="shared" si="561"/>
        <v>0</v>
      </c>
      <c r="AC523" s="101">
        <f t="shared" si="562"/>
        <v>0</v>
      </c>
      <c r="AD523" s="101">
        <f t="shared" si="563"/>
        <v>0</v>
      </c>
      <c r="AE523" s="101"/>
      <c r="AF523" s="101">
        <f t="shared" si="564"/>
        <v>0</v>
      </c>
      <c r="AG523" s="101"/>
      <c r="AH523" s="101">
        <f t="shared" si="565"/>
        <v>0</v>
      </c>
      <c r="AI523" s="101"/>
      <c r="AJ523" s="101">
        <f t="shared" si="566"/>
        <v>0</v>
      </c>
      <c r="AK523" s="101">
        <f t="shared" si="567"/>
        <v>0</v>
      </c>
      <c r="AL523" s="98" t="str">
        <f t="shared" si="568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3"/>
        <v>61044.326432632093</v>
      </c>
      <c r="I524" s="101">
        <f t="shared" si="544"/>
        <v>57545.128208922797</v>
      </c>
      <c r="J524" s="101">
        <f t="shared" si="545"/>
        <v>59099.243927537071</v>
      </c>
      <c r="K524" s="101">
        <f t="shared" si="546"/>
        <v>127274.95546152894</v>
      </c>
      <c r="L524" s="101">
        <f t="shared" si="547"/>
        <v>0</v>
      </c>
      <c r="M524" s="101">
        <f t="shared" si="548"/>
        <v>0</v>
      </c>
      <c r="N524" s="101"/>
      <c r="O524" s="101">
        <f t="shared" si="549"/>
        <v>37663.068744693061</v>
      </c>
      <c r="P524" s="101">
        <f t="shared" si="550"/>
        <v>0</v>
      </c>
      <c r="Q524" s="101">
        <f t="shared" si="551"/>
        <v>0</v>
      </c>
      <c r="R524" s="101"/>
      <c r="S524" s="101">
        <f t="shared" si="552"/>
        <v>0</v>
      </c>
      <c r="T524" s="101">
        <f t="shared" si="553"/>
        <v>13206.977508195059</v>
      </c>
      <c r="U524" s="101">
        <f t="shared" si="554"/>
        <v>0</v>
      </c>
      <c r="V524" s="101">
        <f t="shared" si="555"/>
        <v>15772.883248077338</v>
      </c>
      <c r="W524" s="101">
        <f t="shared" si="556"/>
        <v>25020.623959885888</v>
      </c>
      <c r="X524" s="101">
        <f t="shared" si="557"/>
        <v>8026.7768147120023</v>
      </c>
      <c r="Y524" s="101">
        <f t="shared" si="558"/>
        <v>11833.128388468738</v>
      </c>
      <c r="Z524" s="101">
        <f t="shared" si="559"/>
        <v>2065.8236197873607</v>
      </c>
      <c r="AA524" s="101">
        <f t="shared" si="560"/>
        <v>1838.3339240326538</v>
      </c>
      <c r="AB524" s="101">
        <f t="shared" si="561"/>
        <v>1140.1628830674222</v>
      </c>
      <c r="AC524" s="101">
        <f t="shared" si="562"/>
        <v>35689.529180317331</v>
      </c>
      <c r="AD524" s="101">
        <f t="shared" si="563"/>
        <v>1349.3866641615091</v>
      </c>
      <c r="AE524" s="101"/>
      <c r="AF524" s="101">
        <f t="shared" si="564"/>
        <v>89415.260347664298</v>
      </c>
      <c r="AG524" s="101"/>
      <c r="AH524" s="101">
        <f t="shared" si="565"/>
        <v>12291.471557650391</v>
      </c>
      <c r="AI524" s="101"/>
      <c r="AJ524" s="101">
        <f t="shared" si="566"/>
        <v>0</v>
      </c>
      <c r="AK524" s="101">
        <f t="shared" si="567"/>
        <v>560277.08087133395</v>
      </c>
      <c r="AL524" s="98" t="str">
        <f t="shared" si="568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3"/>
        <v>4290706.1138468357</v>
      </c>
      <c r="I525" s="101">
        <f t="shared" si="544"/>
        <v>4044753.1794885411</v>
      </c>
      <c r="J525" s="101">
        <f t="shared" si="545"/>
        <v>4153989.437879282</v>
      </c>
      <c r="K525" s="101">
        <f t="shared" si="546"/>
        <v>8945948.9759631604</v>
      </c>
      <c r="L525" s="101">
        <f t="shared" si="547"/>
        <v>0</v>
      </c>
      <c r="M525" s="101">
        <f t="shared" si="548"/>
        <v>0</v>
      </c>
      <c r="N525" s="101"/>
      <c r="O525" s="101">
        <f t="shared" si="549"/>
        <v>2647275.6564433486</v>
      </c>
      <c r="P525" s="101">
        <f t="shared" si="550"/>
        <v>0</v>
      </c>
      <c r="Q525" s="101">
        <f t="shared" si="551"/>
        <v>0</v>
      </c>
      <c r="R525" s="101"/>
      <c r="S525" s="101">
        <f t="shared" si="552"/>
        <v>0</v>
      </c>
      <c r="T525" s="101">
        <f t="shared" si="553"/>
        <v>928296.90245476959</v>
      </c>
      <c r="U525" s="101">
        <f t="shared" si="554"/>
        <v>0</v>
      </c>
      <c r="V525" s="101">
        <f t="shared" si="555"/>
        <v>1108650.2307500306</v>
      </c>
      <c r="W525" s="101">
        <f t="shared" si="556"/>
        <v>1758658.83810549</v>
      </c>
      <c r="X525" s="101">
        <f t="shared" si="557"/>
        <v>564189.04697682348</v>
      </c>
      <c r="Y525" s="101">
        <f t="shared" si="558"/>
        <v>831731.28920292645</v>
      </c>
      <c r="Z525" s="101">
        <f t="shared" si="559"/>
        <v>145203.37193552096</v>
      </c>
      <c r="AA525" s="101">
        <f t="shared" si="560"/>
        <v>129213.49236024079</v>
      </c>
      <c r="AB525" s="101">
        <f t="shared" si="561"/>
        <v>80140.188925788199</v>
      </c>
      <c r="AC525" s="101">
        <f t="shared" si="562"/>
        <v>2508558.7802053806</v>
      </c>
      <c r="AD525" s="101">
        <f t="shared" si="563"/>
        <v>94846.187159600537</v>
      </c>
      <c r="AE525" s="101"/>
      <c r="AF525" s="101">
        <f t="shared" si="564"/>
        <v>6284852.7728179144</v>
      </c>
      <c r="AG525" s="101"/>
      <c r="AH525" s="101">
        <f t="shared" si="565"/>
        <v>863947.48279821477</v>
      </c>
      <c r="AI525" s="101"/>
      <c r="AJ525" s="101">
        <f t="shared" si="566"/>
        <v>0</v>
      </c>
      <c r="AK525" s="101">
        <f t="shared" si="567"/>
        <v>39380961.947313868</v>
      </c>
      <c r="AL525" s="98" t="str">
        <f t="shared" si="568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3"/>
        <v>0</v>
      </c>
      <c r="I526" s="101">
        <f t="shared" si="544"/>
        <v>0</v>
      </c>
      <c r="J526" s="101">
        <f t="shared" si="545"/>
        <v>0</v>
      </c>
      <c r="K526" s="101">
        <f t="shared" si="546"/>
        <v>0</v>
      </c>
      <c r="L526" s="101">
        <f t="shared" si="547"/>
        <v>0</v>
      </c>
      <c r="M526" s="101">
        <f t="shared" si="548"/>
        <v>0</v>
      </c>
      <c r="N526" s="101"/>
      <c r="O526" s="101">
        <f t="shared" si="549"/>
        <v>0</v>
      </c>
      <c r="P526" s="101">
        <f t="shared" si="550"/>
        <v>0</v>
      </c>
      <c r="Q526" s="101">
        <f t="shared" si="551"/>
        <v>0</v>
      </c>
      <c r="R526" s="101"/>
      <c r="S526" s="101">
        <f t="shared" si="552"/>
        <v>0</v>
      </c>
      <c r="T526" s="101">
        <f t="shared" si="553"/>
        <v>0</v>
      </c>
      <c r="U526" s="101">
        <f t="shared" si="554"/>
        <v>0</v>
      </c>
      <c r="V526" s="101">
        <f t="shared" si="555"/>
        <v>0</v>
      </c>
      <c r="W526" s="101">
        <f t="shared" si="556"/>
        <v>0</v>
      </c>
      <c r="X526" s="101">
        <f t="shared" si="557"/>
        <v>0</v>
      </c>
      <c r="Y526" s="101">
        <f t="shared" si="558"/>
        <v>0</v>
      </c>
      <c r="Z526" s="101">
        <f t="shared" si="559"/>
        <v>0</v>
      </c>
      <c r="AA526" s="101">
        <f t="shared" si="560"/>
        <v>0</v>
      </c>
      <c r="AB526" s="101">
        <f t="shared" si="561"/>
        <v>0</v>
      </c>
      <c r="AC526" s="101">
        <f t="shared" si="562"/>
        <v>0</v>
      </c>
      <c r="AD526" s="101">
        <f t="shared" si="563"/>
        <v>0</v>
      </c>
      <c r="AE526" s="101"/>
      <c r="AF526" s="101">
        <f t="shared" si="564"/>
        <v>0</v>
      </c>
      <c r="AG526" s="101"/>
      <c r="AH526" s="101">
        <f t="shared" si="565"/>
        <v>0</v>
      </c>
      <c r="AI526" s="101"/>
      <c r="AJ526" s="101">
        <f t="shared" si="566"/>
        <v>0</v>
      </c>
      <c r="AK526" s="101">
        <f t="shared" si="567"/>
        <v>0</v>
      </c>
      <c r="AL526" s="98" t="str">
        <f t="shared" si="568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3"/>
        <v>0</v>
      </c>
      <c r="I527" s="101">
        <f t="shared" si="544"/>
        <v>0</v>
      </c>
      <c r="J527" s="101">
        <f t="shared" si="545"/>
        <v>0</v>
      </c>
      <c r="K527" s="101">
        <f t="shared" si="546"/>
        <v>0</v>
      </c>
      <c r="L527" s="101">
        <f t="shared" si="547"/>
        <v>0</v>
      </c>
      <c r="M527" s="101">
        <f t="shared" si="548"/>
        <v>0</v>
      </c>
      <c r="N527" s="101"/>
      <c r="O527" s="101">
        <f t="shared" si="549"/>
        <v>0</v>
      </c>
      <c r="P527" s="101">
        <f t="shared" si="550"/>
        <v>0</v>
      </c>
      <c r="Q527" s="101">
        <f t="shared" si="551"/>
        <v>0</v>
      </c>
      <c r="R527" s="101"/>
      <c r="S527" s="101">
        <f t="shared" si="552"/>
        <v>0</v>
      </c>
      <c r="T527" s="101">
        <f t="shared" si="553"/>
        <v>0</v>
      </c>
      <c r="U527" s="101">
        <f t="shared" si="554"/>
        <v>0</v>
      </c>
      <c r="V527" s="101">
        <f t="shared" si="555"/>
        <v>0</v>
      </c>
      <c r="W527" s="101">
        <f t="shared" si="556"/>
        <v>0</v>
      </c>
      <c r="X527" s="101">
        <f t="shared" si="557"/>
        <v>0</v>
      </c>
      <c r="Y527" s="101">
        <f t="shared" si="558"/>
        <v>0</v>
      </c>
      <c r="Z527" s="101">
        <f t="shared" si="559"/>
        <v>0</v>
      </c>
      <c r="AA527" s="101">
        <f t="shared" si="560"/>
        <v>0</v>
      </c>
      <c r="AB527" s="101">
        <f t="shared" si="561"/>
        <v>0</v>
      </c>
      <c r="AC527" s="101">
        <f t="shared" si="562"/>
        <v>0</v>
      </c>
      <c r="AD527" s="101">
        <f t="shared" si="563"/>
        <v>0</v>
      </c>
      <c r="AE527" s="101"/>
      <c r="AF527" s="101">
        <f t="shared" si="564"/>
        <v>0</v>
      </c>
      <c r="AG527" s="101"/>
      <c r="AH527" s="101">
        <f t="shared" si="565"/>
        <v>0</v>
      </c>
      <c r="AI527" s="101"/>
      <c r="AJ527" s="101">
        <f t="shared" si="566"/>
        <v>0</v>
      </c>
      <c r="AK527" s="101">
        <f t="shared" si="567"/>
        <v>0</v>
      </c>
      <c r="AL527" s="98" t="str">
        <f t="shared" si="568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3"/>
        <v>0</v>
      </c>
      <c r="I528" s="101">
        <f t="shared" si="544"/>
        <v>0</v>
      </c>
      <c r="J528" s="101">
        <f t="shared" si="545"/>
        <v>0</v>
      </c>
      <c r="K528" s="101">
        <f t="shared" si="546"/>
        <v>0</v>
      </c>
      <c r="L528" s="101">
        <f t="shared" si="547"/>
        <v>0</v>
      </c>
      <c r="M528" s="101">
        <f t="shared" si="548"/>
        <v>0</v>
      </c>
      <c r="N528" s="101"/>
      <c r="O528" s="101">
        <f t="shared" si="549"/>
        <v>0</v>
      </c>
      <c r="P528" s="101">
        <f t="shared" si="550"/>
        <v>0</v>
      </c>
      <c r="Q528" s="101">
        <f t="shared" si="551"/>
        <v>0</v>
      </c>
      <c r="R528" s="101"/>
      <c r="S528" s="101">
        <f t="shared" si="552"/>
        <v>0</v>
      </c>
      <c r="T528" s="101">
        <f t="shared" si="553"/>
        <v>0</v>
      </c>
      <c r="U528" s="101">
        <f t="shared" si="554"/>
        <v>0</v>
      </c>
      <c r="V528" s="101">
        <f t="shared" si="555"/>
        <v>0</v>
      </c>
      <c r="W528" s="101">
        <f t="shared" si="556"/>
        <v>0</v>
      </c>
      <c r="X528" s="101">
        <f t="shared" si="557"/>
        <v>0</v>
      </c>
      <c r="Y528" s="101">
        <f t="shared" si="558"/>
        <v>0</v>
      </c>
      <c r="Z528" s="101">
        <f t="shared" si="559"/>
        <v>0</v>
      </c>
      <c r="AA528" s="101">
        <f t="shared" si="560"/>
        <v>0</v>
      </c>
      <c r="AB528" s="101">
        <f t="shared" si="561"/>
        <v>0</v>
      </c>
      <c r="AC528" s="101">
        <f t="shared" si="562"/>
        <v>0</v>
      </c>
      <c r="AD528" s="101">
        <f t="shared" si="563"/>
        <v>0</v>
      </c>
      <c r="AE528" s="101"/>
      <c r="AF528" s="101">
        <f t="shared" si="564"/>
        <v>0</v>
      </c>
      <c r="AG528" s="101"/>
      <c r="AH528" s="101">
        <f t="shared" si="565"/>
        <v>0</v>
      </c>
      <c r="AI528" s="101"/>
      <c r="AJ528" s="101">
        <f t="shared" si="566"/>
        <v>0</v>
      </c>
      <c r="AK528" s="101">
        <f t="shared" si="567"/>
        <v>0</v>
      </c>
      <c r="AL528" s="98" t="str">
        <f t="shared" si="568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3"/>
        <v>0</v>
      </c>
      <c r="I529" s="101">
        <f t="shared" si="544"/>
        <v>0</v>
      </c>
      <c r="J529" s="101">
        <f t="shared" si="545"/>
        <v>0</v>
      </c>
      <c r="K529" s="101">
        <f t="shared" si="546"/>
        <v>0</v>
      </c>
      <c r="L529" s="101">
        <f t="shared" si="547"/>
        <v>0</v>
      </c>
      <c r="M529" s="101">
        <f t="shared" si="548"/>
        <v>0</v>
      </c>
      <c r="N529" s="101"/>
      <c r="O529" s="101">
        <f t="shared" si="549"/>
        <v>0</v>
      </c>
      <c r="P529" s="101">
        <f t="shared" si="550"/>
        <v>0</v>
      </c>
      <c r="Q529" s="101">
        <f t="shared" si="551"/>
        <v>0</v>
      </c>
      <c r="R529" s="101"/>
      <c r="S529" s="101">
        <f t="shared" si="552"/>
        <v>0</v>
      </c>
      <c r="T529" s="101">
        <f t="shared" si="553"/>
        <v>0</v>
      </c>
      <c r="U529" s="101">
        <f t="shared" si="554"/>
        <v>0</v>
      </c>
      <c r="V529" s="101">
        <f t="shared" si="555"/>
        <v>0</v>
      </c>
      <c r="W529" s="101">
        <f t="shared" si="556"/>
        <v>0</v>
      </c>
      <c r="X529" s="101">
        <f t="shared" si="557"/>
        <v>0</v>
      </c>
      <c r="Y529" s="101">
        <f t="shared" si="558"/>
        <v>0</v>
      </c>
      <c r="Z529" s="101">
        <f t="shared" si="559"/>
        <v>0</v>
      </c>
      <c r="AA529" s="101">
        <f t="shared" si="560"/>
        <v>0</v>
      </c>
      <c r="AB529" s="101">
        <f t="shared" si="561"/>
        <v>0</v>
      </c>
      <c r="AC529" s="101">
        <f t="shared" si="562"/>
        <v>0</v>
      </c>
      <c r="AD529" s="101">
        <f t="shared" si="563"/>
        <v>0</v>
      </c>
      <c r="AE529" s="101"/>
      <c r="AF529" s="101">
        <f t="shared" si="564"/>
        <v>0</v>
      </c>
      <c r="AG529" s="101"/>
      <c r="AH529" s="101">
        <f t="shared" si="565"/>
        <v>0</v>
      </c>
      <c r="AI529" s="101"/>
      <c r="AJ529" s="101">
        <f t="shared" si="566"/>
        <v>0</v>
      </c>
      <c r="AK529" s="101">
        <f t="shared" si="567"/>
        <v>0</v>
      </c>
      <c r="AL529" s="98" t="str">
        <f t="shared" si="568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3"/>
        <v>124256.44586772198</v>
      </c>
      <c r="I530" s="101">
        <f t="shared" si="544"/>
        <v>130166.49177401904</v>
      </c>
      <c r="J530" s="101">
        <f t="shared" si="545"/>
        <v>106996.41731414736</v>
      </c>
      <c r="K530" s="101">
        <f t="shared" si="546"/>
        <v>0</v>
      </c>
      <c r="L530" s="101">
        <f t="shared" si="547"/>
        <v>0</v>
      </c>
      <c r="M530" s="101">
        <f t="shared" si="548"/>
        <v>0</v>
      </c>
      <c r="N530" s="101"/>
      <c r="O530" s="101">
        <f t="shared" si="549"/>
        <v>78121.849717167759</v>
      </c>
      <c r="P530" s="101">
        <f t="shared" si="550"/>
        <v>0</v>
      </c>
      <c r="Q530" s="101">
        <f t="shared" si="551"/>
        <v>0</v>
      </c>
      <c r="R530" s="101"/>
      <c r="S530" s="101">
        <f t="shared" si="552"/>
        <v>0</v>
      </c>
      <c r="T530" s="101">
        <f t="shared" si="553"/>
        <v>18585.505573228169</v>
      </c>
      <c r="U530" s="101">
        <f t="shared" si="554"/>
        <v>0</v>
      </c>
      <c r="V530" s="101">
        <f t="shared" si="555"/>
        <v>20252.475791684134</v>
      </c>
      <c r="W530" s="101">
        <f t="shared" si="556"/>
        <v>37556.392867202361</v>
      </c>
      <c r="X530" s="101">
        <f t="shared" si="557"/>
        <v>9323.3546603897921</v>
      </c>
      <c r="Y530" s="101">
        <f t="shared" si="558"/>
        <v>14252.343083351605</v>
      </c>
      <c r="Z530" s="101">
        <f t="shared" si="559"/>
        <v>14473.086476151953</v>
      </c>
      <c r="AA530" s="101">
        <f t="shared" si="560"/>
        <v>12879.301795042409</v>
      </c>
      <c r="AB530" s="101">
        <f t="shared" si="561"/>
        <v>8622.3361435006063</v>
      </c>
      <c r="AC530" s="101">
        <f t="shared" si="562"/>
        <v>7356.8696386935953</v>
      </c>
      <c r="AD530" s="101">
        <f t="shared" si="563"/>
        <v>10204.56425897306</v>
      </c>
      <c r="AE530" s="101"/>
      <c r="AF530" s="101">
        <f t="shared" si="564"/>
        <v>0</v>
      </c>
      <c r="AG530" s="101"/>
      <c r="AH530" s="101">
        <f t="shared" si="565"/>
        <v>0</v>
      </c>
      <c r="AI530" s="101"/>
      <c r="AJ530" s="101">
        <f t="shared" si="566"/>
        <v>0</v>
      </c>
      <c r="AK530" s="101">
        <f t="shared" si="567"/>
        <v>593047.43496127392</v>
      </c>
      <c r="AL530" s="98" t="str">
        <f t="shared" si="568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69">SUM(F519:F531)</f>
        <v>71182359.330107704</v>
      </c>
      <c r="G532" s="100">
        <f t="shared" si="569"/>
        <v>0</v>
      </c>
      <c r="H532" s="100">
        <f t="shared" si="569"/>
        <v>7815231.4029028928</v>
      </c>
      <c r="I532" s="100">
        <f t="shared" si="569"/>
        <v>7380277.4491392085</v>
      </c>
      <c r="J532" s="100">
        <f t="shared" si="569"/>
        <v>7552910.4209360257</v>
      </c>
      <c r="K532" s="100">
        <f t="shared" si="569"/>
        <v>16035372.201094812</v>
      </c>
      <c r="L532" s="100">
        <f t="shared" si="569"/>
        <v>0</v>
      </c>
      <c r="M532" s="100">
        <f t="shared" si="569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70">SUM(S519:S531)</f>
        <v>0</v>
      </c>
      <c r="T532" s="100">
        <f t="shared" si="570"/>
        <v>1682532.6601994915</v>
      </c>
      <c r="U532" s="100">
        <f t="shared" si="570"/>
        <v>0</v>
      </c>
      <c r="V532" s="100">
        <f t="shared" si="570"/>
        <v>2007478.1059258392</v>
      </c>
      <c r="W532" s="100">
        <f t="shared" si="570"/>
        <v>3189904.9161528787</v>
      </c>
      <c r="X532" s="100">
        <f t="shared" si="570"/>
        <v>1020617.0010206177</v>
      </c>
      <c r="Y532" s="100">
        <f t="shared" si="570"/>
        <v>1505108.2410435146</v>
      </c>
      <c r="Z532" s="100">
        <f t="shared" si="570"/>
        <v>274746.21346315206</v>
      </c>
      <c r="AA532" s="100">
        <f t="shared" si="570"/>
        <v>244491.00100850713</v>
      </c>
      <c r="AB532" s="100">
        <f t="shared" si="570"/>
        <v>152271.46282016081</v>
      </c>
      <c r="AC532" s="100">
        <f t="shared" si="570"/>
        <v>4503880.8087981828</v>
      </c>
      <c r="AD532" s="100">
        <f t="shared" si="570"/>
        <v>180213.79604035016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1">H485+H494+H508+H532</f>
        <v>18742668.338841524</v>
      </c>
      <c r="I534" s="100">
        <f t="shared" si="571"/>
        <v>17681329.098344762</v>
      </c>
      <c r="J534" s="100">
        <f t="shared" si="571"/>
        <v>18132161.576938502</v>
      </c>
      <c r="K534" s="100">
        <f t="shared" si="571"/>
        <v>38818636.930293135</v>
      </c>
      <c r="L534" s="100">
        <f t="shared" si="571"/>
        <v>0</v>
      </c>
      <c r="M534" s="100">
        <f t="shared" si="571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2">S485+S494+S508+S532</f>
        <v>0</v>
      </c>
      <c r="T534" s="100">
        <f t="shared" si="572"/>
        <v>4046690.3513230029</v>
      </c>
      <c r="U534" s="100">
        <f t="shared" si="572"/>
        <v>0</v>
      </c>
      <c r="V534" s="100">
        <f t="shared" si="572"/>
        <v>4830954.0465032104</v>
      </c>
      <c r="W534" s="100">
        <f t="shared" si="572"/>
        <v>7668802.5696673645</v>
      </c>
      <c r="X534" s="100">
        <f t="shared" si="572"/>
        <v>2457476.1256506187</v>
      </c>
      <c r="Y534" s="100">
        <f t="shared" si="572"/>
        <v>3623335.6304890811</v>
      </c>
      <c r="Z534" s="100">
        <f t="shared" si="572"/>
        <v>644545.6468455724</v>
      </c>
      <c r="AA534" s="100">
        <f t="shared" si="572"/>
        <v>573567.9062018611</v>
      </c>
      <c r="AB534" s="100">
        <f t="shared" si="572"/>
        <v>356370.0044785231</v>
      </c>
      <c r="AC534" s="100">
        <f t="shared" si="572"/>
        <v>10892600.321030885</v>
      </c>
      <c r="AD534" s="100">
        <f t="shared" si="572"/>
        <v>421765.11680222803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3">F534-F422</f>
        <v>171476568.89321756</v>
      </c>
      <c r="G536" s="102">
        <f t="shared" si="573"/>
        <v>0</v>
      </c>
      <c r="H536" s="102">
        <f t="shared" si="573"/>
        <v>18742668.338841524</v>
      </c>
      <c r="I536" s="102">
        <f t="shared" si="573"/>
        <v>17681329.098344762</v>
      </c>
      <c r="J536" s="102">
        <f t="shared" si="573"/>
        <v>18132161.576938502</v>
      </c>
      <c r="K536" s="102">
        <f t="shared" si="573"/>
        <v>38818636.930293135</v>
      </c>
      <c r="L536" s="102">
        <f t="shared" si="573"/>
        <v>0</v>
      </c>
      <c r="M536" s="102">
        <f t="shared" si="573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4">S534-S422</f>
        <v>0</v>
      </c>
      <c r="T536" s="102">
        <f t="shared" si="574"/>
        <v>4046690.3513230029</v>
      </c>
      <c r="U536" s="102">
        <f t="shared" si="574"/>
        <v>0</v>
      </c>
      <c r="V536" s="102">
        <f t="shared" si="574"/>
        <v>4830954.0465032104</v>
      </c>
      <c r="W536" s="102">
        <f t="shared" si="574"/>
        <v>7668802.5696673645</v>
      </c>
      <c r="X536" s="102">
        <f t="shared" si="574"/>
        <v>2457476.1256506187</v>
      </c>
      <c r="Y536" s="102">
        <f t="shared" si="574"/>
        <v>3623335.6304890811</v>
      </c>
      <c r="Z536" s="102">
        <f t="shared" si="574"/>
        <v>644545.6468455724</v>
      </c>
      <c r="AA536" s="102">
        <f t="shared" si="574"/>
        <v>573567.9062018611</v>
      </c>
      <c r="AB536" s="102">
        <f t="shared" si="574"/>
        <v>356370.0044785231</v>
      </c>
      <c r="AC536" s="102">
        <f t="shared" si="574"/>
        <v>10892600.321030885</v>
      </c>
      <c r="AD536" s="102">
        <f t="shared" si="574"/>
        <v>421765.11680222803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75">IF(VLOOKUP($D565,$C$5:$AJ$644,6,)=0,0,((VLOOKUP($D565,$C$5:$AJ$644,6,)/VLOOKUP($D565,$C$5:$AJ$644,4,))*$F565))</f>
        <v>34345800.63194827</v>
      </c>
      <c r="I565" s="101">
        <f t="shared" ref="I565:I572" si="576">IF(VLOOKUP($D565,$C$5:$AJ$644,7,)=0,0,((VLOOKUP($D565,$C$5:$AJ$644,7,)/VLOOKUP($D565,$C$5:$AJ$644,4,))*$F565))</f>
        <v>35979400.056153834</v>
      </c>
      <c r="J565" s="101">
        <f t="shared" ref="J565:J572" si="577">IF(VLOOKUP($D565,$C$5:$AJ$644,8,)=0,0,((VLOOKUP($D565,$C$5:$AJ$644,8,)/VLOOKUP($D565,$C$5:$AJ$644,4,))*$F565))</f>
        <v>29574945.522879023</v>
      </c>
      <c r="K565" s="101">
        <f t="shared" ref="K565:K572" si="578">IF(VLOOKUP($D565,$C$5:$AJ$644,9,)=0,0,((VLOOKUP($D565,$C$5:$AJ$644,9,)/VLOOKUP($D565,$C$5:$AJ$644,4,))*$F565))</f>
        <v>0</v>
      </c>
      <c r="L565" s="101">
        <f t="shared" ref="L565:L572" si="579">IF(VLOOKUP($D565,$C$5:$AJ$644,10,)=0,0,((VLOOKUP($D565,$C$5:$AJ$644,10,)/VLOOKUP($D565,$C$5:$AJ$644,4,))*$F565))</f>
        <v>0</v>
      </c>
      <c r="M565" s="101">
        <f t="shared" ref="M565:M572" si="580">IF(VLOOKUP($D565,$C$5:$AJ$644,11,)=0,0,((VLOOKUP($D565,$C$5:$AJ$644,11,)/VLOOKUP($D565,$C$5:$AJ$644,4,))*$F565))</f>
        <v>0</v>
      </c>
      <c r="N565" s="101"/>
      <c r="O565" s="101">
        <f t="shared" ref="O565:O572" si="581">IF(VLOOKUP($D565,$C$5:$AJ$644,13,)=0,0,((VLOOKUP($D565,$C$5:$AJ$644,13,)/VLOOKUP($D565,$C$5:$AJ$644,4,))*$F565))</f>
        <v>0</v>
      </c>
      <c r="P565" s="101">
        <f t="shared" ref="P565:P572" si="582">IF(VLOOKUP($D565,$C$5:$AJ$644,14,)=0,0,((VLOOKUP($D565,$C$5:$AJ$644,14,)/VLOOKUP($D565,$C$5:$AJ$644,4,))*$F565))</f>
        <v>0</v>
      </c>
      <c r="Q565" s="101">
        <f t="shared" ref="Q565:Q572" si="583">IF(VLOOKUP($D565,$C$5:$AJ$644,15,)=0,0,((VLOOKUP($D565,$C$5:$AJ$644,15,)/VLOOKUP($D565,$C$5:$AJ$644,4,))*$F565))</f>
        <v>0</v>
      </c>
      <c r="R565" s="101"/>
      <c r="S565" s="101">
        <f t="shared" ref="S565:S572" si="584">IF(VLOOKUP($D565,$C$5:$AJ$644,17,)=0,0,((VLOOKUP($D565,$C$5:$AJ$644,17,)/VLOOKUP($D565,$C$5:$AJ$644,4,))*$F565))</f>
        <v>0</v>
      </c>
      <c r="T565" s="101">
        <f t="shared" ref="T565:T572" si="585">IF(VLOOKUP($D565,$C$5:$AJ$644,18,)=0,0,((VLOOKUP($D565,$C$5:$AJ$644,18,)/VLOOKUP($D565,$C$5:$AJ$644,4,))*$F565))</f>
        <v>0</v>
      </c>
      <c r="U565" s="101">
        <f t="shared" ref="U565:U572" si="586">IF(VLOOKUP($D565,$C$5:$AJ$644,19,)=0,0,((VLOOKUP($D565,$C$5:$AJ$644,19,)/VLOOKUP($D565,$C$5:$AJ$644,4,))*$F565))</f>
        <v>0</v>
      </c>
      <c r="V565" s="101">
        <f t="shared" ref="V565:V572" si="587">IF(VLOOKUP($D565,$C$5:$AJ$644,20,)=0,0,((VLOOKUP($D565,$C$5:$AJ$644,20,)/VLOOKUP($D565,$C$5:$AJ$644,4,))*$F565))</f>
        <v>0</v>
      </c>
      <c r="W565" s="101">
        <f t="shared" ref="W565:W572" si="588">IF(VLOOKUP($D565,$C$5:$AJ$644,21,)=0,0,((VLOOKUP($D565,$C$5:$AJ$644,21,)/VLOOKUP($D565,$C$5:$AJ$644,4,))*$F565))</f>
        <v>0</v>
      </c>
      <c r="X565" s="101">
        <f t="shared" ref="X565:X572" si="589">IF(VLOOKUP($D565,$C$5:$AJ$644,22,)=0,0,((VLOOKUP($D565,$C$5:$AJ$644,22,)/VLOOKUP($D565,$C$5:$AJ$644,4,))*$F565))</f>
        <v>0</v>
      </c>
      <c r="Y565" s="101">
        <f t="shared" ref="Y565:Y572" si="590">IF(VLOOKUP($D565,$C$5:$AJ$644,23,)=0,0,((VLOOKUP($D565,$C$5:$AJ$644,23,)/VLOOKUP($D565,$C$5:$AJ$644,4,))*$F565))</f>
        <v>0</v>
      </c>
      <c r="Z565" s="101">
        <f t="shared" ref="Z565:Z572" si="591">IF(VLOOKUP($D565,$C$5:$AJ$644,24,)=0,0,((VLOOKUP($D565,$C$5:$AJ$644,24,)/VLOOKUP($D565,$C$5:$AJ$644,4,))*$F565))</f>
        <v>0</v>
      </c>
      <c r="AA565" s="101">
        <f t="shared" ref="AA565:AA572" si="592">IF(VLOOKUP($D565,$C$5:$AJ$644,25,)=0,0,((VLOOKUP($D565,$C$5:$AJ$644,25,)/VLOOKUP($D565,$C$5:$AJ$644,4,))*$F565))</f>
        <v>0</v>
      </c>
      <c r="AB565" s="101">
        <f t="shared" ref="AB565:AB572" si="593">IF(VLOOKUP($D565,$C$5:$AJ$644,26,)=0,0,((VLOOKUP($D565,$C$5:$AJ$644,26,)/VLOOKUP($D565,$C$5:$AJ$644,4,))*$F565))</f>
        <v>0</v>
      </c>
      <c r="AC565" s="101">
        <f t="shared" ref="AC565:AC572" si="594">IF(VLOOKUP($D565,$C$5:$AJ$644,27,)=0,0,((VLOOKUP($D565,$C$5:$AJ$644,27,)/VLOOKUP($D565,$C$5:$AJ$644,4,))*$F565))</f>
        <v>0</v>
      </c>
      <c r="AD565" s="101">
        <f t="shared" ref="AD565:AD572" si="595">IF(VLOOKUP($D565,$C$5:$AJ$644,28,)=0,0,((VLOOKUP($D565,$C$5:$AJ$644,28,)/VLOOKUP($D565,$C$5:$AJ$644,4,))*$F565))</f>
        <v>0</v>
      </c>
      <c r="AE565" s="101"/>
      <c r="AF565" s="101">
        <f t="shared" ref="AF565:AF572" si="596">IF(VLOOKUP($D565,$C$5:$AJ$644,30,)=0,0,((VLOOKUP($D565,$C$5:$AJ$644,30,)/VLOOKUP($D565,$C$5:$AJ$644,4,))*$F565))</f>
        <v>0</v>
      </c>
      <c r="AG565" s="101"/>
      <c r="AH565" s="101">
        <f t="shared" ref="AH565:AH572" si="597">IF(VLOOKUP($D565,$C$5:$AJ$644,32,)=0,0,((VLOOKUP($D565,$C$5:$AJ$644,32,)/VLOOKUP($D565,$C$5:$AJ$644,4,))*$F565))</f>
        <v>0</v>
      </c>
      <c r="AI565" s="101"/>
      <c r="AJ565" s="101">
        <f t="shared" ref="AJ565:AJ572" si="598">IF(VLOOKUP($D565,$C$5:$AJ$644,34,)=0,0,((VLOOKUP($D565,$C$5:$AJ$644,34,)/VLOOKUP($D565,$C$5:$AJ$644,4,))*$F565))</f>
        <v>0</v>
      </c>
      <c r="AK565" s="101">
        <f t="shared" ref="AK565:AK572" si="599">SUM(H565:AJ565)</f>
        <v>99900146.210981116</v>
      </c>
      <c r="AL565" s="98" t="str">
        <f t="shared" ref="AL565:AL572" si="600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75"/>
        <v>384655.52086473629</v>
      </c>
      <c r="I566" s="101">
        <f t="shared" si="576"/>
        <v>402951.00461647089</v>
      </c>
      <c r="J566" s="101">
        <f t="shared" si="577"/>
        <v>331224.36703563656</v>
      </c>
      <c r="K566" s="101">
        <f t="shared" si="578"/>
        <v>0</v>
      </c>
      <c r="L566" s="101">
        <f t="shared" si="579"/>
        <v>0</v>
      </c>
      <c r="M566" s="101">
        <f t="shared" si="580"/>
        <v>0</v>
      </c>
      <c r="N566" s="101"/>
      <c r="O566" s="101">
        <f t="shared" si="581"/>
        <v>0</v>
      </c>
      <c r="P566" s="101">
        <f t="shared" si="582"/>
        <v>0</v>
      </c>
      <c r="Q566" s="101">
        <f t="shared" si="583"/>
        <v>0</v>
      </c>
      <c r="R566" s="101"/>
      <c r="S566" s="101">
        <f t="shared" si="584"/>
        <v>0</v>
      </c>
      <c r="T566" s="101">
        <f t="shared" si="585"/>
        <v>0</v>
      </c>
      <c r="U566" s="101">
        <f t="shared" si="586"/>
        <v>0</v>
      </c>
      <c r="V566" s="101">
        <f t="shared" si="587"/>
        <v>0</v>
      </c>
      <c r="W566" s="101">
        <f t="shared" si="588"/>
        <v>0</v>
      </c>
      <c r="X566" s="101">
        <f t="shared" si="589"/>
        <v>0</v>
      </c>
      <c r="Y566" s="101">
        <f t="shared" si="590"/>
        <v>0</v>
      </c>
      <c r="Z566" s="101">
        <f t="shared" si="591"/>
        <v>0</v>
      </c>
      <c r="AA566" s="101">
        <f t="shared" si="592"/>
        <v>0</v>
      </c>
      <c r="AB566" s="101">
        <f t="shared" si="593"/>
        <v>0</v>
      </c>
      <c r="AC566" s="101">
        <f t="shared" si="594"/>
        <v>0</v>
      </c>
      <c r="AD566" s="101">
        <f t="shared" si="595"/>
        <v>0</v>
      </c>
      <c r="AE566" s="101"/>
      <c r="AF566" s="101">
        <f t="shared" si="596"/>
        <v>0</v>
      </c>
      <c r="AG566" s="101"/>
      <c r="AH566" s="101">
        <f t="shared" si="597"/>
        <v>0</v>
      </c>
      <c r="AI566" s="101"/>
      <c r="AJ566" s="101">
        <f t="shared" si="598"/>
        <v>0</v>
      </c>
      <c r="AK566" s="101">
        <f t="shared" si="599"/>
        <v>1118830.8925168437</v>
      </c>
      <c r="AL566" s="98" t="str">
        <f t="shared" si="600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75"/>
        <v>12246358.628371106</v>
      </c>
      <c r="I567" s="101">
        <f t="shared" si="576"/>
        <v>12828835.788193457</v>
      </c>
      <c r="J567" s="101">
        <f t="shared" si="577"/>
        <v>10545259.758796018</v>
      </c>
      <c r="K567" s="101">
        <f t="shared" si="578"/>
        <v>0</v>
      </c>
      <c r="L567" s="101">
        <f t="shared" si="579"/>
        <v>0</v>
      </c>
      <c r="M567" s="101">
        <f t="shared" si="580"/>
        <v>0</v>
      </c>
      <c r="N567" s="101"/>
      <c r="O567" s="101">
        <f t="shared" si="581"/>
        <v>0</v>
      </c>
      <c r="P567" s="101">
        <f t="shared" si="582"/>
        <v>0</v>
      </c>
      <c r="Q567" s="101">
        <f t="shared" si="583"/>
        <v>0</v>
      </c>
      <c r="R567" s="101"/>
      <c r="S567" s="101">
        <f t="shared" si="584"/>
        <v>0</v>
      </c>
      <c r="T567" s="101">
        <f t="shared" si="585"/>
        <v>0</v>
      </c>
      <c r="U567" s="101">
        <f t="shared" si="586"/>
        <v>0</v>
      </c>
      <c r="V567" s="101">
        <f t="shared" si="587"/>
        <v>0</v>
      </c>
      <c r="W567" s="101">
        <f t="shared" si="588"/>
        <v>0</v>
      </c>
      <c r="X567" s="101">
        <f t="shared" si="589"/>
        <v>0</v>
      </c>
      <c r="Y567" s="101">
        <f t="shared" si="590"/>
        <v>0</v>
      </c>
      <c r="Z567" s="101">
        <f t="shared" si="591"/>
        <v>0</v>
      </c>
      <c r="AA567" s="101">
        <f t="shared" si="592"/>
        <v>0</v>
      </c>
      <c r="AB567" s="101">
        <f t="shared" si="593"/>
        <v>0</v>
      </c>
      <c r="AC567" s="101">
        <f t="shared" si="594"/>
        <v>0</v>
      </c>
      <c r="AD567" s="101">
        <f t="shared" si="595"/>
        <v>0</v>
      </c>
      <c r="AE567" s="101"/>
      <c r="AF567" s="101">
        <f t="shared" si="596"/>
        <v>0</v>
      </c>
      <c r="AG567" s="101"/>
      <c r="AH567" s="101">
        <f t="shared" si="597"/>
        <v>0</v>
      </c>
      <c r="AI567" s="101"/>
      <c r="AJ567" s="101">
        <f t="shared" si="598"/>
        <v>0</v>
      </c>
      <c r="AK567" s="101">
        <f t="shared" si="599"/>
        <v>35620454.175360575</v>
      </c>
      <c r="AL567" s="98" t="str">
        <f t="shared" si="600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75"/>
        <v>0</v>
      </c>
      <c r="I568" s="101">
        <f t="shared" si="576"/>
        <v>0</v>
      </c>
      <c r="J568" s="101">
        <f t="shared" si="577"/>
        <v>0</v>
      </c>
      <c r="K568" s="101">
        <f t="shared" si="578"/>
        <v>0</v>
      </c>
      <c r="L568" s="101">
        <f t="shared" si="579"/>
        <v>0</v>
      </c>
      <c r="M568" s="101">
        <f t="shared" si="580"/>
        <v>0</v>
      </c>
      <c r="N568" s="101"/>
      <c r="O568" s="101">
        <f t="shared" si="581"/>
        <v>20185930.110497635</v>
      </c>
      <c r="P568" s="101">
        <f t="shared" si="582"/>
        <v>0</v>
      </c>
      <c r="Q568" s="101">
        <f t="shared" si="583"/>
        <v>0</v>
      </c>
      <c r="R568" s="101"/>
      <c r="S568" s="101">
        <f t="shared" si="584"/>
        <v>0</v>
      </c>
      <c r="T568" s="101">
        <f t="shared" si="585"/>
        <v>0</v>
      </c>
      <c r="U568" s="101">
        <f t="shared" si="586"/>
        <v>0</v>
      </c>
      <c r="V568" s="101">
        <f t="shared" si="587"/>
        <v>0</v>
      </c>
      <c r="W568" s="101">
        <f t="shared" si="588"/>
        <v>0</v>
      </c>
      <c r="X568" s="101">
        <f t="shared" si="589"/>
        <v>0</v>
      </c>
      <c r="Y568" s="101">
        <f t="shared" si="590"/>
        <v>0</v>
      </c>
      <c r="Z568" s="101">
        <f t="shared" si="591"/>
        <v>0</v>
      </c>
      <c r="AA568" s="101">
        <f t="shared" si="592"/>
        <v>0</v>
      </c>
      <c r="AB568" s="101">
        <f t="shared" si="593"/>
        <v>0</v>
      </c>
      <c r="AC568" s="101">
        <f t="shared" si="594"/>
        <v>0</v>
      </c>
      <c r="AD568" s="101">
        <f t="shared" si="595"/>
        <v>0</v>
      </c>
      <c r="AE568" s="101"/>
      <c r="AF568" s="101">
        <f t="shared" si="596"/>
        <v>0</v>
      </c>
      <c r="AG568" s="101"/>
      <c r="AH568" s="101">
        <f t="shared" si="597"/>
        <v>0</v>
      </c>
      <c r="AI568" s="101"/>
      <c r="AJ568" s="101">
        <f t="shared" si="598"/>
        <v>0</v>
      </c>
      <c r="AK568" s="101">
        <f t="shared" si="599"/>
        <v>20185930.110497635</v>
      </c>
      <c r="AL568" s="98" t="str">
        <f t="shared" si="600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75"/>
        <v>0</v>
      </c>
      <c r="I569" s="101">
        <f t="shared" si="576"/>
        <v>0</v>
      </c>
      <c r="J569" s="101">
        <f t="shared" si="577"/>
        <v>0</v>
      </c>
      <c r="K569" s="101">
        <f t="shared" si="578"/>
        <v>0</v>
      </c>
      <c r="L569" s="101">
        <f t="shared" si="579"/>
        <v>0</v>
      </c>
      <c r="M569" s="101">
        <f t="shared" si="580"/>
        <v>0</v>
      </c>
      <c r="N569" s="101"/>
      <c r="O569" s="101">
        <f t="shared" si="581"/>
        <v>182213.83552902148</v>
      </c>
      <c r="P569" s="101">
        <f t="shared" si="582"/>
        <v>0</v>
      </c>
      <c r="Q569" s="101">
        <f t="shared" si="583"/>
        <v>0</v>
      </c>
      <c r="R569" s="101"/>
      <c r="S569" s="101">
        <f t="shared" si="584"/>
        <v>0</v>
      </c>
      <c r="T569" s="101">
        <f t="shared" si="585"/>
        <v>0</v>
      </c>
      <c r="U569" s="101">
        <f t="shared" si="586"/>
        <v>0</v>
      </c>
      <c r="V569" s="101">
        <f t="shared" si="587"/>
        <v>0</v>
      </c>
      <c r="W569" s="101">
        <f t="shared" si="588"/>
        <v>0</v>
      </c>
      <c r="X569" s="101">
        <f t="shared" si="589"/>
        <v>0</v>
      </c>
      <c r="Y569" s="101">
        <f t="shared" si="590"/>
        <v>0</v>
      </c>
      <c r="Z569" s="101">
        <f t="shared" si="591"/>
        <v>0</v>
      </c>
      <c r="AA569" s="101">
        <f t="shared" si="592"/>
        <v>0</v>
      </c>
      <c r="AB569" s="101">
        <f t="shared" si="593"/>
        <v>0</v>
      </c>
      <c r="AC569" s="101">
        <f t="shared" si="594"/>
        <v>0</v>
      </c>
      <c r="AD569" s="101">
        <f t="shared" si="595"/>
        <v>0</v>
      </c>
      <c r="AE569" s="101"/>
      <c r="AF569" s="101">
        <f t="shared" si="596"/>
        <v>0</v>
      </c>
      <c r="AG569" s="101"/>
      <c r="AH569" s="101">
        <f t="shared" si="597"/>
        <v>0</v>
      </c>
      <c r="AI569" s="101"/>
      <c r="AJ569" s="101">
        <f t="shared" si="598"/>
        <v>0</v>
      </c>
      <c r="AK569" s="101">
        <f t="shared" si="599"/>
        <v>182213.83552902148</v>
      </c>
      <c r="AL569" s="98" t="str">
        <f t="shared" si="600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75"/>
        <v>0</v>
      </c>
      <c r="I570" s="101">
        <f t="shared" si="576"/>
        <v>0</v>
      </c>
      <c r="J570" s="101">
        <f t="shared" si="577"/>
        <v>0</v>
      </c>
      <c r="K570" s="101">
        <f t="shared" si="578"/>
        <v>0</v>
      </c>
      <c r="L570" s="101">
        <f t="shared" si="579"/>
        <v>0</v>
      </c>
      <c r="M570" s="101">
        <f t="shared" si="580"/>
        <v>0</v>
      </c>
      <c r="N570" s="101"/>
      <c r="O570" s="101">
        <f t="shared" si="581"/>
        <v>0</v>
      </c>
      <c r="P570" s="101">
        <f t="shared" si="582"/>
        <v>0</v>
      </c>
      <c r="Q570" s="101">
        <f t="shared" si="583"/>
        <v>0</v>
      </c>
      <c r="R570" s="101"/>
      <c r="S570" s="101">
        <f t="shared" si="584"/>
        <v>0</v>
      </c>
      <c r="T570" s="101">
        <f t="shared" si="585"/>
        <v>5211526.5754373176</v>
      </c>
      <c r="U570" s="101">
        <f t="shared" si="586"/>
        <v>0</v>
      </c>
      <c r="V570" s="101">
        <f t="shared" si="587"/>
        <v>5678958.5513777426</v>
      </c>
      <c r="W570" s="101">
        <f t="shared" si="588"/>
        <v>10531117.312564632</v>
      </c>
      <c r="X570" s="101">
        <f t="shared" si="589"/>
        <v>2614344.3014452914</v>
      </c>
      <c r="Y570" s="101">
        <f t="shared" si="590"/>
        <v>3996472.6516845492</v>
      </c>
      <c r="Z570" s="101">
        <f t="shared" si="591"/>
        <v>4058370.8902553818</v>
      </c>
      <c r="AA570" s="101">
        <f t="shared" si="592"/>
        <v>3611460.732853374</v>
      </c>
      <c r="AB570" s="101">
        <f t="shared" si="593"/>
        <v>2417773.0208714548</v>
      </c>
      <c r="AC570" s="101">
        <f t="shared" si="594"/>
        <v>2062925.9442534572</v>
      </c>
      <c r="AD570" s="101">
        <f t="shared" si="595"/>
        <v>2861442.6234926847</v>
      </c>
      <c r="AE570" s="101"/>
      <c r="AF570" s="101">
        <f t="shared" si="596"/>
        <v>0</v>
      </c>
      <c r="AG570" s="101"/>
      <c r="AH570" s="101">
        <f t="shared" si="597"/>
        <v>0</v>
      </c>
      <c r="AI570" s="101"/>
      <c r="AJ570" s="101">
        <f t="shared" si="598"/>
        <v>0</v>
      </c>
      <c r="AK570" s="101">
        <f t="shared" si="599"/>
        <v>43044392.604235888</v>
      </c>
      <c r="AL570" s="98" t="str">
        <f t="shared" si="600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75"/>
        <v>2436971.6053643585</v>
      </c>
      <c r="I571" s="101">
        <f t="shared" si="576"/>
        <v>2552882.0030863262</v>
      </c>
      <c r="J571" s="101">
        <f t="shared" si="577"/>
        <v>2098460.3981661662</v>
      </c>
      <c r="K571" s="101">
        <f t="shared" si="578"/>
        <v>0</v>
      </c>
      <c r="L571" s="101">
        <f t="shared" si="579"/>
        <v>0</v>
      </c>
      <c r="M571" s="101">
        <f t="shared" si="580"/>
        <v>0</v>
      </c>
      <c r="N571" s="101"/>
      <c r="O571" s="101">
        <f t="shared" si="581"/>
        <v>1532159.7860762132</v>
      </c>
      <c r="P571" s="101">
        <f t="shared" si="582"/>
        <v>0</v>
      </c>
      <c r="Q571" s="101">
        <f t="shared" si="583"/>
        <v>0</v>
      </c>
      <c r="R571" s="101"/>
      <c r="S571" s="101">
        <f t="shared" si="584"/>
        <v>0</v>
      </c>
      <c r="T571" s="101">
        <f t="shared" si="585"/>
        <v>364507.04055638571</v>
      </c>
      <c r="U571" s="101">
        <f t="shared" si="586"/>
        <v>0</v>
      </c>
      <c r="V571" s="101">
        <f t="shared" si="587"/>
        <v>397200.38745679375</v>
      </c>
      <c r="W571" s="101">
        <f t="shared" si="588"/>
        <v>736572.35548740067</v>
      </c>
      <c r="X571" s="101">
        <f t="shared" si="589"/>
        <v>182853.69757234896</v>
      </c>
      <c r="Y571" s="101">
        <f t="shared" si="590"/>
        <v>279523.16808589344</v>
      </c>
      <c r="Z571" s="101">
        <f t="shared" si="591"/>
        <v>283852.48377305636</v>
      </c>
      <c r="AA571" s="101">
        <f t="shared" si="592"/>
        <v>252594.48354775301</v>
      </c>
      <c r="AB571" s="101">
        <f t="shared" si="593"/>
        <v>169105.01670059579</v>
      </c>
      <c r="AC571" s="101">
        <f t="shared" si="594"/>
        <v>144286.1357305304</v>
      </c>
      <c r="AD571" s="101">
        <f t="shared" si="595"/>
        <v>200136.36452073458</v>
      </c>
      <c r="AE571" s="101"/>
      <c r="AF571" s="101">
        <f t="shared" si="596"/>
        <v>0</v>
      </c>
      <c r="AG571" s="101"/>
      <c r="AH571" s="101">
        <f t="shared" si="597"/>
        <v>0</v>
      </c>
      <c r="AI571" s="101"/>
      <c r="AJ571" s="101">
        <f t="shared" si="598"/>
        <v>0</v>
      </c>
      <c r="AK571" s="101">
        <f t="shared" si="599"/>
        <v>11631104.926124556</v>
      </c>
      <c r="AL571" s="98" t="str">
        <f t="shared" si="600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75"/>
        <v>3431919.7958905278</v>
      </c>
      <c r="I572" s="101">
        <f t="shared" si="576"/>
        <v>3595153.2072343142</v>
      </c>
      <c r="J572" s="101">
        <f t="shared" si="577"/>
        <v>2955203.8134158044</v>
      </c>
      <c r="K572" s="101">
        <f t="shared" si="578"/>
        <v>0</v>
      </c>
      <c r="L572" s="101">
        <f t="shared" si="579"/>
        <v>0</v>
      </c>
      <c r="M572" s="101">
        <f t="shared" si="580"/>
        <v>0</v>
      </c>
      <c r="N572" s="101"/>
      <c r="O572" s="101">
        <f t="shared" si="581"/>
        <v>2157698.3042099001</v>
      </c>
      <c r="P572" s="101">
        <f t="shared" si="582"/>
        <v>0</v>
      </c>
      <c r="Q572" s="101">
        <f t="shared" si="583"/>
        <v>0</v>
      </c>
      <c r="R572" s="101"/>
      <c r="S572" s="101">
        <f t="shared" si="584"/>
        <v>0</v>
      </c>
      <c r="T572" s="101">
        <f t="shared" si="585"/>
        <v>513325.19651573768</v>
      </c>
      <c r="U572" s="101">
        <f t="shared" si="586"/>
        <v>0</v>
      </c>
      <c r="V572" s="101">
        <f t="shared" si="587"/>
        <v>559366.33387427113</v>
      </c>
      <c r="W572" s="101">
        <f t="shared" si="588"/>
        <v>1037294.5020526733</v>
      </c>
      <c r="X572" s="101">
        <f t="shared" si="589"/>
        <v>257507.81136266017</v>
      </c>
      <c r="Y572" s="101">
        <f t="shared" si="590"/>
        <v>393644.75640682969</v>
      </c>
      <c r="Z572" s="101">
        <f t="shared" si="591"/>
        <v>399741.61210130231</v>
      </c>
      <c r="AA572" s="101">
        <f t="shared" si="592"/>
        <v>355721.83381704515</v>
      </c>
      <c r="AB572" s="101">
        <f t="shared" si="593"/>
        <v>238145.92386783377</v>
      </c>
      <c r="AC572" s="101">
        <f t="shared" si="594"/>
        <v>203194.17936431782</v>
      </c>
      <c r="AD572" s="101">
        <f t="shared" si="595"/>
        <v>281846.51383066841</v>
      </c>
      <c r="AE572" s="101"/>
      <c r="AF572" s="101">
        <f t="shared" si="596"/>
        <v>0</v>
      </c>
      <c r="AG572" s="101"/>
      <c r="AH572" s="101">
        <f t="shared" si="597"/>
        <v>0</v>
      </c>
      <c r="AI572" s="101"/>
      <c r="AJ572" s="101">
        <f t="shared" si="598"/>
        <v>0</v>
      </c>
      <c r="AK572" s="101">
        <f t="shared" si="599"/>
        <v>16379763.783943884</v>
      </c>
      <c r="AL572" s="98" t="str">
        <f t="shared" si="600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1">SUM(H565:H573)</f>
        <v>52845706.182438992</v>
      </c>
      <c r="I574" s="101">
        <f t="shared" si="601"/>
        <v>55359222.059284404</v>
      </c>
      <c r="J574" s="101">
        <f t="shared" si="601"/>
        <v>45505093.860292643</v>
      </c>
      <c r="K574" s="101">
        <f t="shared" si="601"/>
        <v>0</v>
      </c>
      <c r="L574" s="101">
        <f t="shared" si="601"/>
        <v>0</v>
      </c>
      <c r="M574" s="101">
        <f t="shared" si="601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2">SUM(S565:S573)</f>
        <v>0</v>
      </c>
      <c r="T574" s="101">
        <f t="shared" si="602"/>
        <v>6089358.8125094417</v>
      </c>
      <c r="U574" s="101">
        <f t="shared" si="602"/>
        <v>0</v>
      </c>
      <c r="V574" s="101">
        <f t="shared" si="602"/>
        <v>6635525.2727088071</v>
      </c>
      <c r="W574" s="101">
        <f t="shared" si="602"/>
        <v>12304984.170104707</v>
      </c>
      <c r="X574" s="101">
        <f t="shared" si="602"/>
        <v>3054705.8103803005</v>
      </c>
      <c r="Y574" s="101">
        <f t="shared" si="602"/>
        <v>4669640.576177272</v>
      </c>
      <c r="Z574" s="101">
        <f t="shared" si="602"/>
        <v>4741964.9861297403</v>
      </c>
      <c r="AA574" s="101">
        <f t="shared" si="602"/>
        <v>4219777.0502181724</v>
      </c>
      <c r="AB574" s="101">
        <f t="shared" si="602"/>
        <v>2825023.9614398843</v>
      </c>
      <c r="AC574" s="101">
        <f t="shared" si="602"/>
        <v>2410406.2593483059</v>
      </c>
      <c r="AD574" s="101">
        <f t="shared" si="602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3">SUM(H577:H579)</f>
        <v>0</v>
      </c>
      <c r="I581" s="100">
        <f t="shared" si="603"/>
        <v>0</v>
      </c>
      <c r="J581" s="100">
        <f t="shared" si="603"/>
        <v>0</v>
      </c>
      <c r="K581" s="100">
        <f t="shared" si="603"/>
        <v>0</v>
      </c>
      <c r="L581" s="100">
        <f t="shared" si="603"/>
        <v>0</v>
      </c>
      <c r="M581" s="100">
        <f t="shared" si="603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4">SUM(S577:S579)</f>
        <v>0</v>
      </c>
      <c r="T581" s="100">
        <f t="shared" si="604"/>
        <v>0</v>
      </c>
      <c r="U581" s="100">
        <f t="shared" si="604"/>
        <v>0</v>
      </c>
      <c r="V581" s="100">
        <f t="shared" si="604"/>
        <v>0</v>
      </c>
      <c r="W581" s="100">
        <f t="shared" si="604"/>
        <v>0</v>
      </c>
      <c r="X581" s="100">
        <f t="shared" si="604"/>
        <v>0</v>
      </c>
      <c r="Y581" s="100">
        <f t="shared" si="604"/>
        <v>0</v>
      </c>
      <c r="Z581" s="100">
        <f t="shared" si="604"/>
        <v>0</v>
      </c>
      <c r="AA581" s="100">
        <f t="shared" si="604"/>
        <v>0</v>
      </c>
      <c r="AB581" s="100">
        <f t="shared" si="604"/>
        <v>0</v>
      </c>
      <c r="AC581" s="100">
        <f t="shared" si="604"/>
        <v>0</v>
      </c>
      <c r="AD581" s="100">
        <f t="shared" si="604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05">H574+H581+H583+H585+H587+H589+H591</f>
        <v>78644200.306138679</v>
      </c>
      <c r="I593" s="102">
        <f t="shared" si="605"/>
        <v>82384777.552071646</v>
      </c>
      <c r="J593" s="102">
        <f t="shared" si="605"/>
        <v>67720009.344632953</v>
      </c>
      <c r="K593" s="102">
        <f t="shared" si="605"/>
        <v>0</v>
      </c>
      <c r="L593" s="102">
        <f t="shared" si="605"/>
        <v>0</v>
      </c>
      <c r="M593" s="102">
        <f t="shared" si="605"/>
        <v>0</v>
      </c>
      <c r="N593" s="102"/>
      <c r="O593" s="102">
        <f t="shared" si="605"/>
        <v>40698208.553532511</v>
      </c>
      <c r="P593" s="102">
        <f t="shared" si="605"/>
        <v>0</v>
      </c>
      <c r="Q593" s="102">
        <f t="shared" si="605"/>
        <v>0</v>
      </c>
      <c r="R593" s="102"/>
      <c r="S593" s="102">
        <f t="shared" si="605"/>
        <v>0</v>
      </c>
      <c r="T593" s="102">
        <f t="shared" si="605"/>
        <v>9992387.1128674429</v>
      </c>
      <c r="U593" s="102">
        <f t="shared" si="605"/>
        <v>0</v>
      </c>
      <c r="V593" s="102">
        <f t="shared" si="605"/>
        <v>10888623.788421059</v>
      </c>
      <c r="W593" s="102">
        <f t="shared" si="605"/>
        <v>20191972.427836221</v>
      </c>
      <c r="X593" s="102">
        <f t="shared" si="605"/>
        <v>5012646.4728174675</v>
      </c>
      <c r="Y593" s="102">
        <f t="shared" si="605"/>
        <v>7662687.9367431467</v>
      </c>
      <c r="Z593" s="102">
        <f t="shared" si="605"/>
        <v>7781369.3158844374</v>
      </c>
      <c r="AA593" s="102">
        <f t="shared" si="605"/>
        <v>6924480.4114929931</v>
      </c>
      <c r="AB593" s="102">
        <f t="shared" si="605"/>
        <v>4635748.0146913026</v>
      </c>
      <c r="AC593" s="102">
        <f t="shared" si="605"/>
        <v>3955377.4353397386</v>
      </c>
      <c r="AD593" s="102">
        <f t="shared" si="605"/>
        <v>5486423.5999407899</v>
      </c>
      <c r="AE593" s="102"/>
      <c r="AF593" s="102">
        <f t="shared" si="605"/>
        <v>0</v>
      </c>
      <c r="AG593" s="102"/>
      <c r="AH593" s="102">
        <f t="shared" si="605"/>
        <v>0</v>
      </c>
      <c r="AI593" s="102"/>
      <c r="AJ593" s="102">
        <f t="shared" si="605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06">G328+G593</f>
        <v>0</v>
      </c>
      <c r="H595" s="102">
        <f t="shared" si="606"/>
        <v>116269450.46963067</v>
      </c>
      <c r="I595" s="102">
        <f t="shared" si="606"/>
        <v>118336056.87504071</v>
      </c>
      <c r="J595" s="102">
        <f t="shared" si="606"/>
        <v>103653665.09026006</v>
      </c>
      <c r="K595" s="102">
        <f t="shared" si="606"/>
        <v>640387546.76813221</v>
      </c>
      <c r="L595" s="102">
        <f t="shared" si="606"/>
        <v>0</v>
      </c>
      <c r="M595" s="102">
        <f t="shared" si="606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07">S328+S593</f>
        <v>0</v>
      </c>
      <c r="T595" s="102">
        <f t="shared" si="607"/>
        <v>17266085.873301238</v>
      </c>
      <c r="U595" s="102">
        <f t="shared" si="607"/>
        <v>0</v>
      </c>
      <c r="V595" s="102">
        <f t="shared" si="607"/>
        <v>24702814.945699401</v>
      </c>
      <c r="W595" s="102">
        <f t="shared" si="607"/>
        <v>41539265.178775728</v>
      </c>
      <c r="X595" s="102">
        <f t="shared" si="607"/>
        <v>12145170.703012973</v>
      </c>
      <c r="Y595" s="102">
        <f t="shared" si="607"/>
        <v>18124547.913249221</v>
      </c>
      <c r="Z595" s="102">
        <f t="shared" si="607"/>
        <v>9187382.3753347844</v>
      </c>
      <c r="AA595" s="102">
        <f t="shared" si="607"/>
        <v>8175662.4969638549</v>
      </c>
      <c r="AB595" s="102">
        <f t="shared" si="607"/>
        <v>5426106.7174483761</v>
      </c>
      <c r="AC595" s="102">
        <f t="shared" si="607"/>
        <v>21877316.11277895</v>
      </c>
      <c r="AD595" s="102">
        <f t="shared" si="607"/>
        <v>6279015.8226161525</v>
      </c>
      <c r="AE595" s="102">
        <f t="shared" si="607"/>
        <v>0</v>
      </c>
      <c r="AF595" s="102">
        <f t="shared" si="607"/>
        <v>51233939.006895855</v>
      </c>
      <c r="AG595" s="102">
        <f t="shared" si="607"/>
        <v>0</v>
      </c>
      <c r="AH595" s="102">
        <f t="shared" si="607"/>
        <v>6423986.4669190757</v>
      </c>
      <c r="AI595" s="102">
        <f t="shared" si="607"/>
        <v>0</v>
      </c>
      <c r="AJ595" s="102">
        <f t="shared" si="607"/>
        <v>0</v>
      </c>
      <c r="AK595" s="101">
        <f>SUM(H595:AJ595)</f>
        <v>1285753150.8498962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08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09">SUM(H612:AJ612)</f>
        <v>1</v>
      </c>
      <c r="AL612" s="98" t="str">
        <f t="shared" si="608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09"/>
        <v>1</v>
      </c>
      <c r="AL613" s="98" t="str">
        <f t="shared" si="608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09"/>
        <v>1</v>
      </c>
      <c r="AL614" s="98" t="str">
        <f t="shared" si="608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09"/>
        <v>1</v>
      </c>
      <c r="AL615" s="98" t="str">
        <f t="shared" si="608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09"/>
        <v>1</v>
      </c>
      <c r="AL616" s="98" t="str">
        <f t="shared" si="608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09"/>
        <v>1</v>
      </c>
      <c r="AL617" s="98" t="str">
        <f t="shared" si="608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09"/>
        <v>1</v>
      </c>
      <c r="AL618" s="98" t="str">
        <f t="shared" si="608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09"/>
        <v>1</v>
      </c>
      <c r="AL619" s="98" t="str">
        <f t="shared" si="608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09"/>
        <v>1</v>
      </c>
      <c r="AL620" s="98" t="str">
        <f t="shared" si="608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6">
        <v>0</v>
      </c>
      <c r="Q621" s="366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09"/>
        <v>1</v>
      </c>
      <c r="AL621" s="98" t="str">
        <f t="shared" si="608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09"/>
        <v>1</v>
      </c>
      <c r="AL622" s="98" t="str">
        <f t="shared" si="608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09"/>
        <v>1</v>
      </c>
      <c r="AL623" s="98" t="str">
        <f t="shared" si="608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09"/>
        <v>1</v>
      </c>
      <c r="AL624" s="98" t="str">
        <f t="shared" si="608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09"/>
        <v>1</v>
      </c>
      <c r="AL625" s="98" t="str">
        <f t="shared" si="608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10">H360+H361+H362+H363+H364</f>
        <v>5447166.7430808321</v>
      </c>
      <c r="I626" s="101">
        <f t="shared" si="610"/>
        <v>5134922.8818487478</v>
      </c>
      <c r="J626" s="101">
        <f t="shared" si="610"/>
        <v>5273601.2480795123</v>
      </c>
      <c r="K626" s="101">
        <f t="shared" si="610"/>
        <v>2518295.3741893796</v>
      </c>
      <c r="L626" s="101">
        <f t="shared" si="610"/>
        <v>0</v>
      </c>
      <c r="M626" s="101">
        <f t="shared" si="610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1">S360+S361+S362+S363+S364</f>
        <v>0</v>
      </c>
      <c r="T626" s="101">
        <f t="shared" si="611"/>
        <v>0</v>
      </c>
      <c r="U626" s="101">
        <f t="shared" si="611"/>
        <v>0</v>
      </c>
      <c r="V626" s="101">
        <f t="shared" si="611"/>
        <v>0</v>
      </c>
      <c r="W626" s="101">
        <f t="shared" si="611"/>
        <v>0</v>
      </c>
      <c r="X626" s="106">
        <f t="shared" si="611"/>
        <v>0</v>
      </c>
      <c r="Y626" s="106">
        <f t="shared" si="611"/>
        <v>0</v>
      </c>
      <c r="Z626" s="106">
        <f t="shared" si="611"/>
        <v>0</v>
      </c>
      <c r="AA626" s="106">
        <f t="shared" si="611"/>
        <v>0</v>
      </c>
      <c r="AB626" s="106">
        <f t="shared" si="611"/>
        <v>0</v>
      </c>
      <c r="AC626" s="106">
        <f t="shared" si="611"/>
        <v>0</v>
      </c>
      <c r="AD626" s="106">
        <f t="shared" si="611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09"/>
        <v>18373986.247198474</v>
      </c>
      <c r="AL626" s="98" t="str">
        <f t="shared" si="608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09"/>
        <v>1</v>
      </c>
      <c r="AL627" s="98" t="str">
        <f t="shared" si="608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2">H370+H371+H372+H373</f>
        <v>425610.8128132422</v>
      </c>
      <c r="I628" s="101">
        <f t="shared" si="612"/>
        <v>401213.84282077051</v>
      </c>
      <c r="J628" s="101">
        <f t="shared" si="612"/>
        <v>412049.38631612272</v>
      </c>
      <c r="K628" s="101">
        <f t="shared" si="612"/>
        <v>11603523.485279175</v>
      </c>
      <c r="L628" s="101">
        <f t="shared" si="612"/>
        <v>0</v>
      </c>
      <c r="M628" s="101">
        <f t="shared" si="612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3">S370+S371+S372+S373</f>
        <v>0</v>
      </c>
      <c r="T628" s="101">
        <f t="shared" si="613"/>
        <v>0</v>
      </c>
      <c r="U628" s="101">
        <f t="shared" si="613"/>
        <v>0</v>
      </c>
      <c r="V628" s="101">
        <f t="shared" si="613"/>
        <v>0</v>
      </c>
      <c r="W628" s="101">
        <f t="shared" si="613"/>
        <v>0</v>
      </c>
      <c r="X628" s="101">
        <f t="shared" si="613"/>
        <v>0</v>
      </c>
      <c r="Y628" s="101">
        <f t="shared" si="613"/>
        <v>0</v>
      </c>
      <c r="Z628" s="101">
        <f t="shared" si="613"/>
        <v>0</v>
      </c>
      <c r="AA628" s="101">
        <f t="shared" si="613"/>
        <v>0</v>
      </c>
      <c r="AB628" s="101">
        <f t="shared" si="613"/>
        <v>0</v>
      </c>
      <c r="AC628" s="101">
        <f t="shared" si="613"/>
        <v>0</v>
      </c>
      <c r="AD628" s="101">
        <f t="shared" si="613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09"/>
        <v>12842397.527229309</v>
      </c>
      <c r="AL628" s="98" t="str">
        <f t="shared" si="608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4">H381+H382+H383+H384+H385</f>
        <v>0</v>
      </c>
      <c r="I629" s="101">
        <f t="shared" si="614"/>
        <v>0</v>
      </c>
      <c r="J629" s="101">
        <f t="shared" si="614"/>
        <v>0</v>
      </c>
      <c r="K629" s="101">
        <f t="shared" si="614"/>
        <v>0</v>
      </c>
      <c r="L629" s="101">
        <f t="shared" si="614"/>
        <v>0</v>
      </c>
      <c r="M629" s="101">
        <f t="shared" si="614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5">S381+S382+S383+S384+S385</f>
        <v>0</v>
      </c>
      <c r="T629" s="101">
        <f t="shared" si="615"/>
        <v>0</v>
      </c>
      <c r="U629" s="101">
        <f t="shared" si="615"/>
        <v>0</v>
      </c>
      <c r="V629" s="101">
        <f t="shared" si="615"/>
        <v>0</v>
      </c>
      <c r="W629" s="101">
        <f t="shared" si="615"/>
        <v>0</v>
      </c>
      <c r="X629" s="101">
        <f t="shared" si="615"/>
        <v>0</v>
      </c>
      <c r="Y629" s="101">
        <f t="shared" si="615"/>
        <v>0</v>
      </c>
      <c r="Z629" s="101">
        <f t="shared" si="615"/>
        <v>0</v>
      </c>
      <c r="AA629" s="101">
        <f t="shared" si="615"/>
        <v>0</v>
      </c>
      <c r="AB629" s="101">
        <f t="shared" si="615"/>
        <v>0</v>
      </c>
      <c r="AC629" s="101">
        <f t="shared" si="615"/>
        <v>0</v>
      </c>
      <c r="AD629" s="101">
        <f t="shared" si="615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09"/>
        <v>0</v>
      </c>
      <c r="AL629" s="98" t="str">
        <f t="shared" si="608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16">H391+H392+H393+H394</f>
        <v>16210.215064132475</v>
      </c>
      <c r="I630" s="101">
        <f t="shared" si="616"/>
        <v>15281.009041670144</v>
      </c>
      <c r="J630" s="101">
        <f t="shared" si="616"/>
        <v>15693.701776695874</v>
      </c>
      <c r="K630" s="101">
        <f t="shared" si="616"/>
        <v>0</v>
      </c>
      <c r="L630" s="101">
        <f t="shared" si="616"/>
        <v>0</v>
      </c>
      <c r="M630" s="101">
        <f t="shared" si="616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17">S391+S392+S393+S394</f>
        <v>0</v>
      </c>
      <c r="T630" s="101">
        <f t="shared" si="617"/>
        <v>0</v>
      </c>
      <c r="U630" s="101">
        <f t="shared" si="617"/>
        <v>0</v>
      </c>
      <c r="V630" s="101">
        <f t="shared" si="617"/>
        <v>0</v>
      </c>
      <c r="W630" s="101">
        <f t="shared" si="617"/>
        <v>0</v>
      </c>
      <c r="X630" s="101">
        <f t="shared" si="617"/>
        <v>0</v>
      </c>
      <c r="Y630" s="101">
        <f t="shared" si="617"/>
        <v>0</v>
      </c>
      <c r="Z630" s="101">
        <f t="shared" si="617"/>
        <v>0</v>
      </c>
      <c r="AA630" s="101">
        <f t="shared" si="617"/>
        <v>0</v>
      </c>
      <c r="AB630" s="101">
        <f t="shared" si="617"/>
        <v>0</v>
      </c>
      <c r="AC630" s="101">
        <f t="shared" si="617"/>
        <v>0</v>
      </c>
      <c r="AD630" s="101">
        <f t="shared" si="617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09"/>
        <v>47184.925882498494</v>
      </c>
      <c r="AL630" s="98" t="str">
        <f t="shared" si="608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18">H444+H445+H446+H447+H448+H449+H450+H451+H452+H453</f>
        <v>0</v>
      </c>
      <c r="I631" s="101">
        <f t="shared" si="618"/>
        <v>0</v>
      </c>
      <c r="J631" s="101">
        <f t="shared" si="618"/>
        <v>0</v>
      </c>
      <c r="K631" s="101">
        <f t="shared" si="618"/>
        <v>0</v>
      </c>
      <c r="L631" s="101">
        <f t="shared" si="618"/>
        <v>0</v>
      </c>
      <c r="M631" s="101">
        <f t="shared" si="618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19">S444+S445+S446+S447+S448+S449+S450+S451+S452+S453</f>
        <v>0</v>
      </c>
      <c r="T631" s="101">
        <f t="shared" si="619"/>
        <v>1618225.8348742258</v>
      </c>
      <c r="U631" s="101">
        <f t="shared" si="619"/>
        <v>0</v>
      </c>
      <c r="V631" s="101">
        <f t="shared" si="619"/>
        <v>1018596.4745117625</v>
      </c>
      <c r="W631" s="101">
        <f t="shared" si="619"/>
        <v>1655551.7175841164</v>
      </c>
      <c r="X631" s="101">
        <f t="shared" si="619"/>
        <v>511164.86002779927</v>
      </c>
      <c r="Y631" s="101">
        <f t="shared" si="619"/>
        <v>757279.69185181917</v>
      </c>
      <c r="Z631" s="101">
        <f t="shared" si="619"/>
        <v>315193.21004416078</v>
      </c>
      <c r="AA631" s="101">
        <f t="shared" si="619"/>
        <v>280483.95085567492</v>
      </c>
      <c r="AB631" s="101">
        <f t="shared" si="619"/>
        <v>187776.2432794029</v>
      </c>
      <c r="AC631" s="101">
        <f t="shared" si="619"/>
        <v>5877796.7722128723</v>
      </c>
      <c r="AD631" s="101">
        <f t="shared" si="619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09"/>
        <v>12444302.580154542</v>
      </c>
      <c r="AL631" s="98" t="str">
        <f t="shared" si="608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20">H471+H472+H473+H474+H475+H476+H477</f>
        <v>0</v>
      </c>
      <c r="I632" s="101">
        <f t="shared" si="620"/>
        <v>0</v>
      </c>
      <c r="J632" s="101">
        <f t="shared" si="620"/>
        <v>0</v>
      </c>
      <c r="K632" s="101">
        <f t="shared" si="620"/>
        <v>0</v>
      </c>
      <c r="L632" s="101">
        <f t="shared" si="620"/>
        <v>0</v>
      </c>
      <c r="M632" s="101">
        <f t="shared" si="620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1">S471+S472+S473+S474+S475+S476+S477</f>
        <v>0</v>
      </c>
      <c r="T632" s="101">
        <f t="shared" si="621"/>
        <v>605268.88174267509</v>
      </c>
      <c r="U632" s="101">
        <f t="shared" si="621"/>
        <v>0</v>
      </c>
      <c r="V632" s="101">
        <f t="shared" si="621"/>
        <v>1716338.7897032718</v>
      </c>
      <c r="W632" s="101">
        <f t="shared" si="621"/>
        <v>2679438.4391976842</v>
      </c>
      <c r="X632" s="101">
        <f t="shared" si="621"/>
        <v>881261.6717432735</v>
      </c>
      <c r="Y632" s="101">
        <f t="shared" si="621"/>
        <v>1295121.7716360111</v>
      </c>
      <c r="Z632" s="101">
        <f t="shared" si="621"/>
        <v>27208.3079709372</v>
      </c>
      <c r="AA632" s="101">
        <f t="shared" si="621"/>
        <v>24212.113308904056</v>
      </c>
      <c r="AB632" s="101">
        <f t="shared" si="621"/>
        <v>0</v>
      </c>
      <c r="AC632" s="101">
        <f t="shared" si="621"/>
        <v>0</v>
      </c>
      <c r="AD632" s="101">
        <f t="shared" si="621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09"/>
        <v>7228849.9753027568</v>
      </c>
      <c r="AL632" s="98" t="str">
        <f t="shared" si="608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09"/>
        <v>1</v>
      </c>
      <c r="AL633" s="98" t="str">
        <f t="shared" si="608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09"/>
        <v>1</v>
      </c>
      <c r="AL634" s="98" t="str">
        <f t="shared" si="608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2">H36+H37</f>
        <v>0</v>
      </c>
      <c r="I635" s="101">
        <f t="shared" si="622"/>
        <v>0</v>
      </c>
      <c r="J635" s="101">
        <f t="shared" si="622"/>
        <v>0</v>
      </c>
      <c r="K635" s="101">
        <f t="shared" si="622"/>
        <v>0</v>
      </c>
      <c r="L635" s="101">
        <f t="shared" si="622"/>
        <v>0</v>
      </c>
      <c r="M635" s="101">
        <f t="shared" si="622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3">S36+S37</f>
        <v>0</v>
      </c>
      <c r="T635" s="101">
        <f t="shared" si="623"/>
        <v>0</v>
      </c>
      <c r="U635" s="101">
        <f t="shared" si="623"/>
        <v>0</v>
      </c>
      <c r="V635" s="101">
        <f t="shared" si="623"/>
        <v>228454092.63455608</v>
      </c>
      <c r="W635" s="101">
        <f t="shared" si="623"/>
        <v>423647545.28562999</v>
      </c>
      <c r="X635" s="101">
        <f t="shared" si="623"/>
        <v>105170278.98999348</v>
      </c>
      <c r="Y635" s="101">
        <f t="shared" si="623"/>
        <v>160770768.99212644</v>
      </c>
      <c r="Z635" s="101">
        <f t="shared" si="623"/>
        <v>0</v>
      </c>
      <c r="AA635" s="101">
        <f t="shared" si="623"/>
        <v>0</v>
      </c>
      <c r="AB635" s="101">
        <f t="shared" si="623"/>
        <v>0</v>
      </c>
      <c r="AC635" s="101">
        <f t="shared" si="623"/>
        <v>0</v>
      </c>
      <c r="AD635" s="101">
        <f t="shared" si="623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08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4">L637+L638</f>
        <v>0</v>
      </c>
      <c r="M639" s="101">
        <f t="shared" si="624"/>
        <v>0</v>
      </c>
      <c r="N639" s="101">
        <f t="shared" si="624"/>
        <v>0</v>
      </c>
      <c r="O639" s="101">
        <f t="shared" si="624"/>
        <v>0</v>
      </c>
      <c r="P639" s="101">
        <f t="shared" si="624"/>
        <v>0</v>
      </c>
      <c r="Q639" s="101">
        <f t="shared" si="624"/>
        <v>0</v>
      </c>
      <c r="R639" s="101">
        <f t="shared" si="624"/>
        <v>0</v>
      </c>
      <c r="S639" s="101">
        <f t="shared" si="624"/>
        <v>0</v>
      </c>
      <c r="T639" s="101">
        <f t="shared" si="624"/>
        <v>0</v>
      </c>
      <c r="U639" s="101">
        <f t="shared" si="624"/>
        <v>0</v>
      </c>
      <c r="V639" s="101">
        <f t="shared" si="624"/>
        <v>0</v>
      </c>
      <c r="W639" s="101">
        <f t="shared" si="624"/>
        <v>0</v>
      </c>
      <c r="X639" s="101">
        <f t="shared" si="624"/>
        <v>0</v>
      </c>
      <c r="Y639" s="101">
        <f t="shared" si="624"/>
        <v>0</v>
      </c>
      <c r="Z639" s="101">
        <f t="shared" si="624"/>
        <v>0</v>
      </c>
      <c r="AA639" s="101">
        <f t="shared" si="624"/>
        <v>0</v>
      </c>
      <c r="AB639" s="101">
        <f t="shared" si="624"/>
        <v>0</v>
      </c>
      <c r="AC639" s="101">
        <f t="shared" si="624"/>
        <v>0</v>
      </c>
      <c r="AD639" s="101">
        <f t="shared" si="624"/>
        <v>0</v>
      </c>
      <c r="AE639" s="101">
        <f t="shared" si="624"/>
        <v>0</v>
      </c>
      <c r="AF639" s="101">
        <f t="shared" si="624"/>
        <v>0</v>
      </c>
      <c r="AG639" s="101">
        <f t="shared" si="624"/>
        <v>0</v>
      </c>
      <c r="AH639" s="101">
        <f t="shared" si="624"/>
        <v>0</v>
      </c>
      <c r="AI639" s="101">
        <f t="shared" si="624"/>
        <v>0</v>
      </c>
      <c r="AJ639" s="101">
        <f t="shared" si="624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25">H47/$F$47</f>
        <v>0.20952193457482191</v>
      </c>
      <c r="I646" s="118">
        <f t="shared" si="625"/>
        <v>0.21948748801606224</v>
      </c>
      <c r="J646" s="118">
        <f t="shared" si="625"/>
        <v>0.18041797503286439</v>
      </c>
      <c r="K646" s="118">
        <f t="shared" si="625"/>
        <v>0</v>
      </c>
      <c r="L646" s="118">
        <f t="shared" si="625"/>
        <v>0</v>
      </c>
      <c r="M646" s="118">
        <f t="shared" si="625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26">S47/$F$47</f>
        <v>0</v>
      </c>
      <c r="T646" s="118">
        <f t="shared" si="626"/>
        <v>3.1338986525490678E-2</v>
      </c>
      <c r="U646" s="118">
        <f t="shared" si="626"/>
        <v>0</v>
      </c>
      <c r="V646" s="118">
        <f t="shared" si="626"/>
        <v>3.4149841307393271E-2</v>
      </c>
      <c r="W646" s="118">
        <f t="shared" si="626"/>
        <v>6.3327805927791941E-2</v>
      </c>
      <c r="X646" s="118">
        <f t="shared" si="626"/>
        <v>1.5721094318532226E-2</v>
      </c>
      <c r="Y646" s="118">
        <f t="shared" si="626"/>
        <v>2.4032382981780016E-2</v>
      </c>
      <c r="Z646" s="118">
        <f t="shared" si="626"/>
        <v>2.4404601761909742E-2</v>
      </c>
      <c r="AA646" s="118">
        <f t="shared" si="626"/>
        <v>2.1717152854532507E-2</v>
      </c>
      <c r="AB646" s="118">
        <f t="shared" si="626"/>
        <v>1.4539032858414855E-2</v>
      </c>
      <c r="AC646" s="118">
        <f t="shared" si="626"/>
        <v>1.2405195950597107E-2</v>
      </c>
      <c r="AD646" s="118">
        <f t="shared" si="626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27">SUM(H646:AJ646)</f>
        <v>0.99999999999999989</v>
      </c>
      <c r="AL646" s="98" t="str">
        <f t="shared" ref="AL646:AL664" si="628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29">H45/$F$45</f>
        <v>0</v>
      </c>
      <c r="I647" s="118">
        <f t="shared" si="629"/>
        <v>0</v>
      </c>
      <c r="J647" s="118">
        <f t="shared" si="629"/>
        <v>0</v>
      </c>
      <c r="K647" s="118">
        <f t="shared" si="629"/>
        <v>0</v>
      </c>
      <c r="L647" s="118">
        <f t="shared" si="629"/>
        <v>0</v>
      </c>
      <c r="M647" s="118">
        <f t="shared" si="629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30">S45/$F$45</f>
        <v>0</v>
      </c>
      <c r="T647" s="118">
        <f t="shared" si="630"/>
        <v>0.12107329805658508</v>
      </c>
      <c r="U647" s="118">
        <f t="shared" si="630"/>
        <v>0</v>
      </c>
      <c r="V647" s="118">
        <f t="shared" si="630"/>
        <v>0.13193259813402247</v>
      </c>
      <c r="W647" s="118">
        <f t="shared" si="630"/>
        <v>0.2446571243179371</v>
      </c>
      <c r="X647" s="118">
        <f t="shared" si="630"/>
        <v>6.0736001678137759E-2</v>
      </c>
      <c r="Y647" s="118">
        <f t="shared" si="630"/>
        <v>9.2845372181910329E-2</v>
      </c>
      <c r="Z647" s="118">
        <f t="shared" si="630"/>
        <v>9.4283381521243909E-2</v>
      </c>
      <c r="AA647" s="118">
        <f t="shared" si="630"/>
        <v>8.3900840837930174E-2</v>
      </c>
      <c r="AB647" s="118">
        <f t="shared" si="630"/>
        <v>5.6169291157183804E-2</v>
      </c>
      <c r="AC647" s="118">
        <f t="shared" si="630"/>
        <v>4.7925544291463645E-2</v>
      </c>
      <c r="AD647" s="118">
        <f t="shared" si="630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27"/>
        <v>1</v>
      </c>
      <c r="AL647" s="98" t="str">
        <f t="shared" si="628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1">H32/$F$32</f>
        <v>0</v>
      </c>
      <c r="I648" s="118">
        <f t="shared" si="631"/>
        <v>0</v>
      </c>
      <c r="J648" s="118">
        <f t="shared" si="631"/>
        <v>0</v>
      </c>
      <c r="K648" s="118">
        <f t="shared" si="631"/>
        <v>0</v>
      </c>
      <c r="L648" s="118">
        <f t="shared" si="631"/>
        <v>0</v>
      </c>
      <c r="M648" s="118">
        <f t="shared" si="631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2">S32/$F$32</f>
        <v>0</v>
      </c>
      <c r="T648" s="118">
        <f t="shared" si="632"/>
        <v>0</v>
      </c>
      <c r="U648" s="118">
        <f t="shared" si="632"/>
        <v>0</v>
      </c>
      <c r="V648" s="118">
        <f t="shared" si="632"/>
        <v>0</v>
      </c>
      <c r="W648" s="118">
        <f t="shared" si="632"/>
        <v>0</v>
      </c>
      <c r="X648" s="118">
        <f t="shared" si="632"/>
        <v>0</v>
      </c>
      <c r="Y648" s="118">
        <f t="shared" si="632"/>
        <v>0</v>
      </c>
      <c r="Z648" s="118">
        <f t="shared" si="632"/>
        <v>0</v>
      </c>
      <c r="AA648" s="118">
        <f t="shared" si="632"/>
        <v>0</v>
      </c>
      <c r="AB648" s="118">
        <f t="shared" si="632"/>
        <v>0</v>
      </c>
      <c r="AC648" s="118">
        <f t="shared" si="632"/>
        <v>0</v>
      </c>
      <c r="AD648" s="118">
        <f t="shared" si="632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27"/>
        <v>1</v>
      </c>
      <c r="AL648" s="98" t="str">
        <f t="shared" si="628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3">H330/$F$330</f>
        <v>3.9764185243287328E-2</v>
      </c>
      <c r="I649" s="118">
        <f t="shared" si="633"/>
        <v>3.7733706917855762E-2</v>
      </c>
      <c r="J649" s="118">
        <f t="shared" si="633"/>
        <v>3.8243147239114206E-2</v>
      </c>
      <c r="K649" s="118">
        <f t="shared" si="633"/>
        <v>0.67605482796901784</v>
      </c>
      <c r="L649" s="118">
        <f t="shared" si="633"/>
        <v>0</v>
      </c>
      <c r="M649" s="118">
        <f t="shared" si="633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4">S330/$F$330</f>
        <v>0</v>
      </c>
      <c r="T649" s="118">
        <f t="shared" si="634"/>
        <v>8.236039337613443E-3</v>
      </c>
      <c r="U649" s="118">
        <f t="shared" si="634"/>
        <v>0</v>
      </c>
      <c r="V649" s="118">
        <f t="shared" si="634"/>
        <v>1.5641866062359566E-2</v>
      </c>
      <c r="W649" s="118">
        <f t="shared" si="634"/>
        <v>2.4171628306174527E-2</v>
      </c>
      <c r="X649" s="118">
        <f t="shared" si="634"/>
        <v>8.0761868302706291E-3</v>
      </c>
      <c r="Y649" s="118">
        <f t="shared" si="634"/>
        <v>1.1846007533307433E-2</v>
      </c>
      <c r="Z649" s="118">
        <f t="shared" si="634"/>
        <v>1.5920344309310762E-3</v>
      </c>
      <c r="AA649" s="118">
        <f t="shared" si="634"/>
        <v>1.4167186755807682E-3</v>
      </c>
      <c r="AB649" s="118">
        <f t="shared" si="634"/>
        <v>8.9492644404539159E-4</v>
      </c>
      <c r="AC649" s="118">
        <f t="shared" si="634"/>
        <v>2.0293085652186422E-2</v>
      </c>
      <c r="AD649" s="118">
        <f t="shared" si="634"/>
        <v>8.9745546793189529E-4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27"/>
        <v>1</v>
      </c>
      <c r="AL649" s="98" t="str">
        <f t="shared" si="628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5">H66/$F$66</f>
        <v>0.2095237336356337</v>
      </c>
      <c r="I650" s="118">
        <f t="shared" si="635"/>
        <v>0.21948937264613286</v>
      </c>
      <c r="J650" s="118">
        <f t="shared" si="635"/>
        <v>0.18041952419242746</v>
      </c>
      <c r="K650" s="118">
        <f t="shared" si="635"/>
        <v>0</v>
      </c>
      <c r="L650" s="118">
        <f t="shared" si="635"/>
        <v>0</v>
      </c>
      <c r="M650" s="118">
        <f t="shared" si="635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36">S66/$F$66</f>
        <v>0</v>
      </c>
      <c r="T650" s="118">
        <f t="shared" si="636"/>
        <v>3.1339233772213988E-2</v>
      </c>
      <c r="U650" s="118">
        <f t="shared" si="636"/>
        <v>0</v>
      </c>
      <c r="V650" s="118">
        <f t="shared" si="636"/>
        <v>3.4150110730157092E-2</v>
      </c>
      <c r="W650" s="118">
        <f t="shared" si="636"/>
        <v>6.3328305548049219E-2</v>
      </c>
      <c r="X650" s="118">
        <f t="shared" si="636"/>
        <v>1.5721218348996771E-2</v>
      </c>
      <c r="Y650" s="118">
        <f t="shared" si="636"/>
        <v>2.4032572583570132E-2</v>
      </c>
      <c r="Z650" s="118">
        <f t="shared" si="636"/>
        <v>2.4404794300293672E-2</v>
      </c>
      <c r="AA650" s="118">
        <f t="shared" si="636"/>
        <v>2.1717324190477869E-2</v>
      </c>
      <c r="AB650" s="118">
        <f t="shared" si="636"/>
        <v>1.4539147563088904E-2</v>
      </c>
      <c r="AC650" s="118">
        <f t="shared" si="636"/>
        <v>1.240529382051541E-2</v>
      </c>
      <c r="AD650" s="118">
        <f t="shared" si="636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27"/>
        <v>0.99999999999999989</v>
      </c>
      <c r="AL650" s="98" t="str">
        <f t="shared" si="628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37">I534/$F$534</f>
        <v>0.10311221651137267</v>
      </c>
      <c r="J651" s="118">
        <f t="shared" si="637"/>
        <v>0.10574133652178345</v>
      </c>
      <c r="K651" s="118">
        <f t="shared" si="637"/>
        <v>0.22637866608158227</v>
      </c>
      <c r="L651" s="118">
        <f t="shared" si="637"/>
        <v>0</v>
      </c>
      <c r="M651" s="118">
        <f t="shared" si="637"/>
        <v>0</v>
      </c>
      <c r="N651" s="118"/>
      <c r="O651" s="118">
        <f t="shared" si="637"/>
        <v>6.7445316068513755E-2</v>
      </c>
      <c r="P651" s="118">
        <f t="shared" si="637"/>
        <v>0</v>
      </c>
      <c r="Q651" s="118">
        <f t="shared" si="637"/>
        <v>0</v>
      </c>
      <c r="R651" s="118"/>
      <c r="S651" s="118">
        <f t="shared" si="637"/>
        <v>0</v>
      </c>
      <c r="T651" s="118">
        <f t="shared" si="637"/>
        <v>2.35990863209012E-2</v>
      </c>
      <c r="U651" s="118">
        <f t="shared" si="637"/>
        <v>0</v>
      </c>
      <c r="V651" s="118">
        <f t="shared" si="637"/>
        <v>2.817267733827563E-2</v>
      </c>
      <c r="W651" s="118">
        <f t="shared" si="637"/>
        <v>4.4722160112982585E-2</v>
      </c>
      <c r="X651" s="118">
        <f t="shared" si="637"/>
        <v>1.4331264857421692E-2</v>
      </c>
      <c r="Y651" s="118">
        <f t="shared" si="637"/>
        <v>2.1130208365350581E-2</v>
      </c>
      <c r="Z651" s="118">
        <f t="shared" si="637"/>
        <v>3.7587971989744319E-3</v>
      </c>
      <c r="AA651" s="118">
        <f t="shared" si="637"/>
        <v>3.3448762702911038E-3</v>
      </c>
      <c r="AB651" s="118">
        <f t="shared" si="637"/>
        <v>2.0782431487793704E-3</v>
      </c>
      <c r="AC651" s="118">
        <f t="shared" si="637"/>
        <v>6.3522383211515973E-2</v>
      </c>
      <c r="AD651" s="118">
        <f t="shared" si="637"/>
        <v>2.4596078608551523E-3</v>
      </c>
      <c r="AE651" s="118"/>
      <c r="AF651" s="118">
        <f t="shared" si="637"/>
        <v>0.15903920210728373</v>
      </c>
      <c r="AG651" s="118"/>
      <c r="AH651" s="118">
        <f t="shared" si="637"/>
        <v>2.1862328887175847E-2</v>
      </c>
      <c r="AI651" s="118"/>
      <c r="AJ651" s="118">
        <f t="shared" si="637"/>
        <v>0</v>
      </c>
      <c r="AK651" s="115">
        <f t="shared" si="627"/>
        <v>1.0000000000000002</v>
      </c>
      <c r="AL651" s="98" t="str">
        <f t="shared" si="628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38">H304/$F$304</f>
        <v>2.9538372935310656E-2</v>
      </c>
      <c r="I652" s="118">
        <f t="shared" si="638"/>
        <v>2.81659088678759E-2</v>
      </c>
      <c r="J652" s="118">
        <f t="shared" si="638"/>
        <v>2.8269838939716765E-2</v>
      </c>
      <c r="K652" s="118">
        <f t="shared" si="638"/>
        <v>0.7522802397900149</v>
      </c>
      <c r="L652" s="118">
        <f t="shared" si="638"/>
        <v>0</v>
      </c>
      <c r="M652" s="118">
        <f t="shared" si="638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39">S304/$F$304</f>
        <v>0</v>
      </c>
      <c r="T652" s="118">
        <f t="shared" si="639"/>
        <v>5.5012556449742902E-3</v>
      </c>
      <c r="U652" s="118">
        <f t="shared" si="639"/>
        <v>0</v>
      </c>
      <c r="V652" s="118">
        <f t="shared" si="639"/>
        <v>1.286387579436242E-2</v>
      </c>
      <c r="W652" s="118">
        <f t="shared" si="639"/>
        <v>1.9602803239215361E-2</v>
      </c>
      <c r="X652" s="118">
        <f t="shared" si="639"/>
        <v>6.691820589909774E-3</v>
      </c>
      <c r="Y652" s="118">
        <f t="shared" si="639"/>
        <v>9.7900076496004948E-3</v>
      </c>
      <c r="Z652" s="118">
        <f t="shared" si="639"/>
        <v>9.4778102976250276E-4</v>
      </c>
      <c r="AA652" s="118">
        <f t="shared" si="639"/>
        <v>8.4341083279237234E-4</v>
      </c>
      <c r="AB652" s="118">
        <f t="shared" si="639"/>
        <v>5.2744681503194796E-4</v>
      </c>
      <c r="AC652" s="118">
        <f t="shared" si="639"/>
        <v>1.3640564512974539E-2</v>
      </c>
      <c r="AD652" s="118">
        <f t="shared" si="639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27"/>
        <v>0.99999999999999989</v>
      </c>
      <c r="AL652" s="98" t="str">
        <f t="shared" si="628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40">H366/$F$366</f>
        <v>0.29646080441098488</v>
      </c>
      <c r="I653" s="118">
        <f t="shared" si="640"/>
        <v>0.27946700366294674</v>
      </c>
      <c r="J653" s="118">
        <f t="shared" si="640"/>
        <v>0.28701454203404514</v>
      </c>
      <c r="K653" s="118">
        <f t="shared" si="640"/>
        <v>0.13705764989202335</v>
      </c>
      <c r="L653" s="118">
        <f t="shared" si="640"/>
        <v>0</v>
      </c>
      <c r="M653" s="118">
        <f t="shared" si="640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1">S366/$F$366</f>
        <v>0</v>
      </c>
      <c r="T653" s="118">
        <f t="shared" si="641"/>
        <v>0</v>
      </c>
      <c r="U653" s="118">
        <f t="shared" si="641"/>
        <v>0</v>
      </c>
      <c r="V653" s="118">
        <f t="shared" si="641"/>
        <v>0</v>
      </c>
      <c r="W653" s="118">
        <f t="shared" si="641"/>
        <v>0</v>
      </c>
      <c r="X653" s="118">
        <f t="shared" si="641"/>
        <v>0</v>
      </c>
      <c r="Y653" s="118">
        <f t="shared" si="641"/>
        <v>0</v>
      </c>
      <c r="Z653" s="118">
        <f t="shared" si="641"/>
        <v>0</v>
      </c>
      <c r="AA653" s="118">
        <f t="shared" si="641"/>
        <v>0</v>
      </c>
      <c r="AB653" s="118">
        <f t="shared" si="641"/>
        <v>0</v>
      </c>
      <c r="AC653" s="118">
        <f t="shared" si="641"/>
        <v>0</v>
      </c>
      <c r="AD653" s="118">
        <f t="shared" si="641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27"/>
        <v>1</v>
      </c>
      <c r="AL653" s="98" t="str">
        <f t="shared" si="628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2">H375/$F$375</f>
        <v>3.314107135453747E-2</v>
      </c>
      <c r="I654" s="118">
        <f t="shared" si="642"/>
        <v>3.1241350532101971E-2</v>
      </c>
      <c r="J654" s="118">
        <f t="shared" si="642"/>
        <v>3.2085082667972858E-2</v>
      </c>
      <c r="K654" s="118">
        <f t="shared" si="642"/>
        <v>0.90353249544538761</v>
      </c>
      <c r="L654" s="118">
        <f t="shared" si="642"/>
        <v>0</v>
      </c>
      <c r="M654" s="118">
        <f t="shared" si="642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3">S375/$F$375</f>
        <v>0</v>
      </c>
      <c r="T654" s="118">
        <f t="shared" si="643"/>
        <v>0</v>
      </c>
      <c r="U654" s="118">
        <f t="shared" si="643"/>
        <v>0</v>
      </c>
      <c r="V654" s="118">
        <f t="shared" si="643"/>
        <v>0</v>
      </c>
      <c r="W654" s="118">
        <f t="shared" si="643"/>
        <v>0</v>
      </c>
      <c r="X654" s="118">
        <f t="shared" si="643"/>
        <v>0</v>
      </c>
      <c r="Y654" s="118">
        <f t="shared" si="643"/>
        <v>0</v>
      </c>
      <c r="Z654" s="118">
        <f t="shared" si="643"/>
        <v>0</v>
      </c>
      <c r="AA654" s="118">
        <f t="shared" si="643"/>
        <v>0</v>
      </c>
      <c r="AB654" s="118">
        <f t="shared" si="643"/>
        <v>0</v>
      </c>
      <c r="AC654" s="118">
        <f t="shared" si="643"/>
        <v>0</v>
      </c>
      <c r="AD654" s="118">
        <f t="shared" si="643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27"/>
        <v>0.99999999999999989</v>
      </c>
      <c r="AL654" s="98" t="str">
        <f t="shared" si="628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4">H387/$F$387</f>
        <v>#DIV/0!</v>
      </c>
      <c r="I655" s="118" t="e">
        <f t="shared" si="644"/>
        <v>#DIV/0!</v>
      </c>
      <c r="J655" s="118" t="e">
        <f t="shared" si="644"/>
        <v>#DIV/0!</v>
      </c>
      <c r="K655" s="118" t="e">
        <f t="shared" si="644"/>
        <v>#DIV/0!</v>
      </c>
      <c r="L655" s="118" t="e">
        <f t="shared" si="644"/>
        <v>#DIV/0!</v>
      </c>
      <c r="M655" s="118" t="e">
        <f t="shared" si="644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5">S387/$F$387</f>
        <v>#DIV/0!</v>
      </c>
      <c r="T655" s="118" t="e">
        <f t="shared" si="645"/>
        <v>#DIV/0!</v>
      </c>
      <c r="U655" s="118" t="e">
        <f t="shared" si="645"/>
        <v>#DIV/0!</v>
      </c>
      <c r="V655" s="118" t="e">
        <f t="shared" si="645"/>
        <v>#DIV/0!</v>
      </c>
      <c r="W655" s="118" t="e">
        <f t="shared" si="645"/>
        <v>#DIV/0!</v>
      </c>
      <c r="X655" s="118" t="e">
        <f t="shared" si="645"/>
        <v>#DIV/0!</v>
      </c>
      <c r="Y655" s="118" t="e">
        <f t="shared" si="645"/>
        <v>#DIV/0!</v>
      </c>
      <c r="Z655" s="118" t="e">
        <f t="shared" si="645"/>
        <v>#DIV/0!</v>
      </c>
      <c r="AA655" s="118" t="e">
        <f t="shared" si="645"/>
        <v>#DIV/0!</v>
      </c>
      <c r="AB655" s="118" t="e">
        <f t="shared" si="645"/>
        <v>#DIV/0!</v>
      </c>
      <c r="AC655" s="118" t="e">
        <f t="shared" si="645"/>
        <v>#DIV/0!</v>
      </c>
      <c r="AD655" s="118" t="e">
        <f t="shared" si="645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27"/>
        <v>#DIV/0!</v>
      </c>
      <c r="AL655" s="98" t="e">
        <f t="shared" si="628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46">H396/$F$396</f>
        <v>0.34354647720544701</v>
      </c>
      <c r="I656" s="118">
        <f t="shared" si="646"/>
        <v>0.32385361968615639</v>
      </c>
      <c r="J656" s="118">
        <f t="shared" si="646"/>
        <v>0.3325999031083966</v>
      </c>
      <c r="K656" s="118">
        <f t="shared" si="646"/>
        <v>0</v>
      </c>
      <c r="L656" s="118">
        <f t="shared" si="646"/>
        <v>0</v>
      </c>
      <c r="M656" s="118">
        <f t="shared" si="646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47">S396/$F$396</f>
        <v>0</v>
      </c>
      <c r="T656" s="118">
        <f t="shared" si="647"/>
        <v>0</v>
      </c>
      <c r="U656" s="118">
        <f t="shared" si="647"/>
        <v>0</v>
      </c>
      <c r="V656" s="118">
        <f t="shared" si="647"/>
        <v>0</v>
      </c>
      <c r="W656" s="118">
        <f t="shared" si="647"/>
        <v>0</v>
      </c>
      <c r="X656" s="118">
        <f t="shared" si="647"/>
        <v>0</v>
      </c>
      <c r="Y656" s="118">
        <f t="shared" si="647"/>
        <v>0</v>
      </c>
      <c r="Z656" s="118">
        <f t="shared" si="647"/>
        <v>0</v>
      </c>
      <c r="AA656" s="118">
        <f t="shared" si="647"/>
        <v>0</v>
      </c>
      <c r="AB656" s="118">
        <f t="shared" si="647"/>
        <v>0</v>
      </c>
      <c r="AC656" s="118">
        <f t="shared" si="647"/>
        <v>0</v>
      </c>
      <c r="AD656" s="118">
        <f t="shared" si="647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27"/>
        <v>1</v>
      </c>
      <c r="AL656" s="98" t="str">
        <f t="shared" si="628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48">H407/$F$407</f>
        <v>0.34354647720544707</v>
      </c>
      <c r="I657" s="118">
        <f t="shared" si="648"/>
        <v>0.32385361968615645</v>
      </c>
      <c r="J657" s="118">
        <f t="shared" si="648"/>
        <v>0.3325999031083966</v>
      </c>
      <c r="K657" s="118">
        <f t="shared" si="648"/>
        <v>0</v>
      </c>
      <c r="L657" s="118">
        <f t="shared" si="648"/>
        <v>0</v>
      </c>
      <c r="M657" s="118">
        <f t="shared" si="648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49">S407/$F$407</f>
        <v>0</v>
      </c>
      <c r="T657" s="118">
        <f t="shared" si="649"/>
        <v>0</v>
      </c>
      <c r="U657" s="118">
        <f t="shared" si="649"/>
        <v>0</v>
      </c>
      <c r="V657" s="118">
        <f t="shared" si="649"/>
        <v>0</v>
      </c>
      <c r="W657" s="118">
        <f t="shared" si="649"/>
        <v>0</v>
      </c>
      <c r="X657" s="118">
        <f t="shared" si="649"/>
        <v>0</v>
      </c>
      <c r="Y657" s="118">
        <f t="shared" si="649"/>
        <v>0</v>
      </c>
      <c r="Z657" s="118">
        <f t="shared" si="649"/>
        <v>0</v>
      </c>
      <c r="AA657" s="118">
        <f t="shared" si="649"/>
        <v>0</v>
      </c>
      <c r="AB657" s="118">
        <f t="shared" si="649"/>
        <v>0</v>
      </c>
      <c r="AC657" s="118">
        <f t="shared" si="649"/>
        <v>0</v>
      </c>
      <c r="AD657" s="118">
        <f t="shared" si="649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27"/>
        <v>1</v>
      </c>
      <c r="AL657" s="98" t="str">
        <f t="shared" si="628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50">H440/$F$440</f>
        <v>0</v>
      </c>
      <c r="I658" s="119">
        <f t="shared" si="650"/>
        <v>0</v>
      </c>
      <c r="J658" s="119">
        <f t="shared" si="650"/>
        <v>0</v>
      </c>
      <c r="K658" s="119">
        <f t="shared" si="650"/>
        <v>0</v>
      </c>
      <c r="L658" s="119">
        <f t="shared" si="650"/>
        <v>0</v>
      </c>
      <c r="M658" s="119">
        <f t="shared" si="650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1">S440/$F$440</f>
        <v>0</v>
      </c>
      <c r="T658" s="119">
        <f t="shared" si="651"/>
        <v>0</v>
      </c>
      <c r="U658" s="119">
        <f t="shared" si="651"/>
        <v>0</v>
      </c>
      <c r="V658" s="119">
        <f t="shared" si="651"/>
        <v>0</v>
      </c>
      <c r="W658" s="119">
        <f t="shared" si="651"/>
        <v>0</v>
      </c>
      <c r="X658" s="119">
        <f t="shared" si="651"/>
        <v>0</v>
      </c>
      <c r="Y658" s="119">
        <f t="shared" si="651"/>
        <v>0</v>
      </c>
      <c r="Z658" s="119">
        <f t="shared" si="651"/>
        <v>0</v>
      </c>
      <c r="AA658" s="119">
        <f t="shared" si="651"/>
        <v>0</v>
      </c>
      <c r="AB658" s="119">
        <f t="shared" si="651"/>
        <v>0</v>
      </c>
      <c r="AC658" s="119">
        <f t="shared" si="651"/>
        <v>0</v>
      </c>
      <c r="AD658" s="119">
        <f t="shared" si="651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27"/>
        <v>1</v>
      </c>
      <c r="AL658" s="98" t="str">
        <f t="shared" si="628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2">H455/$F$455</f>
        <v>0</v>
      </c>
      <c r="I659" s="118">
        <f t="shared" si="652"/>
        <v>0</v>
      </c>
      <c r="J659" s="118">
        <f t="shared" si="652"/>
        <v>0</v>
      </c>
      <c r="K659" s="118">
        <f t="shared" si="652"/>
        <v>0</v>
      </c>
      <c r="L659" s="118">
        <f t="shared" si="652"/>
        <v>0</v>
      </c>
      <c r="M659" s="118">
        <f t="shared" si="652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3">S455/$F$455</f>
        <v>0</v>
      </c>
      <c r="T659" s="118">
        <f t="shared" si="653"/>
        <v>0.13003748699062326</v>
      </c>
      <c r="U659" s="118">
        <f t="shared" si="653"/>
        <v>0</v>
      </c>
      <c r="V659" s="118">
        <f t="shared" si="653"/>
        <v>8.1852435518255703E-2</v>
      </c>
      <c r="W659" s="118">
        <f t="shared" si="653"/>
        <v>0.13303692247280255</v>
      </c>
      <c r="X659" s="118">
        <f t="shared" si="653"/>
        <v>4.1076215941821884E-2</v>
      </c>
      <c r="Y659" s="118">
        <f t="shared" si="653"/>
        <v>6.0853526099524879E-2</v>
      </c>
      <c r="Z659" s="118">
        <f t="shared" si="653"/>
        <v>2.5328314545068422E-2</v>
      </c>
      <c r="AA659" s="118">
        <f t="shared" si="653"/>
        <v>2.2539145850003248E-2</v>
      </c>
      <c r="AB659" s="118">
        <f t="shared" si="653"/>
        <v>1.5089334421911089E-2</v>
      </c>
      <c r="AC659" s="118">
        <f t="shared" si="653"/>
        <v>0.47232833936282176</v>
      </c>
      <c r="AD659" s="118">
        <f t="shared" si="653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27"/>
        <v>1</v>
      </c>
      <c r="AL659" s="98" t="str">
        <f t="shared" si="628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4">H479/$F$479</f>
        <v>0</v>
      </c>
      <c r="I660" s="118">
        <f t="shared" si="654"/>
        <v>0</v>
      </c>
      <c r="J660" s="118">
        <f t="shared" si="654"/>
        <v>0</v>
      </c>
      <c r="K660" s="118">
        <f t="shared" si="654"/>
        <v>0</v>
      </c>
      <c r="L660" s="118">
        <f t="shared" si="654"/>
        <v>0</v>
      </c>
      <c r="M660" s="118">
        <f t="shared" si="654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5">S479/$F$479</f>
        <v>0</v>
      </c>
      <c r="T660" s="118">
        <f t="shared" si="655"/>
        <v>8.3729622804535428E-2</v>
      </c>
      <c r="U660" s="118">
        <f t="shared" si="655"/>
        <v>0</v>
      </c>
      <c r="V660" s="118">
        <f t="shared" si="655"/>
        <v>0.23742902336707972</v>
      </c>
      <c r="W660" s="118">
        <f t="shared" si="655"/>
        <v>0.37065901884143954</v>
      </c>
      <c r="X660" s="118">
        <f t="shared" si="655"/>
        <v>0.12190897234748115</v>
      </c>
      <c r="Y660" s="118">
        <f t="shared" si="655"/>
        <v>0.17916013972634273</v>
      </c>
      <c r="Z660" s="118">
        <f t="shared" si="655"/>
        <v>3.7638501371440717E-3</v>
      </c>
      <c r="AA660" s="118">
        <f t="shared" si="655"/>
        <v>3.349372775977414E-3</v>
      </c>
      <c r="AB660" s="118">
        <f t="shared" si="655"/>
        <v>0</v>
      </c>
      <c r="AC660" s="118">
        <f t="shared" si="655"/>
        <v>0</v>
      </c>
      <c r="AD660" s="118">
        <f t="shared" si="655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27"/>
        <v>1</v>
      </c>
      <c r="AL660" s="98" t="str">
        <f t="shared" si="628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56">I510/$F$510</f>
        <v>0.10270833873737889</v>
      </c>
      <c r="J661" s="118">
        <f t="shared" si="656"/>
        <v>0.10548217291991825</v>
      </c>
      <c r="K661" s="118">
        <f t="shared" si="656"/>
        <v>0.2271643081733648</v>
      </c>
      <c r="L661" s="118">
        <f t="shared" si="656"/>
        <v>0</v>
      </c>
      <c r="M661" s="118">
        <f t="shared" si="656"/>
        <v>0</v>
      </c>
      <c r="N661" s="118"/>
      <c r="O661" s="118">
        <f t="shared" si="656"/>
        <v>6.7222219202898781E-2</v>
      </c>
      <c r="P661" s="118">
        <f t="shared" si="656"/>
        <v>0</v>
      </c>
      <c r="Q661" s="118">
        <f t="shared" si="656"/>
        <v>0</v>
      </c>
      <c r="R661" s="118"/>
      <c r="S661" s="118">
        <f t="shared" si="656"/>
        <v>0</v>
      </c>
      <c r="T661" s="118">
        <f t="shared" si="656"/>
        <v>2.357222517054558E-2</v>
      </c>
      <c r="U661" s="118">
        <f t="shared" si="656"/>
        <v>0</v>
      </c>
      <c r="V661" s="118">
        <f t="shared" si="656"/>
        <v>2.8151933724555718E-2</v>
      </c>
      <c r="W661" s="118">
        <f t="shared" si="656"/>
        <v>4.4657589635782022E-2</v>
      </c>
      <c r="X661" s="118">
        <f t="shared" si="656"/>
        <v>1.4326441485396631E-2</v>
      </c>
      <c r="Y661" s="118">
        <f t="shared" si="656"/>
        <v>2.1120136433326966E-2</v>
      </c>
      <c r="Z661" s="118">
        <f t="shared" si="656"/>
        <v>3.6871463965197811E-3</v>
      </c>
      <c r="AA661" s="118">
        <f t="shared" si="656"/>
        <v>3.2811156957798567E-3</v>
      </c>
      <c r="AB661" s="118">
        <f t="shared" si="656"/>
        <v>2.0349982571021092E-3</v>
      </c>
      <c r="AC661" s="118">
        <f t="shared" si="656"/>
        <v>6.3699784265338052E-2</v>
      </c>
      <c r="AD661" s="118">
        <f t="shared" si="656"/>
        <v>2.4084273839346856E-3</v>
      </c>
      <c r="AE661" s="118"/>
      <c r="AF661" s="118">
        <f t="shared" si="656"/>
        <v>0.15959114409714406</v>
      </c>
      <c r="AG661" s="118"/>
      <c r="AH661" s="118">
        <f t="shared" si="656"/>
        <v>2.1938201610058529E-2</v>
      </c>
      <c r="AI661" s="118"/>
      <c r="AJ661" s="118">
        <f t="shared" si="656"/>
        <v>0</v>
      </c>
      <c r="AK661" s="115">
        <f t="shared" si="627"/>
        <v>1</v>
      </c>
      <c r="AL661" s="98" t="str">
        <f t="shared" si="628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57">I57/$F$57</f>
        <v>0.21948748801606224</v>
      </c>
      <c r="J662" s="118">
        <f t="shared" si="657"/>
        <v>0.18041797503286439</v>
      </c>
      <c r="K662" s="118">
        <f t="shared" si="657"/>
        <v>0</v>
      </c>
      <c r="L662" s="118">
        <f t="shared" si="657"/>
        <v>0</v>
      </c>
      <c r="M662" s="118">
        <f t="shared" si="657"/>
        <v>0</v>
      </c>
      <c r="N662" s="118"/>
      <c r="O662" s="118">
        <f t="shared" si="657"/>
        <v>0.13172951287154483</v>
      </c>
      <c r="P662" s="118">
        <f t="shared" si="657"/>
        <v>0</v>
      </c>
      <c r="Q662" s="118">
        <f t="shared" si="657"/>
        <v>0</v>
      </c>
      <c r="R662" s="118"/>
      <c r="S662" s="118">
        <f t="shared" si="657"/>
        <v>0</v>
      </c>
      <c r="T662" s="118">
        <f t="shared" si="657"/>
        <v>3.1338986525490678E-2</v>
      </c>
      <c r="U662" s="118">
        <f t="shared" si="657"/>
        <v>0</v>
      </c>
      <c r="V662" s="118">
        <f t="shared" si="657"/>
        <v>3.4149841307393271E-2</v>
      </c>
      <c r="W662" s="118">
        <f t="shared" si="657"/>
        <v>6.3327805927791941E-2</v>
      </c>
      <c r="X662" s="118">
        <f t="shared" si="657"/>
        <v>1.5721094318532226E-2</v>
      </c>
      <c r="Y662" s="118">
        <f t="shared" si="657"/>
        <v>2.4032382981780013E-2</v>
      </c>
      <c r="Z662" s="118">
        <f t="shared" si="657"/>
        <v>2.4404601761909738E-2</v>
      </c>
      <c r="AA662" s="118">
        <f t="shared" si="657"/>
        <v>2.1717152854532507E-2</v>
      </c>
      <c r="AB662" s="118">
        <f t="shared" si="657"/>
        <v>1.4539032858414855E-2</v>
      </c>
      <c r="AC662" s="118">
        <f t="shared" si="657"/>
        <v>1.2405195950597107E-2</v>
      </c>
      <c r="AD662" s="118">
        <f t="shared" si="657"/>
        <v>1.7206995018264299E-2</v>
      </c>
      <c r="AE662" s="118"/>
      <c r="AF662" s="118">
        <f t="shared" si="657"/>
        <v>0</v>
      </c>
      <c r="AG662" s="118"/>
      <c r="AH662" s="118">
        <f t="shared" si="657"/>
        <v>0</v>
      </c>
      <c r="AI662" s="118"/>
      <c r="AJ662" s="118">
        <f t="shared" si="657"/>
        <v>0</v>
      </c>
      <c r="AK662" s="115">
        <f t="shared" si="627"/>
        <v>0.99999999999999989</v>
      </c>
      <c r="AL662" s="98" t="str">
        <f t="shared" si="628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58">I26/$F$26</f>
        <v>0.36015362760499087</v>
      </c>
      <c r="J663" s="118">
        <f t="shared" si="658"/>
        <v>0.29604506744583836</v>
      </c>
      <c r="K663" s="118">
        <f t="shared" si="658"/>
        <v>0</v>
      </c>
      <c r="L663" s="118">
        <f t="shared" si="658"/>
        <v>0</v>
      </c>
      <c r="M663" s="118">
        <f t="shared" si="658"/>
        <v>0</v>
      </c>
      <c r="N663" s="118"/>
      <c r="O663" s="118">
        <f t="shared" si="658"/>
        <v>0</v>
      </c>
      <c r="P663" s="118">
        <f t="shared" si="658"/>
        <v>0</v>
      </c>
      <c r="Q663" s="118">
        <f t="shared" si="658"/>
        <v>0</v>
      </c>
      <c r="R663" s="118"/>
      <c r="S663" s="118">
        <f t="shared" si="658"/>
        <v>0</v>
      </c>
      <c r="T663" s="118">
        <f t="shared" si="658"/>
        <v>0</v>
      </c>
      <c r="U663" s="118">
        <f t="shared" si="658"/>
        <v>0</v>
      </c>
      <c r="V663" s="118">
        <f t="shared" si="658"/>
        <v>0</v>
      </c>
      <c r="W663" s="118">
        <f t="shared" si="658"/>
        <v>0</v>
      </c>
      <c r="X663" s="118">
        <f t="shared" si="658"/>
        <v>0</v>
      </c>
      <c r="Y663" s="118">
        <f t="shared" si="658"/>
        <v>0</v>
      </c>
      <c r="Z663" s="118">
        <f t="shared" si="658"/>
        <v>0</v>
      </c>
      <c r="AA663" s="118">
        <f t="shared" si="658"/>
        <v>0</v>
      </c>
      <c r="AB663" s="118">
        <f t="shared" si="658"/>
        <v>0</v>
      </c>
      <c r="AC663" s="118">
        <f t="shared" si="658"/>
        <v>0</v>
      </c>
      <c r="AD663" s="118">
        <f t="shared" si="658"/>
        <v>0</v>
      </c>
      <c r="AE663" s="118"/>
      <c r="AF663" s="118">
        <f t="shared" si="658"/>
        <v>0</v>
      </c>
      <c r="AG663" s="118"/>
      <c r="AH663" s="118">
        <f t="shared" si="658"/>
        <v>0</v>
      </c>
      <c r="AI663" s="118"/>
      <c r="AJ663" s="118">
        <f t="shared" si="658"/>
        <v>0</v>
      </c>
      <c r="AK663" s="115">
        <f t="shared" si="627"/>
        <v>1</v>
      </c>
      <c r="AL663" s="98" t="str">
        <f t="shared" si="628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59">I12/$F$12</f>
        <v>0.21948748801606227</v>
      </c>
      <c r="J664" s="118">
        <f t="shared" si="659"/>
        <v>0.18041797503286441</v>
      </c>
      <c r="K664" s="118">
        <f t="shared" si="659"/>
        <v>0</v>
      </c>
      <c r="L664" s="118">
        <f t="shared" si="659"/>
        <v>0</v>
      </c>
      <c r="M664" s="118">
        <f t="shared" si="659"/>
        <v>0</v>
      </c>
      <c r="N664" s="118"/>
      <c r="O664" s="118">
        <f t="shared" si="659"/>
        <v>0.13172951287154486</v>
      </c>
      <c r="P664" s="118">
        <f t="shared" si="659"/>
        <v>0</v>
      </c>
      <c r="Q664" s="118">
        <f t="shared" si="659"/>
        <v>0</v>
      </c>
      <c r="R664" s="118"/>
      <c r="S664" s="118">
        <f t="shared" si="659"/>
        <v>0</v>
      </c>
      <c r="T664" s="118">
        <f t="shared" si="659"/>
        <v>3.1338986525490685E-2</v>
      </c>
      <c r="U664" s="118">
        <f t="shared" si="659"/>
        <v>0</v>
      </c>
      <c r="V664" s="118">
        <f t="shared" si="659"/>
        <v>3.4149841307393271E-2</v>
      </c>
      <c r="W664" s="118">
        <f t="shared" si="659"/>
        <v>6.3327805927791941E-2</v>
      </c>
      <c r="X664" s="118">
        <f t="shared" si="659"/>
        <v>1.572109431853223E-2</v>
      </c>
      <c r="Y664" s="118">
        <f t="shared" si="659"/>
        <v>2.403238298178002E-2</v>
      </c>
      <c r="Z664" s="118">
        <f t="shared" si="659"/>
        <v>2.4404601761909742E-2</v>
      </c>
      <c r="AA664" s="118">
        <f t="shared" si="659"/>
        <v>2.1717152854532511E-2</v>
      </c>
      <c r="AB664" s="118">
        <f t="shared" si="659"/>
        <v>1.4539032858414855E-2</v>
      </c>
      <c r="AC664" s="118">
        <f t="shared" si="659"/>
        <v>1.2405195950597107E-2</v>
      </c>
      <c r="AD664" s="118">
        <f t="shared" si="659"/>
        <v>1.7206995018264299E-2</v>
      </c>
      <c r="AE664" s="118"/>
      <c r="AF664" s="118">
        <f t="shared" si="659"/>
        <v>0</v>
      </c>
      <c r="AG664" s="118"/>
      <c r="AH664" s="118">
        <f t="shared" si="659"/>
        <v>0</v>
      </c>
      <c r="AI664" s="118"/>
      <c r="AJ664" s="118">
        <f t="shared" si="659"/>
        <v>0</v>
      </c>
      <c r="AK664" s="115">
        <f t="shared" si="627"/>
        <v>1</v>
      </c>
      <c r="AL664" s="98" t="str">
        <f t="shared" si="628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2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BIP METHODOLOGY&amp;RExhibit WSS-16
Page &amp;P of &amp;N</oddHeader>
  </headerFooter>
  <rowBreaks count="12" manualBreakCount="12">
    <brk id="52" max="16383" man="1"/>
    <brk id="89" max="16383" man="1"/>
    <brk id="145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35"/>
  <sheetViews>
    <sheetView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Q34" sqref="Q34"/>
    </sheetView>
  </sheetViews>
  <sheetFormatPr defaultColWidth="9.109375" defaultRowHeight="12" customHeight="1" x14ac:dyDescent="0.25"/>
  <cols>
    <col min="1" max="1" width="7.6640625" style="399" customWidth="1"/>
    <col min="2" max="2" width="25.88671875" style="399" customWidth="1"/>
    <col min="3" max="3" width="15.33203125" style="399" customWidth="1"/>
    <col min="4" max="4" width="11.88671875" style="399" hidden="1" customWidth="1"/>
    <col min="5" max="5" width="16.33203125" style="399" hidden="1" customWidth="1"/>
    <col min="6" max="6" width="19.44140625" style="399" customWidth="1"/>
    <col min="7" max="8" width="18.6640625" style="399" customWidth="1"/>
    <col min="9" max="9" width="20.44140625" style="399" hidden="1" customWidth="1"/>
    <col min="10" max="10" width="18.6640625" style="399" customWidth="1"/>
    <col min="11" max="11" width="19.88671875" style="399" hidden="1" customWidth="1"/>
    <col min="12" max="15" width="18.6640625" style="399" customWidth="1"/>
    <col min="16" max="17" width="20.33203125" style="399" customWidth="1"/>
    <col min="18" max="20" width="17.6640625" style="399" customWidth="1"/>
    <col min="21" max="16384" width="9.109375" style="399"/>
  </cols>
  <sheetData>
    <row r="1" spans="1:20" ht="12" customHeight="1" x14ac:dyDescent="0.25">
      <c r="A1" s="398"/>
      <c r="B1" s="398"/>
      <c r="C1" s="398"/>
      <c r="D1" s="398">
        <v>1</v>
      </c>
      <c r="E1" s="398">
        <f>D1+1</f>
        <v>2</v>
      </c>
      <c r="F1" s="398">
        <f t="shared" ref="F1:T1" si="0">E1+1</f>
        <v>3</v>
      </c>
      <c r="G1" s="398">
        <f t="shared" si="0"/>
        <v>4</v>
      </c>
      <c r="H1" s="398">
        <f t="shared" si="0"/>
        <v>5</v>
      </c>
      <c r="I1" s="398">
        <f t="shared" si="0"/>
        <v>6</v>
      </c>
      <c r="J1" s="398">
        <f t="shared" si="0"/>
        <v>7</v>
      </c>
      <c r="K1" s="398">
        <f t="shared" si="0"/>
        <v>8</v>
      </c>
      <c r="L1" s="398">
        <f t="shared" si="0"/>
        <v>9</v>
      </c>
      <c r="M1" s="398">
        <f t="shared" si="0"/>
        <v>10</v>
      </c>
      <c r="N1" s="398">
        <f t="shared" si="0"/>
        <v>11</v>
      </c>
      <c r="O1" s="398">
        <f t="shared" si="0"/>
        <v>12</v>
      </c>
      <c r="P1" s="398">
        <f t="shared" si="0"/>
        <v>13</v>
      </c>
      <c r="Q1" s="398">
        <f>P1+1</f>
        <v>14</v>
      </c>
      <c r="R1" s="398">
        <f t="shared" si="0"/>
        <v>15</v>
      </c>
      <c r="S1" s="398">
        <f t="shared" si="0"/>
        <v>16</v>
      </c>
      <c r="T1" s="398">
        <f t="shared" si="0"/>
        <v>17</v>
      </c>
    </row>
    <row r="2" spans="1:20" s="404" customFormat="1" ht="34.5" customHeight="1" x14ac:dyDescent="0.25">
      <c r="A2" s="400"/>
      <c r="B2" s="400"/>
      <c r="C2" s="400"/>
      <c r="D2" s="401"/>
      <c r="E2" s="402" t="s">
        <v>408</v>
      </c>
      <c r="F2" s="403" t="s">
        <v>68</v>
      </c>
      <c r="G2" s="401" t="s">
        <v>1550</v>
      </c>
      <c r="H2" s="401" t="s">
        <v>2310</v>
      </c>
      <c r="I2" s="401" t="s">
        <v>2337</v>
      </c>
      <c r="J2" s="401" t="s">
        <v>2338</v>
      </c>
      <c r="K2" s="401" t="s">
        <v>2337</v>
      </c>
      <c r="L2" s="401" t="s">
        <v>1878</v>
      </c>
      <c r="M2" s="401" t="s">
        <v>1878</v>
      </c>
      <c r="N2" s="401" t="s">
        <v>1881</v>
      </c>
      <c r="O2" s="401" t="s">
        <v>1881</v>
      </c>
      <c r="P2" s="401" t="s">
        <v>1884</v>
      </c>
      <c r="Q2" s="401" t="s">
        <v>2201</v>
      </c>
      <c r="R2" s="401" t="s">
        <v>2223</v>
      </c>
      <c r="S2" s="401" t="s">
        <v>2224</v>
      </c>
      <c r="T2" s="429" t="s">
        <v>2255</v>
      </c>
    </row>
    <row r="3" spans="1:20" ht="17.25" customHeight="1" thickBot="1" x14ac:dyDescent="0.3">
      <c r="A3" s="405" t="s">
        <v>105</v>
      </c>
      <c r="B3" s="405"/>
      <c r="C3" s="406"/>
      <c r="D3" s="407" t="s">
        <v>106</v>
      </c>
      <c r="E3" s="407" t="s">
        <v>107</v>
      </c>
      <c r="F3" s="408" t="s">
        <v>108</v>
      </c>
      <c r="G3" s="408" t="s">
        <v>1811</v>
      </c>
      <c r="H3" s="408" t="s">
        <v>2336</v>
      </c>
      <c r="I3" s="408"/>
      <c r="J3" s="408" t="s">
        <v>2339</v>
      </c>
      <c r="K3" s="408"/>
      <c r="L3" s="408" t="s">
        <v>1879</v>
      </c>
      <c r="M3" s="408" t="s">
        <v>1880</v>
      </c>
      <c r="N3" s="408" t="s">
        <v>1882</v>
      </c>
      <c r="O3" s="430" t="s">
        <v>2252</v>
      </c>
      <c r="P3" s="408" t="s">
        <v>1875</v>
      </c>
      <c r="Q3" s="408" t="s">
        <v>2219</v>
      </c>
      <c r="R3" s="408" t="s">
        <v>2231</v>
      </c>
      <c r="S3" s="408" t="s">
        <v>2218</v>
      </c>
      <c r="T3" s="430" t="s">
        <v>2256</v>
      </c>
    </row>
    <row r="5" spans="1:20" ht="13.8" x14ac:dyDescent="0.25">
      <c r="A5" s="409" t="s">
        <v>579</v>
      </c>
      <c r="F5" s="410"/>
    </row>
    <row r="6" spans="1:20" ht="12" customHeight="1" x14ac:dyDescent="0.25">
      <c r="F6" s="410"/>
      <c r="G6" s="410"/>
    </row>
    <row r="7" spans="1:20" ht="13.8" x14ac:dyDescent="0.25">
      <c r="A7" s="411" t="s">
        <v>431</v>
      </c>
    </row>
    <row r="8" spans="1:20" ht="13.8" x14ac:dyDescent="0.25">
      <c r="A8" s="412" t="s">
        <v>932</v>
      </c>
      <c r="D8" s="399" t="s">
        <v>432</v>
      </c>
      <c r="E8" s="399" t="s">
        <v>516</v>
      </c>
      <c r="F8" s="100">
        <f>'Allocation ProForma'!F651</f>
        <v>1464489053</v>
      </c>
      <c r="G8" s="100">
        <f>'Allocation ProForma'!G651</f>
        <v>554543189</v>
      </c>
      <c r="H8" s="100">
        <f>'Allocation ProForma'!H651</f>
        <v>198233993.99999997</v>
      </c>
      <c r="I8" s="100">
        <f>'Allocation ProForma'!I651</f>
        <v>0</v>
      </c>
      <c r="J8" s="100">
        <f>'Allocation ProForma'!J651</f>
        <v>12037990.999999998</v>
      </c>
      <c r="K8" s="100">
        <f>'Allocation ProForma'!K651</f>
        <v>0</v>
      </c>
      <c r="L8" s="100">
        <f>'Allocation ProForma'!L651</f>
        <v>174459441</v>
      </c>
      <c r="M8" s="100">
        <f>'Allocation ProForma'!M651</f>
        <v>13950650.999999998</v>
      </c>
      <c r="N8" s="100">
        <f>'Allocation ProForma'!N651</f>
        <v>116879945</v>
      </c>
      <c r="O8" s="100">
        <f>'Allocation ProForma'!O651</f>
        <v>251561897</v>
      </c>
      <c r="P8" s="100">
        <f>'Allocation ProForma'!P651</f>
        <v>86711460</v>
      </c>
      <c r="Q8" s="100">
        <f>'Allocation ProForma'!Q651</f>
        <v>29892107</v>
      </c>
      <c r="R8" s="100">
        <f>'Allocation ProForma'!R651</f>
        <v>26032396</v>
      </c>
      <c r="S8" s="100">
        <f>'Allocation ProForma'!S651</f>
        <v>29470.000000000004</v>
      </c>
      <c r="T8" s="100">
        <f>'Allocation ProForma'!T651</f>
        <v>156512</v>
      </c>
    </row>
    <row r="9" spans="1:20" ht="13.8" x14ac:dyDescent="0.25">
      <c r="A9" s="399" t="s">
        <v>1214</v>
      </c>
      <c r="D9" s="399" t="s">
        <v>825</v>
      </c>
      <c r="E9" s="399" t="s">
        <v>410</v>
      </c>
      <c r="F9" s="101">
        <f>'Allocation ProForma'!F652</f>
        <v>8422903.2400000002</v>
      </c>
      <c r="G9" s="101">
        <f>'Allocation ProForma'!G652</f>
        <v>2829615.4300200166</v>
      </c>
      <c r="H9" s="101">
        <f>'Allocation ProForma'!H652</f>
        <v>838290.47107581364</v>
      </c>
      <c r="I9" s="101">
        <f>'Allocation ProForma'!I652</f>
        <v>0</v>
      </c>
      <c r="J9" s="101">
        <f>'Allocation ProForma'!J652</f>
        <v>70540.746440541348</v>
      </c>
      <c r="K9" s="101">
        <f>'Allocation ProForma'!K652</f>
        <v>0</v>
      </c>
      <c r="L9" s="101">
        <f>'Allocation ProForma'!L652</f>
        <v>997111.51906858548</v>
      </c>
      <c r="M9" s="101">
        <f>'Allocation ProForma'!M652</f>
        <v>76946.693901392908</v>
      </c>
      <c r="N9" s="101">
        <f>'Allocation ProForma'!N652</f>
        <v>776254.74686152849</v>
      </c>
      <c r="O9" s="101">
        <f>'Allocation ProForma'!O652</f>
        <v>1865957.3271087771</v>
      </c>
      <c r="P9" s="101">
        <f>'Allocation ProForma'!P652</f>
        <v>664530.24368404015</v>
      </c>
      <c r="Q9" s="101">
        <f>'Allocation ProForma'!Q652</f>
        <v>245327.47728685281</v>
      </c>
      <c r="R9" s="101">
        <f>'Allocation ProForma'!R652</f>
        <v>57429.364383024025</v>
      </c>
      <c r="S9" s="101">
        <f>'Allocation ProForma'!S652</f>
        <v>207.50576376202625</v>
      </c>
      <c r="T9" s="101">
        <f>'Allocation ProForma'!T652</f>
        <v>691.71440566367289</v>
      </c>
    </row>
    <row r="10" spans="1:20" ht="15" hidden="1" customHeight="1" x14ac:dyDescent="0.25">
      <c r="A10" s="399" t="s">
        <v>1942</v>
      </c>
      <c r="E10" s="399" t="s">
        <v>1213</v>
      </c>
      <c r="F10" s="101">
        <f>'Allocation ProForma'!F653</f>
        <v>0</v>
      </c>
      <c r="G10" s="101">
        <f>'Allocation ProForma'!G653</f>
        <v>0</v>
      </c>
      <c r="H10" s="101">
        <f>'Allocation ProForma'!H653</f>
        <v>0</v>
      </c>
      <c r="I10" s="101">
        <f>'Allocation ProForma'!I653</f>
        <v>0</v>
      </c>
      <c r="J10" s="101">
        <f>'Allocation ProForma'!J653</f>
        <v>0</v>
      </c>
      <c r="K10" s="101">
        <f>'Allocation ProForma'!K653</f>
        <v>0</v>
      </c>
      <c r="L10" s="101">
        <f>'Allocation ProForma'!L653</f>
        <v>0</v>
      </c>
      <c r="M10" s="101">
        <f>'Allocation ProForma'!M653</f>
        <v>0</v>
      </c>
      <c r="N10" s="101">
        <f>'Allocation ProForma'!N653</f>
        <v>0</v>
      </c>
      <c r="O10" s="101">
        <f>'Allocation ProForma'!O653</f>
        <v>0</v>
      </c>
      <c r="P10" s="101">
        <f>'Allocation ProForma'!P653</f>
        <v>0</v>
      </c>
      <c r="Q10" s="101">
        <f>'Allocation ProForma'!Q653</f>
        <v>0</v>
      </c>
      <c r="R10" s="101">
        <f>'Allocation ProForma'!R653</f>
        <v>0</v>
      </c>
      <c r="S10" s="101">
        <f>'Allocation ProForma'!S653</f>
        <v>0</v>
      </c>
      <c r="T10" s="101">
        <f>'Allocation ProForma'!T653</f>
        <v>0</v>
      </c>
    </row>
    <row r="11" spans="1:20" ht="13.8" x14ac:dyDescent="0.25">
      <c r="A11" s="399" t="s">
        <v>2430</v>
      </c>
      <c r="E11" s="399" t="s">
        <v>582</v>
      </c>
      <c r="F11" s="101">
        <f>'Allocation ProForma'!F654</f>
        <v>-17395776</v>
      </c>
      <c r="G11" s="101">
        <f>'Allocation ProForma'!G654</f>
        <v>-7120997.5447985651</v>
      </c>
      <c r="H11" s="101">
        <f>'Allocation ProForma'!H654</f>
        <v>-1976551.7950724438</v>
      </c>
      <c r="I11" s="101">
        <f>'Allocation ProForma'!I654</f>
        <v>0</v>
      </c>
      <c r="J11" s="101">
        <f>'Allocation ProForma'!J654</f>
        <v>-148835.04237624098</v>
      </c>
      <c r="K11" s="101">
        <f>'Allocation ProForma'!K654</f>
        <v>0</v>
      </c>
      <c r="L11" s="101">
        <f>'Allocation ProForma'!L654</f>
        <v>-1986750.25159457</v>
      </c>
      <c r="M11" s="101">
        <f>'Allocation ProForma'!M654</f>
        <v>-146294.19723152765</v>
      </c>
      <c r="N11" s="101">
        <f>'Allocation ProForma'!N654</f>
        <v>-1450867.2355036079</v>
      </c>
      <c r="O11" s="101">
        <f>'Allocation ProForma'!O654</f>
        <v>-3173151.6699064914</v>
      </c>
      <c r="P11" s="101">
        <f>'Allocation ProForma'!P654</f>
        <v>-1103241.7810053704</v>
      </c>
      <c r="Q11" s="101">
        <f>'Allocation ProForma'!Q654</f>
        <v>-288197.08424574614</v>
      </c>
      <c r="R11" s="101">
        <f>'Allocation ProForma'!R654</f>
        <v>0</v>
      </c>
      <c r="S11" s="101">
        <f>'Allocation ProForma'!S654</f>
        <v>0</v>
      </c>
      <c r="T11" s="101">
        <f>'Allocation ProForma'!T654</f>
        <v>-889.39826543265804</v>
      </c>
    </row>
    <row r="12" spans="1:20" ht="13.8" x14ac:dyDescent="0.25">
      <c r="A12" s="399" t="s">
        <v>2191</v>
      </c>
      <c r="E12" s="399" t="s">
        <v>1931</v>
      </c>
      <c r="F12" s="101">
        <f>'Allocation ProForma'!F655</f>
        <v>3857505.2961587054</v>
      </c>
      <c r="G12" s="101">
        <f>'Allocation ProForma'!G655</f>
        <v>3012898.2127159415</v>
      </c>
      <c r="H12" s="101">
        <f>'Allocation ProForma'!H655</f>
        <v>568302.03020910779</v>
      </c>
      <c r="I12" s="101">
        <f>'Allocation ProForma'!I655</f>
        <v>0</v>
      </c>
      <c r="J12" s="101">
        <f>'Allocation ProForma'!J655</f>
        <v>3750.3524144748221</v>
      </c>
      <c r="K12" s="101">
        <f>'Allocation ProForma'!K655</f>
        <v>0</v>
      </c>
      <c r="L12" s="101">
        <f>'Allocation ProForma'!L655</f>
        <v>98651.332762320162</v>
      </c>
      <c r="M12" s="101">
        <f>'Allocation ProForma'!M655</f>
        <v>5534.7421869142427</v>
      </c>
      <c r="N12" s="101">
        <f>'Allocation ProForma'!N655</f>
        <v>41764.010353338403</v>
      </c>
      <c r="O12" s="101">
        <f>'Allocation ProForma'!O655</f>
        <v>107885.48865016444</v>
      </c>
      <c r="P12" s="101">
        <f>'Allocation ProForma'!P655</f>
        <v>18685.962777292352</v>
      </c>
      <c r="Q12" s="101">
        <f>'Allocation ProForma'!Q655</f>
        <v>0</v>
      </c>
      <c r="R12" s="101">
        <f>'Allocation ProForma'!R655</f>
        <v>33.164089152319214</v>
      </c>
      <c r="S12" s="101">
        <f>'Allocation ProForma'!S655</f>
        <v>0</v>
      </c>
      <c r="T12" s="101">
        <f>'Allocation ProForma'!T655</f>
        <v>0</v>
      </c>
    </row>
    <row r="13" spans="1:20" ht="15" hidden="1" customHeight="1" x14ac:dyDescent="0.25">
      <c r="A13" s="399" t="s">
        <v>2192</v>
      </c>
      <c r="E13" s="399" t="s">
        <v>2230</v>
      </c>
      <c r="F13" s="101">
        <f>'Allocation ProForma'!F656</f>
        <v>0</v>
      </c>
      <c r="G13" s="101">
        <f>'Allocation ProForma'!G656</f>
        <v>0</v>
      </c>
      <c r="H13" s="101">
        <f>'Allocation ProForma'!H656</f>
        <v>0</v>
      </c>
      <c r="I13" s="101">
        <f>'Allocation ProForma'!I656</f>
        <v>0</v>
      </c>
      <c r="J13" s="101">
        <f>'Allocation ProForma'!J656</f>
        <v>0</v>
      </c>
      <c r="K13" s="101">
        <f>'Allocation ProForma'!K656</f>
        <v>0</v>
      </c>
      <c r="L13" s="101">
        <f>'Allocation ProForma'!L656</f>
        <v>0</v>
      </c>
      <c r="M13" s="101">
        <f>'Allocation ProForma'!M656</f>
        <v>0</v>
      </c>
      <c r="N13" s="101">
        <f>'Allocation ProForma'!N656</f>
        <v>0</v>
      </c>
      <c r="O13" s="101">
        <f>'Allocation ProForma'!O656</f>
        <v>0</v>
      </c>
      <c r="P13" s="101">
        <f>'Allocation ProForma'!P656</f>
        <v>0</v>
      </c>
      <c r="Q13" s="101">
        <f>'Allocation ProForma'!Q656</f>
        <v>0</v>
      </c>
      <c r="R13" s="101">
        <f>'Allocation ProForma'!R656</f>
        <v>0</v>
      </c>
      <c r="S13" s="101">
        <f>'Allocation ProForma'!S656</f>
        <v>0</v>
      </c>
      <c r="T13" s="101">
        <f>'Allocation ProForma'!T656</f>
        <v>0</v>
      </c>
    </row>
    <row r="14" spans="1:20" ht="13.8" x14ac:dyDescent="0.25">
      <c r="A14" s="399" t="s">
        <v>2193</v>
      </c>
      <c r="E14" s="399" t="s">
        <v>2230</v>
      </c>
      <c r="F14" s="101">
        <f>'Allocation ProForma'!F657</f>
        <v>2108281.586779655</v>
      </c>
      <c r="G14" s="101">
        <f>'Allocation ProForma'!G657</f>
        <v>1967237.1981218893</v>
      </c>
      <c r="H14" s="101">
        <f>'Allocation ProForma'!H657</f>
        <v>136875.49873332356</v>
      </c>
      <c r="I14" s="101">
        <f>'Allocation ProForma'!I657</f>
        <v>0</v>
      </c>
      <c r="J14" s="101">
        <f>'Allocation ProForma'!J657</f>
        <v>852.85627588832403</v>
      </c>
      <c r="K14" s="101">
        <f>'Allocation ProForma'!K657</f>
        <v>0</v>
      </c>
      <c r="L14" s="101">
        <f>'Allocation ProForma'!L657</f>
        <v>1335.3264374361033</v>
      </c>
      <c r="M14" s="101">
        <f>'Allocation ProForma'!M657</f>
        <v>51.155304539599754</v>
      </c>
      <c r="N14" s="101">
        <f>'Allocation ProForma'!N657</f>
        <v>981.87969205789011</v>
      </c>
      <c r="O14" s="101">
        <f>'Allocation ProForma'!O657</f>
        <v>439.12613805743086</v>
      </c>
      <c r="P14" s="101">
        <f>'Allocation ProForma'!P657</f>
        <v>47.644788939323412</v>
      </c>
      <c r="Q14" s="101">
        <f>'Allocation ProForma'!Q657</f>
        <v>0</v>
      </c>
      <c r="R14" s="101">
        <f>'Allocation ProForma'!R657</f>
        <v>460.90128752325819</v>
      </c>
      <c r="S14" s="101">
        <f>'Allocation ProForma'!S657</f>
        <v>0</v>
      </c>
      <c r="T14" s="101">
        <f>'Allocation ProForma'!T657</f>
        <v>0</v>
      </c>
    </row>
    <row r="15" spans="1:20" ht="13.8" x14ac:dyDescent="0.25">
      <c r="A15" s="399" t="s">
        <v>2194</v>
      </c>
      <c r="E15" s="399" t="s">
        <v>422</v>
      </c>
      <c r="F15" s="101">
        <f>'Allocation ProForma'!F658</f>
        <v>3142644.6954118521</v>
      </c>
      <c r="G15" s="101">
        <f>'Allocation ProForma'!G658</f>
        <v>1482453.8396918518</v>
      </c>
      <c r="H15" s="101">
        <f>'Allocation ProForma'!H658</f>
        <v>381029.4600601329</v>
      </c>
      <c r="I15" s="101">
        <f>'Allocation ProForma'!I658</f>
        <v>0</v>
      </c>
      <c r="J15" s="101">
        <f>'Allocation ProForma'!J658</f>
        <v>24337.732367233741</v>
      </c>
      <c r="K15" s="101">
        <f>'Allocation ProForma'!K658</f>
        <v>0</v>
      </c>
      <c r="L15" s="101">
        <f>'Allocation ProForma'!L658</f>
        <v>299997.3131574103</v>
      </c>
      <c r="M15" s="101">
        <f>'Allocation ProForma'!M658</f>
        <v>21827.793073705088</v>
      </c>
      <c r="N15" s="101">
        <f>'Allocation ProForma'!N658</f>
        <v>214749.93273719854</v>
      </c>
      <c r="O15" s="101">
        <f>'Allocation ProForma'!O658</f>
        <v>460647.77068206581</v>
      </c>
      <c r="P15" s="101">
        <f>'Allocation ProForma'!P658</f>
        <v>147497.32439859424</v>
      </c>
      <c r="Q15" s="101">
        <f>'Allocation ProForma'!Q658</f>
        <v>38866.370531641274</v>
      </c>
      <c r="R15" s="101">
        <f>'Allocation ProForma'!R658</f>
        <v>70983.324024651694</v>
      </c>
      <c r="S15" s="101">
        <f>'Allocation ProForma'!S658</f>
        <v>13.120878664659836</v>
      </c>
      <c r="T15" s="101">
        <f>'Allocation ProForma'!T658</f>
        <v>240.71380870110107</v>
      </c>
    </row>
    <row r="16" spans="1:20" ht="15" hidden="1" customHeight="1" x14ac:dyDescent="0.25">
      <c r="A16" s="399" t="s">
        <v>2195</v>
      </c>
      <c r="E16" s="399" t="s">
        <v>148</v>
      </c>
      <c r="F16" s="101">
        <f>'Allocation ProForma'!F659</f>
        <v>0</v>
      </c>
      <c r="G16" s="101">
        <f>'Allocation ProForma'!G659</f>
        <v>0</v>
      </c>
      <c r="H16" s="101">
        <f>'Allocation ProForma'!H659</f>
        <v>0</v>
      </c>
      <c r="I16" s="101">
        <f>'Allocation ProForma'!I659</f>
        <v>0</v>
      </c>
      <c r="J16" s="101">
        <f>'Allocation ProForma'!J659</f>
        <v>0</v>
      </c>
      <c r="K16" s="101">
        <f>'Allocation ProForma'!K659</f>
        <v>0</v>
      </c>
      <c r="L16" s="101">
        <f>'Allocation ProForma'!L659</f>
        <v>0</v>
      </c>
      <c r="M16" s="101">
        <f>'Allocation ProForma'!M659</f>
        <v>0</v>
      </c>
      <c r="N16" s="101">
        <f>'Allocation ProForma'!N659</f>
        <v>0</v>
      </c>
      <c r="O16" s="101">
        <f>'Allocation ProForma'!O659</f>
        <v>0</v>
      </c>
      <c r="P16" s="101">
        <f>'Allocation ProForma'!P659</f>
        <v>0</v>
      </c>
      <c r="Q16" s="101">
        <f>'Allocation ProForma'!Q659</f>
        <v>0</v>
      </c>
      <c r="R16" s="101">
        <f>'Allocation ProForma'!R659</f>
        <v>0</v>
      </c>
      <c r="S16" s="101">
        <f>'Allocation ProForma'!S659</f>
        <v>0</v>
      </c>
      <c r="T16" s="101">
        <f>'Allocation ProForma'!T659</f>
        <v>0</v>
      </c>
    </row>
    <row r="17" spans="1:20" ht="15" hidden="1" customHeight="1" x14ac:dyDescent="0.25">
      <c r="A17" s="399" t="s">
        <v>2318</v>
      </c>
      <c r="E17" s="399" t="s">
        <v>148</v>
      </c>
      <c r="F17" s="101">
        <f>'Allocation ProForma'!F660</f>
        <v>0</v>
      </c>
      <c r="G17" s="101">
        <f>'Allocation ProForma'!G660</f>
        <v>0</v>
      </c>
      <c r="H17" s="101">
        <f>'Allocation ProForma'!H660</f>
        <v>0</v>
      </c>
      <c r="I17" s="101">
        <f>'Allocation ProForma'!I660</f>
        <v>0</v>
      </c>
      <c r="J17" s="101">
        <f>'Allocation ProForma'!J660</f>
        <v>0</v>
      </c>
      <c r="K17" s="101">
        <f>'Allocation ProForma'!K660</f>
        <v>0</v>
      </c>
      <c r="L17" s="101">
        <f>'Allocation ProForma'!L660</f>
        <v>0</v>
      </c>
      <c r="M17" s="101">
        <f>'Allocation ProForma'!M660</f>
        <v>0</v>
      </c>
      <c r="N17" s="101">
        <f>'Allocation ProForma'!N660</f>
        <v>0</v>
      </c>
      <c r="O17" s="101">
        <f>'Allocation ProForma'!O660</f>
        <v>0</v>
      </c>
      <c r="P17" s="101">
        <f>'Allocation ProForma'!P660</f>
        <v>0</v>
      </c>
      <c r="Q17" s="101">
        <f>'Allocation ProForma'!Q660</f>
        <v>0</v>
      </c>
      <c r="R17" s="101">
        <f>'Allocation ProForma'!R660</f>
        <v>0</v>
      </c>
      <c r="S17" s="101">
        <f>'Allocation ProForma'!S660</f>
        <v>0</v>
      </c>
      <c r="T17" s="101">
        <f>'Allocation ProForma'!T660</f>
        <v>0</v>
      </c>
    </row>
    <row r="18" spans="1:20" ht="15" hidden="1" customHeight="1" x14ac:dyDescent="0.25">
      <c r="A18" s="399" t="s">
        <v>2196</v>
      </c>
      <c r="E18" s="399" t="s">
        <v>516</v>
      </c>
      <c r="F18" s="101">
        <f>'Allocation ProForma'!F661</f>
        <v>0</v>
      </c>
      <c r="G18" s="101">
        <f>'Allocation ProForma'!G661</f>
        <v>0</v>
      </c>
      <c r="H18" s="101">
        <f>'Allocation ProForma'!H661</f>
        <v>0</v>
      </c>
      <c r="I18" s="101">
        <f>'Allocation ProForma'!I661</f>
        <v>0</v>
      </c>
      <c r="J18" s="101">
        <f>'Allocation ProForma'!J661</f>
        <v>0</v>
      </c>
      <c r="K18" s="101">
        <f>'Allocation ProForma'!K661</f>
        <v>0</v>
      </c>
      <c r="L18" s="101">
        <f>'Allocation ProForma'!L661</f>
        <v>0</v>
      </c>
      <c r="M18" s="101">
        <f>'Allocation ProForma'!M661</f>
        <v>0</v>
      </c>
      <c r="N18" s="101">
        <f>'Allocation ProForma'!N661</f>
        <v>0</v>
      </c>
      <c r="O18" s="101">
        <f>'Allocation ProForma'!O661</f>
        <v>0</v>
      </c>
      <c r="P18" s="101">
        <f>'Allocation ProForma'!P661</f>
        <v>0</v>
      </c>
      <c r="Q18" s="101">
        <f>'Allocation ProForma'!Q661</f>
        <v>0</v>
      </c>
      <c r="R18" s="101">
        <f>'Allocation ProForma'!R661</f>
        <v>0</v>
      </c>
      <c r="S18" s="101">
        <f>'Allocation ProForma'!S661</f>
        <v>0</v>
      </c>
      <c r="T18" s="101">
        <f>'Allocation ProForma'!T661</f>
        <v>0</v>
      </c>
    </row>
    <row r="19" spans="1:20" ht="15" hidden="1" customHeight="1" x14ac:dyDescent="0.25">
      <c r="A19" s="399" t="s">
        <v>2197</v>
      </c>
      <c r="E19" s="399" t="s">
        <v>2230</v>
      </c>
      <c r="F19" s="101">
        <f>'Allocation ProForma'!F662</f>
        <v>0</v>
      </c>
      <c r="G19" s="101">
        <f>'Allocation ProForma'!G662</f>
        <v>0</v>
      </c>
      <c r="H19" s="101">
        <f>'Allocation ProForma'!H662</f>
        <v>0</v>
      </c>
      <c r="I19" s="101">
        <f>'Allocation ProForma'!I662</f>
        <v>0</v>
      </c>
      <c r="J19" s="101">
        <f>'Allocation ProForma'!J662</f>
        <v>0</v>
      </c>
      <c r="K19" s="101">
        <f>'Allocation ProForma'!K662</f>
        <v>0</v>
      </c>
      <c r="L19" s="101">
        <f>'Allocation ProForma'!L662</f>
        <v>0</v>
      </c>
      <c r="M19" s="101">
        <f>'Allocation ProForma'!M662</f>
        <v>0</v>
      </c>
      <c r="N19" s="101">
        <f>'Allocation ProForma'!N662</f>
        <v>0</v>
      </c>
      <c r="O19" s="101">
        <f>'Allocation ProForma'!O662</f>
        <v>0</v>
      </c>
      <c r="P19" s="101">
        <f>'Allocation ProForma'!P662</f>
        <v>0</v>
      </c>
      <c r="Q19" s="101">
        <f>'Allocation ProForma'!Q662</f>
        <v>0</v>
      </c>
      <c r="R19" s="101">
        <f>'Allocation ProForma'!R662</f>
        <v>0</v>
      </c>
      <c r="S19" s="101">
        <f>'Allocation ProForma'!S662</f>
        <v>0</v>
      </c>
      <c r="T19" s="101">
        <f>'Allocation ProForma'!T662</f>
        <v>0</v>
      </c>
    </row>
    <row r="20" spans="1:20" ht="13.8" x14ac:dyDescent="0.25">
      <c r="A20" s="399" t="s">
        <v>2198</v>
      </c>
      <c r="E20" s="399" t="s">
        <v>2230</v>
      </c>
      <c r="F20" s="101">
        <f>'Allocation ProForma'!F663</f>
        <v>22338060.122524951</v>
      </c>
      <c r="G20" s="101">
        <f>'Allocation ProForma'!G663</f>
        <v>20843640.186621372</v>
      </c>
      <c r="H20" s="101">
        <f>'Allocation ProForma'!H663</f>
        <v>1450248.9322006893</v>
      </c>
      <c r="I20" s="101">
        <f>'Allocation ProForma'!I663</f>
        <v>0</v>
      </c>
      <c r="J20" s="101">
        <f>'Allocation ProForma'!J663</f>
        <v>9036.342624310566</v>
      </c>
      <c r="K20" s="101">
        <f>'Allocation ProForma'!K663</f>
        <v>0</v>
      </c>
      <c r="L20" s="101">
        <f>'Allocation ProForma'!L663</f>
        <v>14148.300886224186</v>
      </c>
      <c r="M20" s="101">
        <f>'Allocation ProForma'!M663</f>
        <v>542.01026824747498</v>
      </c>
      <c r="N20" s="101">
        <f>'Allocation ProForma'!N663</f>
        <v>10403.395699991839</v>
      </c>
      <c r="O20" s="101">
        <f>'Allocation ProForma'!O663</f>
        <v>4652.7115423335927</v>
      </c>
      <c r="P20" s="101">
        <f>'Allocation ProForma'!P663</f>
        <v>504.81499555156512</v>
      </c>
      <c r="Q20" s="101">
        <f>'Allocation ProForma'!Q663</f>
        <v>0</v>
      </c>
      <c r="R20" s="101">
        <f>'Allocation ProForma'!R663</f>
        <v>4883.4276862276365</v>
      </c>
      <c r="S20" s="101">
        <f>'Allocation ProForma'!S663</f>
        <v>0</v>
      </c>
      <c r="T20" s="101">
        <f>'Allocation ProForma'!T663</f>
        <v>0</v>
      </c>
    </row>
    <row r="21" spans="1:20" ht="12" hidden="1" customHeight="1" x14ac:dyDescent="0.25">
      <c r="A21" s="399" t="s">
        <v>2199</v>
      </c>
      <c r="E21" s="399" t="s">
        <v>2230</v>
      </c>
      <c r="F21" s="101">
        <f>'Allocation ProForma'!F664</f>
        <v>0</v>
      </c>
      <c r="G21" s="101">
        <f>'Allocation ProForma'!G664</f>
        <v>0</v>
      </c>
      <c r="H21" s="101">
        <f>'Allocation ProForma'!H664</f>
        <v>0</v>
      </c>
      <c r="I21" s="101">
        <f>'Allocation ProForma'!I664</f>
        <v>0</v>
      </c>
      <c r="J21" s="101">
        <f>'Allocation ProForma'!J664</f>
        <v>0</v>
      </c>
      <c r="K21" s="101">
        <f>'Allocation ProForma'!K664</f>
        <v>0</v>
      </c>
      <c r="L21" s="101">
        <f>'Allocation ProForma'!L664</f>
        <v>0</v>
      </c>
      <c r="M21" s="101">
        <f>'Allocation ProForma'!M664</f>
        <v>0</v>
      </c>
      <c r="N21" s="101">
        <f>'Allocation ProForma'!N664</f>
        <v>0</v>
      </c>
      <c r="O21" s="101">
        <f>'Allocation ProForma'!O664</f>
        <v>0</v>
      </c>
      <c r="P21" s="101">
        <f>'Allocation ProForma'!P664</f>
        <v>0</v>
      </c>
      <c r="Q21" s="101">
        <f>'Allocation ProForma'!Q664</f>
        <v>0</v>
      </c>
      <c r="R21" s="101">
        <f>'Allocation ProForma'!R664</f>
        <v>0</v>
      </c>
      <c r="S21" s="101">
        <f>'Allocation ProForma'!S664</f>
        <v>0</v>
      </c>
      <c r="T21" s="101">
        <f>'Allocation ProForma'!T664</f>
        <v>0</v>
      </c>
    </row>
    <row r="22" spans="1:20" ht="12" hidden="1" customHeight="1" x14ac:dyDescent="0.25">
      <c r="A22" s="399" t="s">
        <v>2200</v>
      </c>
      <c r="E22" s="399" t="s">
        <v>516</v>
      </c>
      <c r="F22" s="101">
        <f>'Allocation ProForma'!F665</f>
        <v>0</v>
      </c>
      <c r="G22" s="101">
        <f>'Allocation ProForma'!G665</f>
        <v>0</v>
      </c>
      <c r="H22" s="101">
        <f>'Allocation ProForma'!H665</f>
        <v>0</v>
      </c>
      <c r="I22" s="101">
        <f>'Allocation ProForma'!I665</f>
        <v>0</v>
      </c>
      <c r="J22" s="101">
        <f>'Allocation ProForma'!J665</f>
        <v>0</v>
      </c>
      <c r="K22" s="101">
        <f>'Allocation ProForma'!K665</f>
        <v>0</v>
      </c>
      <c r="L22" s="101">
        <f>'Allocation ProForma'!L665</f>
        <v>0</v>
      </c>
      <c r="M22" s="101">
        <f>'Allocation ProForma'!M665</f>
        <v>0</v>
      </c>
      <c r="N22" s="101">
        <f>'Allocation ProForma'!N665</f>
        <v>0</v>
      </c>
      <c r="O22" s="101">
        <f>'Allocation ProForma'!O665</f>
        <v>0</v>
      </c>
      <c r="P22" s="101">
        <f>'Allocation ProForma'!P665</f>
        <v>0</v>
      </c>
      <c r="Q22" s="101">
        <f>'Allocation ProForma'!Q665</f>
        <v>0</v>
      </c>
      <c r="R22" s="101">
        <f>'Allocation ProForma'!R665</f>
        <v>0</v>
      </c>
      <c r="S22" s="101">
        <f>'Allocation ProForma'!S665</f>
        <v>0</v>
      </c>
      <c r="T22" s="101">
        <f>'Allocation ProForma'!T665</f>
        <v>0</v>
      </c>
    </row>
    <row r="23" spans="1:20" ht="12" hidden="1" customHeight="1" x14ac:dyDescent="0.25">
      <c r="A23" s="412" t="s">
        <v>826</v>
      </c>
      <c r="D23" s="399" t="s">
        <v>827</v>
      </c>
      <c r="E23" s="399" t="s">
        <v>516</v>
      </c>
      <c r="F23" s="101">
        <f>'Allocation ProForma'!F666</f>
        <v>0</v>
      </c>
      <c r="G23" s="101">
        <f>'Allocation ProForma'!G666</f>
        <v>0</v>
      </c>
      <c r="H23" s="101">
        <f>'Allocation ProForma'!H666</f>
        <v>0</v>
      </c>
      <c r="I23" s="101">
        <f>'Allocation ProForma'!I666</f>
        <v>0</v>
      </c>
      <c r="J23" s="101">
        <f>'Allocation ProForma'!J666</f>
        <v>0</v>
      </c>
      <c r="K23" s="101">
        <f>'Allocation ProForma'!K666</f>
        <v>0</v>
      </c>
      <c r="L23" s="101">
        <f>'Allocation ProForma'!L666</f>
        <v>0</v>
      </c>
      <c r="M23" s="101">
        <f>'Allocation ProForma'!M666</f>
        <v>0</v>
      </c>
      <c r="N23" s="101">
        <f>'Allocation ProForma'!N666</f>
        <v>0</v>
      </c>
      <c r="O23" s="101">
        <f>'Allocation ProForma'!O666</f>
        <v>0</v>
      </c>
      <c r="P23" s="101">
        <f>'Allocation ProForma'!P666</f>
        <v>0</v>
      </c>
      <c r="Q23" s="101">
        <f>'Allocation ProForma'!Q666</f>
        <v>0</v>
      </c>
      <c r="R23" s="101">
        <f>'Allocation ProForma'!R666</f>
        <v>0</v>
      </c>
      <c r="S23" s="101">
        <f>'Allocation ProForma'!S666</f>
        <v>0</v>
      </c>
      <c r="T23" s="101">
        <f>'Allocation ProForma'!T666</f>
        <v>0</v>
      </c>
    </row>
    <row r="24" spans="1:20" ht="12" customHeight="1" x14ac:dyDescent="0.25">
      <c r="E24" s="413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 ht="13.8" x14ac:dyDescent="0.25">
      <c r="A25" s="399" t="s">
        <v>433</v>
      </c>
      <c r="D25" s="399" t="s">
        <v>434</v>
      </c>
      <c r="E25" s="410"/>
      <c r="F25" s="410">
        <f>SUM(F8:F23)</f>
        <v>1486962671.9408753</v>
      </c>
      <c r="G25" s="410">
        <f t="shared" ref="G25:T25" si="1">SUM(G8:G24)</f>
        <v>577558036.32237256</v>
      </c>
      <c r="H25" s="410">
        <f t="shared" si="1"/>
        <v>199632188.59720656</v>
      </c>
      <c r="I25" s="410">
        <f t="shared" si="1"/>
        <v>0</v>
      </c>
      <c r="J25" s="410">
        <f t="shared" si="1"/>
        <v>11997673.987746205</v>
      </c>
      <c r="K25" s="410">
        <f t="shared" si="1"/>
        <v>0</v>
      </c>
      <c r="L25" s="410">
        <f t="shared" si="1"/>
        <v>173883934.54071742</v>
      </c>
      <c r="M25" s="410">
        <f t="shared" si="1"/>
        <v>13909259.197503271</v>
      </c>
      <c r="N25" s="410">
        <f t="shared" si="1"/>
        <v>116473231.72984052</v>
      </c>
      <c r="O25" s="410">
        <f t="shared" si="1"/>
        <v>250828327.75421491</v>
      </c>
      <c r="P25" s="410">
        <f t="shared" si="1"/>
        <v>86439484.209639043</v>
      </c>
      <c r="Q25" s="410">
        <f t="shared" si="1"/>
        <v>29888103.763572749</v>
      </c>
      <c r="R25" s="410">
        <f t="shared" si="1"/>
        <v>26166186.181470577</v>
      </c>
      <c r="S25" s="410">
        <f t="shared" si="1"/>
        <v>29690.626642426691</v>
      </c>
      <c r="T25" s="410">
        <f t="shared" si="1"/>
        <v>156555.02994893212</v>
      </c>
    </row>
    <row r="26" spans="1:20" ht="12" customHeight="1" x14ac:dyDescent="0.25">
      <c r="E26" s="410"/>
      <c r="F26" s="100"/>
      <c r="G26" s="410"/>
    </row>
    <row r="27" spans="1:20" ht="13.8" x14ac:dyDescent="0.25">
      <c r="A27" s="411" t="s">
        <v>435</v>
      </c>
      <c r="E27" s="410"/>
      <c r="F27" s="410"/>
    </row>
    <row r="28" spans="1:20" ht="13.8" x14ac:dyDescent="0.25">
      <c r="A28" s="412" t="s">
        <v>436</v>
      </c>
      <c r="E28" s="414"/>
      <c r="F28" s="410">
        <f>'Allocation ProForma'!F671</f>
        <v>933774238.57748592</v>
      </c>
      <c r="G28" s="410">
        <f>'Allocation ProForma'!G671</f>
        <v>370519405.17287457</v>
      </c>
      <c r="H28" s="410">
        <f>'Allocation ProForma'!H671</f>
        <v>108753033.19473302</v>
      </c>
      <c r="I28" s="410">
        <f>'Allocation ProForma'!I671</f>
        <v>0</v>
      </c>
      <c r="J28" s="410">
        <f>'Allocation ProForma'!J671</f>
        <v>7668256.0483589973</v>
      </c>
      <c r="K28" s="410">
        <f>'Allocation ProForma'!K671</f>
        <v>0</v>
      </c>
      <c r="L28" s="410">
        <f>'Allocation ProForma'!L671</f>
        <v>99088940.765030891</v>
      </c>
      <c r="M28" s="410">
        <f>'Allocation ProForma'!M671</f>
        <v>7651162.2855686005</v>
      </c>
      <c r="N28" s="410">
        <f>'Allocation ProForma'!N671</f>
        <v>75124152.589057371</v>
      </c>
      <c r="O28" s="410">
        <f>'Allocation ProForma'!O671</f>
        <v>174786954.93278927</v>
      </c>
      <c r="P28" s="410">
        <f>'Allocation ProForma'!P671</f>
        <v>60688793.139909752</v>
      </c>
      <c r="Q28" s="410">
        <f>'Allocation ProForma'!Q671</f>
        <v>21215963.597676735</v>
      </c>
      <c r="R28" s="410">
        <f>'Allocation ProForma'!R671</f>
        <v>8165872.7907812931</v>
      </c>
      <c r="S28" s="410">
        <f>'Allocation ProForma'!S671</f>
        <v>16912.945346934604</v>
      </c>
      <c r="T28" s="410">
        <f>'Allocation ProForma'!T671</f>
        <v>94791.115358423413</v>
      </c>
    </row>
    <row r="29" spans="1:20" ht="13.8" x14ac:dyDescent="0.25">
      <c r="A29" s="412" t="s">
        <v>437</v>
      </c>
      <c r="F29" s="101">
        <f>'Allocation ProForma'!F672</f>
        <v>228062836.53918952</v>
      </c>
      <c r="G29" s="101">
        <f>'Allocation ProForma'!G672</f>
        <v>105274952.74338102</v>
      </c>
      <c r="H29" s="101">
        <f>'Allocation ProForma'!H672</f>
        <v>27341782.225615479</v>
      </c>
      <c r="I29" s="101">
        <f>'Allocation ProForma'!I672</f>
        <v>0</v>
      </c>
      <c r="J29" s="101">
        <f>'Allocation ProForma'!J672</f>
        <v>1798932.0035182098</v>
      </c>
      <c r="K29" s="101">
        <f>'Allocation ProForma'!K672</f>
        <v>0</v>
      </c>
      <c r="L29" s="101">
        <f>'Allocation ProForma'!L672</f>
        <v>22530219.621316772</v>
      </c>
      <c r="M29" s="101">
        <f>'Allocation ProForma'!M672</f>
        <v>1641041.2910282558</v>
      </c>
      <c r="N29" s="101">
        <f>'Allocation ProForma'!N672</f>
        <v>16175658.255553182</v>
      </c>
      <c r="O29" s="101">
        <f>'Allocation ProForma'!O672</f>
        <v>34771889.749682277</v>
      </c>
      <c r="P29" s="101">
        <f>'Allocation ProForma'!P672</f>
        <v>11324624.823166879</v>
      </c>
      <c r="Q29" s="101">
        <f>'Allocation ProForma'!Q672</f>
        <v>2947235.6735119577</v>
      </c>
      <c r="R29" s="101">
        <f>'Allocation ProForma'!R672</f>
        <v>4239593.4682664694</v>
      </c>
      <c r="S29" s="101">
        <f>'Allocation ProForma'!S672</f>
        <v>693.9480169763392</v>
      </c>
      <c r="T29" s="101">
        <f>'Allocation ProForma'!T672</f>
        <v>16212.736132054226</v>
      </c>
    </row>
    <row r="30" spans="1:20" ht="13.8" x14ac:dyDescent="0.25">
      <c r="A30" s="412" t="s">
        <v>275</v>
      </c>
      <c r="F30" s="101">
        <f>'Allocation ProForma'!F673</f>
        <v>0</v>
      </c>
      <c r="G30" s="101">
        <f>'Allocation ProForma'!G673</f>
        <v>0</v>
      </c>
      <c r="H30" s="101">
        <f>'Allocation ProForma'!H673</f>
        <v>0</v>
      </c>
      <c r="I30" s="101">
        <f>'Allocation ProForma'!I673</f>
        <v>0</v>
      </c>
      <c r="J30" s="101">
        <f>'Allocation ProForma'!J673</f>
        <v>0</v>
      </c>
      <c r="K30" s="101">
        <f>'Allocation ProForma'!K673</f>
        <v>0</v>
      </c>
      <c r="L30" s="101">
        <f>'Allocation ProForma'!L673</f>
        <v>0</v>
      </c>
      <c r="M30" s="101">
        <f>'Allocation ProForma'!M673</f>
        <v>0</v>
      </c>
      <c r="N30" s="101">
        <f>'Allocation ProForma'!N673</f>
        <v>0</v>
      </c>
      <c r="O30" s="101">
        <f>'Allocation ProForma'!O673</f>
        <v>0</v>
      </c>
      <c r="P30" s="101">
        <f>'Allocation ProForma'!P673</f>
        <v>0</v>
      </c>
      <c r="Q30" s="101">
        <f>'Allocation ProForma'!Q673</f>
        <v>0</v>
      </c>
      <c r="R30" s="101">
        <f>'Allocation ProForma'!R673</f>
        <v>0</v>
      </c>
      <c r="S30" s="101">
        <f>'Allocation ProForma'!S673</f>
        <v>0</v>
      </c>
      <c r="T30" s="101">
        <f>'Allocation ProForma'!T673</f>
        <v>0</v>
      </c>
    </row>
    <row r="31" spans="1:20" ht="13.8" x14ac:dyDescent="0.25">
      <c r="A31" s="412" t="s">
        <v>438</v>
      </c>
      <c r="E31" s="399" t="s">
        <v>419</v>
      </c>
      <c r="F31" s="101">
        <f>'Allocation ProForma'!F674</f>
        <v>24894100.893674195</v>
      </c>
      <c r="G31" s="101">
        <f>'Allocation ProForma'!G674</f>
        <v>11724942.607902201</v>
      </c>
      <c r="H31" s="101">
        <f>'Allocation ProForma'!H674</f>
        <v>3012498.5580308898</v>
      </c>
      <c r="I31" s="101">
        <f>'Allocation ProForma'!I674</f>
        <v>0</v>
      </c>
      <c r="J31" s="101">
        <f>'Allocation ProForma'!J674</f>
        <v>193374.31487663536</v>
      </c>
      <c r="K31" s="101">
        <f>'Allocation ProForma'!K674</f>
        <v>0</v>
      </c>
      <c r="L31" s="101">
        <f>'Allocation ProForma'!L674</f>
        <v>2390314.0937590543</v>
      </c>
      <c r="M31" s="101">
        <f>'Allocation ProForma'!M674</f>
        <v>173696.72166999339</v>
      </c>
      <c r="N31" s="101">
        <f>'Allocation ProForma'!N674</f>
        <v>1709843.3931866884</v>
      </c>
      <c r="O31" s="101">
        <f>'Allocation ProForma'!O674</f>
        <v>3661590.8503487902</v>
      </c>
      <c r="P31" s="101">
        <f>'Allocation ProForma'!P674</f>
        <v>1174573.6077597258</v>
      </c>
      <c r="Q31" s="101">
        <f>'Allocation ProForma'!Q674</f>
        <v>305405.7858130887</v>
      </c>
      <c r="R31" s="101">
        <f>'Allocation ProForma'!R674</f>
        <v>545912.63149363315</v>
      </c>
      <c r="S31" s="101">
        <f>'Allocation ProForma'!S674</f>
        <v>89.356442051092216</v>
      </c>
      <c r="T31" s="101">
        <f>'Allocation ProForma'!T674</f>
        <v>1858.9723914415033</v>
      </c>
    </row>
    <row r="32" spans="1:20" ht="13.8" x14ac:dyDescent="0.25">
      <c r="A32" s="412" t="s">
        <v>439</v>
      </c>
      <c r="F32" s="101">
        <f>'Allocation ProForma'!F675</f>
        <v>12926774.348401168</v>
      </c>
      <c r="G32" s="101">
        <f>'Allocation ProForma'!G675</f>
        <v>6088417.8138291491</v>
      </c>
      <c r="H32" s="101">
        <f>'Allocation ProForma'!H675</f>
        <v>1564301.8902701035</v>
      </c>
      <c r="I32" s="101">
        <f>'Allocation ProForma'!I675</f>
        <v>0</v>
      </c>
      <c r="J32" s="101">
        <f>'Allocation ProForma'!J675</f>
        <v>100413.59372099827</v>
      </c>
      <c r="K32" s="101">
        <f>'Allocation ProForma'!K675</f>
        <v>0</v>
      </c>
      <c r="L32" s="101">
        <f>'Allocation ProForma'!L675</f>
        <v>1241219.7991725039</v>
      </c>
      <c r="M32" s="101">
        <f>'Allocation ProForma'!M675</f>
        <v>90195.59837389458</v>
      </c>
      <c r="N32" s="101">
        <f>'Allocation ProForma'!N675</f>
        <v>887871.38002021168</v>
      </c>
      <c r="O32" s="101">
        <f>'Allocation ProForma'!O675</f>
        <v>1901356.4249937129</v>
      </c>
      <c r="P32" s="101">
        <f>'Allocation ProForma'!P675</f>
        <v>609921.52510138182</v>
      </c>
      <c r="Q32" s="101">
        <f>'Allocation ProForma'!Q675</f>
        <v>158588.24123690827</v>
      </c>
      <c r="R32" s="101">
        <f>'Allocation ProForma'!R675</f>
        <v>283476.37182804599</v>
      </c>
      <c r="S32" s="101">
        <f>'Allocation ProForma'!S675</f>
        <v>46.400171988696833</v>
      </c>
      <c r="T32" s="101">
        <f>'Allocation ProForma'!T675</f>
        <v>965.30968227008179</v>
      </c>
    </row>
    <row r="33" spans="1:20" ht="13.8" x14ac:dyDescent="0.25">
      <c r="A33" s="399" t="s">
        <v>935</v>
      </c>
      <c r="F33" s="101">
        <f>'Allocation ProForma'!F676</f>
        <v>0</v>
      </c>
      <c r="G33" s="101">
        <f>'Allocation ProForma'!G676</f>
        <v>0</v>
      </c>
      <c r="H33" s="101">
        <f>'Allocation ProForma'!H676</f>
        <v>0</v>
      </c>
      <c r="I33" s="101">
        <f>'Allocation ProForma'!I676</f>
        <v>0</v>
      </c>
      <c r="J33" s="101">
        <f>'Allocation ProForma'!J676</f>
        <v>0</v>
      </c>
      <c r="K33" s="101">
        <f>'Allocation ProForma'!K676</f>
        <v>0</v>
      </c>
      <c r="L33" s="101">
        <f>'Allocation ProForma'!L676</f>
        <v>0</v>
      </c>
      <c r="M33" s="101">
        <f>'Allocation ProForma'!M676</f>
        <v>0</v>
      </c>
      <c r="N33" s="101">
        <f>'Allocation ProForma'!N676</f>
        <v>0</v>
      </c>
      <c r="O33" s="101">
        <f>'Allocation ProForma'!O676</f>
        <v>0</v>
      </c>
      <c r="P33" s="101">
        <f>'Allocation ProForma'!P676</f>
        <v>0</v>
      </c>
      <c r="Q33" s="101">
        <f>'Allocation ProForma'!Q676</f>
        <v>0</v>
      </c>
      <c r="R33" s="101">
        <f>'Allocation ProForma'!R676</f>
        <v>0</v>
      </c>
      <c r="S33" s="101">
        <f>'Allocation ProForma'!S676</f>
        <v>0</v>
      </c>
      <c r="T33" s="101">
        <f>'Allocation ProForma'!T676</f>
        <v>0</v>
      </c>
    </row>
    <row r="34" spans="1:20" ht="13.8" x14ac:dyDescent="0.25">
      <c r="A34" s="412" t="s">
        <v>1552</v>
      </c>
      <c r="E34" s="399" t="s">
        <v>1172</v>
      </c>
      <c r="F34" s="101">
        <f>'Allocation ProForma'!F677</f>
        <v>84161734.359999999</v>
      </c>
      <c r="G34" s="100">
        <f>'Allocation ProForma'!G677</f>
        <v>18153353.162271839</v>
      </c>
      <c r="H34" s="100">
        <f>'Allocation ProForma'!H677</f>
        <v>20304092.186474111</v>
      </c>
      <c r="I34" s="100">
        <f>'Allocation ProForma'!I677</f>
        <v>0</v>
      </c>
      <c r="J34" s="100">
        <f>'Allocation ProForma'!J677</f>
        <v>655828.60473441554</v>
      </c>
      <c r="K34" s="100">
        <f>'Allocation ProForma'!K677</f>
        <v>0</v>
      </c>
      <c r="L34" s="100">
        <f>'Allocation ProForma'!L677</f>
        <v>16884437.441701207</v>
      </c>
      <c r="M34" s="100">
        <f>'Allocation ProForma'!M677</f>
        <v>1569567.3810316068</v>
      </c>
      <c r="N34" s="100">
        <f>'Allocation ProForma'!N677</f>
        <v>6969485.2237654692</v>
      </c>
      <c r="O34" s="100">
        <f>'Allocation ProForma'!O677</f>
        <v>9638437.6168130934</v>
      </c>
      <c r="P34" s="100">
        <f>'Allocation ProForma'!P677</f>
        <v>3588565.9199093352</v>
      </c>
      <c r="Q34" s="100">
        <f>'Allocation ProForma'!Q677</f>
        <v>1758728.6244708167</v>
      </c>
      <c r="R34" s="100">
        <f>'Allocation ProForma'!R677</f>
        <v>4619187.7149082264</v>
      </c>
      <c r="S34" s="100">
        <f>'Allocation ProForma'!S677</f>
        <v>4868.3256618346886</v>
      </c>
      <c r="T34" s="100">
        <f>'Allocation ProForma'!T677</f>
        <v>15182.576536994065</v>
      </c>
    </row>
    <row r="35" spans="1:20" ht="12" hidden="1" customHeight="1" x14ac:dyDescent="0.25">
      <c r="A35" s="412" t="s">
        <v>531</v>
      </c>
      <c r="F35" s="101">
        <f>'Allocation ProForma'!F678</f>
        <v>0</v>
      </c>
      <c r="G35" s="101">
        <f>'Allocation ProForma'!G678</f>
        <v>-0.40935210621236828</v>
      </c>
      <c r="H35" s="101">
        <f>'Allocation ProForma'!H678</f>
        <v>-0.11362251359596974</v>
      </c>
      <c r="I35" s="101">
        <f>'Allocation ProForma'!I678</f>
        <v>0</v>
      </c>
      <c r="J35" s="101">
        <f>'Allocation ProForma'!J678</f>
        <v>-8.5558150654642239E-3</v>
      </c>
      <c r="K35" s="101">
        <f>'Allocation ProForma'!K678</f>
        <v>0</v>
      </c>
      <c r="L35" s="101">
        <f>'Allocation ProForma'!L678</f>
        <v>-0.11420877410668946</v>
      </c>
      <c r="M35" s="101">
        <f>'Allocation ProForma'!M678</f>
        <v>-8.40975402485797E-3</v>
      </c>
      <c r="N35" s="101">
        <f>'Allocation ProForma'!N678</f>
        <v>-8.3403421353758986E-2</v>
      </c>
      <c r="O35" s="101">
        <f>'Allocation ProForma'!O678</f>
        <v>-0.18240931993528153</v>
      </c>
      <c r="P35" s="101">
        <f>'Allocation ProForma'!P678</f>
        <v>-6.3420095832768281E-2</v>
      </c>
      <c r="Q35" s="101">
        <f>'Allocation ProForma'!Q678</f>
        <v>-1.6567072618418759E-2</v>
      </c>
      <c r="R35" s="101">
        <f>'Allocation ProForma'!R678</f>
        <v>0</v>
      </c>
      <c r="S35" s="101">
        <f>'Allocation ProForma'!S678</f>
        <v>0</v>
      </c>
      <c r="T35" s="101">
        <f>'Allocation ProForma'!T678</f>
        <v>-5.1127254422720664E-5</v>
      </c>
    </row>
    <row r="36" spans="1:20" ht="12" hidden="1" customHeight="1" x14ac:dyDescent="0.25">
      <c r="A36" s="412" t="s">
        <v>580</v>
      </c>
      <c r="E36" s="399" t="s">
        <v>582</v>
      </c>
      <c r="F36" s="101">
        <f>'Allocation ProForma'!F679</f>
        <v>0</v>
      </c>
      <c r="G36" s="100">
        <f>'Allocation ProForma'!G679</f>
        <v>0</v>
      </c>
      <c r="H36" s="100">
        <f>'Allocation ProForma'!H679</f>
        <v>0</v>
      </c>
      <c r="I36" s="100">
        <f>'Allocation ProForma'!I679</f>
        <v>0</v>
      </c>
      <c r="J36" s="100">
        <f>'Allocation ProForma'!J679</f>
        <v>0</v>
      </c>
      <c r="K36" s="100">
        <f>'Allocation ProForma'!K679</f>
        <v>0</v>
      </c>
      <c r="L36" s="100">
        <f>'Allocation ProForma'!L679</f>
        <v>0</v>
      </c>
      <c r="M36" s="100">
        <f>'Allocation ProForma'!M679</f>
        <v>0</v>
      </c>
      <c r="N36" s="100">
        <f>'Allocation ProForma'!N679</f>
        <v>0</v>
      </c>
      <c r="O36" s="100">
        <f>'Allocation ProForma'!O679</f>
        <v>0</v>
      </c>
      <c r="P36" s="100">
        <f>'Allocation ProForma'!P679</f>
        <v>0</v>
      </c>
      <c r="Q36" s="100">
        <f>'Allocation ProForma'!Q679</f>
        <v>0</v>
      </c>
      <c r="R36" s="100">
        <f>'Allocation ProForma'!R679</f>
        <v>0</v>
      </c>
      <c r="S36" s="100">
        <f>'Allocation ProForma'!S679</f>
        <v>0</v>
      </c>
      <c r="T36" s="100">
        <f>'Allocation ProForma'!T679</f>
        <v>0</v>
      </c>
    </row>
    <row r="37" spans="1:20" ht="12" customHeight="1" x14ac:dyDescent="0.25">
      <c r="A37" s="412"/>
    </row>
    <row r="38" spans="1:20" ht="13.8" x14ac:dyDescent="0.25">
      <c r="A38" s="399" t="s">
        <v>440</v>
      </c>
      <c r="D38" s="399" t="s">
        <v>398</v>
      </c>
      <c r="F38" s="410">
        <f t="shared" ref="F38:T38" si="2">SUM(F28:F37)</f>
        <v>1283819684.7187505</v>
      </c>
      <c r="G38" s="410">
        <f t="shared" si="2"/>
        <v>511761071.09090668</v>
      </c>
      <c r="H38" s="410">
        <f t="shared" si="2"/>
        <v>160975707.94150111</v>
      </c>
      <c r="I38" s="410">
        <f t="shared" si="2"/>
        <v>0</v>
      </c>
      <c r="J38" s="410">
        <f t="shared" si="2"/>
        <v>10416804.556653442</v>
      </c>
      <c r="K38" s="410">
        <f t="shared" si="2"/>
        <v>0</v>
      </c>
      <c r="L38" s="410">
        <f t="shared" si="2"/>
        <v>142135131.60677165</v>
      </c>
      <c r="M38" s="410">
        <f t="shared" si="2"/>
        <v>11125663.269262597</v>
      </c>
      <c r="N38" s="410">
        <f t="shared" si="2"/>
        <v>100867010.7581795</v>
      </c>
      <c r="O38" s="410">
        <f t="shared" si="2"/>
        <v>224760229.39221784</v>
      </c>
      <c r="P38" s="410">
        <f t="shared" si="2"/>
        <v>77386478.95242697</v>
      </c>
      <c r="Q38" s="410">
        <f t="shared" si="2"/>
        <v>26385921.906142429</v>
      </c>
      <c r="R38" s="410">
        <f t="shared" si="2"/>
        <v>17854042.977277666</v>
      </c>
      <c r="S38" s="410">
        <f t="shared" si="2"/>
        <v>22610.975639785425</v>
      </c>
      <c r="T38" s="410">
        <f t="shared" si="2"/>
        <v>129010.71005005603</v>
      </c>
    </row>
    <row r="39" spans="1:20" ht="12" customHeight="1" x14ac:dyDescent="0.25">
      <c r="A39" s="412"/>
    </row>
    <row r="40" spans="1:20" ht="13.8" x14ac:dyDescent="0.25">
      <c r="A40" s="399" t="s">
        <v>938</v>
      </c>
      <c r="D40" s="399" t="s">
        <v>840</v>
      </c>
      <c r="F40" s="410">
        <f t="shared" ref="F40:T40" si="3">F25-F38</f>
        <v>203142987.22212481</v>
      </c>
      <c r="G40" s="410">
        <f t="shared" si="3"/>
        <v>65796965.231465876</v>
      </c>
      <c r="H40" s="410">
        <f t="shared" si="3"/>
        <v>38656480.655705452</v>
      </c>
      <c r="I40" s="410">
        <f t="shared" si="3"/>
        <v>0</v>
      </c>
      <c r="J40" s="410">
        <f t="shared" si="3"/>
        <v>1580869.4310927633</v>
      </c>
      <c r="K40" s="410">
        <f t="shared" si="3"/>
        <v>0</v>
      </c>
      <c r="L40" s="410">
        <f t="shared" si="3"/>
        <v>31748802.933945775</v>
      </c>
      <c r="M40" s="410">
        <f t="shared" si="3"/>
        <v>2783595.9282406736</v>
      </c>
      <c r="N40" s="410">
        <f t="shared" si="3"/>
        <v>15606220.971661016</v>
      </c>
      <c r="O40" s="410">
        <f t="shared" si="3"/>
        <v>26068098.361997068</v>
      </c>
      <c r="P40" s="410">
        <f t="shared" si="3"/>
        <v>9053005.2572120726</v>
      </c>
      <c r="Q40" s="410">
        <f t="shared" si="3"/>
        <v>3502181.8574303202</v>
      </c>
      <c r="R40" s="410">
        <f t="shared" si="3"/>
        <v>8312143.2041929103</v>
      </c>
      <c r="S40" s="410">
        <f t="shared" si="3"/>
        <v>7079.6510026412652</v>
      </c>
      <c r="T40" s="410">
        <f t="shared" si="3"/>
        <v>27544.319898876085</v>
      </c>
    </row>
    <row r="42" spans="1:20" ht="13.8" x14ac:dyDescent="0.25">
      <c r="A42" s="399" t="s">
        <v>420</v>
      </c>
      <c r="F42" s="410">
        <f>'Allocation ProForma'!F685</f>
        <v>3639079759.3610182</v>
      </c>
      <c r="G42" s="410">
        <f>'Allocation ProForma'!G685</f>
        <v>1716633054.3461716</v>
      </c>
      <c r="H42" s="410">
        <f>'Allocation ProForma'!H685</f>
        <v>441219651.03133303</v>
      </c>
      <c r="I42" s="410">
        <f>'Allocation ProForma'!I685</f>
        <v>0</v>
      </c>
      <c r="J42" s="410">
        <f>'Allocation ProForma'!J685</f>
        <v>28182297.978403468</v>
      </c>
      <c r="K42" s="410">
        <f>'Allocation ProForma'!K685</f>
        <v>0</v>
      </c>
      <c r="L42" s="410">
        <f>'Allocation ProForma'!L685</f>
        <v>347387075.53153688</v>
      </c>
      <c r="M42" s="410">
        <f>'Allocation ProForma'!M685</f>
        <v>25275870.378223237</v>
      </c>
      <c r="N42" s="410">
        <f>'Allocation ProForma'!N685</f>
        <v>248673397.50148326</v>
      </c>
      <c r="O42" s="410">
        <f>'Allocation ProForma'!O685</f>
        <v>533415050.36546725</v>
      </c>
      <c r="P42" s="410">
        <f>'Allocation ProForma'!P685</f>
        <v>170797076.92138174</v>
      </c>
      <c r="Q42" s="410">
        <f>'Allocation ProForma'!Q685</f>
        <v>45005985.731704071</v>
      </c>
      <c r="R42" s="410">
        <f>'Allocation ProForma'!R685</f>
        <v>82196367.310438812</v>
      </c>
      <c r="S42" s="410">
        <f>'Allocation ProForma'!S685</f>
        <v>15193.548301309937</v>
      </c>
      <c r="T42" s="410">
        <f>'Allocation ProForma'!T685</f>
        <v>278738.71657262801</v>
      </c>
    </row>
    <row r="43" spans="1:20" ht="12" customHeight="1" x14ac:dyDescent="0.25">
      <c r="B43" s="410"/>
    </row>
    <row r="44" spans="1:20" s="411" customFormat="1" ht="12" hidden="1" customHeight="1" x14ac:dyDescent="0.25">
      <c r="A44" s="415"/>
      <c r="B44" s="415"/>
      <c r="C44" s="415"/>
      <c r="D44" s="415"/>
      <c r="E44" s="415"/>
      <c r="F44" s="378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</row>
    <row r="45" spans="1:20" ht="12" hidden="1" customHeight="1" x14ac:dyDescent="0.25"/>
    <row r="46" spans="1:20" ht="12" hidden="1" customHeight="1" x14ac:dyDescent="0.25">
      <c r="F46" s="101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</row>
    <row r="47" spans="1:20" ht="12" hidden="1" customHeight="1" x14ac:dyDescent="0.25"/>
    <row r="48" spans="1:20" ht="12" hidden="1" customHeight="1" x14ac:dyDescent="0.25"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1:20" ht="12" hidden="1" customHeight="1" x14ac:dyDescent="0.25">
      <c r="G49" s="417"/>
      <c r="H49" s="417"/>
      <c r="I49" s="417"/>
      <c r="J49" s="417"/>
      <c r="K49" s="417"/>
      <c r="L49" s="417"/>
      <c r="M49" s="418"/>
      <c r="N49" s="417"/>
      <c r="O49" s="418"/>
      <c r="P49" s="417"/>
      <c r="Q49" s="417"/>
      <c r="R49" s="417"/>
      <c r="S49" s="417"/>
      <c r="T49" s="417"/>
    </row>
    <row r="50" spans="1:20" ht="12" hidden="1" customHeight="1" x14ac:dyDescent="0.25">
      <c r="G50" s="417"/>
      <c r="H50" s="417"/>
      <c r="I50" s="417"/>
      <c r="J50" s="417"/>
      <c r="K50" s="417"/>
      <c r="L50" s="417"/>
      <c r="M50" s="417"/>
      <c r="N50" s="417"/>
      <c r="O50" s="417"/>
      <c r="P50" s="418"/>
      <c r="Q50" s="417"/>
      <c r="R50" s="417"/>
      <c r="S50" s="417"/>
      <c r="T50" s="417"/>
    </row>
    <row r="51" spans="1:20" ht="12" hidden="1" customHeight="1" x14ac:dyDescent="0.25"/>
    <row r="52" spans="1:20" ht="12" hidden="1" customHeight="1" x14ac:dyDescent="0.25"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</row>
    <row r="53" spans="1:20" ht="12" hidden="1" customHeight="1" x14ac:dyDescent="0.25"/>
    <row r="54" spans="1:20" ht="12" hidden="1" customHeight="1" x14ac:dyDescent="0.25"/>
    <row r="55" spans="1:20" ht="12" hidden="1" customHeight="1" x14ac:dyDescent="0.25"/>
    <row r="56" spans="1:20" ht="13.8" hidden="1" x14ac:dyDescent="0.25">
      <c r="A56" s="409" t="s">
        <v>1167</v>
      </c>
    </row>
    <row r="57" spans="1:20" ht="12" hidden="1" customHeight="1" x14ac:dyDescent="0.25"/>
    <row r="58" spans="1:20" ht="13.8" hidden="1" x14ac:dyDescent="0.25">
      <c r="A58" s="399" t="s">
        <v>1168</v>
      </c>
      <c r="F58" s="410">
        <f t="shared" ref="F58:T58" si="4">F25</f>
        <v>1486962671.9408753</v>
      </c>
      <c r="G58" s="410">
        <f t="shared" si="4"/>
        <v>577558036.32237256</v>
      </c>
      <c r="H58" s="410">
        <f t="shared" si="4"/>
        <v>199632188.59720656</v>
      </c>
      <c r="I58" s="410">
        <f t="shared" si="4"/>
        <v>0</v>
      </c>
      <c r="J58" s="410">
        <f t="shared" si="4"/>
        <v>11997673.987746205</v>
      </c>
      <c r="K58" s="410">
        <f t="shared" si="4"/>
        <v>0</v>
      </c>
      <c r="L58" s="410">
        <f t="shared" si="4"/>
        <v>173883934.54071742</v>
      </c>
      <c r="M58" s="410">
        <f t="shared" si="4"/>
        <v>13909259.197503271</v>
      </c>
      <c r="N58" s="410">
        <f t="shared" si="4"/>
        <v>116473231.72984052</v>
      </c>
      <c r="O58" s="410">
        <f t="shared" si="4"/>
        <v>250828327.75421491</v>
      </c>
      <c r="P58" s="410">
        <f t="shared" si="4"/>
        <v>86439484.209639043</v>
      </c>
      <c r="Q58" s="410">
        <f t="shared" si="4"/>
        <v>29888103.763572749</v>
      </c>
      <c r="R58" s="410">
        <f t="shared" si="4"/>
        <v>26166186.181470577</v>
      </c>
      <c r="S58" s="410">
        <f t="shared" si="4"/>
        <v>29690.626642426691</v>
      </c>
      <c r="T58" s="410">
        <f t="shared" si="4"/>
        <v>156555.02994893212</v>
      </c>
    </row>
    <row r="59" spans="1:20" ht="12" hidden="1" customHeight="1" x14ac:dyDescent="0.25"/>
    <row r="60" spans="1:20" ht="13.8" hidden="1" x14ac:dyDescent="0.25">
      <c r="A60" s="399" t="s">
        <v>435</v>
      </c>
      <c r="F60" s="410">
        <f t="shared" ref="F60:T60" si="5">F28+F29+F30+F31+F32+F33+F35+F36</f>
        <v>1199657950.3587506</v>
      </c>
      <c r="G60" s="410">
        <f t="shared" si="5"/>
        <v>493607717.92863482</v>
      </c>
      <c r="H60" s="410">
        <f t="shared" si="5"/>
        <v>140671615.755027</v>
      </c>
      <c r="I60" s="410">
        <f t="shared" si="5"/>
        <v>0</v>
      </c>
      <c r="J60" s="410">
        <f t="shared" si="5"/>
        <v>9760975.9519190267</v>
      </c>
      <c r="K60" s="410">
        <f t="shared" si="5"/>
        <v>0</v>
      </c>
      <c r="L60" s="410">
        <f t="shared" si="5"/>
        <v>125250694.16507046</v>
      </c>
      <c r="M60" s="410">
        <f t="shared" si="5"/>
        <v>9556095.8882309906</v>
      </c>
      <c r="N60" s="410">
        <f t="shared" si="5"/>
        <v>93897525.534414038</v>
      </c>
      <c r="O60" s="410">
        <f t="shared" si="5"/>
        <v>215121791.77540475</v>
      </c>
      <c r="P60" s="410">
        <f t="shared" si="5"/>
        <v>73797913.032517642</v>
      </c>
      <c r="Q60" s="410">
        <f t="shared" si="5"/>
        <v>24627193.281671613</v>
      </c>
      <c r="R60" s="410">
        <f t="shared" si="5"/>
        <v>13234855.262369441</v>
      </c>
      <c r="S60" s="410">
        <f t="shared" si="5"/>
        <v>17742.649977950736</v>
      </c>
      <c r="T60" s="410">
        <f t="shared" si="5"/>
        <v>113828.13351306197</v>
      </c>
    </row>
    <row r="61" spans="1:20" ht="12" hidden="1" customHeight="1" x14ac:dyDescent="0.25"/>
    <row r="62" spans="1:20" ht="13.8" hidden="1" x14ac:dyDescent="0.25">
      <c r="A62" s="399" t="s">
        <v>1169</v>
      </c>
      <c r="D62" s="399" t="s">
        <v>1170</v>
      </c>
      <c r="F62" s="420">
        <f>'Allocation ProForma'!F705</f>
        <v>86095200.491145507</v>
      </c>
      <c r="G62" s="420">
        <f>'Allocation ProForma'!G705</f>
        <v>40550220.668183573</v>
      </c>
      <c r="H62" s="420">
        <f>'Allocation ProForma'!H705</f>
        <v>10418599.508402497</v>
      </c>
      <c r="I62" s="420">
        <f>'Allocation ProForma'!I705</f>
        <v>0</v>
      </c>
      <c r="J62" s="420">
        <f>'Allocation ProForma'!J705</f>
        <v>668776.93154093286</v>
      </c>
      <c r="K62" s="420">
        <f>'Allocation ProForma'!K705</f>
        <v>0</v>
      </c>
      <c r="L62" s="420">
        <f>'Allocation ProForma'!L705</f>
        <v>8266800.717887775</v>
      </c>
      <c r="M62" s="420">
        <f>'Allocation ProForma'!M705</f>
        <v>600722.80339447141</v>
      </c>
      <c r="N62" s="420">
        <f>'Allocation ProForma'!N705</f>
        <v>5913421.431592077</v>
      </c>
      <c r="O62" s="420">
        <f>'Allocation ProForma'!O705</f>
        <v>12663457.890034882</v>
      </c>
      <c r="P62" s="420">
        <f>'Allocation ProForma'!P705</f>
        <v>4062213.4008213338</v>
      </c>
      <c r="Q62" s="420">
        <f>'Allocation ProForma'!Q705</f>
        <v>1056233.0599140152</v>
      </c>
      <c r="R62" s="420">
        <f>'Allocation ProForma'!R705</f>
        <v>1888015.8660816066</v>
      </c>
      <c r="S62" s="420">
        <f>'Allocation ProForma'!S705</f>
        <v>309.03549505252892</v>
      </c>
      <c r="T62" s="420">
        <f>'Allocation ProForma'!T705</f>
        <v>6429.1777972720492</v>
      </c>
    </row>
    <row r="63" spans="1:20" ht="12" hidden="1" customHeight="1" x14ac:dyDescent="0.25"/>
    <row r="64" spans="1:20" ht="13.8" hidden="1" x14ac:dyDescent="0.25">
      <c r="A64" s="399" t="s">
        <v>1171</v>
      </c>
      <c r="D64" s="399" t="s">
        <v>1172</v>
      </c>
      <c r="F64" s="410">
        <f>F58-F60-F62</f>
        <v>201209521.09097922</v>
      </c>
      <c r="G64" s="410">
        <f t="shared" ref="G64:T64" si="6">G58-G60-G62</f>
        <v>43400097.725554161</v>
      </c>
      <c r="H64" s="410">
        <f t="shared" si="6"/>
        <v>48541973.33377707</v>
      </c>
      <c r="I64" s="410">
        <f>I58-I60-I62</f>
        <v>0</v>
      </c>
      <c r="J64" s="410">
        <f>J58-J60-J62</f>
        <v>1567921.1042862455</v>
      </c>
      <c r="K64" s="410">
        <f>K58-K60-K62</f>
        <v>0</v>
      </c>
      <c r="L64" s="410">
        <f t="shared" si="6"/>
        <v>40366439.65775919</v>
      </c>
      <c r="M64" s="410">
        <f t="shared" si="6"/>
        <v>3752440.5058778087</v>
      </c>
      <c r="N64" s="410">
        <f t="shared" si="6"/>
        <v>16662284.763834402</v>
      </c>
      <c r="O64" s="410">
        <f>O58-O60-O62</f>
        <v>23043078.088775277</v>
      </c>
      <c r="P64" s="410">
        <f>P58-P60-P62</f>
        <v>8579357.7763000671</v>
      </c>
      <c r="Q64" s="410">
        <f t="shared" si="6"/>
        <v>4204677.4219871201</v>
      </c>
      <c r="R64" s="410">
        <f t="shared" si="6"/>
        <v>11043315.053019529</v>
      </c>
      <c r="S64" s="410">
        <f t="shared" si="6"/>
        <v>11638.941169423426</v>
      </c>
      <c r="T64" s="410">
        <f t="shared" si="6"/>
        <v>36297.718638598097</v>
      </c>
    </row>
    <row r="65" spans="1:20" ht="13.5" customHeight="1" x14ac:dyDescent="0.25"/>
    <row r="67" spans="1:20" ht="13.8" x14ac:dyDescent="0.25">
      <c r="A67" s="411" t="s">
        <v>1554</v>
      </c>
    </row>
    <row r="69" spans="1:20" ht="13.8" x14ac:dyDescent="0.25">
      <c r="A69" s="411" t="s">
        <v>431</v>
      </c>
    </row>
    <row r="71" spans="1:20" ht="13.8" x14ac:dyDescent="0.25">
      <c r="A71" s="399" t="s">
        <v>520</v>
      </c>
      <c r="F71" s="410">
        <f t="shared" ref="F71:T71" si="7">F25</f>
        <v>1486962671.9408753</v>
      </c>
      <c r="G71" s="410">
        <f t="shared" si="7"/>
        <v>577558036.32237256</v>
      </c>
      <c r="H71" s="410">
        <f t="shared" si="7"/>
        <v>199632188.59720656</v>
      </c>
      <c r="I71" s="410">
        <f t="shared" si="7"/>
        <v>0</v>
      </c>
      <c r="J71" s="410">
        <f t="shared" si="7"/>
        <v>11997673.987746205</v>
      </c>
      <c r="K71" s="410">
        <f t="shared" si="7"/>
        <v>0</v>
      </c>
      <c r="L71" s="410">
        <f t="shared" si="7"/>
        <v>173883934.54071742</v>
      </c>
      <c r="M71" s="410">
        <f t="shared" si="7"/>
        <v>13909259.197503271</v>
      </c>
      <c r="N71" s="410">
        <f t="shared" si="7"/>
        <v>116473231.72984052</v>
      </c>
      <c r="O71" s="410">
        <f t="shared" si="7"/>
        <v>250828327.75421491</v>
      </c>
      <c r="P71" s="410">
        <f t="shared" si="7"/>
        <v>86439484.209639043</v>
      </c>
      <c r="Q71" s="410">
        <f t="shared" si="7"/>
        <v>29888103.763572749</v>
      </c>
      <c r="R71" s="410">
        <f t="shared" si="7"/>
        <v>26166186.181470577</v>
      </c>
      <c r="S71" s="410">
        <f t="shared" si="7"/>
        <v>29690.626642426691</v>
      </c>
      <c r="T71" s="410">
        <f t="shared" si="7"/>
        <v>156555.02994893212</v>
      </c>
    </row>
    <row r="72" spans="1:20" ht="12" customHeight="1" x14ac:dyDescent="0.25"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</row>
    <row r="73" spans="1:20" ht="13.8" x14ac:dyDescent="0.25">
      <c r="A73" s="399" t="s">
        <v>521</v>
      </c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</row>
    <row r="74" spans="1:20" ht="12" hidden="1" customHeight="1" x14ac:dyDescent="0.25">
      <c r="B74" s="399" t="s">
        <v>2319</v>
      </c>
      <c r="F74" s="421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1:20" ht="12" hidden="1" customHeight="1" x14ac:dyDescent="0.25">
      <c r="B75" s="399" t="s">
        <v>2323</v>
      </c>
      <c r="F75" s="421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1:20" ht="12" hidden="1" customHeight="1" x14ac:dyDescent="0.25">
      <c r="B76" s="399" t="s">
        <v>2320</v>
      </c>
      <c r="F76" s="421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1:20" ht="12" hidden="1" customHeight="1" x14ac:dyDescent="0.25">
      <c r="B77" s="399" t="s">
        <v>2321</v>
      </c>
      <c r="F77" s="421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1:20" ht="13.8" x14ac:dyDescent="0.25">
      <c r="B78" s="399" t="s">
        <v>2322</v>
      </c>
      <c r="E78" s="399" t="s">
        <v>2431</v>
      </c>
      <c r="F78" s="421">
        <f>'Allocation ProForma'!F721</f>
        <v>-1635232</v>
      </c>
      <c r="G78" s="100">
        <f>'Allocation ProForma'!G721</f>
        <v>-609965.43393935554</v>
      </c>
      <c r="H78" s="100">
        <f>'Allocation ProForma'!H721</f>
        <v>-368765.56167765619</v>
      </c>
      <c r="I78" s="100">
        <f>'Allocation ProForma'!I721</f>
        <v>0</v>
      </c>
      <c r="J78" s="100">
        <f>'Allocation ProForma'!J721</f>
        <v>-23372.784947542106</v>
      </c>
      <c r="K78" s="100">
        <f>'Allocation ProForma'!K721</f>
        <v>0</v>
      </c>
      <c r="L78" s="100">
        <f>'Allocation ProForma'!L721</f>
        <v>-168729.68557332992</v>
      </c>
      <c r="M78" s="100">
        <f>'Allocation ProForma'!M721</f>
        <v>-13653.249062990584</v>
      </c>
      <c r="N78" s="100">
        <f>'Allocation ProForma'!N721</f>
        <v>-105681.79888788707</v>
      </c>
      <c r="O78" s="100">
        <f>'Allocation ProForma'!O721</f>
        <v>-210278.71484812399</v>
      </c>
      <c r="P78" s="100">
        <f>'Allocation ProForma'!P721</f>
        <v>-68614.131736137875</v>
      </c>
      <c r="Q78" s="100">
        <f>'Allocation ProForma'!Q721</f>
        <v>-23718.864328387746</v>
      </c>
      <c r="R78" s="100">
        <f>'Allocation ProForma'!R721</f>
        <v>-42193.733198806258</v>
      </c>
      <c r="S78" s="100">
        <f>'Allocation ProForma'!S721</f>
        <v>-65.934718193416572</v>
      </c>
      <c r="T78" s="100">
        <f>'Allocation ProForma'!T721</f>
        <v>-192.10708158932405</v>
      </c>
    </row>
    <row r="79" spans="1:20" ht="12" hidden="1" customHeight="1" x14ac:dyDescent="0.25">
      <c r="B79" s="399" t="s">
        <v>323</v>
      </c>
      <c r="E79" s="399" t="s">
        <v>1213</v>
      </c>
      <c r="F79" s="421">
        <f>'Allocation ProForma'!F722</f>
        <v>0</v>
      </c>
      <c r="G79" s="100">
        <f>'Allocation ProForma'!G722</f>
        <v>0</v>
      </c>
      <c r="H79" s="100">
        <f>'Allocation ProForma'!H722</f>
        <v>0</v>
      </c>
      <c r="I79" s="100">
        <f>'Allocation ProForma'!I722</f>
        <v>0</v>
      </c>
      <c r="J79" s="100">
        <f>'Allocation ProForma'!J722</f>
        <v>0</v>
      </c>
      <c r="K79" s="100">
        <f>'Allocation ProForma'!K722</f>
        <v>0</v>
      </c>
      <c r="L79" s="100">
        <f>'Allocation ProForma'!L722</f>
        <v>0</v>
      </c>
      <c r="M79" s="100">
        <f>'Allocation ProForma'!M722</f>
        <v>0</v>
      </c>
      <c r="N79" s="100">
        <f>'Allocation ProForma'!N722</f>
        <v>0</v>
      </c>
      <c r="O79" s="100">
        <f>'Allocation ProForma'!O722</f>
        <v>0</v>
      </c>
      <c r="P79" s="100">
        <f>'Allocation ProForma'!P722</f>
        <v>0</v>
      </c>
      <c r="Q79" s="100">
        <f>'Allocation ProForma'!Q722</f>
        <v>0</v>
      </c>
      <c r="R79" s="100">
        <f>'Allocation ProForma'!R722</f>
        <v>0</v>
      </c>
      <c r="S79" s="100">
        <f>'Allocation ProForma'!S722</f>
        <v>0</v>
      </c>
      <c r="T79" s="100">
        <f>'Allocation ProForma'!T722</f>
        <v>0</v>
      </c>
    </row>
    <row r="80" spans="1:20" ht="12" hidden="1" customHeight="1" x14ac:dyDescent="0.25">
      <c r="B80" s="399" t="s">
        <v>2225</v>
      </c>
      <c r="E80" s="399" t="s">
        <v>1213</v>
      </c>
      <c r="F80" s="421">
        <f>'Allocation ProForma'!F723</f>
        <v>0</v>
      </c>
      <c r="G80" s="100">
        <f>'Allocation ProForma'!G723</f>
        <v>0</v>
      </c>
      <c r="H80" s="100">
        <f>'Allocation ProForma'!H723</f>
        <v>0</v>
      </c>
      <c r="I80" s="100">
        <f>'Allocation ProForma'!I723</f>
        <v>0</v>
      </c>
      <c r="J80" s="100">
        <f>'Allocation ProForma'!J723</f>
        <v>0</v>
      </c>
      <c r="K80" s="100">
        <f>'Allocation ProForma'!K723</f>
        <v>0</v>
      </c>
      <c r="L80" s="100">
        <f>'Allocation ProForma'!L723</f>
        <v>0</v>
      </c>
      <c r="M80" s="100">
        <f>'Allocation ProForma'!M723</f>
        <v>0</v>
      </c>
      <c r="N80" s="100">
        <f>'Allocation ProForma'!N723</f>
        <v>0</v>
      </c>
      <c r="O80" s="100">
        <f>'Allocation ProForma'!O723</f>
        <v>0</v>
      </c>
      <c r="P80" s="100">
        <f>'Allocation ProForma'!P723</f>
        <v>0</v>
      </c>
      <c r="Q80" s="100">
        <f>'Allocation ProForma'!Q723</f>
        <v>0</v>
      </c>
      <c r="R80" s="100">
        <f>'Allocation ProForma'!R723</f>
        <v>0</v>
      </c>
      <c r="S80" s="100">
        <f>'Allocation ProForma'!S723</f>
        <v>0</v>
      </c>
      <c r="T80" s="100">
        <f>'Allocation ProForma'!T723</f>
        <v>0</v>
      </c>
    </row>
    <row r="81" spans="1:20" ht="12" hidden="1" customHeight="1" x14ac:dyDescent="0.25">
      <c r="B81" s="399" t="s">
        <v>1945</v>
      </c>
      <c r="E81" s="399" t="s">
        <v>110</v>
      </c>
      <c r="F81" s="421">
        <f>'Allocation ProForma'!F724</f>
        <v>0</v>
      </c>
      <c r="G81" s="100">
        <f>'Allocation ProForma'!G724</f>
        <v>0</v>
      </c>
      <c r="H81" s="100">
        <f>'Allocation ProForma'!H724</f>
        <v>0</v>
      </c>
      <c r="I81" s="100">
        <f>'Allocation ProForma'!I724</f>
        <v>0</v>
      </c>
      <c r="J81" s="100">
        <f>'Allocation ProForma'!J724</f>
        <v>0</v>
      </c>
      <c r="K81" s="100">
        <f>'Allocation ProForma'!K724</f>
        <v>0</v>
      </c>
      <c r="L81" s="100">
        <f>'Allocation ProForma'!L724</f>
        <v>0</v>
      </c>
      <c r="M81" s="100">
        <f>'Allocation ProForma'!M724</f>
        <v>0</v>
      </c>
      <c r="N81" s="100">
        <f>'Allocation ProForma'!N724</f>
        <v>0</v>
      </c>
      <c r="O81" s="100">
        <f>'Allocation ProForma'!O724</f>
        <v>0</v>
      </c>
      <c r="P81" s="100">
        <f>'Allocation ProForma'!P724</f>
        <v>0</v>
      </c>
      <c r="Q81" s="100">
        <f>'Allocation ProForma'!Q724</f>
        <v>0</v>
      </c>
      <c r="R81" s="100">
        <f>'Allocation ProForma'!R724</f>
        <v>0</v>
      </c>
      <c r="S81" s="100">
        <f>'Allocation ProForma'!S724</f>
        <v>0</v>
      </c>
      <c r="T81" s="100">
        <f>'Allocation ProForma'!T724</f>
        <v>0</v>
      </c>
    </row>
    <row r="82" spans="1:20" ht="12" hidden="1" customHeight="1" x14ac:dyDescent="0.25">
      <c r="B82" s="399" t="s">
        <v>1946</v>
      </c>
      <c r="D82" s="399" t="s">
        <v>846</v>
      </c>
      <c r="E82" s="399" t="s">
        <v>1885</v>
      </c>
      <c r="F82" s="421">
        <f>'Allocation ProForma'!F725</f>
        <v>0</v>
      </c>
      <c r="G82" s="100">
        <f>'Allocation ProForma'!G725</f>
        <v>0</v>
      </c>
      <c r="H82" s="100">
        <f>'Allocation ProForma'!H725</f>
        <v>0</v>
      </c>
      <c r="I82" s="100">
        <f>'Allocation ProForma'!I725</f>
        <v>0</v>
      </c>
      <c r="J82" s="100">
        <f>'Allocation ProForma'!J725</f>
        <v>0</v>
      </c>
      <c r="K82" s="100">
        <f>'Allocation ProForma'!K725</f>
        <v>0</v>
      </c>
      <c r="L82" s="100">
        <f>'Allocation ProForma'!L725</f>
        <v>0</v>
      </c>
      <c r="M82" s="100">
        <f>'Allocation ProForma'!M725</f>
        <v>0</v>
      </c>
      <c r="N82" s="100">
        <f>'Allocation ProForma'!N725</f>
        <v>0</v>
      </c>
      <c r="O82" s="100">
        <f>'Allocation ProForma'!O725</f>
        <v>0</v>
      </c>
      <c r="P82" s="100">
        <f>'Allocation ProForma'!P725</f>
        <v>0</v>
      </c>
      <c r="Q82" s="100">
        <f>'Allocation ProForma'!Q725</f>
        <v>0</v>
      </c>
      <c r="R82" s="100">
        <f>'Allocation ProForma'!R725</f>
        <v>0</v>
      </c>
      <c r="S82" s="100">
        <f>'Allocation ProForma'!S725</f>
        <v>0</v>
      </c>
      <c r="T82" s="100">
        <f>'Allocation ProForma'!T725</f>
        <v>0</v>
      </c>
    </row>
    <row r="83" spans="1:20" ht="12" hidden="1" customHeight="1" x14ac:dyDescent="0.25">
      <c r="B83" s="399" t="s">
        <v>324</v>
      </c>
      <c r="D83" s="399" t="s">
        <v>1516</v>
      </c>
      <c r="E83" s="399" t="s">
        <v>1886</v>
      </c>
      <c r="F83" s="421">
        <f>'Allocation ProForma'!F726</f>
        <v>0</v>
      </c>
      <c r="G83" s="100">
        <f>'Allocation ProForma'!G726</f>
        <v>0</v>
      </c>
      <c r="H83" s="100">
        <f>'Allocation ProForma'!H726</f>
        <v>0</v>
      </c>
      <c r="I83" s="100">
        <f>'Allocation ProForma'!I726</f>
        <v>0</v>
      </c>
      <c r="J83" s="100">
        <f>'Allocation ProForma'!J726</f>
        <v>0</v>
      </c>
      <c r="K83" s="100">
        <f>'Allocation ProForma'!K726</f>
        <v>0</v>
      </c>
      <c r="L83" s="100">
        <f>'Allocation ProForma'!L726</f>
        <v>0</v>
      </c>
      <c r="M83" s="100">
        <f>'Allocation ProForma'!M726</f>
        <v>0</v>
      </c>
      <c r="N83" s="100">
        <f>'Allocation ProForma'!N726</f>
        <v>0</v>
      </c>
      <c r="O83" s="100">
        <f>'Allocation ProForma'!O726</f>
        <v>0</v>
      </c>
      <c r="P83" s="100">
        <f>'Allocation ProForma'!P726</f>
        <v>0</v>
      </c>
      <c r="Q83" s="100">
        <f>'Allocation ProForma'!Q726</f>
        <v>0</v>
      </c>
      <c r="R83" s="100">
        <f>'Allocation ProForma'!R726</f>
        <v>0</v>
      </c>
      <c r="S83" s="100">
        <f>'Allocation ProForma'!S726</f>
        <v>0</v>
      </c>
      <c r="T83" s="100">
        <f>'Allocation ProForma'!T726</f>
        <v>0</v>
      </c>
    </row>
    <row r="84" spans="1:20" ht="12" hidden="1" customHeight="1" x14ac:dyDescent="0.25">
      <c r="B84" s="422" t="s">
        <v>2226</v>
      </c>
      <c r="E84" s="399" t="s">
        <v>422</v>
      </c>
      <c r="F84" s="421">
        <f>'Allocation ProForma'!F727</f>
        <v>0</v>
      </c>
      <c r="G84" s="100">
        <f>'Allocation ProForma'!G727</f>
        <v>0</v>
      </c>
      <c r="H84" s="100">
        <f>'Allocation ProForma'!H727</f>
        <v>0</v>
      </c>
      <c r="I84" s="100">
        <f>'Allocation ProForma'!I727</f>
        <v>0</v>
      </c>
      <c r="J84" s="100">
        <f>'Allocation ProForma'!J727</f>
        <v>0</v>
      </c>
      <c r="K84" s="100">
        <f>'Allocation ProForma'!K727</f>
        <v>0</v>
      </c>
      <c r="L84" s="100">
        <f>'Allocation ProForma'!L727</f>
        <v>0</v>
      </c>
      <c r="M84" s="100">
        <f>'Allocation ProForma'!M727</f>
        <v>0</v>
      </c>
      <c r="N84" s="100">
        <f>'Allocation ProForma'!N727</f>
        <v>0</v>
      </c>
      <c r="O84" s="100">
        <f>'Allocation ProForma'!O727</f>
        <v>0</v>
      </c>
      <c r="P84" s="100">
        <f>'Allocation ProForma'!P727</f>
        <v>0</v>
      </c>
      <c r="Q84" s="100">
        <f>'Allocation ProForma'!Q727</f>
        <v>0</v>
      </c>
      <c r="R84" s="100">
        <f>'Allocation ProForma'!R727</f>
        <v>0</v>
      </c>
      <c r="S84" s="100">
        <f>'Allocation ProForma'!S727</f>
        <v>0</v>
      </c>
      <c r="T84" s="100">
        <f>'Allocation ProForma'!T727</f>
        <v>0</v>
      </c>
    </row>
    <row r="85" spans="1:20" ht="12" customHeight="1" x14ac:dyDescent="0.25">
      <c r="F85" s="399">
        <f>'Allocation ProForma'!F728</f>
        <v>0</v>
      </c>
      <c r="G85" s="399">
        <f>'Allocation ProForma'!G728</f>
        <v>0</v>
      </c>
      <c r="H85" s="399">
        <f>'Allocation ProForma'!H728</f>
        <v>0</v>
      </c>
      <c r="I85" s="399">
        <f>'Allocation ProForma'!I728</f>
        <v>0</v>
      </c>
      <c r="J85" s="399">
        <f>'Allocation ProForma'!J728</f>
        <v>0</v>
      </c>
      <c r="K85" s="399">
        <f>'Allocation ProForma'!K728</f>
        <v>0</v>
      </c>
      <c r="L85" s="399">
        <f>'Allocation ProForma'!L728</f>
        <v>0</v>
      </c>
      <c r="M85" s="399">
        <f>'Allocation ProForma'!M728</f>
        <v>0</v>
      </c>
      <c r="N85" s="399">
        <f>'Allocation ProForma'!N728</f>
        <v>0</v>
      </c>
      <c r="O85" s="399">
        <f>'Allocation ProForma'!O728</f>
        <v>0</v>
      </c>
      <c r="P85" s="399">
        <f>'Allocation ProForma'!P728</f>
        <v>0</v>
      </c>
      <c r="Q85" s="399">
        <f>'Allocation ProForma'!Q728</f>
        <v>0</v>
      </c>
      <c r="R85" s="399">
        <f>'Allocation ProForma'!R728</f>
        <v>0</v>
      </c>
      <c r="S85" s="399">
        <f>'Allocation ProForma'!S728</f>
        <v>0</v>
      </c>
      <c r="T85" s="399">
        <f>'Allocation ProForma'!T728</f>
        <v>0</v>
      </c>
    </row>
    <row r="86" spans="1:20" ht="13.8" x14ac:dyDescent="0.25">
      <c r="A86" s="399" t="s">
        <v>522</v>
      </c>
      <c r="E86" s="413"/>
      <c r="F86" s="410">
        <f t="shared" ref="F86:T86" si="8">SUM(F71:F84)</f>
        <v>1485327439.9408753</v>
      </c>
      <c r="G86" s="410">
        <f t="shared" si="8"/>
        <v>576948070.88843322</v>
      </c>
      <c r="H86" s="410">
        <f t="shared" si="8"/>
        <v>199263423.0355289</v>
      </c>
      <c r="I86" s="410">
        <f t="shared" si="8"/>
        <v>0</v>
      </c>
      <c r="J86" s="410">
        <f t="shared" si="8"/>
        <v>11974301.202798663</v>
      </c>
      <c r="K86" s="410">
        <f t="shared" si="8"/>
        <v>0</v>
      </c>
      <c r="L86" s="410">
        <f t="shared" si="8"/>
        <v>173715204.85514408</v>
      </c>
      <c r="M86" s="410">
        <f t="shared" si="8"/>
        <v>13895605.94844028</v>
      </c>
      <c r="N86" s="410">
        <f t="shared" si="8"/>
        <v>116367549.93095262</v>
      </c>
      <c r="O86" s="410">
        <f t="shared" si="8"/>
        <v>250618049.03936678</v>
      </c>
      <c r="P86" s="410">
        <f t="shared" si="8"/>
        <v>86370870.077902898</v>
      </c>
      <c r="Q86" s="410">
        <f t="shared" si="8"/>
        <v>29864384.899244361</v>
      </c>
      <c r="R86" s="410">
        <f t="shared" si="8"/>
        <v>26123992.44827177</v>
      </c>
      <c r="S86" s="410">
        <f t="shared" si="8"/>
        <v>29624.691924233273</v>
      </c>
      <c r="T86" s="410">
        <f t="shared" si="8"/>
        <v>156362.9228673428</v>
      </c>
    </row>
    <row r="87" spans="1:20" ht="12" customHeight="1" x14ac:dyDescent="0.25">
      <c r="E87" s="410"/>
      <c r="F87" s="413"/>
    </row>
    <row r="89" spans="1:20" ht="13.8" x14ac:dyDescent="0.25">
      <c r="A89" s="411" t="s">
        <v>435</v>
      </c>
      <c r="F89" s="410"/>
    </row>
    <row r="91" spans="1:20" ht="13.8" x14ac:dyDescent="0.25">
      <c r="A91" s="412" t="s">
        <v>436</v>
      </c>
      <c r="F91" s="410">
        <f>'Allocation ProForma'!F734</f>
        <v>933774238.57748592</v>
      </c>
      <c r="G91" s="410">
        <f>'Allocation ProForma'!G734</f>
        <v>370519405.17287457</v>
      </c>
      <c r="H91" s="410">
        <f>'Allocation ProForma'!H734</f>
        <v>108753033.19473302</v>
      </c>
      <c r="I91" s="410">
        <f>'Allocation ProForma'!I734</f>
        <v>0</v>
      </c>
      <c r="J91" s="410">
        <f>'Allocation ProForma'!J734</f>
        <v>7668256.0483589973</v>
      </c>
      <c r="K91" s="410">
        <f>'Allocation ProForma'!K734</f>
        <v>0</v>
      </c>
      <c r="L91" s="410">
        <f>'Allocation ProForma'!L734</f>
        <v>99088940.765030891</v>
      </c>
      <c r="M91" s="410">
        <f>'Allocation ProForma'!M734</f>
        <v>7651162.2855686005</v>
      </c>
      <c r="N91" s="410">
        <f>'Allocation ProForma'!N734</f>
        <v>75124152.589057371</v>
      </c>
      <c r="O91" s="410">
        <f>'Allocation ProForma'!O734</f>
        <v>174786954.93278927</v>
      </c>
      <c r="P91" s="410">
        <f>'Allocation ProForma'!P734</f>
        <v>60688793.139909752</v>
      </c>
      <c r="Q91" s="410">
        <f>'Allocation ProForma'!Q734</f>
        <v>21215963.597676735</v>
      </c>
      <c r="R91" s="410">
        <f>'Allocation ProForma'!R734</f>
        <v>8165872.7907812931</v>
      </c>
      <c r="S91" s="410">
        <f>'Allocation ProForma'!S734</f>
        <v>16912.945346934604</v>
      </c>
      <c r="T91" s="410">
        <f>'Allocation ProForma'!T734</f>
        <v>94791.115358423413</v>
      </c>
    </row>
    <row r="92" spans="1:20" ht="13.8" x14ac:dyDescent="0.25">
      <c r="A92" s="412" t="s">
        <v>437</v>
      </c>
      <c r="F92" s="101">
        <f>'Allocation ProForma'!F735</f>
        <v>228062836.53918952</v>
      </c>
      <c r="G92" s="101">
        <f>'Allocation ProForma'!G735</f>
        <v>105274952.74338102</v>
      </c>
      <c r="H92" s="101">
        <f>'Allocation ProForma'!H735</f>
        <v>27341782.225615479</v>
      </c>
      <c r="I92" s="101">
        <f>'Allocation ProForma'!I735</f>
        <v>0</v>
      </c>
      <c r="J92" s="101">
        <f>'Allocation ProForma'!J735</f>
        <v>1798932.0035182098</v>
      </c>
      <c r="K92" s="101">
        <f>'Allocation ProForma'!K735</f>
        <v>0</v>
      </c>
      <c r="L92" s="101">
        <f>'Allocation ProForma'!L735</f>
        <v>22530219.621316772</v>
      </c>
      <c r="M92" s="101">
        <f>'Allocation ProForma'!M735</f>
        <v>1641041.2910282558</v>
      </c>
      <c r="N92" s="101">
        <f>'Allocation ProForma'!N735</f>
        <v>16175658.255553182</v>
      </c>
      <c r="O92" s="101">
        <f>'Allocation ProForma'!O735</f>
        <v>34771889.749682277</v>
      </c>
      <c r="P92" s="101">
        <f>'Allocation ProForma'!P735</f>
        <v>11324624.823166879</v>
      </c>
      <c r="Q92" s="101">
        <f>'Allocation ProForma'!Q735</f>
        <v>2947235.6735119577</v>
      </c>
      <c r="R92" s="101">
        <f>'Allocation ProForma'!R735</f>
        <v>4239593.4682664694</v>
      </c>
      <c r="S92" s="101">
        <f>'Allocation ProForma'!S735</f>
        <v>693.9480169763392</v>
      </c>
      <c r="T92" s="101">
        <f>'Allocation ProForma'!T735</f>
        <v>16212.736132054226</v>
      </c>
    </row>
    <row r="93" spans="1:20" ht="13.8" x14ac:dyDescent="0.25">
      <c r="A93" s="412" t="s">
        <v>275</v>
      </c>
      <c r="F93" s="101">
        <f>'Allocation ProForma'!F736</f>
        <v>0</v>
      </c>
      <c r="G93" s="101">
        <f>'Allocation ProForma'!G736</f>
        <v>0</v>
      </c>
      <c r="H93" s="101">
        <f>'Allocation ProForma'!H736</f>
        <v>0</v>
      </c>
      <c r="I93" s="101">
        <f>'Allocation ProForma'!I736</f>
        <v>0</v>
      </c>
      <c r="J93" s="101">
        <f>'Allocation ProForma'!J736</f>
        <v>0</v>
      </c>
      <c r="K93" s="101">
        <f>'Allocation ProForma'!K736</f>
        <v>0</v>
      </c>
      <c r="L93" s="101">
        <f>'Allocation ProForma'!L736</f>
        <v>0</v>
      </c>
      <c r="M93" s="101">
        <f>'Allocation ProForma'!M736</f>
        <v>0</v>
      </c>
      <c r="N93" s="101">
        <f>'Allocation ProForma'!N736</f>
        <v>0</v>
      </c>
      <c r="O93" s="101">
        <f>'Allocation ProForma'!O736</f>
        <v>0</v>
      </c>
      <c r="P93" s="101">
        <f>'Allocation ProForma'!P736</f>
        <v>0</v>
      </c>
      <c r="Q93" s="101">
        <f>'Allocation ProForma'!Q736</f>
        <v>0</v>
      </c>
      <c r="R93" s="101">
        <f>'Allocation ProForma'!R736</f>
        <v>0</v>
      </c>
      <c r="S93" s="101">
        <f>'Allocation ProForma'!S736</f>
        <v>0</v>
      </c>
      <c r="T93" s="101">
        <f>'Allocation ProForma'!T736</f>
        <v>0</v>
      </c>
    </row>
    <row r="94" spans="1:20" ht="13.8" x14ac:dyDescent="0.25">
      <c r="A94" s="412" t="s">
        <v>438</v>
      </c>
      <c r="E94" s="399" t="s">
        <v>419</v>
      </c>
      <c r="F94" s="101">
        <f>'Allocation ProForma'!F737</f>
        <v>24894100.893674195</v>
      </c>
      <c r="G94" s="101">
        <f>'Allocation ProForma'!G737</f>
        <v>11724942.607902201</v>
      </c>
      <c r="H94" s="101">
        <f>'Allocation ProForma'!H737</f>
        <v>3012498.5580308898</v>
      </c>
      <c r="I94" s="101">
        <f>'Allocation ProForma'!I737</f>
        <v>0</v>
      </c>
      <c r="J94" s="101">
        <f>'Allocation ProForma'!J737</f>
        <v>193374.31487663536</v>
      </c>
      <c r="K94" s="101">
        <f>'Allocation ProForma'!K737</f>
        <v>0</v>
      </c>
      <c r="L94" s="101">
        <f>'Allocation ProForma'!L737</f>
        <v>2390314.0937590543</v>
      </c>
      <c r="M94" s="101">
        <f>'Allocation ProForma'!M737</f>
        <v>173696.72166999339</v>
      </c>
      <c r="N94" s="101">
        <f>'Allocation ProForma'!N737</f>
        <v>1709843.3931866884</v>
      </c>
      <c r="O94" s="101">
        <f>'Allocation ProForma'!O737</f>
        <v>3661590.8503487902</v>
      </c>
      <c r="P94" s="101">
        <f>'Allocation ProForma'!P737</f>
        <v>1174573.6077597258</v>
      </c>
      <c r="Q94" s="101">
        <f>'Allocation ProForma'!Q737</f>
        <v>305405.7858130887</v>
      </c>
      <c r="R94" s="101">
        <f>'Allocation ProForma'!R737</f>
        <v>545912.63149363315</v>
      </c>
      <c r="S94" s="101">
        <f>'Allocation ProForma'!S737</f>
        <v>89.356442051092216</v>
      </c>
      <c r="T94" s="101">
        <f>'Allocation ProForma'!T737</f>
        <v>1858.9723914415033</v>
      </c>
    </row>
    <row r="95" spans="1:20" ht="13.8" x14ac:dyDescent="0.25">
      <c r="A95" s="412" t="s">
        <v>439</v>
      </c>
      <c r="F95" s="101">
        <f>'Allocation ProForma'!F738</f>
        <v>12926774.348401168</v>
      </c>
      <c r="G95" s="101">
        <f>'Allocation ProForma'!G738</f>
        <v>6088417.8138291491</v>
      </c>
      <c r="H95" s="101">
        <f>'Allocation ProForma'!H738</f>
        <v>1564301.8902701035</v>
      </c>
      <c r="I95" s="101">
        <f>'Allocation ProForma'!I738</f>
        <v>0</v>
      </c>
      <c r="J95" s="101">
        <f>'Allocation ProForma'!J738</f>
        <v>100413.59372099827</v>
      </c>
      <c r="K95" s="101">
        <f>'Allocation ProForma'!K738</f>
        <v>0</v>
      </c>
      <c r="L95" s="101">
        <f>'Allocation ProForma'!L738</f>
        <v>1241219.7991725039</v>
      </c>
      <c r="M95" s="101">
        <f>'Allocation ProForma'!M738</f>
        <v>90195.59837389458</v>
      </c>
      <c r="N95" s="101">
        <f>'Allocation ProForma'!N738</f>
        <v>887871.38002021168</v>
      </c>
      <c r="O95" s="101">
        <f>'Allocation ProForma'!O738</f>
        <v>1901356.4249937129</v>
      </c>
      <c r="P95" s="101">
        <f>'Allocation ProForma'!P738</f>
        <v>609921.52510138182</v>
      </c>
      <c r="Q95" s="101">
        <f>'Allocation ProForma'!Q738</f>
        <v>158588.24123690827</v>
      </c>
      <c r="R95" s="101">
        <f>'Allocation ProForma'!R738</f>
        <v>283476.37182804599</v>
      </c>
      <c r="S95" s="101">
        <f>'Allocation ProForma'!S738</f>
        <v>46.400171988696833</v>
      </c>
      <c r="T95" s="101">
        <f>'Allocation ProForma'!T738</f>
        <v>965.30968227008179</v>
      </c>
    </row>
    <row r="96" spans="1:20" ht="13.8" x14ac:dyDescent="0.25">
      <c r="A96" s="399" t="s">
        <v>935</v>
      </c>
      <c r="F96" s="101">
        <f>'Allocation ProForma'!F739</f>
        <v>0</v>
      </c>
      <c r="G96" s="101">
        <f>'Allocation ProForma'!G739</f>
        <v>0</v>
      </c>
      <c r="H96" s="101">
        <f>'Allocation ProForma'!H739</f>
        <v>0</v>
      </c>
      <c r="I96" s="101">
        <f>'Allocation ProForma'!I739</f>
        <v>0</v>
      </c>
      <c r="J96" s="101">
        <f>'Allocation ProForma'!J739</f>
        <v>0</v>
      </c>
      <c r="K96" s="101">
        <f>'Allocation ProForma'!K739</f>
        <v>0</v>
      </c>
      <c r="L96" s="101">
        <f>'Allocation ProForma'!L739</f>
        <v>0</v>
      </c>
      <c r="M96" s="101">
        <f>'Allocation ProForma'!M739</f>
        <v>0</v>
      </c>
      <c r="N96" s="101">
        <f>'Allocation ProForma'!N739</f>
        <v>0</v>
      </c>
      <c r="O96" s="101">
        <f>'Allocation ProForma'!O739</f>
        <v>0</v>
      </c>
      <c r="P96" s="101">
        <f>'Allocation ProForma'!P739</f>
        <v>0</v>
      </c>
      <c r="Q96" s="101">
        <f>'Allocation ProForma'!Q739</f>
        <v>0</v>
      </c>
      <c r="R96" s="101">
        <f>'Allocation ProForma'!R739</f>
        <v>0</v>
      </c>
      <c r="S96" s="101">
        <f>'Allocation ProForma'!S739</f>
        <v>0</v>
      </c>
      <c r="T96" s="101">
        <f>'Allocation ProForma'!T739</f>
        <v>0</v>
      </c>
    </row>
    <row r="97" spans="1:20" ht="13.8" x14ac:dyDescent="0.25">
      <c r="A97" s="412" t="s">
        <v>1552</v>
      </c>
      <c r="E97" s="399" t="s">
        <v>1172</v>
      </c>
      <c r="F97" s="101">
        <f>'Allocation ProForma'!F740</f>
        <v>84161734.359999999</v>
      </c>
      <c r="G97" s="100">
        <f>'Allocation ProForma'!G740</f>
        <v>18153353.162271839</v>
      </c>
      <c r="H97" s="100">
        <f>'Allocation ProForma'!H740</f>
        <v>20304092.186474111</v>
      </c>
      <c r="I97" s="100">
        <f>'Allocation ProForma'!I740</f>
        <v>0</v>
      </c>
      <c r="J97" s="100">
        <f>'Allocation ProForma'!J740</f>
        <v>655828.60473441554</v>
      </c>
      <c r="K97" s="100">
        <f>'Allocation ProForma'!K740</f>
        <v>0</v>
      </c>
      <c r="L97" s="100">
        <f>'Allocation ProForma'!L740</f>
        <v>16884437.441701207</v>
      </c>
      <c r="M97" s="100">
        <f>'Allocation ProForma'!M740</f>
        <v>1569567.3810316068</v>
      </c>
      <c r="N97" s="100">
        <f>'Allocation ProForma'!N740</f>
        <v>6969485.2237654692</v>
      </c>
      <c r="O97" s="100">
        <f>'Allocation ProForma'!O740</f>
        <v>9638437.6168130934</v>
      </c>
      <c r="P97" s="100">
        <f>'Allocation ProForma'!P740</f>
        <v>3588565.9199093352</v>
      </c>
      <c r="Q97" s="100">
        <f>'Allocation ProForma'!Q740</f>
        <v>1758728.6244708167</v>
      </c>
      <c r="R97" s="100">
        <f>'Allocation ProForma'!R740</f>
        <v>4619187.7149082264</v>
      </c>
      <c r="S97" s="100">
        <f>'Allocation ProForma'!S740</f>
        <v>4868.3256618346886</v>
      </c>
      <c r="T97" s="100">
        <f>'Allocation ProForma'!T740</f>
        <v>15182.576536994065</v>
      </c>
    </row>
    <row r="98" spans="1:20" ht="13.8" x14ac:dyDescent="0.25">
      <c r="A98" s="412" t="s">
        <v>945</v>
      </c>
      <c r="F98" s="101">
        <f>'Allocation ProForma'!F741</f>
        <v>-1</v>
      </c>
      <c r="G98" s="101">
        <f>'Allocation ProForma'!G741</f>
        <v>-0.40935210621236828</v>
      </c>
      <c r="H98" s="101">
        <f>'Allocation ProForma'!H741</f>
        <v>-0.11362251359596974</v>
      </c>
      <c r="I98" s="101">
        <f>'Allocation ProForma'!I741</f>
        <v>0</v>
      </c>
      <c r="J98" s="101">
        <f>'Allocation ProForma'!J741</f>
        <v>-8.5558150654642239E-3</v>
      </c>
      <c r="K98" s="101">
        <f>'Allocation ProForma'!K741</f>
        <v>0</v>
      </c>
      <c r="L98" s="101">
        <f>'Allocation ProForma'!L741</f>
        <v>-0.11420877410668946</v>
      </c>
      <c r="M98" s="101">
        <f>'Allocation ProForma'!M741</f>
        <v>-8.40975402485797E-3</v>
      </c>
      <c r="N98" s="101">
        <f>'Allocation ProForma'!N741</f>
        <v>-8.3403421353758986E-2</v>
      </c>
      <c r="O98" s="101">
        <f>'Allocation ProForma'!O741</f>
        <v>-0.18240931993528153</v>
      </c>
      <c r="P98" s="101">
        <f>'Allocation ProForma'!P741</f>
        <v>-6.3420095832768281E-2</v>
      </c>
      <c r="Q98" s="101">
        <f>'Allocation ProForma'!Q741</f>
        <v>-1.6567072618418759E-2</v>
      </c>
      <c r="R98" s="101">
        <f>'Allocation ProForma'!R741</f>
        <v>0</v>
      </c>
      <c r="S98" s="101">
        <f>'Allocation ProForma'!S741</f>
        <v>0</v>
      </c>
      <c r="T98" s="101">
        <f>'Allocation ProForma'!T741</f>
        <v>-5.1127254422720664E-5</v>
      </c>
    </row>
    <row r="99" spans="1:20" ht="13.8" x14ac:dyDescent="0.25">
      <c r="A99" s="412" t="s">
        <v>580</v>
      </c>
      <c r="E99" s="399" t="s">
        <v>582</v>
      </c>
      <c r="F99" s="100">
        <f>'Allocation ProForma'!F742</f>
        <v>1</v>
      </c>
      <c r="G99" s="100">
        <f>'Allocation ProForma'!G742</f>
        <v>0.40935210621236817</v>
      </c>
      <c r="H99" s="100">
        <f>'Allocation ProForma'!H742</f>
        <v>0.11362251359596973</v>
      </c>
      <c r="I99" s="100">
        <f>'Allocation ProForma'!I742</f>
        <v>0</v>
      </c>
      <c r="J99" s="100">
        <f>'Allocation ProForma'!J742</f>
        <v>8.5558150654642239E-3</v>
      </c>
      <c r="K99" s="100">
        <f>'Allocation ProForma'!K742</f>
        <v>0</v>
      </c>
      <c r="L99" s="100">
        <f>'Allocation ProForma'!L742</f>
        <v>0.11420877410668946</v>
      </c>
      <c r="M99" s="100">
        <f>'Allocation ProForma'!M742</f>
        <v>8.4097540248579683E-3</v>
      </c>
      <c r="N99" s="100">
        <f>'Allocation ProForma'!N742</f>
        <v>8.3403421353758972E-2</v>
      </c>
      <c r="O99" s="100">
        <f>'Allocation ProForma'!O742</f>
        <v>0.18240931993528151</v>
      </c>
      <c r="P99" s="100">
        <f>'Allocation ProForma'!P742</f>
        <v>6.3420095832768281E-2</v>
      </c>
      <c r="Q99" s="100">
        <f>'Allocation ProForma'!Q742</f>
        <v>1.6567072618418756E-2</v>
      </c>
      <c r="R99" s="100">
        <f>'Allocation ProForma'!R742</f>
        <v>0</v>
      </c>
      <c r="S99" s="100">
        <f>'Allocation ProForma'!S742</f>
        <v>0</v>
      </c>
      <c r="T99" s="100">
        <f>'Allocation ProForma'!T742</f>
        <v>5.1127254422720664E-5</v>
      </c>
    </row>
    <row r="100" spans="1:20" ht="12" customHeight="1" x14ac:dyDescent="0.25">
      <c r="A100" s="412"/>
      <c r="B100" s="410"/>
      <c r="D100" s="413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1:20" ht="13.8" x14ac:dyDescent="0.25">
      <c r="A101" s="399" t="s">
        <v>1553</v>
      </c>
      <c r="D101" s="413"/>
      <c r="F101" s="399">
        <f>'Allocation ProForma'!F744</f>
        <v>0</v>
      </c>
      <c r="G101" s="413">
        <f>'Allocation ProForma'!G744</f>
        <v>0</v>
      </c>
      <c r="H101" s="399">
        <f>'Allocation ProForma'!H744</f>
        <v>0</v>
      </c>
      <c r="I101" s="399">
        <f>'Allocation ProForma'!I744</f>
        <v>0</v>
      </c>
      <c r="J101" s="399">
        <f>'Allocation ProForma'!J744</f>
        <v>0</v>
      </c>
      <c r="K101" s="399">
        <f>'Allocation ProForma'!K744</f>
        <v>0</v>
      </c>
      <c r="L101" s="399">
        <f>'Allocation ProForma'!L744</f>
        <v>0</v>
      </c>
      <c r="M101" s="399">
        <f>'Allocation ProForma'!M744</f>
        <v>0</v>
      </c>
      <c r="N101" s="399">
        <f>'Allocation ProForma'!N744</f>
        <v>0</v>
      </c>
      <c r="O101" s="399">
        <f>'Allocation ProForma'!O744</f>
        <v>0</v>
      </c>
      <c r="P101" s="399">
        <f>'Allocation ProForma'!P744</f>
        <v>0</v>
      </c>
      <c r="Q101" s="399">
        <f>'Allocation ProForma'!Q744</f>
        <v>0</v>
      </c>
      <c r="R101" s="399">
        <f>'Allocation ProForma'!R744</f>
        <v>0</v>
      </c>
      <c r="S101" s="399">
        <f>'Allocation ProForma'!S744</f>
        <v>0</v>
      </c>
      <c r="T101" s="399">
        <f>'Allocation ProForma'!T744</f>
        <v>0</v>
      </c>
    </row>
    <row r="102" spans="1:20" ht="12" hidden="1" customHeight="1" x14ac:dyDescent="0.25">
      <c r="B102" s="399" t="s">
        <v>2324</v>
      </c>
      <c r="E102" s="399" t="s">
        <v>1732</v>
      </c>
      <c r="F102" s="101">
        <f>'Allocation ProForma'!F745</f>
        <v>0</v>
      </c>
      <c r="G102" s="101">
        <f>'Allocation ProForma'!G745</f>
        <v>0</v>
      </c>
      <c r="H102" s="101">
        <f>'Allocation ProForma'!H745</f>
        <v>0</v>
      </c>
      <c r="I102" s="101">
        <f>'Allocation ProForma'!I745</f>
        <v>0</v>
      </c>
      <c r="J102" s="101">
        <f>'Allocation ProForma'!J745</f>
        <v>0</v>
      </c>
      <c r="K102" s="101">
        <f>'Allocation ProForma'!K745</f>
        <v>0</v>
      </c>
      <c r="L102" s="101">
        <f>'Allocation ProForma'!L745</f>
        <v>0</v>
      </c>
      <c r="M102" s="101">
        <f>'Allocation ProForma'!M745</f>
        <v>0</v>
      </c>
      <c r="N102" s="101">
        <f>'Allocation ProForma'!N745</f>
        <v>0</v>
      </c>
      <c r="O102" s="101">
        <f>'Allocation ProForma'!O745</f>
        <v>0</v>
      </c>
      <c r="P102" s="101">
        <f>'Allocation ProForma'!P745</f>
        <v>0</v>
      </c>
      <c r="Q102" s="101">
        <f>'Allocation ProForma'!Q745</f>
        <v>0</v>
      </c>
      <c r="R102" s="101">
        <f>'Allocation ProForma'!R745</f>
        <v>0</v>
      </c>
      <c r="S102" s="101">
        <f>'Allocation ProForma'!S745</f>
        <v>0</v>
      </c>
      <c r="T102" s="101">
        <f>'Allocation ProForma'!T745</f>
        <v>0</v>
      </c>
    </row>
    <row r="103" spans="1:20" ht="12" hidden="1" customHeight="1" x14ac:dyDescent="0.25">
      <c r="B103" s="399" t="s">
        <v>2325</v>
      </c>
      <c r="E103" s="399" t="s">
        <v>415</v>
      </c>
      <c r="F103" s="101">
        <f>'Allocation ProForma'!F746</f>
        <v>0</v>
      </c>
      <c r="G103" s="101">
        <f>'Allocation ProForma'!G746</f>
        <v>0</v>
      </c>
      <c r="H103" s="101">
        <f>'Allocation ProForma'!H746</f>
        <v>0</v>
      </c>
      <c r="I103" s="101">
        <f>'Allocation ProForma'!I746</f>
        <v>0</v>
      </c>
      <c r="J103" s="101">
        <f>'Allocation ProForma'!J746</f>
        <v>0</v>
      </c>
      <c r="K103" s="101">
        <f>'Allocation ProForma'!K746</f>
        <v>0</v>
      </c>
      <c r="L103" s="101">
        <f>'Allocation ProForma'!L746</f>
        <v>0</v>
      </c>
      <c r="M103" s="101">
        <f>'Allocation ProForma'!M746</f>
        <v>0</v>
      </c>
      <c r="N103" s="101">
        <f>'Allocation ProForma'!N746</f>
        <v>0</v>
      </c>
      <c r="O103" s="101">
        <f>'Allocation ProForma'!O746</f>
        <v>0</v>
      </c>
      <c r="P103" s="101">
        <f>'Allocation ProForma'!P746</f>
        <v>0</v>
      </c>
      <c r="Q103" s="101">
        <f>'Allocation ProForma'!Q746</f>
        <v>0</v>
      </c>
      <c r="R103" s="101">
        <f>'Allocation ProForma'!R746</f>
        <v>0</v>
      </c>
      <c r="S103" s="101">
        <f>'Allocation ProForma'!S746</f>
        <v>0</v>
      </c>
      <c r="T103" s="101">
        <f>'Allocation ProForma'!T746</f>
        <v>0</v>
      </c>
    </row>
    <row r="104" spans="1:20" ht="12" hidden="1" customHeight="1" x14ac:dyDescent="0.25">
      <c r="B104" s="399" t="s">
        <v>2329</v>
      </c>
      <c r="E104" s="399" t="s">
        <v>415</v>
      </c>
      <c r="F104" s="101">
        <f>'Allocation ProForma'!F747</f>
        <v>0</v>
      </c>
      <c r="G104" s="101">
        <f>'Allocation ProForma'!G747</f>
        <v>0</v>
      </c>
      <c r="H104" s="101">
        <f>'Allocation ProForma'!H747</f>
        <v>0</v>
      </c>
      <c r="I104" s="101">
        <f>'Allocation ProForma'!I747</f>
        <v>0</v>
      </c>
      <c r="J104" s="101">
        <f>'Allocation ProForma'!J747</f>
        <v>0</v>
      </c>
      <c r="K104" s="101">
        <f>'Allocation ProForma'!K747</f>
        <v>0</v>
      </c>
      <c r="L104" s="101">
        <f>'Allocation ProForma'!L747</f>
        <v>0</v>
      </c>
      <c r="M104" s="101">
        <f>'Allocation ProForma'!M747</f>
        <v>0</v>
      </c>
      <c r="N104" s="101">
        <f>'Allocation ProForma'!N747</f>
        <v>0</v>
      </c>
      <c r="O104" s="101">
        <f>'Allocation ProForma'!O747</f>
        <v>0</v>
      </c>
      <c r="P104" s="101">
        <f>'Allocation ProForma'!P747</f>
        <v>0</v>
      </c>
      <c r="Q104" s="101">
        <f>'Allocation ProForma'!Q747</f>
        <v>0</v>
      </c>
      <c r="R104" s="101">
        <f>'Allocation ProForma'!R747</f>
        <v>0</v>
      </c>
      <c r="S104" s="101">
        <f>'Allocation ProForma'!S747</f>
        <v>0</v>
      </c>
      <c r="T104" s="101">
        <f>'Allocation ProForma'!T747</f>
        <v>0</v>
      </c>
    </row>
    <row r="105" spans="1:20" ht="12" hidden="1" customHeight="1" x14ac:dyDescent="0.25">
      <c r="B105" s="399" t="s">
        <v>2326</v>
      </c>
      <c r="E105" s="399" t="s">
        <v>415</v>
      </c>
      <c r="F105" s="101">
        <f>'Allocation ProForma'!F748</f>
        <v>0</v>
      </c>
      <c r="G105" s="101">
        <f>'Allocation ProForma'!G748</f>
        <v>0</v>
      </c>
      <c r="H105" s="101">
        <f>'Allocation ProForma'!H748</f>
        <v>0</v>
      </c>
      <c r="I105" s="101">
        <f>'Allocation ProForma'!I748</f>
        <v>0</v>
      </c>
      <c r="J105" s="101">
        <f>'Allocation ProForma'!J748</f>
        <v>0</v>
      </c>
      <c r="K105" s="101">
        <f>'Allocation ProForma'!K748</f>
        <v>0</v>
      </c>
      <c r="L105" s="101">
        <f>'Allocation ProForma'!L748</f>
        <v>0</v>
      </c>
      <c r="M105" s="101">
        <f>'Allocation ProForma'!M748</f>
        <v>0</v>
      </c>
      <c r="N105" s="101">
        <f>'Allocation ProForma'!N748</f>
        <v>0</v>
      </c>
      <c r="O105" s="101">
        <f>'Allocation ProForma'!O748</f>
        <v>0</v>
      </c>
      <c r="P105" s="101">
        <f>'Allocation ProForma'!P748</f>
        <v>0</v>
      </c>
      <c r="Q105" s="101">
        <f>'Allocation ProForma'!Q748</f>
        <v>0</v>
      </c>
      <c r="R105" s="101">
        <f>'Allocation ProForma'!R748</f>
        <v>0</v>
      </c>
      <c r="S105" s="101">
        <f>'Allocation ProForma'!S748</f>
        <v>0</v>
      </c>
      <c r="T105" s="101">
        <f>'Allocation ProForma'!T748</f>
        <v>0</v>
      </c>
    </row>
    <row r="106" spans="1:20" ht="12" hidden="1" customHeight="1" x14ac:dyDescent="0.25">
      <c r="B106" s="399" t="s">
        <v>324</v>
      </c>
      <c r="E106" s="399" t="s">
        <v>1516</v>
      </c>
      <c r="F106" s="101">
        <f>'Allocation ProForma'!F749</f>
        <v>0</v>
      </c>
      <c r="G106" s="101">
        <f>'Allocation ProForma'!G749</f>
        <v>0</v>
      </c>
      <c r="H106" s="101">
        <f>'Allocation ProForma'!H749</f>
        <v>0</v>
      </c>
      <c r="I106" s="101">
        <f>'Allocation ProForma'!I749</f>
        <v>0</v>
      </c>
      <c r="J106" s="101">
        <f>'Allocation ProForma'!J749</f>
        <v>0</v>
      </c>
      <c r="K106" s="101">
        <f>'Allocation ProForma'!K749</f>
        <v>0</v>
      </c>
      <c r="L106" s="101">
        <f>'Allocation ProForma'!L749</f>
        <v>0</v>
      </c>
      <c r="M106" s="101">
        <f>'Allocation ProForma'!M749</f>
        <v>0</v>
      </c>
      <c r="N106" s="101">
        <f>'Allocation ProForma'!N749</f>
        <v>0</v>
      </c>
      <c r="O106" s="101">
        <f>'Allocation ProForma'!O749</f>
        <v>0</v>
      </c>
      <c r="P106" s="101">
        <f>'Allocation ProForma'!P749</f>
        <v>0</v>
      </c>
      <c r="Q106" s="101">
        <f>'Allocation ProForma'!Q749</f>
        <v>0</v>
      </c>
      <c r="R106" s="101">
        <f>'Allocation ProForma'!R749</f>
        <v>0</v>
      </c>
      <c r="S106" s="101">
        <f>'Allocation ProForma'!S749</f>
        <v>0</v>
      </c>
      <c r="T106" s="101">
        <f>'Allocation ProForma'!T749</f>
        <v>0</v>
      </c>
    </row>
    <row r="107" spans="1:20" ht="12" hidden="1" customHeight="1" x14ac:dyDescent="0.25">
      <c r="B107" s="399" t="s">
        <v>1948</v>
      </c>
      <c r="E107" s="399" t="s">
        <v>1754</v>
      </c>
      <c r="F107" s="101">
        <f>'Allocation ProForma'!F750</f>
        <v>0</v>
      </c>
      <c r="G107" s="101">
        <f>'Allocation ProForma'!G750</f>
        <v>0</v>
      </c>
      <c r="H107" s="101">
        <f>'Allocation ProForma'!H750</f>
        <v>0</v>
      </c>
      <c r="I107" s="101">
        <f>'Allocation ProForma'!I750</f>
        <v>0</v>
      </c>
      <c r="J107" s="101">
        <f>'Allocation ProForma'!J750</f>
        <v>0</v>
      </c>
      <c r="K107" s="101">
        <f>'Allocation ProForma'!K750</f>
        <v>0</v>
      </c>
      <c r="L107" s="101">
        <f>'Allocation ProForma'!L750</f>
        <v>0</v>
      </c>
      <c r="M107" s="101">
        <f>'Allocation ProForma'!M750</f>
        <v>0</v>
      </c>
      <c r="N107" s="101">
        <f>'Allocation ProForma'!N750</f>
        <v>0</v>
      </c>
      <c r="O107" s="101">
        <f>'Allocation ProForma'!O750</f>
        <v>0</v>
      </c>
      <c r="P107" s="101">
        <f>'Allocation ProForma'!P750</f>
        <v>0</v>
      </c>
      <c r="Q107" s="101">
        <f>'Allocation ProForma'!Q750</f>
        <v>0</v>
      </c>
      <c r="R107" s="101">
        <f>'Allocation ProForma'!R750</f>
        <v>0</v>
      </c>
      <c r="S107" s="101">
        <f>'Allocation ProForma'!S750</f>
        <v>0</v>
      </c>
      <c r="T107" s="101">
        <f>'Allocation ProForma'!T750</f>
        <v>0</v>
      </c>
    </row>
    <row r="108" spans="1:20" ht="12" hidden="1" customHeight="1" x14ac:dyDescent="0.25">
      <c r="B108" s="399" t="s">
        <v>276</v>
      </c>
      <c r="E108" s="399" t="s">
        <v>426</v>
      </c>
      <c r="F108" s="101">
        <f>'Allocation ProForma'!F751</f>
        <v>0</v>
      </c>
      <c r="G108" s="101">
        <f>'Allocation ProForma'!G751</f>
        <v>0</v>
      </c>
      <c r="H108" s="101">
        <f>'Allocation ProForma'!H751</f>
        <v>0</v>
      </c>
      <c r="I108" s="101">
        <f>'Allocation ProForma'!I751</f>
        <v>0</v>
      </c>
      <c r="J108" s="101">
        <f>'Allocation ProForma'!J751</f>
        <v>0</v>
      </c>
      <c r="K108" s="101">
        <f>'Allocation ProForma'!K751</f>
        <v>0</v>
      </c>
      <c r="L108" s="101">
        <f>'Allocation ProForma'!L751</f>
        <v>0</v>
      </c>
      <c r="M108" s="101">
        <f>'Allocation ProForma'!M751</f>
        <v>0</v>
      </c>
      <c r="N108" s="101">
        <f>'Allocation ProForma'!N751</f>
        <v>0</v>
      </c>
      <c r="O108" s="101">
        <f>'Allocation ProForma'!O751</f>
        <v>0</v>
      </c>
      <c r="P108" s="101">
        <f>'Allocation ProForma'!P751</f>
        <v>0</v>
      </c>
      <c r="Q108" s="101">
        <f>'Allocation ProForma'!Q751</f>
        <v>0</v>
      </c>
      <c r="R108" s="101">
        <f>'Allocation ProForma'!R751</f>
        <v>0</v>
      </c>
      <c r="S108" s="101">
        <f>'Allocation ProForma'!S751</f>
        <v>0</v>
      </c>
      <c r="T108" s="101">
        <f>'Allocation ProForma'!T751</f>
        <v>0</v>
      </c>
    </row>
    <row r="109" spans="1:20" ht="12" hidden="1" customHeight="1" x14ac:dyDescent="0.25">
      <c r="B109" s="399" t="s">
        <v>1947</v>
      </c>
      <c r="E109" s="399" t="s">
        <v>426</v>
      </c>
      <c r="F109" s="101">
        <f>'Allocation ProForma'!F752</f>
        <v>0</v>
      </c>
      <c r="G109" s="101">
        <f>'Allocation ProForma'!G752</f>
        <v>0</v>
      </c>
      <c r="H109" s="101">
        <f>'Allocation ProForma'!H752</f>
        <v>0</v>
      </c>
      <c r="I109" s="101">
        <f>'Allocation ProForma'!I752</f>
        <v>0</v>
      </c>
      <c r="J109" s="101">
        <f>'Allocation ProForma'!J752</f>
        <v>0</v>
      </c>
      <c r="K109" s="101">
        <f>'Allocation ProForma'!K752</f>
        <v>0</v>
      </c>
      <c r="L109" s="101">
        <f>'Allocation ProForma'!L752</f>
        <v>0</v>
      </c>
      <c r="M109" s="101">
        <f>'Allocation ProForma'!M752</f>
        <v>0</v>
      </c>
      <c r="N109" s="101">
        <f>'Allocation ProForma'!N752</f>
        <v>0</v>
      </c>
      <c r="O109" s="101">
        <f>'Allocation ProForma'!O752</f>
        <v>0</v>
      </c>
      <c r="P109" s="101">
        <f>'Allocation ProForma'!P752</f>
        <v>0</v>
      </c>
      <c r="Q109" s="101">
        <f>'Allocation ProForma'!Q752</f>
        <v>0</v>
      </c>
      <c r="R109" s="101">
        <f>'Allocation ProForma'!R752</f>
        <v>0</v>
      </c>
      <c r="S109" s="101">
        <f>'Allocation ProForma'!S752</f>
        <v>0</v>
      </c>
      <c r="T109" s="101">
        <f>'Allocation ProForma'!T752</f>
        <v>0</v>
      </c>
    </row>
    <row r="110" spans="1:20" ht="12" hidden="1" customHeight="1" x14ac:dyDescent="0.25">
      <c r="B110" s="399" t="s">
        <v>1951</v>
      </c>
      <c r="E110" s="399" t="s">
        <v>254</v>
      </c>
      <c r="F110" s="101">
        <f>'Allocation ProForma'!F753</f>
        <v>0</v>
      </c>
      <c r="G110" s="101">
        <f>'Allocation ProForma'!G753</f>
        <v>0</v>
      </c>
      <c r="H110" s="101">
        <f>'Allocation ProForma'!H753</f>
        <v>0</v>
      </c>
      <c r="I110" s="101">
        <f>'Allocation ProForma'!I753</f>
        <v>0</v>
      </c>
      <c r="J110" s="101">
        <f>'Allocation ProForma'!J753</f>
        <v>0</v>
      </c>
      <c r="K110" s="101">
        <f>'Allocation ProForma'!K753</f>
        <v>0</v>
      </c>
      <c r="L110" s="101">
        <f>'Allocation ProForma'!L753</f>
        <v>0</v>
      </c>
      <c r="M110" s="101">
        <f>'Allocation ProForma'!M753</f>
        <v>0</v>
      </c>
      <c r="N110" s="101">
        <f>'Allocation ProForma'!N753</f>
        <v>0</v>
      </c>
      <c r="O110" s="101">
        <f>'Allocation ProForma'!O753</f>
        <v>0</v>
      </c>
      <c r="P110" s="101">
        <f>'Allocation ProForma'!P753</f>
        <v>0</v>
      </c>
      <c r="Q110" s="101">
        <f>'Allocation ProForma'!Q753</f>
        <v>0</v>
      </c>
      <c r="R110" s="101">
        <f>'Allocation ProForma'!R753</f>
        <v>0</v>
      </c>
      <c r="S110" s="101">
        <f>'Allocation ProForma'!S753</f>
        <v>0</v>
      </c>
      <c r="T110" s="101">
        <f>'Allocation ProForma'!T753</f>
        <v>0</v>
      </c>
    </row>
    <row r="111" spans="1:20" ht="12" hidden="1" customHeight="1" x14ac:dyDescent="0.25">
      <c r="B111" s="399" t="s">
        <v>1949</v>
      </c>
      <c r="E111" s="399" t="s">
        <v>422</v>
      </c>
      <c r="F111" s="101">
        <f>'Allocation ProForma'!F754</f>
        <v>0</v>
      </c>
      <c r="G111" s="101">
        <f>'Allocation ProForma'!G754</f>
        <v>0</v>
      </c>
      <c r="H111" s="101">
        <f>'Allocation ProForma'!H754</f>
        <v>0</v>
      </c>
      <c r="I111" s="101">
        <f>'Allocation ProForma'!I754</f>
        <v>0</v>
      </c>
      <c r="J111" s="101">
        <f>'Allocation ProForma'!J754</f>
        <v>0</v>
      </c>
      <c r="K111" s="101">
        <f>'Allocation ProForma'!K754</f>
        <v>0</v>
      </c>
      <c r="L111" s="101">
        <f>'Allocation ProForma'!L754</f>
        <v>0</v>
      </c>
      <c r="M111" s="101">
        <f>'Allocation ProForma'!M754</f>
        <v>0</v>
      </c>
      <c r="N111" s="101">
        <f>'Allocation ProForma'!N754</f>
        <v>0</v>
      </c>
      <c r="O111" s="101">
        <f>'Allocation ProForma'!O754</f>
        <v>0</v>
      </c>
      <c r="P111" s="101">
        <f>'Allocation ProForma'!P754</f>
        <v>0</v>
      </c>
      <c r="Q111" s="101">
        <f>'Allocation ProForma'!Q754</f>
        <v>0</v>
      </c>
      <c r="R111" s="101">
        <f>'Allocation ProForma'!R754</f>
        <v>0</v>
      </c>
      <c r="S111" s="101">
        <f>'Allocation ProForma'!S754</f>
        <v>0</v>
      </c>
      <c r="T111" s="101">
        <f>'Allocation ProForma'!T754</f>
        <v>0</v>
      </c>
    </row>
    <row r="112" spans="1:20" ht="13.8" x14ac:dyDescent="0.25">
      <c r="B112" s="399" t="s">
        <v>2227</v>
      </c>
      <c r="E112" s="399" t="s">
        <v>432</v>
      </c>
      <c r="F112" s="101">
        <f>'Allocation ProForma'!F755</f>
        <v>-838116</v>
      </c>
      <c r="G112" s="101">
        <f>'Allocation ProForma'!G755</f>
        <v>-317360.86960830563</v>
      </c>
      <c r="H112" s="101">
        <f>'Allocation ProForma'!H755</f>
        <v>-113447.81429056131</v>
      </c>
      <c r="I112" s="101">
        <f>'Allocation ProForma'!I755</f>
        <v>0</v>
      </c>
      <c r="J112" s="101">
        <f>'Allocation ProForma'!J755</f>
        <v>-6889.2511311629441</v>
      </c>
      <c r="K112" s="101">
        <f>'Allocation ProForma'!K755</f>
        <v>0</v>
      </c>
      <c r="L112" s="101">
        <f>'Allocation ProForma'!L755</f>
        <v>-99841.817563354634</v>
      </c>
      <c r="M112" s="101">
        <f>'Allocation ProForma'!M755</f>
        <v>-7983.8519718289754</v>
      </c>
      <c r="N112" s="101">
        <f>'Allocation ProForma'!N755</f>
        <v>-66889.507834115575</v>
      </c>
      <c r="O112" s="101">
        <f>'Allocation ProForma'!O755</f>
        <v>-143966.96952712012</v>
      </c>
      <c r="P112" s="101">
        <f>'Allocation ProForma'!P755</f>
        <v>-49624.312220352258</v>
      </c>
      <c r="Q112" s="101">
        <f>'Allocation ProForma'!Q755</f>
        <v>-17107.026576327709</v>
      </c>
      <c r="R112" s="101">
        <f>'Allocation ProForma'!R755</f>
        <v>-14898.143186008507</v>
      </c>
      <c r="S112" s="101">
        <f>'Allocation ProForma'!S755</f>
        <v>-16.865457935246173</v>
      </c>
      <c r="T112" s="101">
        <f>'Allocation ProForma'!T755</f>
        <v>-89.57063292708682</v>
      </c>
    </row>
    <row r="113" spans="1:20" ht="12" hidden="1" customHeight="1" x14ac:dyDescent="0.25">
      <c r="B113" s="399" t="s">
        <v>2229</v>
      </c>
      <c r="E113" s="399" t="s">
        <v>148</v>
      </c>
      <c r="F113" s="101">
        <f>'Allocation ProForma'!F756</f>
        <v>0</v>
      </c>
      <c r="G113" s="101">
        <f>'Allocation ProForma'!G756</f>
        <v>0</v>
      </c>
      <c r="H113" s="101">
        <f>'Allocation ProForma'!H756</f>
        <v>0</v>
      </c>
      <c r="I113" s="101">
        <f>'Allocation ProForma'!I756</f>
        <v>0</v>
      </c>
      <c r="J113" s="101">
        <f>'Allocation ProForma'!J756</f>
        <v>0</v>
      </c>
      <c r="K113" s="101">
        <f>'Allocation ProForma'!K756</f>
        <v>0</v>
      </c>
      <c r="L113" s="101">
        <f>'Allocation ProForma'!L756</f>
        <v>0</v>
      </c>
      <c r="M113" s="101">
        <f>'Allocation ProForma'!M756</f>
        <v>0</v>
      </c>
      <c r="N113" s="101">
        <f>'Allocation ProForma'!N756</f>
        <v>0</v>
      </c>
      <c r="O113" s="101">
        <f>'Allocation ProForma'!O756</f>
        <v>0</v>
      </c>
      <c r="P113" s="101">
        <f>'Allocation ProForma'!P756</f>
        <v>0</v>
      </c>
      <c r="Q113" s="101">
        <f>'Allocation ProForma'!Q756</f>
        <v>0</v>
      </c>
      <c r="R113" s="101">
        <f>'Allocation ProForma'!R756</f>
        <v>0</v>
      </c>
      <c r="S113" s="101">
        <f>'Allocation ProForma'!S756</f>
        <v>0</v>
      </c>
      <c r="T113" s="101">
        <f>'Allocation ProForma'!T756</f>
        <v>0</v>
      </c>
    </row>
    <row r="114" spans="1:20" ht="12" hidden="1" customHeight="1" x14ac:dyDescent="0.25">
      <c r="B114" s="399" t="s">
        <v>277</v>
      </c>
      <c r="E114" s="399" t="s">
        <v>424</v>
      </c>
      <c r="F114" s="101">
        <f>'Allocation ProForma'!F757</f>
        <v>0</v>
      </c>
      <c r="G114" s="101">
        <f>'Allocation ProForma'!G757</f>
        <v>0</v>
      </c>
      <c r="H114" s="101">
        <f>'Allocation ProForma'!H757</f>
        <v>0</v>
      </c>
      <c r="I114" s="101">
        <f>'Allocation ProForma'!I757</f>
        <v>0</v>
      </c>
      <c r="J114" s="101">
        <f>'Allocation ProForma'!J757</f>
        <v>0</v>
      </c>
      <c r="K114" s="101">
        <f>'Allocation ProForma'!K757</f>
        <v>0</v>
      </c>
      <c r="L114" s="101">
        <f>'Allocation ProForma'!L757</f>
        <v>0</v>
      </c>
      <c r="M114" s="101">
        <f>'Allocation ProForma'!M757</f>
        <v>0</v>
      </c>
      <c r="N114" s="101">
        <f>'Allocation ProForma'!N757</f>
        <v>0</v>
      </c>
      <c r="O114" s="101">
        <f>'Allocation ProForma'!O757</f>
        <v>0</v>
      </c>
      <c r="P114" s="101">
        <f>'Allocation ProForma'!P757</f>
        <v>0</v>
      </c>
      <c r="Q114" s="101">
        <f>'Allocation ProForma'!Q757</f>
        <v>0</v>
      </c>
      <c r="R114" s="101">
        <f>'Allocation ProForma'!R757</f>
        <v>0</v>
      </c>
      <c r="S114" s="101">
        <f>'Allocation ProForma'!S757</f>
        <v>0</v>
      </c>
      <c r="T114" s="101">
        <f>'Allocation ProForma'!T757</f>
        <v>0</v>
      </c>
    </row>
    <row r="115" spans="1:20" ht="12" hidden="1" customHeight="1" x14ac:dyDescent="0.25">
      <c r="B115" s="422" t="s">
        <v>2228</v>
      </c>
      <c r="E115" s="399" t="s">
        <v>254</v>
      </c>
      <c r="F115" s="101">
        <f>'Allocation ProForma'!F758</f>
        <v>0</v>
      </c>
      <c r="G115" s="101">
        <f>'Allocation ProForma'!G758</f>
        <v>0</v>
      </c>
      <c r="H115" s="101">
        <f>'Allocation ProForma'!H758</f>
        <v>0</v>
      </c>
      <c r="I115" s="101">
        <f>'Allocation ProForma'!I758</f>
        <v>0</v>
      </c>
      <c r="J115" s="101">
        <f>'Allocation ProForma'!J758</f>
        <v>0</v>
      </c>
      <c r="K115" s="101">
        <f>'Allocation ProForma'!K758</f>
        <v>0</v>
      </c>
      <c r="L115" s="101">
        <f>'Allocation ProForma'!L758</f>
        <v>0</v>
      </c>
      <c r="M115" s="101">
        <f>'Allocation ProForma'!M758</f>
        <v>0</v>
      </c>
      <c r="N115" s="101">
        <f>'Allocation ProForma'!N758</f>
        <v>0</v>
      </c>
      <c r="O115" s="101">
        <f>'Allocation ProForma'!O758</f>
        <v>0</v>
      </c>
      <c r="P115" s="101">
        <f>'Allocation ProForma'!P758</f>
        <v>0</v>
      </c>
      <c r="Q115" s="101">
        <f>'Allocation ProForma'!Q758</f>
        <v>0</v>
      </c>
      <c r="R115" s="101">
        <f>'Allocation ProForma'!R758</f>
        <v>0</v>
      </c>
      <c r="S115" s="101">
        <f>'Allocation ProForma'!S758</f>
        <v>0</v>
      </c>
      <c r="T115" s="101">
        <f>'Allocation ProForma'!T758</f>
        <v>0</v>
      </c>
    </row>
    <row r="116" spans="1:20" ht="12" hidden="1" customHeight="1" x14ac:dyDescent="0.25">
      <c r="B116" s="399" t="s">
        <v>1950</v>
      </c>
      <c r="E116" s="399" t="s">
        <v>148</v>
      </c>
      <c r="F116" s="101">
        <f>'Allocation ProForma'!F759</f>
        <v>0</v>
      </c>
      <c r="G116" s="101">
        <f>'Allocation ProForma'!G759</f>
        <v>0</v>
      </c>
      <c r="H116" s="101">
        <f>'Allocation ProForma'!H759</f>
        <v>0</v>
      </c>
      <c r="I116" s="101">
        <f>'Allocation ProForma'!I759</f>
        <v>0</v>
      </c>
      <c r="J116" s="101">
        <f>'Allocation ProForma'!J759</f>
        <v>0</v>
      </c>
      <c r="K116" s="101">
        <f>'Allocation ProForma'!K759</f>
        <v>0</v>
      </c>
      <c r="L116" s="101">
        <f>'Allocation ProForma'!L759</f>
        <v>0</v>
      </c>
      <c r="M116" s="101">
        <f>'Allocation ProForma'!M759</f>
        <v>0</v>
      </c>
      <c r="N116" s="101">
        <f>'Allocation ProForma'!N759</f>
        <v>0</v>
      </c>
      <c r="O116" s="101">
        <f>'Allocation ProForma'!O759</f>
        <v>0</v>
      </c>
      <c r="P116" s="101">
        <f>'Allocation ProForma'!P759</f>
        <v>0</v>
      </c>
      <c r="Q116" s="101">
        <f>'Allocation ProForma'!Q759</f>
        <v>0</v>
      </c>
      <c r="R116" s="101">
        <f>'Allocation ProForma'!R759</f>
        <v>0</v>
      </c>
      <c r="S116" s="101">
        <f>'Allocation ProForma'!S759</f>
        <v>0</v>
      </c>
      <c r="T116" s="101">
        <f>'Allocation ProForma'!T759</f>
        <v>0</v>
      </c>
    </row>
    <row r="117" spans="1:20" ht="12" hidden="1" customHeight="1" x14ac:dyDescent="0.25">
      <c r="B117" s="399" t="s">
        <v>1952</v>
      </c>
      <c r="E117" s="399" t="s">
        <v>424</v>
      </c>
      <c r="F117" s="101">
        <f>'Allocation ProForma'!F760</f>
        <v>0</v>
      </c>
      <c r="G117" s="101">
        <f>'Allocation ProForma'!G760</f>
        <v>0</v>
      </c>
      <c r="H117" s="101">
        <f>'Allocation ProForma'!H760</f>
        <v>0</v>
      </c>
      <c r="I117" s="101">
        <f>'Allocation ProForma'!I760</f>
        <v>0</v>
      </c>
      <c r="J117" s="101">
        <f>'Allocation ProForma'!J760</f>
        <v>0</v>
      </c>
      <c r="K117" s="101">
        <f>'Allocation ProForma'!K760</f>
        <v>0</v>
      </c>
      <c r="L117" s="101">
        <f>'Allocation ProForma'!L760</f>
        <v>0</v>
      </c>
      <c r="M117" s="101">
        <f>'Allocation ProForma'!M760</f>
        <v>0</v>
      </c>
      <c r="N117" s="101">
        <f>'Allocation ProForma'!N760</f>
        <v>0</v>
      </c>
      <c r="O117" s="101">
        <f>'Allocation ProForma'!O760</f>
        <v>0</v>
      </c>
      <c r="P117" s="101">
        <f>'Allocation ProForma'!P760</f>
        <v>0</v>
      </c>
      <c r="Q117" s="101">
        <f>'Allocation ProForma'!Q760</f>
        <v>0</v>
      </c>
      <c r="R117" s="101">
        <f>'Allocation ProForma'!R760</f>
        <v>0</v>
      </c>
      <c r="S117" s="101">
        <f>'Allocation ProForma'!S760</f>
        <v>0</v>
      </c>
      <c r="T117" s="101">
        <f>'Allocation ProForma'!T760</f>
        <v>0</v>
      </c>
    </row>
    <row r="118" spans="1:20" ht="12" hidden="1" customHeight="1" x14ac:dyDescent="0.25">
      <c r="B118" s="399" t="s">
        <v>1877</v>
      </c>
      <c r="E118" s="399" t="s">
        <v>1172</v>
      </c>
      <c r="F118" s="101">
        <f>'Allocation ProForma'!F761</f>
        <v>0</v>
      </c>
      <c r="G118" s="101">
        <f>'Allocation ProForma'!G761</f>
        <v>0</v>
      </c>
      <c r="H118" s="101">
        <f>'Allocation ProForma'!H761</f>
        <v>0</v>
      </c>
      <c r="I118" s="101">
        <f>'Allocation ProForma'!I761</f>
        <v>0</v>
      </c>
      <c r="J118" s="101">
        <f>'Allocation ProForma'!J761</f>
        <v>0</v>
      </c>
      <c r="K118" s="101">
        <f>'Allocation ProForma'!K761</f>
        <v>0</v>
      </c>
      <c r="L118" s="101">
        <f>'Allocation ProForma'!L761</f>
        <v>0</v>
      </c>
      <c r="M118" s="101">
        <f>'Allocation ProForma'!M761</f>
        <v>0</v>
      </c>
      <c r="N118" s="101">
        <f>'Allocation ProForma'!N761</f>
        <v>0</v>
      </c>
      <c r="O118" s="101">
        <f>'Allocation ProForma'!O761</f>
        <v>0</v>
      </c>
      <c r="P118" s="101">
        <f>'Allocation ProForma'!P761</f>
        <v>0</v>
      </c>
      <c r="Q118" s="101">
        <f>'Allocation ProForma'!Q761</f>
        <v>0</v>
      </c>
      <c r="R118" s="101">
        <f>'Allocation ProForma'!R761</f>
        <v>0</v>
      </c>
      <c r="S118" s="101">
        <f>'Allocation ProForma'!S761</f>
        <v>0</v>
      </c>
      <c r="T118" s="101">
        <f>'Allocation ProForma'!T761</f>
        <v>0</v>
      </c>
    </row>
    <row r="119" spans="1:20" ht="12" hidden="1" customHeight="1" x14ac:dyDescent="0.25">
      <c r="B119" s="412" t="s">
        <v>2251</v>
      </c>
      <c r="E119" s="399" t="s">
        <v>1172</v>
      </c>
      <c r="F119" s="101">
        <f>'Allocation ProForma'!F762</f>
        <v>0</v>
      </c>
      <c r="G119" s="101">
        <f>'Allocation ProForma'!G762</f>
        <v>0</v>
      </c>
      <c r="H119" s="101">
        <f>'Allocation ProForma'!H762</f>
        <v>0</v>
      </c>
      <c r="I119" s="101">
        <f>'Allocation ProForma'!I762</f>
        <v>0</v>
      </c>
      <c r="J119" s="101">
        <f>'Allocation ProForma'!J762</f>
        <v>0</v>
      </c>
      <c r="K119" s="101">
        <f>'Allocation ProForma'!K762</f>
        <v>0</v>
      </c>
      <c r="L119" s="101">
        <f>'Allocation ProForma'!L762</f>
        <v>0</v>
      </c>
      <c r="M119" s="101">
        <f>'Allocation ProForma'!M762</f>
        <v>0</v>
      </c>
      <c r="N119" s="101">
        <f>'Allocation ProForma'!N762</f>
        <v>0</v>
      </c>
      <c r="O119" s="101">
        <f>'Allocation ProForma'!O762</f>
        <v>0</v>
      </c>
      <c r="P119" s="101">
        <f>'Allocation ProForma'!P762</f>
        <v>0</v>
      </c>
      <c r="Q119" s="101">
        <f>'Allocation ProForma'!Q762</f>
        <v>0</v>
      </c>
      <c r="R119" s="101">
        <f>'Allocation ProForma'!R762</f>
        <v>0</v>
      </c>
      <c r="S119" s="101">
        <f>'Allocation ProForma'!S762</f>
        <v>0</v>
      </c>
      <c r="T119" s="101">
        <f>'Allocation ProForma'!T762</f>
        <v>0</v>
      </c>
    </row>
    <row r="120" spans="1:20" ht="13.8" x14ac:dyDescent="0.25">
      <c r="B120" s="399" t="s">
        <v>1876</v>
      </c>
      <c r="E120" s="399" t="s">
        <v>1172</v>
      </c>
      <c r="F120" s="101">
        <f>'Allocation ProForma'!F763</f>
        <v>-164668</v>
      </c>
      <c r="G120" s="101">
        <f>'Allocation ProForma'!G763</f>
        <v>-35518.236182472356</v>
      </c>
      <c r="H120" s="101">
        <f>'Allocation ProForma'!H763</f>
        <v>-39726.29934004035</v>
      </c>
      <c r="I120" s="101">
        <f>'Allocation ProForma'!I763</f>
        <v>0</v>
      </c>
      <c r="J120" s="101">
        <f>'Allocation ProForma'!J763</f>
        <v>-1283.1720437516747</v>
      </c>
      <c r="K120" s="101">
        <f>'Allocation ProForma'!K763</f>
        <v>0</v>
      </c>
      <c r="L120" s="101">
        <f>'Allocation ProForma'!L763</f>
        <v>-33035.518645056291</v>
      </c>
      <c r="M120" s="101">
        <f>'Allocation ProForma'!M763</f>
        <v>-3070.9623971645615</v>
      </c>
      <c r="N120" s="101">
        <f>'Allocation ProForma'!N763</f>
        <v>-13636.258824205775</v>
      </c>
      <c r="O120" s="101">
        <f>'Allocation ProForma'!O763</f>
        <v>-18858.240714199303</v>
      </c>
      <c r="P120" s="101">
        <f>'Allocation ProForma'!P763</f>
        <v>-7021.2665814605771</v>
      </c>
      <c r="Q120" s="101">
        <f>'Allocation ProForma'!Q763</f>
        <v>-3441.0688816793581</v>
      </c>
      <c r="R120" s="101">
        <f>'Allocation ProForma'!R763</f>
        <v>-9037.7462919777681</v>
      </c>
      <c r="S120" s="101">
        <f>'Allocation ProForma'!S763</f>
        <v>-9.5252011639152077</v>
      </c>
      <c r="T120" s="101">
        <f>'Allocation ProForma'!T763</f>
        <v>-29.705715218506327</v>
      </c>
    </row>
    <row r="121" spans="1:20" ht="13.8" x14ac:dyDescent="0.25">
      <c r="A121" s="399" t="s">
        <v>944</v>
      </c>
      <c r="F121" s="100">
        <f t="shared" ref="F121:T121" si="9">SUM(F102:F120)</f>
        <v>-1002784</v>
      </c>
      <c r="G121" s="100">
        <f t="shared" si="9"/>
        <v>-352879.10579077801</v>
      </c>
      <c r="H121" s="100">
        <f t="shared" si="9"/>
        <v>-153174.11363060167</v>
      </c>
      <c r="I121" s="100">
        <f t="shared" si="9"/>
        <v>0</v>
      </c>
      <c r="J121" s="100">
        <f t="shared" si="9"/>
        <v>-8172.4231749146184</v>
      </c>
      <c r="K121" s="100">
        <f t="shared" si="9"/>
        <v>0</v>
      </c>
      <c r="L121" s="100">
        <f t="shared" si="9"/>
        <v>-132877.33620841091</v>
      </c>
      <c r="M121" s="100">
        <f t="shared" si="9"/>
        <v>-11054.814368993537</v>
      </c>
      <c r="N121" s="100">
        <f t="shared" si="9"/>
        <v>-80525.766658321343</v>
      </c>
      <c r="O121" s="100">
        <f t="shared" si="9"/>
        <v>-162825.21024131944</v>
      </c>
      <c r="P121" s="100">
        <f t="shared" si="9"/>
        <v>-56645.578801812837</v>
      </c>
      <c r="Q121" s="100">
        <f t="shared" si="9"/>
        <v>-20548.095458007068</v>
      </c>
      <c r="R121" s="100">
        <f t="shared" si="9"/>
        <v>-23935.889477986275</v>
      </c>
      <c r="S121" s="100">
        <f t="shared" si="9"/>
        <v>-26.390659099161383</v>
      </c>
      <c r="T121" s="100">
        <f t="shared" si="9"/>
        <v>-119.27634814559315</v>
      </c>
    </row>
    <row r="122" spans="1:20" ht="12" customHeight="1" x14ac:dyDescent="0.25">
      <c r="F122" s="101"/>
      <c r="G122" s="101"/>
      <c r="H122" s="101"/>
      <c r="I122" s="101"/>
      <c r="J122" s="101"/>
      <c r="K122" s="101"/>
      <c r="L122" s="266"/>
      <c r="M122" s="266"/>
      <c r="N122" s="266"/>
      <c r="O122" s="266"/>
      <c r="P122" s="101"/>
      <c r="Q122" s="101"/>
      <c r="R122" s="101"/>
      <c r="S122" s="101"/>
      <c r="T122" s="101"/>
    </row>
    <row r="123" spans="1:20" ht="12" customHeight="1" x14ac:dyDescent="0.25"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</row>
    <row r="124" spans="1:20" ht="12" customHeight="1" x14ac:dyDescent="0.25">
      <c r="F124" s="413"/>
      <c r="G124" s="413"/>
    </row>
    <row r="125" spans="1:20" ht="13.8" x14ac:dyDescent="0.25">
      <c r="A125" s="399" t="s">
        <v>440</v>
      </c>
      <c r="D125" s="399" t="s">
        <v>398</v>
      </c>
      <c r="F125" s="410">
        <f t="shared" ref="F125:T125" si="10">SUM(F91:F120)</f>
        <v>1282816900.7187505</v>
      </c>
      <c r="G125" s="410">
        <f t="shared" si="10"/>
        <v>511408192.39446807</v>
      </c>
      <c r="H125" s="410">
        <f t="shared" si="10"/>
        <v>160822533.94149303</v>
      </c>
      <c r="I125" s="410">
        <f t="shared" si="10"/>
        <v>0</v>
      </c>
      <c r="J125" s="410">
        <f t="shared" si="10"/>
        <v>10408632.142034343</v>
      </c>
      <c r="K125" s="410">
        <f t="shared" si="10"/>
        <v>0</v>
      </c>
      <c r="L125" s="410">
        <f t="shared" si="10"/>
        <v>142002254.38477203</v>
      </c>
      <c r="M125" s="410">
        <f t="shared" si="10"/>
        <v>11114608.463303357</v>
      </c>
      <c r="N125" s="410">
        <f t="shared" si="10"/>
        <v>100786485.0749246</v>
      </c>
      <c r="O125" s="410">
        <f t="shared" si="10"/>
        <v>224597404.36438584</v>
      </c>
      <c r="P125" s="410">
        <f t="shared" si="10"/>
        <v>77329833.437045261</v>
      </c>
      <c r="Q125" s="410">
        <f t="shared" si="10"/>
        <v>26365373.827251494</v>
      </c>
      <c r="R125" s="410">
        <f t="shared" si="10"/>
        <v>17830107.087799683</v>
      </c>
      <c r="S125" s="410">
        <f t="shared" si="10"/>
        <v>22584.584980686261</v>
      </c>
      <c r="T125" s="410">
        <f t="shared" si="10"/>
        <v>128891.43375303769</v>
      </c>
    </row>
    <row r="126" spans="1:20" ht="12" customHeight="1" x14ac:dyDescent="0.25">
      <c r="F126" s="410"/>
    </row>
    <row r="127" spans="1:20" ht="13.8" x14ac:dyDescent="0.25">
      <c r="A127" s="399" t="s">
        <v>937</v>
      </c>
      <c r="F127" s="410">
        <f t="shared" ref="F127:T127" si="11">F86-F125</f>
        <v>202510539.22212481</v>
      </c>
      <c r="G127" s="410">
        <f t="shared" si="11"/>
        <v>65539878.493965149</v>
      </c>
      <c r="H127" s="410">
        <f t="shared" si="11"/>
        <v>38440889.094035864</v>
      </c>
      <c r="I127" s="410">
        <f t="shared" si="11"/>
        <v>0</v>
      </c>
      <c r="J127" s="410">
        <f t="shared" si="11"/>
        <v>1565669.0607643202</v>
      </c>
      <c r="K127" s="410">
        <f t="shared" si="11"/>
        <v>0</v>
      </c>
      <c r="L127" s="410">
        <f t="shared" si="11"/>
        <v>31712950.470372051</v>
      </c>
      <c r="M127" s="410">
        <f t="shared" si="11"/>
        <v>2780997.4851369224</v>
      </c>
      <c r="N127" s="410">
        <f t="shared" si="11"/>
        <v>15581064.85602802</v>
      </c>
      <c r="O127" s="410">
        <f t="shared" si="11"/>
        <v>26020644.674980938</v>
      </c>
      <c r="P127" s="410">
        <f t="shared" si="11"/>
        <v>9041036.6408576369</v>
      </c>
      <c r="Q127" s="410">
        <f t="shared" si="11"/>
        <v>3499011.0719928667</v>
      </c>
      <c r="R127" s="410">
        <f t="shared" si="11"/>
        <v>8293885.3604720868</v>
      </c>
      <c r="S127" s="410">
        <f t="shared" si="11"/>
        <v>7040.1069435470126</v>
      </c>
      <c r="T127" s="410">
        <f t="shared" si="11"/>
        <v>27471.489114305106</v>
      </c>
    </row>
    <row r="129" spans="1:20" ht="13.8" x14ac:dyDescent="0.25">
      <c r="A129" s="411" t="s">
        <v>420</v>
      </c>
      <c r="F129" s="410">
        <f t="shared" ref="F129:T129" si="12">F42</f>
        <v>3639079759.3610182</v>
      </c>
      <c r="G129" s="410">
        <f t="shared" si="12"/>
        <v>1716633054.3461716</v>
      </c>
      <c r="H129" s="410">
        <f t="shared" si="12"/>
        <v>441219651.03133303</v>
      </c>
      <c r="I129" s="410">
        <f t="shared" si="12"/>
        <v>0</v>
      </c>
      <c r="J129" s="410">
        <f t="shared" si="12"/>
        <v>28182297.978403468</v>
      </c>
      <c r="K129" s="410">
        <f t="shared" si="12"/>
        <v>0</v>
      </c>
      <c r="L129" s="410">
        <f t="shared" si="12"/>
        <v>347387075.53153688</v>
      </c>
      <c r="M129" s="410">
        <f t="shared" si="12"/>
        <v>25275870.378223237</v>
      </c>
      <c r="N129" s="410">
        <f t="shared" si="12"/>
        <v>248673397.50148326</v>
      </c>
      <c r="O129" s="410">
        <f t="shared" si="12"/>
        <v>533415050.36546725</v>
      </c>
      <c r="P129" s="410">
        <f t="shared" si="12"/>
        <v>170797076.92138174</v>
      </c>
      <c r="Q129" s="410">
        <f t="shared" si="12"/>
        <v>45005985.731704071</v>
      </c>
      <c r="R129" s="410">
        <f t="shared" si="12"/>
        <v>82196367.310438812</v>
      </c>
      <c r="S129" s="410">
        <f t="shared" si="12"/>
        <v>15193.548301309937</v>
      </c>
      <c r="T129" s="410">
        <f t="shared" si="12"/>
        <v>278738.71657262801</v>
      </c>
    </row>
    <row r="130" spans="1:20" ht="12" hidden="1" customHeight="1" x14ac:dyDescent="0.25">
      <c r="A130" s="411" t="s">
        <v>2337</v>
      </c>
      <c r="E130" s="399" t="s">
        <v>411</v>
      </c>
      <c r="F130" s="410">
        <f>'Allocation ProForma'!F773</f>
        <v>0</v>
      </c>
      <c r="G130" s="100">
        <f>'Allocation ProForma'!G773</f>
        <v>0</v>
      </c>
      <c r="H130" s="100">
        <f>'Allocation ProForma'!H773</f>
        <v>0</v>
      </c>
      <c r="I130" s="100">
        <f>'Allocation ProForma'!I773</f>
        <v>0</v>
      </c>
      <c r="J130" s="100">
        <f>'Allocation ProForma'!J773</f>
        <v>0</v>
      </c>
      <c r="K130" s="100">
        <f>'Allocation ProForma'!K773</f>
        <v>0</v>
      </c>
      <c r="L130" s="100">
        <f>'Allocation ProForma'!L773</f>
        <v>0</v>
      </c>
      <c r="M130" s="100">
        <f>'Allocation ProForma'!M773</f>
        <v>0</v>
      </c>
      <c r="N130" s="100">
        <f>'Allocation ProForma'!N773</f>
        <v>0</v>
      </c>
      <c r="O130" s="100">
        <f>'Allocation ProForma'!O773</f>
        <v>0</v>
      </c>
      <c r="P130" s="100">
        <f>'Allocation ProForma'!P773</f>
        <v>0</v>
      </c>
      <c r="Q130" s="100">
        <f>'Allocation ProForma'!Q773</f>
        <v>0</v>
      </c>
      <c r="R130" s="100">
        <f>'Allocation ProForma'!R773</f>
        <v>0</v>
      </c>
      <c r="S130" s="100">
        <f>'Allocation ProForma'!S773</f>
        <v>0</v>
      </c>
      <c r="T130" s="100">
        <f>'Allocation ProForma'!T773</f>
        <v>0</v>
      </c>
    </row>
    <row r="131" spans="1:20" ht="12" hidden="1" customHeight="1" x14ac:dyDescent="0.25">
      <c r="A131" s="411" t="s">
        <v>2337</v>
      </c>
      <c r="E131" s="399" t="s">
        <v>1754</v>
      </c>
      <c r="F131" s="410">
        <f>'Allocation ProForma'!F774</f>
        <v>0</v>
      </c>
      <c r="G131" s="100">
        <f>'Allocation ProForma'!G774</f>
        <v>0</v>
      </c>
      <c r="H131" s="100">
        <f>'Allocation ProForma'!H774</f>
        <v>0</v>
      </c>
      <c r="I131" s="100">
        <f>'Allocation ProForma'!I774</f>
        <v>0</v>
      </c>
      <c r="J131" s="100">
        <f>'Allocation ProForma'!J774</f>
        <v>0</v>
      </c>
      <c r="K131" s="100">
        <f>'Allocation ProForma'!K774</f>
        <v>0</v>
      </c>
      <c r="L131" s="100">
        <f>'Allocation ProForma'!L774</f>
        <v>0</v>
      </c>
      <c r="M131" s="100">
        <f>'Allocation ProForma'!M774</f>
        <v>0</v>
      </c>
      <c r="N131" s="100">
        <f>'Allocation ProForma'!N774</f>
        <v>0</v>
      </c>
      <c r="O131" s="100">
        <f>'Allocation ProForma'!O774</f>
        <v>0</v>
      </c>
      <c r="P131" s="100">
        <f>'Allocation ProForma'!P774</f>
        <v>0</v>
      </c>
      <c r="Q131" s="100">
        <f>'Allocation ProForma'!Q774</f>
        <v>0</v>
      </c>
      <c r="R131" s="100">
        <f>'Allocation ProForma'!R774</f>
        <v>0</v>
      </c>
      <c r="S131" s="100">
        <f>'Allocation ProForma'!S774</f>
        <v>0</v>
      </c>
      <c r="T131" s="100">
        <f>'Allocation ProForma'!T774</f>
        <v>0</v>
      </c>
    </row>
    <row r="132" spans="1:20" ht="12" hidden="1" customHeight="1" x14ac:dyDescent="0.25">
      <c r="A132" s="411" t="s">
        <v>2337</v>
      </c>
      <c r="E132" s="399" t="s">
        <v>532</v>
      </c>
      <c r="F132" s="410">
        <f>'Allocation ProForma'!F775</f>
        <v>0</v>
      </c>
      <c r="G132" s="100">
        <f>'Allocation ProForma'!G775</f>
        <v>0</v>
      </c>
      <c r="H132" s="100">
        <f>'Allocation ProForma'!H775</f>
        <v>0</v>
      </c>
      <c r="I132" s="100">
        <f>'Allocation ProForma'!I775</f>
        <v>0</v>
      </c>
      <c r="J132" s="100">
        <f>'Allocation ProForma'!J775</f>
        <v>0</v>
      </c>
      <c r="K132" s="100">
        <f>'Allocation ProForma'!K775</f>
        <v>0</v>
      </c>
      <c r="L132" s="100">
        <f>'Allocation ProForma'!L775</f>
        <v>0</v>
      </c>
      <c r="M132" s="100">
        <f>'Allocation ProForma'!M775</f>
        <v>0</v>
      </c>
      <c r="N132" s="100">
        <f>'Allocation ProForma'!N775</f>
        <v>0</v>
      </c>
      <c r="O132" s="100">
        <f>'Allocation ProForma'!O775</f>
        <v>0</v>
      </c>
      <c r="P132" s="100">
        <f>'Allocation ProForma'!P775</f>
        <v>0</v>
      </c>
      <c r="Q132" s="100">
        <f>'Allocation ProForma'!Q775</f>
        <v>0</v>
      </c>
      <c r="R132" s="100">
        <f>'Allocation ProForma'!R775</f>
        <v>0</v>
      </c>
      <c r="S132" s="100">
        <f>'Allocation ProForma'!S775</f>
        <v>0</v>
      </c>
      <c r="T132" s="100">
        <f>'Allocation ProForma'!T775</f>
        <v>0</v>
      </c>
    </row>
    <row r="133" spans="1:20" ht="12" hidden="1" customHeight="1" x14ac:dyDescent="0.25">
      <c r="A133" s="423" t="s">
        <v>731</v>
      </c>
      <c r="B133" s="424"/>
      <c r="C133" s="424"/>
      <c r="D133" s="424"/>
      <c r="E133" s="424"/>
      <c r="F133" s="410">
        <f t="shared" ref="F133:T133" si="13">SUM(F129:F132)</f>
        <v>3639079759.3610182</v>
      </c>
      <c r="G133" s="425">
        <f t="shared" si="13"/>
        <v>1716633054.3461716</v>
      </c>
      <c r="H133" s="425">
        <f t="shared" si="13"/>
        <v>441219651.03133303</v>
      </c>
      <c r="I133" s="425">
        <f>SUM(I129:I132)</f>
        <v>0</v>
      </c>
      <c r="J133" s="425">
        <f t="shared" si="13"/>
        <v>28182297.978403468</v>
      </c>
      <c r="K133" s="425">
        <f>SUM(K129:K132)</f>
        <v>0</v>
      </c>
      <c r="L133" s="410">
        <f t="shared" si="13"/>
        <v>347387075.53153688</v>
      </c>
      <c r="M133" s="410">
        <f t="shared" si="13"/>
        <v>25275870.378223237</v>
      </c>
      <c r="N133" s="410">
        <f t="shared" si="13"/>
        <v>248673397.50148326</v>
      </c>
      <c r="O133" s="410">
        <f t="shared" si="13"/>
        <v>533415050.36546725</v>
      </c>
      <c r="P133" s="410">
        <f t="shared" si="13"/>
        <v>170797076.92138174</v>
      </c>
      <c r="Q133" s="425">
        <f t="shared" si="13"/>
        <v>45005985.731704071</v>
      </c>
      <c r="R133" s="425">
        <f t="shared" si="13"/>
        <v>82196367.310438812</v>
      </c>
      <c r="S133" s="425">
        <f t="shared" si="13"/>
        <v>15193.548301309937</v>
      </c>
      <c r="T133" s="425">
        <f t="shared" si="13"/>
        <v>278738.71657262801</v>
      </c>
    </row>
    <row r="134" spans="1:20" ht="12" customHeight="1" thickBot="1" x14ac:dyDescent="0.3"/>
    <row r="135" spans="1:20" ht="15" customHeight="1" thickBot="1" x14ac:dyDescent="0.3">
      <c r="A135" s="426" t="s">
        <v>441</v>
      </c>
      <c r="B135" s="427"/>
      <c r="C135" s="427"/>
      <c r="D135" s="427"/>
      <c r="E135" s="427"/>
      <c r="F135" s="428">
        <f t="shared" ref="F135:T135" si="14">F127/F133</f>
        <v>5.5648832290964519E-2</v>
      </c>
      <c r="G135" s="428">
        <f t="shared" si="14"/>
        <v>3.8179317547236601E-2</v>
      </c>
      <c r="H135" s="428">
        <f t="shared" si="14"/>
        <v>8.712415461138652E-2</v>
      </c>
      <c r="I135" s="428" t="e">
        <f>I127/I133</f>
        <v>#DIV/0!</v>
      </c>
      <c r="J135" s="428">
        <f t="shared" si="14"/>
        <v>5.5555053103338727E-2</v>
      </c>
      <c r="K135" s="428" t="e">
        <f>K127/K133</f>
        <v>#DIV/0!</v>
      </c>
      <c r="L135" s="428">
        <f t="shared" si="14"/>
        <v>9.1289954935278098E-2</v>
      </c>
      <c r="M135" s="428">
        <f t="shared" si="14"/>
        <v>0.11002578520630997</v>
      </c>
      <c r="N135" s="428">
        <f t="shared" si="14"/>
        <v>6.2656741784915232E-2</v>
      </c>
      <c r="O135" s="428">
        <f t="shared" si="14"/>
        <v>4.8781234532383359E-2</v>
      </c>
      <c r="P135" s="428">
        <f t="shared" si="14"/>
        <v>5.2934375715453522E-2</v>
      </c>
      <c r="Q135" s="428">
        <f t="shared" si="14"/>
        <v>7.7745460189488066E-2</v>
      </c>
      <c r="R135" s="428">
        <f t="shared" si="14"/>
        <v>0.10090330791807117</v>
      </c>
      <c r="S135" s="428">
        <f t="shared" si="14"/>
        <v>0.46336160611935778</v>
      </c>
      <c r="T135" s="428">
        <f t="shared" si="14"/>
        <v>9.8556416747894254E-2</v>
      </c>
    </row>
  </sheetData>
  <autoFilter ref="D2:E136"/>
  <printOptions horizontalCentered="1"/>
  <pageMargins left="0.4" right="0.4" top="1.8" bottom="0.5" header="0.74" footer="0.5"/>
  <pageSetup scale="67" fitToWidth="2" fitToHeight="2" pageOrder="overThenDown" orientation="landscape" r:id="rId1"/>
  <headerFooter alignWithMargins="0">
    <oddHeader>&amp;C&amp;"Times New Roman,Bold"&amp;12KENTUCKY UTILITIES COMPANY
Cost of Service Study
Class Allocation
12 Months Ended June 30, 2018
5 CP METHODOLOGY</oddHeader>
  </headerFooter>
  <rowBreaks count="1" manualBreakCount="1">
    <brk id="65" max="16383" man="1"/>
  </rowBreaks>
  <colBreaks count="1" manualBreakCount="1">
    <brk id="14" min="3" max="1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4"/>
  <sheetViews>
    <sheetView tabSelected="1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/>
    </sheetView>
  </sheetViews>
  <sheetFormatPr defaultColWidth="9.109375" defaultRowHeight="12" customHeight="1" x14ac:dyDescent="0.25"/>
  <cols>
    <col min="1" max="1" width="7.6640625" style="97" customWidth="1"/>
    <col min="2" max="2" width="25.88671875" style="97" customWidth="1"/>
    <col min="3" max="3" width="12.5546875" style="97" customWidth="1"/>
    <col min="4" max="4" width="11.88671875" style="97" customWidth="1"/>
    <col min="5" max="5" width="16.33203125" style="97" bestFit="1" customWidth="1"/>
    <col min="6" max="6" width="19.44140625" style="97" customWidth="1"/>
    <col min="7" max="7" width="24.33203125" style="97" bestFit="1" customWidth="1"/>
    <col min="8" max="8" width="20.44140625" style="97" customWidth="1"/>
    <col min="9" max="9" width="20.44140625" style="97" hidden="1" customWidth="1"/>
    <col min="10" max="10" width="19.88671875" style="97" customWidth="1"/>
    <col min="11" max="11" width="19.88671875" style="97" hidden="1" customWidth="1"/>
    <col min="12" max="12" width="23.6640625" style="97" customWidth="1"/>
    <col min="13" max="14" width="20.109375" style="97" customWidth="1"/>
    <col min="15" max="15" width="21.109375" style="97" customWidth="1"/>
    <col min="16" max="16" width="19.88671875" style="97" customWidth="1"/>
    <col min="17" max="17" width="21.109375" style="97" bestFit="1" customWidth="1"/>
    <col min="18" max="20" width="17.6640625" style="97" customWidth="1"/>
    <col min="21" max="21" width="18" style="97" customWidth="1"/>
    <col min="22" max="22" width="19.109375" style="97" customWidth="1"/>
    <col min="23" max="23" width="16.88671875" style="97" customWidth="1"/>
    <col min="24" max="24" width="25.5546875" style="97" customWidth="1"/>
    <col min="25" max="25" width="15.88671875" style="97" bestFit="1" customWidth="1"/>
    <col min="26" max="26" width="25.88671875" style="97" bestFit="1" customWidth="1"/>
    <col min="27" max="28" width="10.33203125" style="97" bestFit="1" customWidth="1"/>
    <col min="29" max="29" width="11.6640625" style="97" bestFit="1" customWidth="1"/>
    <col min="30" max="30" width="21.6640625" style="97" customWidth="1"/>
    <col min="31" max="31" width="20.5546875" style="97" customWidth="1"/>
    <col min="32" max="32" width="13.88671875" style="97" customWidth="1"/>
    <col min="33" max="16384" width="9.10937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2310</v>
      </c>
      <c r="I2" s="241" t="s">
        <v>2337</v>
      </c>
      <c r="J2" s="241" t="s">
        <v>2338</v>
      </c>
      <c r="K2" s="241" t="s">
        <v>2337</v>
      </c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2201</v>
      </c>
      <c r="R2" s="241" t="s">
        <v>2223</v>
      </c>
      <c r="S2" s="241" t="s">
        <v>2224</v>
      </c>
      <c r="T2" s="328" t="s">
        <v>2255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2336</v>
      </c>
      <c r="I3" s="31"/>
      <c r="J3" s="31" t="s">
        <v>2339</v>
      </c>
      <c r="K3" s="31"/>
      <c r="L3" s="31" t="s">
        <v>1879</v>
      </c>
      <c r="M3" s="31" t="s">
        <v>1880</v>
      </c>
      <c r="N3" s="31" t="s">
        <v>1882</v>
      </c>
      <c r="O3" s="278" t="s">
        <v>2252</v>
      </c>
      <c r="P3" s="31" t="s">
        <v>1875</v>
      </c>
      <c r="Q3" s="31" t="s">
        <v>2219</v>
      </c>
      <c r="R3" s="31" t="s">
        <v>2231</v>
      </c>
      <c r="S3" s="31" t="s">
        <v>2218</v>
      </c>
      <c r="T3" s="278" t="s">
        <v>2256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397" t="s">
        <v>2455</v>
      </c>
      <c r="F8" s="100">
        <f>VLOOKUP(C8,'Functional Assignment'!$C$1:$AU$771,6,)</f>
        <v>1460538244.8090184</v>
      </c>
      <c r="G8" s="100">
        <f t="shared" ref="G8:T13" si="1">IF(VLOOKUP($E8,$D$5:$AJ$945,3,)=0,0,(VLOOKUP($E8,$D$5:$AJ$945,G$1,)/VLOOKUP($E8,$D$5:$AJ$945,3,))*$F8)</f>
        <v>597874406.71628726</v>
      </c>
      <c r="H8" s="100">
        <f t="shared" si="1"/>
        <v>165950026.57824647</v>
      </c>
      <c r="I8" s="100">
        <f t="shared" si="1"/>
        <v>0</v>
      </c>
      <c r="J8" s="100">
        <f t="shared" si="1"/>
        <v>12496095.118623674</v>
      </c>
      <c r="K8" s="100">
        <f t="shared" si="1"/>
        <v>0</v>
      </c>
      <c r="L8" s="100">
        <f t="shared" si="1"/>
        <v>166806282.4755739</v>
      </c>
      <c r="M8" s="100">
        <f t="shared" si="1"/>
        <v>12282767.382741638</v>
      </c>
      <c r="N8" s="100">
        <f t="shared" si="1"/>
        <v>121813886.63508615</v>
      </c>
      <c r="O8" s="100">
        <f t="shared" si="1"/>
        <v>266415787.97508278</v>
      </c>
      <c r="P8" s="100">
        <f t="shared" si="1"/>
        <v>92627475.453211129</v>
      </c>
      <c r="Q8" s="100">
        <f t="shared" si="1"/>
        <v>24196843.163728882</v>
      </c>
      <c r="R8" s="100">
        <f t="shared" si="1"/>
        <v>0</v>
      </c>
      <c r="S8" s="100">
        <f t="shared" si="1"/>
        <v>0</v>
      </c>
      <c r="T8" s="100">
        <f t="shared" si="1"/>
        <v>74673.310436464555</v>
      </c>
      <c r="U8" s="100"/>
      <c r="V8" s="102">
        <f>SUM(G8:T8)</f>
        <v>1460538244.8090186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397" t="s">
        <v>2455</v>
      </c>
      <c r="F9" s="101">
        <f>VLOOKUP(C9,'Functional Assignment'!$C$1:$AU$771,7,)</f>
        <v>1530006255.2164052</v>
      </c>
      <c r="G9" s="101">
        <f t="shared" si="1"/>
        <v>626311283.09093368</v>
      </c>
      <c r="H9" s="101">
        <f t="shared" si="1"/>
        <v>173843156.53524473</v>
      </c>
      <c r="I9" s="101">
        <f t="shared" si="1"/>
        <v>0</v>
      </c>
      <c r="J9" s="101">
        <f t="shared" si="1"/>
        <v>13090450.56863502</v>
      </c>
      <c r="K9" s="101">
        <f t="shared" si="1"/>
        <v>0</v>
      </c>
      <c r="L9" s="101">
        <f t="shared" si="1"/>
        <v>174740138.78383228</v>
      </c>
      <c r="M9" s="101">
        <f t="shared" si="1"/>
        <v>12866976.262864035</v>
      </c>
      <c r="N9" s="101">
        <f t="shared" si="1"/>
        <v>127607756.37770075</v>
      </c>
      <c r="O9" s="101">
        <f t="shared" si="1"/>
        <v>279087400.51075125</v>
      </c>
      <c r="P9" s="101">
        <f t="shared" si="1"/>
        <v>97033143.330559343</v>
      </c>
      <c r="Q9" s="101">
        <f t="shared" si="1"/>
        <v>25347724.73680513</v>
      </c>
      <c r="R9" s="101">
        <f t="shared" si="1"/>
        <v>0</v>
      </c>
      <c r="S9" s="101">
        <f t="shared" si="1"/>
        <v>0</v>
      </c>
      <c r="T9" s="101">
        <f t="shared" si="1"/>
        <v>78225.019078803234</v>
      </c>
      <c r="U9" s="101"/>
      <c r="V9" s="101">
        <f t="shared" ref="V9:V14" si="4">SUM(G9:T9)</f>
        <v>1530006255.2164049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397" t="s">
        <v>2455</v>
      </c>
      <c r="F10" s="101">
        <f>VLOOKUP(C10,'Functional Assignment'!$C$1:$AU$771,8,)</f>
        <v>1257659982.5752206</v>
      </c>
      <c r="G10" s="101">
        <f t="shared" si="1"/>
        <v>514825762.76617694</v>
      </c>
      <c r="H10" s="101">
        <f t="shared" si="1"/>
        <v>142898488.46926007</v>
      </c>
      <c r="I10" s="101">
        <f t="shared" si="1"/>
        <v>0</v>
      </c>
      <c r="J10" s="101">
        <f t="shared" si="1"/>
        <v>10760306.226148546</v>
      </c>
      <c r="K10" s="101">
        <f t="shared" si="1"/>
        <v>0</v>
      </c>
      <c r="L10" s="101">
        <f t="shared" si="1"/>
        <v>143635804.85295638</v>
      </c>
      <c r="M10" s="101">
        <f t="shared" si="1"/>
        <v>10576611.100364765</v>
      </c>
      <c r="N10" s="101">
        <f t="shared" si="1"/>
        <v>104893145.4464823</v>
      </c>
      <c r="O10" s="101">
        <f t="shared" si="1"/>
        <v>229408902.13136402</v>
      </c>
      <c r="P10" s="101">
        <f t="shared" si="1"/>
        <v>79760916.619958177</v>
      </c>
      <c r="Q10" s="101">
        <f t="shared" si="1"/>
        <v>20835744.260602951</v>
      </c>
      <c r="R10" s="101">
        <f t="shared" si="1"/>
        <v>0</v>
      </c>
      <c r="S10" s="101">
        <f t="shared" si="1"/>
        <v>0</v>
      </c>
      <c r="T10" s="101">
        <f t="shared" si="1"/>
        <v>64300.701906397742</v>
      </c>
      <c r="U10" s="101"/>
      <c r="V10" s="101">
        <f t="shared" si="4"/>
        <v>1257659982.5752206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1739011452.5733979</v>
      </c>
      <c r="H14" s="100">
        <f t="shared" si="5"/>
        <v>482691671.58275127</v>
      </c>
      <c r="I14" s="100">
        <f>SUM(I8:I13)</f>
        <v>0</v>
      </c>
      <c r="J14" s="100">
        <f>SUM(J8:J13)</f>
        <v>36346851.913407236</v>
      </c>
      <c r="K14" s="100">
        <f>SUM(K8:K13)</f>
        <v>0</v>
      </c>
      <c r="L14" s="100">
        <f t="shared" si="5"/>
        <v>485182226.11236262</v>
      </c>
      <c r="M14" s="100">
        <f t="shared" si="5"/>
        <v>35726354.745970435</v>
      </c>
      <c r="N14" s="100">
        <f t="shared" si="5"/>
        <v>354314788.45926917</v>
      </c>
      <c r="O14" s="100">
        <f t="shared" si="5"/>
        <v>774912090.61719799</v>
      </c>
      <c r="P14" s="100">
        <f>SUM(P8:P13)</f>
        <v>269421535.40372866</v>
      </c>
      <c r="Q14" s="100">
        <f>SUM(Q8:Q13)</f>
        <v>70380312.161136955</v>
      </c>
      <c r="R14" s="100">
        <f>SUM(R8:R13)</f>
        <v>0</v>
      </c>
      <c r="S14" s="100">
        <f>SUM(S8:S13)</f>
        <v>0</v>
      </c>
      <c r="T14" s="100">
        <f>SUM(T8:T13)</f>
        <v>217199.03142166554</v>
      </c>
      <c r="U14" s="100"/>
      <c r="V14" s="102">
        <f t="shared" si="4"/>
        <v>4248204482.6006436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0.40935210621236828</v>
      </c>
      <c r="H15" s="244">
        <f t="shared" si="6"/>
        <v>0.11362251359596974</v>
      </c>
      <c r="I15" s="244">
        <f>I14/$F$14</f>
        <v>0</v>
      </c>
      <c r="J15" s="244">
        <f t="shared" si="6"/>
        <v>8.5558150654642239E-3</v>
      </c>
      <c r="K15" s="244">
        <f>K14/$F$14</f>
        <v>0</v>
      </c>
      <c r="L15" s="244">
        <f t="shared" si="6"/>
        <v>0.11420877410668948</v>
      </c>
      <c r="M15" s="244">
        <f t="shared" si="6"/>
        <v>8.40975402485797E-3</v>
      </c>
      <c r="N15" s="244">
        <f t="shared" si="6"/>
        <v>8.3403421353758972E-2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2424</v>
      </c>
      <c r="C17" s="97" t="s">
        <v>188</v>
      </c>
      <c r="D17" s="97" t="s">
        <v>145</v>
      </c>
      <c r="E17" s="397" t="s">
        <v>2455</v>
      </c>
      <c r="F17" s="100">
        <f>VLOOKUP(C17,'Functional Assignment'!$C$1:$AU$771,13,)</f>
        <v>918203216.41785061</v>
      </c>
      <c r="G17" s="100">
        <f t="shared" ref="G17:T19" si="7">IF(VLOOKUP($E17,$D$5:$AJ$945,3,)=0,0,(VLOOKUP($E17,$D$5:$AJ$945,G$1,)/VLOOKUP($E17,$D$5:$AJ$945,3,))*$F17)</f>
        <v>375868420.57161814</v>
      </c>
      <c r="H17" s="100">
        <f t="shared" si="7"/>
        <v>104328557.44130038</v>
      </c>
      <c r="I17" s="100">
        <f t="shared" si="7"/>
        <v>0</v>
      </c>
      <c r="J17" s="100">
        <f t="shared" si="7"/>
        <v>7855976.9121855535</v>
      </c>
      <c r="K17" s="100">
        <f t="shared" si="7"/>
        <v>0</v>
      </c>
      <c r="L17" s="100">
        <f t="shared" si="7"/>
        <v>104866863.727902</v>
      </c>
      <c r="M17" s="100">
        <f t="shared" si="7"/>
        <v>7721863.1949075526</v>
      </c>
      <c r="N17" s="100">
        <f t="shared" si="7"/>
        <v>76581289.747274742</v>
      </c>
      <c r="O17" s="100">
        <f t="shared" si="7"/>
        <v>167488824.26916826</v>
      </c>
      <c r="P17" s="100">
        <f t="shared" si="7"/>
        <v>58232535.979176156</v>
      </c>
      <c r="Q17" s="100">
        <f t="shared" si="7"/>
        <v>15211939.364860207</v>
      </c>
      <c r="R17" s="100">
        <f t="shared" si="7"/>
        <v>0</v>
      </c>
      <c r="S17" s="100">
        <f t="shared" si="7"/>
        <v>0</v>
      </c>
      <c r="T17" s="100">
        <f t="shared" si="7"/>
        <v>46945.209457555895</v>
      </c>
      <c r="U17" s="100"/>
      <c r="V17" s="102">
        <f>SUM(G17:T17)</f>
        <v>918203216.41785049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2423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2423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375868420.57161814</v>
      </c>
      <c r="H20" s="100">
        <f t="shared" si="8"/>
        <v>104328557.44130038</v>
      </c>
      <c r="I20" s="100">
        <f>SUM(I17:I19)</f>
        <v>0</v>
      </c>
      <c r="J20" s="100">
        <f>SUM(J17:J19)</f>
        <v>7855976.9121855535</v>
      </c>
      <c r="K20" s="100">
        <f>SUM(K17:K19)</f>
        <v>0</v>
      </c>
      <c r="L20" s="100">
        <f t="shared" si="8"/>
        <v>104866863.727902</v>
      </c>
      <c r="M20" s="100">
        <f t="shared" si="8"/>
        <v>7721863.1949075526</v>
      </c>
      <c r="N20" s="100">
        <f t="shared" si="8"/>
        <v>76581289.747274742</v>
      </c>
      <c r="O20" s="100">
        <f t="shared" si="8"/>
        <v>167488824.26916826</v>
      </c>
      <c r="P20" s="100">
        <f>SUM(P17:P19)</f>
        <v>58232535.979176156</v>
      </c>
      <c r="Q20" s="100">
        <f t="shared" si="8"/>
        <v>15211939.364860207</v>
      </c>
      <c r="R20" s="100">
        <f t="shared" si="8"/>
        <v>0</v>
      </c>
      <c r="S20" s="100">
        <f t="shared" si="8"/>
        <v>0</v>
      </c>
      <c r="T20" s="100">
        <f t="shared" si="8"/>
        <v>46945.209457555895</v>
      </c>
      <c r="U20" s="100"/>
      <c r="V20" s="102">
        <f>SUM(G20:T20)</f>
        <v>918203216.41785049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2429</v>
      </c>
      <c r="F23" s="100">
        <f>VLOOKUP(C23,'Functional Assignment'!$C$1:$AU$771,17,)</f>
        <v>0</v>
      </c>
      <c r="G23" s="100">
        <f t="shared" ref="G23:T23" si="9">IF(VLOOKUP($E23,$D$5:$AJ$945,3,)=0,0,(VLOOKUP($E23,$D$5:$AJ$945,G$1,)/VLOOKUP($E23,$D$5:$AJ$945,3,))*$F23)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2429</v>
      </c>
      <c r="F26" s="100">
        <f>VLOOKUP(C26,'Functional Assignment'!$C$1:$AU$771,18,)</f>
        <v>218458065.31363025</v>
      </c>
      <c r="G26" s="100">
        <f t="shared" ref="G26:T26" si="10">IF(VLOOKUP($E26,$D$5:$AJ$945,3,)=0,0,(VLOOKUP($E26,$D$5:$AJ$945,G$1,)/VLOOKUP($E26,$D$5:$AJ$945,3,))*$F26)</f>
        <v>106074400.98286465</v>
      </c>
      <c r="H26" s="100">
        <f t="shared" si="10"/>
        <v>25842692.27152836</v>
      </c>
      <c r="I26" s="100">
        <f t="shared" si="10"/>
        <v>0</v>
      </c>
      <c r="J26" s="100">
        <f t="shared" si="10"/>
        <v>2706435.7921514753</v>
      </c>
      <c r="K26" s="100">
        <f t="shared" si="10"/>
        <v>0</v>
      </c>
      <c r="L26" s="100">
        <f t="shared" si="10"/>
        <v>24150064.581833873</v>
      </c>
      <c r="M26" s="100">
        <f t="shared" si="10"/>
        <v>1866841.8111902743</v>
      </c>
      <c r="N26" s="100">
        <f t="shared" si="10"/>
        <v>16998693.350171283</v>
      </c>
      <c r="O26" s="100">
        <f t="shared" si="10"/>
        <v>38883107.129170202</v>
      </c>
      <c r="P26" s="100">
        <f t="shared" si="10"/>
        <v>0</v>
      </c>
      <c r="Q26" s="100">
        <f t="shared" si="10"/>
        <v>0</v>
      </c>
      <c r="R26" s="100">
        <f t="shared" si="10"/>
        <v>1915381.2349544291</v>
      </c>
      <c r="S26" s="100">
        <f t="shared" si="10"/>
        <v>8022.8629532447512</v>
      </c>
      <c r="T26" s="100">
        <f t="shared" si="10"/>
        <v>12425.296812447943</v>
      </c>
      <c r="U26" s="100"/>
      <c r="V26" s="102">
        <f>SUM(G26:T26)</f>
        <v>218458065.31363022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2429</v>
      </c>
      <c r="F29" s="100">
        <f>VLOOKUP(C29,'Functional Assignment'!$C$1:$AU$771,19,)</f>
        <v>0</v>
      </c>
      <c r="G29" s="100">
        <f t="shared" ref="G29:T33" si="11">IF(VLOOKUP($E29,$D$5:$AJ$945,3,)=0,0,(VLOOKUP($E29,$D$5:$AJ$945,G$1,)/VLOOKUP($E29,$D$5:$AJ$945,3,))*$F29)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2429</v>
      </c>
      <c r="F30" s="101">
        <f>VLOOKUP(C30,'Functional Assignment'!$C$1:$AU$771,20,)</f>
        <v>238051994.97158346</v>
      </c>
      <c r="G30" s="101">
        <f t="shared" si="11"/>
        <v>115588420.74855235</v>
      </c>
      <c r="H30" s="101">
        <f t="shared" si="11"/>
        <v>28160573.709384635</v>
      </c>
      <c r="I30" s="101">
        <f t="shared" si="11"/>
        <v>0</v>
      </c>
      <c r="J30" s="101">
        <f t="shared" si="11"/>
        <v>2949181.2932573766</v>
      </c>
      <c r="K30" s="101">
        <f t="shared" si="11"/>
        <v>0</v>
      </c>
      <c r="L30" s="101">
        <f t="shared" si="11"/>
        <v>26316130.943229761</v>
      </c>
      <c r="M30" s="101">
        <f t="shared" si="11"/>
        <v>2034282.4917550944</v>
      </c>
      <c r="N30" s="101">
        <f t="shared" si="11"/>
        <v>18523339.287606452</v>
      </c>
      <c r="O30" s="101">
        <f t="shared" si="11"/>
        <v>42370608.7916876</v>
      </c>
      <c r="P30" s="101">
        <f t="shared" si="11"/>
        <v>0</v>
      </c>
      <c r="Q30" s="101">
        <f t="shared" si="11"/>
        <v>0</v>
      </c>
      <c r="R30" s="101">
        <f t="shared" si="11"/>
        <v>2087175.5110411495</v>
      </c>
      <c r="S30" s="101">
        <f t="shared" si="11"/>
        <v>8742.4491682723001</v>
      </c>
      <c r="T30" s="101">
        <f t="shared" si="11"/>
        <v>13539.745900755899</v>
      </c>
      <c r="U30" s="101"/>
      <c r="V30" s="101">
        <f t="shared" si="12"/>
        <v>238051994.97158349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352739644.96583778</v>
      </c>
      <c r="H31" s="101">
        <f t="shared" si="11"/>
        <v>68253033.468534604</v>
      </c>
      <c r="I31" s="101">
        <f t="shared" si="11"/>
        <v>0</v>
      </c>
      <c r="J31" s="101">
        <f t="shared" si="11"/>
        <v>485713.84328194289</v>
      </c>
      <c r="K31" s="101">
        <f t="shared" si="11"/>
        <v>0</v>
      </c>
      <c r="L31" s="101">
        <f t="shared" si="11"/>
        <v>3688312.7087665917</v>
      </c>
      <c r="M31" s="101">
        <f t="shared" si="11"/>
        <v>141700.66591530544</v>
      </c>
      <c r="N31" s="101">
        <f t="shared" si="11"/>
        <v>506190.8181251951</v>
      </c>
      <c r="O31" s="101">
        <f t="shared" si="11"/>
        <v>226884.88126323468</v>
      </c>
      <c r="P31" s="101">
        <f t="shared" si="11"/>
        <v>0</v>
      </c>
      <c r="Q31" s="101">
        <f t="shared" si="11"/>
        <v>0</v>
      </c>
      <c r="R31" s="101">
        <f t="shared" si="11"/>
        <v>15333522.797735594</v>
      </c>
      <c r="S31" s="101">
        <f t="shared" si="11"/>
        <v>364.03510832448404</v>
      </c>
      <c r="T31" s="101">
        <f t="shared" si="11"/>
        <v>70622.811014949912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91721462.034405142</v>
      </c>
      <c r="H32" s="101">
        <f t="shared" si="11"/>
        <v>15916265.179609101</v>
      </c>
      <c r="I32" s="101">
        <f t="shared" si="11"/>
        <v>0</v>
      </c>
      <c r="J32" s="101">
        <f t="shared" si="11"/>
        <v>1215099.2032422028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728139.13384618436</v>
      </c>
      <c r="S32" s="101">
        <f t="shared" si="11"/>
        <v>3049.9204937033137</v>
      </c>
      <c r="T32" s="101">
        <f t="shared" si="11"/>
        <v>4718.2497753693578</v>
      </c>
      <c r="U32" s="101"/>
      <c r="V32" s="101">
        <f t="shared" si="12"/>
        <v>109588733.7213717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135259942.05109426</v>
      </c>
      <c r="H33" s="101">
        <f t="shared" si="11"/>
        <v>26171998.196175195</v>
      </c>
      <c r="I33" s="101">
        <f t="shared" si="11"/>
        <v>0</v>
      </c>
      <c r="J33" s="101">
        <f t="shared" si="11"/>
        <v>186249.62414443819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5879723.0043754028</v>
      </c>
      <c r="S33" s="101">
        <f t="shared" si="11"/>
        <v>139.59124912455553</v>
      </c>
      <c r="T33" s="101">
        <f t="shared" si="11"/>
        <v>27080.702330163775</v>
      </c>
      <c r="U33" s="101"/>
      <c r="V33" s="101">
        <f t="shared" si="12"/>
        <v>167525133.16936859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695309469.79988956</v>
      </c>
      <c r="H34" s="100">
        <f t="shared" si="15"/>
        <v>138501870.55370355</v>
      </c>
      <c r="I34" s="100">
        <f>SUM(I29:I33)</f>
        <v>0</v>
      </c>
      <c r="J34" s="100">
        <f>SUM(J29:J33)</f>
        <v>4836243.9639259614</v>
      </c>
      <c r="K34" s="100">
        <f>SUM(K29:K33)</f>
        <v>0</v>
      </c>
      <c r="L34" s="100">
        <f t="shared" si="15"/>
        <v>30004443.651996352</v>
      </c>
      <c r="M34" s="100">
        <f t="shared" si="15"/>
        <v>2175983.1576703996</v>
      </c>
      <c r="N34" s="100">
        <f t="shared" si="15"/>
        <v>19029530.105731647</v>
      </c>
      <c r="O34" s="100">
        <f t="shared" si="15"/>
        <v>42597493.672950834</v>
      </c>
      <c r="P34" s="100">
        <f>SUM(P29:P33)</f>
        <v>0</v>
      </c>
      <c r="Q34" s="100">
        <f t="shared" si="15"/>
        <v>0</v>
      </c>
      <c r="R34" s="100">
        <f t="shared" si="15"/>
        <v>24028560.446998332</v>
      </c>
      <c r="S34" s="100">
        <f t="shared" si="15"/>
        <v>12295.996019424654</v>
      </c>
      <c r="T34" s="100">
        <f t="shared" si="15"/>
        <v>115961.50902123895</v>
      </c>
      <c r="U34" s="100"/>
      <c r="V34" s="102">
        <f t="shared" si="12"/>
        <v>956611852.85790741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2332</v>
      </c>
      <c r="F37" s="100">
        <f>VLOOKUP(C37,'Functional Assignment'!$C$1:$AU$771,24,)</f>
        <v>170119798.90670514</v>
      </c>
      <c r="G37" s="100">
        <f t="shared" ref="G37:T38" si="16">IF(VLOOKUP($E37,$D$5:$AJ$945,3,)=0,0,(VLOOKUP($E37,$D$5:$AJ$945,G$1,)/VLOOKUP($E37,$D$5:$AJ$945,3,))*$F37)</f>
        <v>118871252.2779942</v>
      </c>
      <c r="H37" s="100">
        <f t="shared" si="16"/>
        <v>20627520.882507034</v>
      </c>
      <c r="I37" s="100">
        <f t="shared" si="16"/>
        <v>0</v>
      </c>
      <c r="J37" s="100">
        <f t="shared" si="16"/>
        <v>1574771.7134863527</v>
      </c>
      <c r="K37" s="100">
        <f t="shared" si="16"/>
        <v>0</v>
      </c>
      <c r="L37" s="100">
        <f t="shared" si="16"/>
        <v>17173182.613869417</v>
      </c>
      <c r="M37" s="100">
        <f t="shared" si="16"/>
        <v>0</v>
      </c>
      <c r="N37" s="100">
        <f t="shared" si="16"/>
        <v>10919333.647334088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943670.20273229899</v>
      </c>
      <c r="S37" s="100">
        <f t="shared" si="16"/>
        <v>3952.7048565671339</v>
      </c>
      <c r="T37" s="100">
        <f t="shared" si="16"/>
        <v>6114.8639251753057</v>
      </c>
      <c r="U37" s="100"/>
      <c r="V37" s="102">
        <f>SUM(G37:T37)</f>
        <v>170119798.90670517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2331</v>
      </c>
      <c r="F38" s="101">
        <f>VLOOKUP(C38,'Functional Assignment'!$C$1:$AU$771,25,)</f>
        <v>151386107.93500358</v>
      </c>
      <c r="G38" s="101">
        <f t="shared" si="16"/>
        <v>121066917.74761425</v>
      </c>
      <c r="H38" s="101">
        <f t="shared" si="16"/>
        <v>23425732.000610579</v>
      </c>
      <c r="I38" s="101">
        <f t="shared" si="16"/>
        <v>0</v>
      </c>
      <c r="J38" s="101">
        <f t="shared" si="16"/>
        <v>166706.177637582</v>
      </c>
      <c r="K38" s="101">
        <f t="shared" si="16"/>
        <v>0</v>
      </c>
      <c r="L38" s="101">
        <f t="shared" si="16"/>
        <v>1265898.6811164112</v>
      </c>
      <c r="M38" s="101">
        <f t="shared" si="16"/>
        <v>0</v>
      </c>
      <c r="N38" s="101">
        <f t="shared" si="16"/>
        <v>173734.26269818834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5262755.037116427</v>
      </c>
      <c r="S38" s="101">
        <f t="shared" si="16"/>
        <v>124.94373441077911</v>
      </c>
      <c r="T38" s="101">
        <f t="shared" si="16"/>
        <v>24239.084475691147</v>
      </c>
      <c r="U38" s="101"/>
      <c r="V38" s="101">
        <f>SUM(G38:T38)</f>
        <v>151386107.93500352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239938170.02560845</v>
      </c>
      <c r="H39" s="100">
        <f t="shared" si="17"/>
        <v>44053252.883117616</v>
      </c>
      <c r="I39" s="100">
        <f>I37+I38</f>
        <v>0</v>
      </c>
      <c r="J39" s="100">
        <f>J37+J38</f>
        <v>1741477.8911239346</v>
      </c>
      <c r="K39" s="100">
        <f>K37+K38</f>
        <v>0</v>
      </c>
      <c r="L39" s="100">
        <f t="shared" si="17"/>
        <v>18439081.294985827</v>
      </c>
      <c r="M39" s="100">
        <f t="shared" si="17"/>
        <v>0</v>
      </c>
      <c r="N39" s="100">
        <f t="shared" si="17"/>
        <v>11093067.910032276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6206425.2398487255</v>
      </c>
      <c r="S39" s="100">
        <f>S37+S38</f>
        <v>4077.648590977913</v>
      </c>
      <c r="T39" s="100">
        <f>T37+T38</f>
        <v>30353.948400866451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IF(VLOOKUP($E42,$D$5:$AJ$945,3,)=0,0,(VLOOKUP($E42,$D$5:$AJ$945,G$1,)/VLOOKUP($E42,$D$5:$AJ$945,3,))*$F42)</f>
        <v>71076369.967679739</v>
      </c>
      <c r="H42" s="100">
        <f t="shared" si="18"/>
        <v>27842294.490847833</v>
      </c>
      <c r="I42" s="100">
        <f t="shared" si="18"/>
        <v>0</v>
      </c>
      <c r="J42" s="100">
        <f t="shared" si="18"/>
        <v>263679.12883763068</v>
      </c>
      <c r="K42" s="100">
        <f t="shared" si="18"/>
        <v>0</v>
      </c>
      <c r="L42" s="100">
        <f t="shared" si="18"/>
        <v>1891637.0046906995</v>
      </c>
      <c r="M42" s="100">
        <f t="shared" si="18"/>
        <v>0</v>
      </c>
      <c r="N42" s="100">
        <f t="shared" si="18"/>
        <v>274829.3701666735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101348809.96222258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IF(VLOOKUP($E45,$D$5:$AJ$945,3,)=0,0,(VLOOKUP($E45,$D$5:$AJ$945,G$1,)/VLOOKUP($E45,$D$5:$AJ$945,3,))*$F45)</f>
        <v>53739362.864496239</v>
      </c>
      <c r="H45" s="100">
        <f t="shared" si="19"/>
        <v>20029661.847118277</v>
      </c>
      <c r="I45" s="100">
        <f t="shared" si="19"/>
        <v>0</v>
      </c>
      <c r="J45" s="100">
        <f t="shared" si="19"/>
        <v>424861.24940291728</v>
      </c>
      <c r="K45" s="100">
        <f t="shared" si="19"/>
        <v>0</v>
      </c>
      <c r="L45" s="100">
        <f t="shared" si="19"/>
        <v>5429031.7734457487</v>
      </c>
      <c r="M45" s="100">
        <f t="shared" si="19"/>
        <v>1196987.2789597081</v>
      </c>
      <c r="N45" s="100">
        <f t="shared" si="19"/>
        <v>1006829.2956591411</v>
      </c>
      <c r="O45" s="100">
        <f t="shared" si="19"/>
        <v>2659556.7570628724</v>
      </c>
      <c r="P45" s="100">
        <f t="shared" si="19"/>
        <v>1813848.3507521637</v>
      </c>
      <c r="Q45" s="100">
        <f t="shared" si="19"/>
        <v>76770.027668880139</v>
      </c>
      <c r="R45" s="100">
        <f t="shared" si="19"/>
        <v>0</v>
      </c>
      <c r="S45" s="100">
        <f t="shared" si="19"/>
        <v>499.14169673961499</v>
      </c>
      <c r="T45" s="100">
        <f t="shared" si="19"/>
        <v>96833.489167485313</v>
      </c>
      <c r="U45" s="100"/>
      <c r="V45" s="102">
        <f>SUM(G45:T45)</f>
        <v>86474242.075430155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IF(VLOOKUP($E48,$D$5:$AJ$945,3,)=0,0,(VLOOKUP($E48,$D$5:$AJ$945,G$1,)/VLOOKUP($E48,$D$5:$AJ$945,3,))*$F48)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IF(VLOOKUP($E51,$D$5:$AJ$945,3,)=0,0,(VLOOKUP($E51,$D$5:$AJ$945,G$1,)/VLOOKUP($E51,$D$5:$AJ$945,3,))*$F51)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IF(VLOOKUP($E54,$D$5:$AJ$945,3,)=0,0,(VLOOKUP($E54,$D$5:$AJ$945,G$1,)/VLOOKUP($E54,$D$5:$AJ$945,3,))*$F54)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IF(VLOOKUP($E57,$D$5:$AJ$945,3,)=0,0,(VLOOKUP($E57,$D$5:$AJ$945,G$1,)/VLOOKUP($E57,$D$5:$AJ$945,3,))*$F57)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3281017646.7855549</v>
      </c>
      <c r="H59" s="100">
        <f t="shared" ref="H59:T59" si="24">H14+H20+H23+H26+H34+H39+H42+H45+H48+H51+H54+H57</f>
        <v>843290001.07036722</v>
      </c>
      <c r="I59" s="100">
        <f>I14+I20+I23+I26+I34+I39+I42+I45+I48+I51+I54+I57</f>
        <v>0</v>
      </c>
      <c r="J59" s="100">
        <f>J14+J20+J23+J26+J34+J39+J42+J45+J48+J51+J54+J57</f>
        <v>54175526.851034708</v>
      </c>
      <c r="K59" s="100">
        <f>K14+K20+K23+K26+K34+K39+K42+K45+K48+K51+K54+K57</f>
        <v>0</v>
      </c>
      <c r="L59" s="100">
        <f t="shared" si="24"/>
        <v>669963348.14721692</v>
      </c>
      <c r="M59" s="100">
        <f t="shared" si="24"/>
        <v>48688030.188698374</v>
      </c>
      <c r="N59" s="100">
        <f t="shared" si="24"/>
        <v>479299028.23830491</v>
      </c>
      <c r="O59" s="100">
        <f>O14+O20+O23+O26+O34+O39+O42+O45+O48+O51+O54+O57</f>
        <v>1026541072.4455502</v>
      </c>
      <c r="P59" s="100">
        <f>P14+P20+P23+P26+P34+P39+P42+P45+P48+P51+P54+P57</f>
        <v>329467919.733657</v>
      </c>
      <c r="Q59" s="100">
        <f t="shared" si="24"/>
        <v>85669021.55366604</v>
      </c>
      <c r="R59" s="100">
        <f t="shared" si="24"/>
        <v>152097029.47560716</v>
      </c>
      <c r="S59" s="100">
        <f t="shared" si="24"/>
        <v>24895.649260386934</v>
      </c>
      <c r="T59" s="100">
        <f t="shared" si="24"/>
        <v>519718.48428126011</v>
      </c>
      <c r="U59" s="100"/>
      <c r="V59" s="102">
        <f>SUM(G59:T59)</f>
        <v>6970753238.6231995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397" t="s">
        <v>2455</v>
      </c>
      <c r="F66" s="100">
        <f>VLOOKUP(C66,'Functional Assignment'!$C$1:$AU$771,6,)</f>
        <v>887821775.68345618</v>
      </c>
      <c r="G66" s="100">
        <f t="shared" ref="G66:T71" si="25">IF(VLOOKUP($E66,$D$5:$AJ$945,3,)=0,0,(VLOOKUP($E66,$D$5:$AJ$945,G$1,)/VLOOKUP($E66,$D$5:$AJ$945,3,))*$F66)</f>
        <v>363431713.81722754</v>
      </c>
      <c r="H66" s="100">
        <f t="shared" si="25"/>
        <v>100876541.7783915</v>
      </c>
      <c r="I66" s="100">
        <f t="shared" si="25"/>
        <v>0</v>
      </c>
      <c r="J66" s="100">
        <f t="shared" si="25"/>
        <v>7596038.9238397134</v>
      </c>
      <c r="K66" s="100">
        <f t="shared" si="25"/>
        <v>0</v>
      </c>
      <c r="L66" s="100">
        <f t="shared" si="25"/>
        <v>101397036.62603177</v>
      </c>
      <c r="M66" s="100">
        <f t="shared" si="25"/>
        <v>7466362.7514104955</v>
      </c>
      <c r="N66" s="100">
        <f t="shared" si="25"/>
        <v>74047373.644369796</v>
      </c>
      <c r="O66" s="100">
        <f t="shared" si="25"/>
        <v>161946966.32615331</v>
      </c>
      <c r="P66" s="100">
        <f t="shared" si="25"/>
        <v>56305742.096263297</v>
      </c>
      <c r="Q66" s="100">
        <f t="shared" si="25"/>
        <v>14708607.829961309</v>
      </c>
      <c r="R66" s="100">
        <f t="shared" si="25"/>
        <v>0</v>
      </c>
      <c r="S66" s="100">
        <f t="shared" si="25"/>
        <v>0</v>
      </c>
      <c r="T66" s="100">
        <f t="shared" si="25"/>
        <v>45391.889807399697</v>
      </c>
      <c r="U66" s="100"/>
      <c r="V66" s="102">
        <f t="shared" ref="V66:V72" si="26">SUM(G66:T66)</f>
        <v>887821775.68345606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397" t="s">
        <v>2455</v>
      </c>
      <c r="F67" s="101">
        <f>VLOOKUP(C67,'Functional Assignment'!$C$1:$AU$771,7,)</f>
        <v>930049504.10637581</v>
      </c>
      <c r="G67" s="101">
        <f t="shared" si="25"/>
        <v>380717723.38771361</v>
      </c>
      <c r="H67" s="101">
        <f t="shared" si="25"/>
        <v>105674562.4252516</v>
      </c>
      <c r="I67" s="101">
        <f t="shared" si="25"/>
        <v>0</v>
      </c>
      <c r="J67" s="101">
        <f t="shared" si="25"/>
        <v>7957331.5588608608</v>
      </c>
      <c r="K67" s="101">
        <f t="shared" si="25"/>
        <v>0</v>
      </c>
      <c r="L67" s="101">
        <f t="shared" si="25"/>
        <v>106219813.72252363</v>
      </c>
      <c r="M67" s="101">
        <f t="shared" si="25"/>
        <v>7821487.5604757527</v>
      </c>
      <c r="N67" s="101">
        <f t="shared" si="25"/>
        <v>77569310.670838654</v>
      </c>
      <c r="O67" s="101">
        <f t="shared" si="25"/>
        <v>169649697.55018985</v>
      </c>
      <c r="P67" s="101">
        <f t="shared" si="25"/>
        <v>58983828.679644972</v>
      </c>
      <c r="Q67" s="101">
        <f t="shared" si="25"/>
        <v>15408197.673254684</v>
      </c>
      <c r="R67" s="101">
        <f t="shared" si="25"/>
        <v>0</v>
      </c>
      <c r="S67" s="101">
        <f t="shared" si="25"/>
        <v>0</v>
      </c>
      <c r="T67" s="101">
        <f t="shared" si="25"/>
        <v>47550.877622171865</v>
      </c>
      <c r="U67" s="101"/>
      <c r="V67" s="101">
        <f t="shared" si="26"/>
        <v>930049504.10637569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397" t="s">
        <v>2455</v>
      </c>
      <c r="F68" s="101">
        <f>VLOOKUP(C68,'Functional Assignment'!$C$1:$AU$771,8,)</f>
        <v>764497556.22932148</v>
      </c>
      <c r="G68" s="101">
        <f t="shared" si="25"/>
        <v>312948684.83668119</v>
      </c>
      <c r="H68" s="101">
        <f t="shared" si="25"/>
        <v>86864133.976751715</v>
      </c>
      <c r="I68" s="101">
        <f t="shared" si="25"/>
        <v>0</v>
      </c>
      <c r="J68" s="101">
        <f t="shared" si="25"/>
        <v>6540899.7090974115</v>
      </c>
      <c r="K68" s="101">
        <f t="shared" si="25"/>
        <v>0</v>
      </c>
      <c r="L68" s="101">
        <f t="shared" si="25"/>
        <v>87312328.704510704</v>
      </c>
      <c r="M68" s="101">
        <f t="shared" si="25"/>
        <v>6429236.400493619</v>
      </c>
      <c r="N68" s="101">
        <f t="shared" si="25"/>
        <v>63761711.806113154</v>
      </c>
      <c r="O68" s="101">
        <f t="shared" si="25"/>
        <v>139451479.32397518</v>
      </c>
      <c r="P68" s="101">
        <f t="shared" si="25"/>
        <v>48484508.279980727</v>
      </c>
      <c r="Q68" s="101">
        <f t="shared" si="25"/>
        <v>12665486.530654848</v>
      </c>
      <c r="R68" s="101">
        <f t="shared" si="25"/>
        <v>0</v>
      </c>
      <c r="S68" s="101">
        <f t="shared" si="25"/>
        <v>0</v>
      </c>
      <c r="T68" s="101">
        <f t="shared" si="25"/>
        <v>39086.661062884719</v>
      </c>
      <c r="U68" s="101"/>
      <c r="V68" s="101">
        <f t="shared" si="26"/>
        <v>764497556.22932136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1057098122.0416224</v>
      </c>
      <c r="H72" s="100">
        <f t="shared" si="29"/>
        <v>293415238.18039477</v>
      </c>
      <c r="I72" s="100">
        <f>SUM(I66:I71)</f>
        <v>0</v>
      </c>
      <c r="J72" s="100">
        <f>SUM(J66:J71)</f>
        <v>22094270.191797987</v>
      </c>
      <c r="K72" s="100">
        <f>SUM(K66:K71)</f>
        <v>0</v>
      </c>
      <c r="L72" s="100">
        <f t="shared" si="29"/>
        <v>294929179.05306607</v>
      </c>
      <c r="M72" s="100">
        <f t="shared" si="29"/>
        <v>21717086.712379865</v>
      </c>
      <c r="N72" s="100">
        <f t="shared" si="29"/>
        <v>215378396.12132159</v>
      </c>
      <c r="O72" s="100">
        <f t="shared" si="29"/>
        <v>471048143.20031834</v>
      </c>
      <c r="P72" s="100">
        <f>SUM(P66:P71)</f>
        <v>163774079.05588898</v>
      </c>
      <c r="Q72" s="100">
        <f t="shared" si="29"/>
        <v>42782292.033870839</v>
      </c>
      <c r="R72" s="100">
        <f t="shared" si="29"/>
        <v>0</v>
      </c>
      <c r="S72" s="100">
        <f t="shared" si="29"/>
        <v>0</v>
      </c>
      <c r="T72" s="100">
        <f t="shared" si="29"/>
        <v>132029.4284924563</v>
      </c>
      <c r="U72" s="100"/>
      <c r="V72" s="102">
        <f t="shared" si="26"/>
        <v>2582368836.0191536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2424</v>
      </c>
      <c r="C75" s="97" t="s">
        <v>203</v>
      </c>
      <c r="D75" s="97" t="s">
        <v>233</v>
      </c>
      <c r="E75" s="397" t="s">
        <v>2455</v>
      </c>
      <c r="F75" s="100">
        <f>VLOOKUP(C75,'Functional Assignment'!$C$1:$AU$771,13,)</f>
        <v>629437870.45678926</v>
      </c>
      <c r="G75" s="100">
        <f t="shared" ref="G75:T77" si="30">IF(VLOOKUP($E75,$D$5:$AJ$945,3,)=0,0,(VLOOKUP($E75,$D$5:$AJ$945,G$1,)/VLOOKUP($E75,$D$5:$AJ$945,3,))*$F75)</f>
        <v>257661718.00131449</v>
      </c>
      <c r="H75" s="100">
        <f t="shared" si="30"/>
        <v>71518312.993794784</v>
      </c>
      <c r="I75" s="100">
        <f t="shared" si="30"/>
        <v>0</v>
      </c>
      <c r="J75" s="100">
        <f t="shared" si="30"/>
        <v>5385354.0148279164</v>
      </c>
      <c r="K75" s="100">
        <f t="shared" si="30"/>
        <v>0</v>
      </c>
      <c r="L75" s="100">
        <f t="shared" si="30"/>
        <v>71887327.561195105</v>
      </c>
      <c r="M75" s="100">
        <f t="shared" si="30"/>
        <v>5293417.6644720128</v>
      </c>
      <c r="N75" s="100">
        <f t="shared" si="30"/>
        <v>52497271.925720356</v>
      </c>
      <c r="O75" s="100">
        <f t="shared" si="30"/>
        <v>114815333.89153476</v>
      </c>
      <c r="P75" s="100">
        <f t="shared" si="30"/>
        <v>39919010.065143161</v>
      </c>
      <c r="Q75" s="100">
        <f t="shared" si="30"/>
        <v>10427942.908640487</v>
      </c>
      <c r="R75" s="100">
        <f t="shared" si="30"/>
        <v>0</v>
      </c>
      <c r="S75" s="100">
        <f t="shared" si="30"/>
        <v>0</v>
      </c>
      <c r="T75" s="100">
        <f t="shared" si="30"/>
        <v>32181.430146139755</v>
      </c>
      <c r="U75" s="100"/>
      <c r="V75" s="102">
        <f>SUM(G75:T75)</f>
        <v>629437870.45678914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2423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2423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257661718.00131449</v>
      </c>
      <c r="H78" s="100">
        <f t="shared" si="31"/>
        <v>71518312.993794784</v>
      </c>
      <c r="I78" s="100">
        <f>SUM(I75:I77)</f>
        <v>0</v>
      </c>
      <c r="J78" s="100">
        <f>SUM(J75:J77)</f>
        <v>5385354.0148279164</v>
      </c>
      <c r="K78" s="100">
        <f>SUM(K75:K77)</f>
        <v>0</v>
      </c>
      <c r="L78" s="100">
        <f t="shared" si="31"/>
        <v>71887327.561195105</v>
      </c>
      <c r="M78" s="100">
        <f t="shared" si="31"/>
        <v>5293417.6644720128</v>
      </c>
      <c r="N78" s="100">
        <f t="shared" si="31"/>
        <v>52497271.925720356</v>
      </c>
      <c r="O78" s="100">
        <f t="shared" si="31"/>
        <v>114815333.89153476</v>
      </c>
      <c r="P78" s="100">
        <f>SUM(P75:P77)</f>
        <v>39919010.065143161</v>
      </c>
      <c r="Q78" s="100">
        <f t="shared" si="31"/>
        <v>10427942.908640487</v>
      </c>
      <c r="R78" s="100">
        <f t="shared" si="31"/>
        <v>0</v>
      </c>
      <c r="S78" s="100">
        <f t="shared" si="31"/>
        <v>0</v>
      </c>
      <c r="T78" s="100">
        <f t="shared" si="31"/>
        <v>32181.430146139755</v>
      </c>
      <c r="U78" s="100"/>
      <c r="V78" s="102">
        <f>SUM(G78:T78)</f>
        <v>629437870.45678914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2429</v>
      </c>
      <c r="F81" s="100">
        <f>VLOOKUP(C81,'Functional Assignment'!$C$1:$AU$771,17,)</f>
        <v>0</v>
      </c>
      <c r="G81" s="100">
        <f t="shared" ref="G81:T81" si="32">IF(VLOOKUP($E81,$D$5:$AJ$945,3,)=0,0,(VLOOKUP($E81,$D$5:$AJ$945,G$1,)/VLOOKUP($E81,$D$5:$AJ$945,3,))*$F81)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2429</v>
      </c>
      <c r="F84" s="100">
        <f>VLOOKUP(C84,'Functional Assignment'!$C$1:$AU$771,18,)</f>
        <v>142637385.73320541</v>
      </c>
      <c r="G84" s="100">
        <f t="shared" ref="G84:T84" si="33">IF(VLOOKUP($E84,$D$5:$AJ$945,3,)=0,0,(VLOOKUP($E84,$D$5:$AJ$945,G$1,)/VLOOKUP($E84,$D$5:$AJ$945,3,))*$F84)</f>
        <v>69258945.544948712</v>
      </c>
      <c r="H84" s="100">
        <f t="shared" si="33"/>
        <v>16873417.150456324</v>
      </c>
      <c r="I84" s="100">
        <f t="shared" si="33"/>
        <v>0</v>
      </c>
      <c r="J84" s="100">
        <f t="shared" si="33"/>
        <v>1767107.6849144704</v>
      </c>
      <c r="K84" s="100">
        <f t="shared" si="33"/>
        <v>0</v>
      </c>
      <c r="L84" s="100">
        <f t="shared" si="33"/>
        <v>15768253.15327891</v>
      </c>
      <c r="M84" s="100">
        <f t="shared" si="33"/>
        <v>1218913.2735535989</v>
      </c>
      <c r="N84" s="100">
        <f t="shared" si="33"/>
        <v>11098922.70110466</v>
      </c>
      <c r="O84" s="100">
        <f t="shared" si="33"/>
        <v>25387869.027067482</v>
      </c>
      <c r="P84" s="100">
        <f t="shared" si="33"/>
        <v>0</v>
      </c>
      <c r="Q84" s="100">
        <f t="shared" si="33"/>
        <v>0</v>
      </c>
      <c r="R84" s="100">
        <f t="shared" si="33"/>
        <v>1250606.0220029429</v>
      </c>
      <c r="S84" s="100">
        <f t="shared" si="33"/>
        <v>5238.3517912406187</v>
      </c>
      <c r="T84" s="100">
        <f t="shared" si="33"/>
        <v>8112.8240870497402</v>
      </c>
      <c r="U84" s="100"/>
      <c r="V84" s="102">
        <f>SUM(G84:T84)</f>
        <v>142637385.73320538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2429</v>
      </c>
      <c r="F87" s="100">
        <f>VLOOKUP(C87,'Functional Assignment'!$C$1:$AU$771,19,)</f>
        <v>0</v>
      </c>
      <c r="G87" s="100">
        <f t="shared" ref="G87:T91" si="34">IF(VLOOKUP($E87,$D$5:$AJ$945,3,)=0,0,(VLOOKUP($E87,$D$5:$AJ$945,G$1,)/VLOOKUP($E87,$D$5:$AJ$945,3,))*$F87)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2429</v>
      </c>
      <c r="F88" s="101">
        <f>VLOOKUP(C88,'Functional Assignment'!$C$1:$AU$771,20,)</f>
        <v>155430810.86327949</v>
      </c>
      <c r="G88" s="101">
        <f t="shared" si="34"/>
        <v>75470915.358210012</v>
      </c>
      <c r="H88" s="101">
        <f t="shared" si="34"/>
        <v>18386826.821372759</v>
      </c>
      <c r="I88" s="101">
        <f t="shared" si="34"/>
        <v>0</v>
      </c>
      <c r="J88" s="101">
        <f t="shared" si="34"/>
        <v>1925603.0173094256</v>
      </c>
      <c r="K88" s="101">
        <f t="shared" si="34"/>
        <v>0</v>
      </c>
      <c r="L88" s="101">
        <f t="shared" si="34"/>
        <v>17182538.511297543</v>
      </c>
      <c r="M88" s="101">
        <f t="shared" si="34"/>
        <v>1328239.9807496299</v>
      </c>
      <c r="N88" s="101">
        <f t="shared" si="34"/>
        <v>12094406.710231494</v>
      </c>
      <c r="O88" s="101">
        <f t="shared" si="34"/>
        <v>27664956.481666725</v>
      </c>
      <c r="P88" s="101">
        <f t="shared" si="34"/>
        <v>0</v>
      </c>
      <c r="Q88" s="101">
        <f t="shared" si="34"/>
        <v>0</v>
      </c>
      <c r="R88" s="101">
        <f t="shared" si="34"/>
        <v>1362775.3135773174</v>
      </c>
      <c r="S88" s="101">
        <f t="shared" si="34"/>
        <v>5708.1897730694263</v>
      </c>
      <c r="T88" s="101">
        <f t="shared" si="34"/>
        <v>8840.4790915046506</v>
      </c>
      <c r="U88" s="101"/>
      <c r="V88" s="101">
        <f t="shared" si="35"/>
        <v>155430810.86327949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230313587.78240952</v>
      </c>
      <c r="H89" s="101">
        <f t="shared" si="34"/>
        <v>44564316.031710848</v>
      </c>
      <c r="I89" s="101">
        <f t="shared" si="34"/>
        <v>0</v>
      </c>
      <c r="J89" s="101">
        <f t="shared" si="34"/>
        <v>317136.16396218044</v>
      </c>
      <c r="K89" s="101">
        <f t="shared" si="34"/>
        <v>0</v>
      </c>
      <c r="L89" s="101">
        <f t="shared" si="34"/>
        <v>2408202.607625124</v>
      </c>
      <c r="M89" s="101">
        <f t="shared" si="34"/>
        <v>92520.331139050948</v>
      </c>
      <c r="N89" s="101">
        <f t="shared" si="34"/>
        <v>330506.1540111762</v>
      </c>
      <c r="O89" s="101">
        <f t="shared" si="34"/>
        <v>148139.48974287347</v>
      </c>
      <c r="P89" s="101">
        <f t="shared" si="34"/>
        <v>0</v>
      </c>
      <c r="Q89" s="101">
        <f t="shared" si="34"/>
        <v>0</v>
      </c>
      <c r="R89" s="101">
        <f t="shared" si="34"/>
        <v>10011686.23740004</v>
      </c>
      <c r="S89" s="101">
        <f t="shared" si="34"/>
        <v>237.68871198214757</v>
      </c>
      <c r="T89" s="101">
        <f t="shared" si="34"/>
        <v>46111.610124536637</v>
      </c>
      <c r="U89" s="101"/>
      <c r="V89" s="101">
        <f t="shared" si="35"/>
        <v>288232444.09683734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59887509.950399227</v>
      </c>
      <c r="H90" s="101">
        <f t="shared" si="34"/>
        <v>10392175.0501479</v>
      </c>
      <c r="I90" s="101">
        <f t="shared" si="34"/>
        <v>0</v>
      </c>
      <c r="J90" s="101">
        <f t="shared" si="34"/>
        <v>793372.28180677618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475422.42193142831</v>
      </c>
      <c r="S90" s="101">
        <f t="shared" si="34"/>
        <v>1991.3784610854771</v>
      </c>
      <c r="T90" s="101">
        <f t="shared" si="34"/>
        <v>3080.6773475210221</v>
      </c>
      <c r="U90" s="101"/>
      <c r="V90" s="101">
        <f t="shared" si="35"/>
        <v>71553551.760093957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88315002.244914517</v>
      </c>
      <c r="H91" s="101">
        <f t="shared" si="34"/>
        <v>17088430.206305947</v>
      </c>
      <c r="I91" s="101">
        <f t="shared" si="34"/>
        <v>0</v>
      </c>
      <c r="J91" s="101">
        <f t="shared" si="34"/>
        <v>121607.59294290615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3839035.7296969458</v>
      </c>
      <c r="S91" s="101">
        <f t="shared" si="34"/>
        <v>91.14303387139303</v>
      </c>
      <c r="T91" s="101">
        <f t="shared" si="34"/>
        <v>17681.748571050251</v>
      </c>
      <c r="U91" s="101"/>
      <c r="V91" s="101">
        <f t="shared" si="35"/>
        <v>109381848.66546525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453987015.33593327</v>
      </c>
      <c r="H92" s="100">
        <f t="shared" si="38"/>
        <v>90431748.109537467</v>
      </c>
      <c r="I92" s="100">
        <f>SUM(I87:I91)</f>
        <v>0</v>
      </c>
      <c r="J92" s="100">
        <f>SUM(J87:J91)</f>
        <v>3157719.0560212885</v>
      </c>
      <c r="K92" s="100">
        <f>SUM(K87:K91)</f>
        <v>0</v>
      </c>
      <c r="L92" s="100">
        <f t="shared" si="38"/>
        <v>19590741.118922666</v>
      </c>
      <c r="M92" s="100">
        <f t="shared" si="38"/>
        <v>1420760.3118886808</v>
      </c>
      <c r="N92" s="100">
        <f t="shared" si="38"/>
        <v>12424912.864242671</v>
      </c>
      <c r="O92" s="100">
        <f t="shared" si="38"/>
        <v>27813095.9714096</v>
      </c>
      <c r="P92" s="100">
        <f>SUM(P87:P91)</f>
        <v>0</v>
      </c>
      <c r="Q92" s="100">
        <f t="shared" si="38"/>
        <v>0</v>
      </c>
      <c r="R92" s="100">
        <f t="shared" si="38"/>
        <v>15688919.702605732</v>
      </c>
      <c r="S92" s="100">
        <f t="shared" si="38"/>
        <v>8028.3999800084439</v>
      </c>
      <c r="T92" s="100">
        <f t="shared" si="38"/>
        <v>75714.515134612564</v>
      </c>
      <c r="U92" s="100"/>
      <c r="V92" s="102">
        <f t="shared" si="35"/>
        <v>624598655.38567591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2332</v>
      </c>
      <c r="F95" s="100">
        <f>VLOOKUP(C95,'Functional Assignment'!$C$1:$AU$771,24,)</f>
        <v>111075978.55302</v>
      </c>
      <c r="G95" s="100">
        <f t="shared" ref="G95:T96" si="39">IF(VLOOKUP($E95,$D$5:$AJ$945,3,)=0,0,(VLOOKUP($E95,$D$5:$AJ$945,G$1,)/VLOOKUP($E95,$D$5:$AJ$945,3,))*$F95)</f>
        <v>77614367.953974217</v>
      </c>
      <c r="H95" s="100">
        <f t="shared" si="39"/>
        <v>13468285.771980282</v>
      </c>
      <c r="I95" s="100">
        <f t="shared" si="39"/>
        <v>0</v>
      </c>
      <c r="J95" s="100">
        <f t="shared" si="39"/>
        <v>1028212.5313881873</v>
      </c>
      <c r="K95" s="100">
        <f t="shared" si="39"/>
        <v>0</v>
      </c>
      <c r="L95" s="100">
        <f t="shared" si="39"/>
        <v>11212851.625526296</v>
      </c>
      <c r="M95" s="100">
        <f t="shared" si="39"/>
        <v>0</v>
      </c>
      <c r="N95" s="100">
        <f t="shared" si="39"/>
        <v>7129538.5829235548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616148.68976714683</v>
      </c>
      <c r="S95" s="100">
        <f t="shared" si="39"/>
        <v>2580.8316415612935</v>
      </c>
      <c r="T95" s="100">
        <f t="shared" si="39"/>
        <v>3992.5658187492554</v>
      </c>
      <c r="U95" s="100"/>
      <c r="V95" s="102">
        <f>SUM(G95:T95)</f>
        <v>111075978.55302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2331</v>
      </c>
      <c r="F96" s="101">
        <f>VLOOKUP(C96,'Functional Assignment'!$C$1:$AU$771,25,)</f>
        <v>98844227.340259716</v>
      </c>
      <c r="G96" s="101">
        <f t="shared" si="39"/>
        <v>79047979.398265153</v>
      </c>
      <c r="H96" s="101">
        <f t="shared" si="39"/>
        <v>15295316.136104709</v>
      </c>
      <c r="I96" s="101">
        <f t="shared" si="39"/>
        <v>0</v>
      </c>
      <c r="J96" s="101">
        <f t="shared" si="39"/>
        <v>108847.12967526419</v>
      </c>
      <c r="K96" s="101">
        <f t="shared" si="39"/>
        <v>0</v>
      </c>
      <c r="L96" s="101">
        <f t="shared" si="39"/>
        <v>826540.68284606189</v>
      </c>
      <c r="M96" s="101">
        <f t="shared" si="39"/>
        <v>0</v>
      </c>
      <c r="N96" s="101">
        <f t="shared" si="39"/>
        <v>113435.96313543554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3436200.0742378142</v>
      </c>
      <c r="S96" s="101">
        <f t="shared" si="39"/>
        <v>81.579261514157182</v>
      </c>
      <c r="T96" s="101">
        <f t="shared" si="39"/>
        <v>15826.376733746492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156662347.35223937</v>
      </c>
      <c r="H97" s="100">
        <f t="shared" si="40"/>
        <v>28763601.908084989</v>
      </c>
      <c r="I97" s="100">
        <f>I95+I96</f>
        <v>0</v>
      </c>
      <c r="J97" s="100">
        <f>J95+J96</f>
        <v>1137059.6610634516</v>
      </c>
      <c r="K97" s="100">
        <f>K95+K96</f>
        <v>0</v>
      </c>
      <c r="L97" s="100">
        <f t="shared" si="40"/>
        <v>12039392.308372358</v>
      </c>
      <c r="M97" s="100">
        <f t="shared" si="40"/>
        <v>0</v>
      </c>
      <c r="N97" s="100">
        <f t="shared" si="40"/>
        <v>7242974.5460589901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4052348.7640049611</v>
      </c>
      <c r="S97" s="100">
        <f t="shared" si="40"/>
        <v>2662.4109030754507</v>
      </c>
      <c r="T97" s="100">
        <f t="shared" si="40"/>
        <v>19818.942552495748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IF(VLOOKUP($E100,$D$5:$AJ$945,3,)=0,0,(VLOOKUP($E100,$D$5:$AJ$945,G$1,)/VLOOKUP($E100,$D$5:$AJ$945,3,))*$F100)</f>
        <v>46407751.46040535</v>
      </c>
      <c r="H100" s="100">
        <f t="shared" si="41"/>
        <v>18179013.410592433</v>
      </c>
      <c r="I100" s="100">
        <f t="shared" si="41"/>
        <v>0</v>
      </c>
      <c r="J100" s="100">
        <f t="shared" si="41"/>
        <v>172163.483897072</v>
      </c>
      <c r="K100" s="100">
        <f t="shared" si="41"/>
        <v>0</v>
      </c>
      <c r="L100" s="100">
        <f t="shared" si="41"/>
        <v>1235102.7494357189</v>
      </c>
      <c r="M100" s="100">
        <f t="shared" si="41"/>
        <v>0</v>
      </c>
      <c r="N100" s="100">
        <f t="shared" si="41"/>
        <v>179443.78856875206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66173474.892899327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IF(VLOOKUP($E103,$D$5:$AJ$945,3,)=0,0,(VLOOKUP($E103,$D$5:$AJ$945,G$1,)/VLOOKUP($E103,$D$5:$AJ$945,3,))*$F103)</f>
        <v>35087934.240171932</v>
      </c>
      <c r="H103" s="100">
        <f t="shared" si="42"/>
        <v>13077926.873019969</v>
      </c>
      <c r="I103" s="100">
        <f t="shared" si="42"/>
        <v>0</v>
      </c>
      <c r="J103" s="100">
        <f t="shared" si="42"/>
        <v>277403.80208518857</v>
      </c>
      <c r="K103" s="100">
        <f t="shared" si="42"/>
        <v>0</v>
      </c>
      <c r="L103" s="100">
        <f t="shared" si="42"/>
        <v>3544766.809662364</v>
      </c>
      <c r="M103" s="100">
        <f t="shared" si="42"/>
        <v>781546.49946935661</v>
      </c>
      <c r="N103" s="100">
        <f t="shared" si="42"/>
        <v>657387.02943399199</v>
      </c>
      <c r="O103" s="100">
        <f t="shared" si="42"/>
        <v>1736499.0507075631</v>
      </c>
      <c r="P103" s="100">
        <f t="shared" si="42"/>
        <v>1184312.3598862721</v>
      </c>
      <c r="Q103" s="100">
        <f t="shared" si="42"/>
        <v>50125.299945479681</v>
      </c>
      <c r="R103" s="100">
        <f t="shared" si="42"/>
        <v>0</v>
      </c>
      <c r="S103" s="100">
        <f t="shared" si="42"/>
        <v>325.9035853455988</v>
      </c>
      <c r="T103" s="100">
        <f t="shared" si="42"/>
        <v>63225.295557046164</v>
      </c>
      <c r="U103" s="100"/>
      <c r="V103" s="102">
        <f>SUM(G103:T103)</f>
        <v>56461453.163524516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IF(VLOOKUP($E106,$D$5:$AJ$945,3,)=0,0,(VLOOKUP($E106,$D$5:$AJ$945,G$1,)/VLOOKUP($E106,$D$5:$AJ$945,3,))*$F106)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IF(VLOOKUP($E109,$D$5:$AJ$945,3,)=0,0,(VLOOKUP($E109,$D$5:$AJ$945,G$1,)/VLOOKUP($E109,$D$5:$AJ$945,3,))*$F109)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IF(VLOOKUP($E112,$D$5:$AJ$945,3,)=0,0,(VLOOKUP($E112,$D$5:$AJ$945,G$1,)/VLOOKUP($E112,$D$5:$AJ$945,3,))*$F112)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IF(VLOOKUP($E115,$D$5:$AJ$945,3,)=0,0,(VLOOKUP($E115,$D$5:$AJ$945,G$1,)/VLOOKUP($E115,$D$5:$AJ$945,3,))*$F115)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2076163833.9766355</v>
      </c>
      <c r="H117" s="100">
        <f t="shared" si="47"/>
        <v>532259258.62588078</v>
      </c>
      <c r="I117" s="100">
        <f>I72+I78+I81+I84+I92+I97+I100+I103+I106+I109+I112+I115</f>
        <v>0</v>
      </c>
      <c r="J117" s="100">
        <f>J72+J78+J81+J84+J92+J97+J100+J103+J106+J109+J112+J115</f>
        <v>33991077.894607373</v>
      </c>
      <c r="K117" s="100">
        <f>K72+K78+K81+K84+K92+K97+K100+K103+K106+K109+K112+K115</f>
        <v>0</v>
      </c>
      <c r="L117" s="100">
        <f t="shared" si="47"/>
        <v>418994762.75393313</v>
      </c>
      <c r="M117" s="100">
        <f t="shared" si="47"/>
        <v>30431724.461763516</v>
      </c>
      <c r="N117" s="100">
        <f t="shared" si="47"/>
        <v>299479308.97645098</v>
      </c>
      <c r="O117" s="100">
        <f>O72+O78+O81+O84+O92+O97+O100+O103+O106+O109+O112+O115</f>
        <v>640800941.1410377</v>
      </c>
      <c r="P117" s="100">
        <f>P72+P78+P81+P84+P92+P97+P100+P103+P106+P109+P112+P115</f>
        <v>204877401.48091841</v>
      </c>
      <c r="Q117" s="100">
        <f t="shared" si="47"/>
        <v>53260360.242456809</v>
      </c>
      <c r="R117" s="100">
        <f t="shared" si="47"/>
        <v>99308407.913623005</v>
      </c>
      <c r="S117" s="100">
        <f t="shared" si="47"/>
        <v>16255.066259670113</v>
      </c>
      <c r="T117" s="100">
        <f t="shared" si="47"/>
        <v>331082.43596980034</v>
      </c>
      <c r="U117" s="100"/>
      <c r="V117" s="102">
        <f>SUM(G117:T117)</f>
        <v>4389914414.9695358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397" t="s">
        <v>2455</v>
      </c>
      <c r="F123" s="100">
        <f>VLOOKUP(C123,'Functional Assignment'!$C$1:$AU$771,6,)</f>
        <v>711137998.01659751</v>
      </c>
      <c r="G123" s="100">
        <f t="shared" ref="G123:T128" si="48">IF(VLOOKUP($E123,$D$5:$AJ$945,3,)=0,0,(VLOOKUP($E123,$D$5:$AJ$945,G$1,)/VLOOKUP($E123,$D$5:$AJ$945,3,))*$F123)</f>
        <v>291105837.29574114</v>
      </c>
      <c r="H123" s="100">
        <f t="shared" si="48"/>
        <v>80801286.848251551</v>
      </c>
      <c r="I123" s="100">
        <f t="shared" si="48"/>
        <v>0</v>
      </c>
      <c r="J123" s="100">
        <f t="shared" si="48"/>
        <v>6084365.1970544728</v>
      </c>
      <c r="K123" s="100">
        <f t="shared" si="48"/>
        <v>0</v>
      </c>
      <c r="L123" s="100">
        <f t="shared" si="48"/>
        <v>81218198.974160969</v>
      </c>
      <c r="M123" s="100">
        <f t="shared" si="48"/>
        <v>5980495.6410495201</v>
      </c>
      <c r="N123" s="100">
        <f t="shared" si="48"/>
        <v>59311342.089246906</v>
      </c>
      <c r="O123" s="100">
        <f t="shared" si="48"/>
        <v>129718198.59834515</v>
      </c>
      <c r="P123" s="100">
        <f t="shared" si="48"/>
        <v>45100439.984535597</v>
      </c>
      <c r="Q123" s="100">
        <f t="shared" si="48"/>
        <v>11781474.854857907</v>
      </c>
      <c r="R123" s="100">
        <f t="shared" si="48"/>
        <v>0</v>
      </c>
      <c r="S123" s="100">
        <f t="shared" si="48"/>
        <v>0</v>
      </c>
      <c r="T123" s="100">
        <f t="shared" si="48"/>
        <v>36358.533354258805</v>
      </c>
      <c r="U123" s="100"/>
      <c r="V123" s="102">
        <f t="shared" ref="V123:V129" si="49">SUM(G123:T123)</f>
        <v>711137998.01659739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397" t="s">
        <v>2455</v>
      </c>
      <c r="F124" s="101">
        <f>VLOOKUP(C124,'Functional Assignment'!$C$1:$AU$771,7,)</f>
        <v>744544986.77898896</v>
      </c>
      <c r="G124" s="101">
        <f t="shared" si="48"/>
        <v>304781058.50783902</v>
      </c>
      <c r="H124" s="101">
        <f t="shared" si="48"/>
        <v>84597072.883106783</v>
      </c>
      <c r="I124" s="101">
        <f t="shared" si="48"/>
        <v>0</v>
      </c>
      <c r="J124" s="101">
        <f t="shared" si="48"/>
        <v>6370189.2147995355</v>
      </c>
      <c r="K124" s="101">
        <f t="shared" si="48"/>
        <v>0</v>
      </c>
      <c r="L124" s="101">
        <f t="shared" si="48"/>
        <v>85033570.207309648</v>
      </c>
      <c r="M124" s="101">
        <f t="shared" si="48"/>
        <v>6261440.1992524266</v>
      </c>
      <c r="N124" s="101">
        <f t="shared" si="48"/>
        <v>62097599.24915693</v>
      </c>
      <c r="O124" s="101">
        <f t="shared" si="48"/>
        <v>135811944.69957855</v>
      </c>
      <c r="P124" s="101">
        <f t="shared" si="48"/>
        <v>47219114.413330674</v>
      </c>
      <c r="Q124" s="101">
        <f t="shared" si="48"/>
        <v>12334930.863647144</v>
      </c>
      <c r="R124" s="101">
        <f t="shared" si="48"/>
        <v>0</v>
      </c>
      <c r="S124" s="101">
        <f t="shared" si="48"/>
        <v>0</v>
      </c>
      <c r="T124" s="101">
        <f t="shared" si="48"/>
        <v>38066.54096821056</v>
      </c>
      <c r="U124" s="101"/>
      <c r="V124" s="101">
        <f t="shared" si="49"/>
        <v>744544986.77898884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397" t="s">
        <v>2455</v>
      </c>
      <c r="F125" s="101">
        <f>VLOOKUP(C125,'Functional Assignment'!$C$1:$AU$771,8,)</f>
        <v>612781961.00732768</v>
      </c>
      <c r="G125" s="101">
        <f t="shared" si="48"/>
        <v>250843586.38729492</v>
      </c>
      <c r="H125" s="101">
        <f t="shared" si="48"/>
        <v>69625826.695920095</v>
      </c>
      <c r="I125" s="101">
        <f t="shared" si="48"/>
        <v>0</v>
      </c>
      <c r="J125" s="101">
        <f t="shared" si="48"/>
        <v>5242849.1338312048</v>
      </c>
      <c r="K125" s="101">
        <f t="shared" si="48"/>
        <v>0</v>
      </c>
      <c r="L125" s="101">
        <f t="shared" si="48"/>
        <v>69985076.561340079</v>
      </c>
      <c r="M125" s="101">
        <f t="shared" si="48"/>
        <v>5153345.5629417337</v>
      </c>
      <c r="N125" s="101">
        <f t="shared" si="48"/>
        <v>51108112.091876857</v>
      </c>
      <c r="O125" s="101">
        <f t="shared" si="48"/>
        <v>111777140.77595484</v>
      </c>
      <c r="P125" s="101">
        <f t="shared" si="48"/>
        <v>38862690.691676401</v>
      </c>
      <c r="Q125" s="101">
        <f t="shared" si="48"/>
        <v>10152003.247265451</v>
      </c>
      <c r="R125" s="101">
        <f t="shared" si="48"/>
        <v>0</v>
      </c>
      <c r="S125" s="101">
        <f t="shared" si="48"/>
        <v>0</v>
      </c>
      <c r="T125" s="101">
        <f t="shared" si="48"/>
        <v>31329.859226075336</v>
      </c>
      <c r="U125" s="101"/>
      <c r="V125" s="101">
        <f t="shared" si="49"/>
        <v>612781961.00732768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24153447.932479028</v>
      </c>
      <c r="H126" s="101">
        <f t="shared" si="48"/>
        <v>7155603.2069275761</v>
      </c>
      <c r="I126" s="101">
        <f t="shared" si="48"/>
        <v>0</v>
      </c>
      <c r="J126" s="101">
        <f t="shared" si="48"/>
        <v>602132.08770131995</v>
      </c>
      <c r="K126" s="101">
        <f t="shared" si="48"/>
        <v>0</v>
      </c>
      <c r="L126" s="101">
        <f t="shared" si="48"/>
        <v>8511291.2882750928</v>
      </c>
      <c r="M126" s="101">
        <f t="shared" si="48"/>
        <v>656812.91705090401</v>
      </c>
      <c r="N126" s="101">
        <f t="shared" si="48"/>
        <v>6626069.5399611192</v>
      </c>
      <c r="O126" s="101">
        <f t="shared" si="48"/>
        <v>15927713.238484414</v>
      </c>
      <c r="P126" s="101">
        <f t="shared" si="48"/>
        <v>5672395.0788841015</v>
      </c>
      <c r="Q126" s="101">
        <f t="shared" si="48"/>
        <v>2094102.3950426062</v>
      </c>
      <c r="R126" s="101">
        <f t="shared" si="48"/>
        <v>490214.02262106125</v>
      </c>
      <c r="S126" s="101">
        <f t="shared" si="48"/>
        <v>1771.2582450400123</v>
      </c>
      <c r="T126" s="101">
        <f t="shared" si="48"/>
        <v>5904.437650463693</v>
      </c>
      <c r="U126" s="101"/>
      <c r="V126" s="101">
        <f t="shared" si="49"/>
        <v>71897457.403322726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870883930.12335408</v>
      </c>
      <c r="H129" s="100">
        <f t="shared" si="52"/>
        <v>242179789.63420603</v>
      </c>
      <c r="I129" s="100">
        <f>SUM(I123:I128)</f>
        <v>0</v>
      </c>
      <c r="J129" s="100">
        <f>SUM(J123:J128)</f>
        <v>18299535.633386534</v>
      </c>
      <c r="K129" s="100">
        <f>SUM(K123:K128)</f>
        <v>0</v>
      </c>
      <c r="L129" s="100">
        <f t="shared" si="52"/>
        <v>244748137.03108582</v>
      </c>
      <c r="M129" s="100">
        <f t="shared" si="52"/>
        <v>18052094.320294585</v>
      </c>
      <c r="N129" s="100">
        <f t="shared" si="52"/>
        <v>179143122.97024181</v>
      </c>
      <c r="O129" s="100">
        <f t="shared" si="52"/>
        <v>393234997.31236297</v>
      </c>
      <c r="P129" s="100">
        <f>SUM(P123:P128)</f>
        <v>136854640.16842678</v>
      </c>
      <c r="Q129" s="100">
        <f t="shared" si="52"/>
        <v>36362511.360813104</v>
      </c>
      <c r="R129" s="100">
        <f t="shared" si="52"/>
        <v>490214.02262106125</v>
      </c>
      <c r="S129" s="100">
        <f t="shared" si="52"/>
        <v>1771.2582450400123</v>
      </c>
      <c r="T129" s="100">
        <f t="shared" si="52"/>
        <v>111659.37119900838</v>
      </c>
      <c r="U129" s="100"/>
      <c r="V129" s="102">
        <f t="shared" si="49"/>
        <v>2140362403.2062366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2424</v>
      </c>
      <c r="C132" s="97" t="s">
        <v>804</v>
      </c>
      <c r="D132" s="97" t="s">
        <v>261</v>
      </c>
      <c r="E132" s="397" t="s">
        <v>2455</v>
      </c>
      <c r="F132" s="100">
        <f>VLOOKUP(C132,'Functional Assignment'!$C$1:$AU$771,13,)</f>
        <v>519102553.3642441</v>
      </c>
      <c r="G132" s="100">
        <f t="shared" ref="G132:T134" si="53">IF(VLOOKUP($E132,$D$5:$AJ$945,3,)=0,0,(VLOOKUP($E132,$D$5:$AJ$945,G$1,)/VLOOKUP($E132,$D$5:$AJ$945,3,))*$F132)</f>
        <v>212495723.55987161</v>
      </c>
      <c r="H132" s="100">
        <f t="shared" si="53"/>
        <v>58981736.927331433</v>
      </c>
      <c r="I132" s="100">
        <f t="shared" si="53"/>
        <v>0</v>
      </c>
      <c r="J132" s="100">
        <f t="shared" si="53"/>
        <v>4441345.4465947459</v>
      </c>
      <c r="K132" s="100">
        <f t="shared" si="53"/>
        <v>0</v>
      </c>
      <c r="L132" s="100">
        <f t="shared" si="53"/>
        <v>59286066.255382665</v>
      </c>
      <c r="M132" s="100">
        <f t="shared" si="53"/>
        <v>4365524.7874690015</v>
      </c>
      <c r="N132" s="100">
        <f t="shared" si="53"/>
        <v>43294928.984050207</v>
      </c>
      <c r="O132" s="100">
        <f t="shared" si="53"/>
        <v>94689143.735839963</v>
      </c>
      <c r="P132" s="100">
        <f t="shared" si="53"/>
        <v>32921533.681395072</v>
      </c>
      <c r="Q132" s="100">
        <f t="shared" si="53"/>
        <v>8600009.6979920305</v>
      </c>
      <c r="R132" s="100">
        <f t="shared" si="53"/>
        <v>0</v>
      </c>
      <c r="S132" s="100">
        <f t="shared" si="53"/>
        <v>0</v>
      </c>
      <c r="T132" s="100">
        <f t="shared" si="53"/>
        <v>26540.288317337639</v>
      </c>
      <c r="U132" s="100"/>
      <c r="V132" s="102">
        <f>SUM(G132:T132)</f>
        <v>519102553.3642441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2423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2423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212495723.55987161</v>
      </c>
      <c r="H135" s="100">
        <f t="shared" si="54"/>
        <v>58981736.927331433</v>
      </c>
      <c r="I135" s="100">
        <f>SUM(I132:I134)</f>
        <v>0</v>
      </c>
      <c r="J135" s="100">
        <f>SUM(J132:J134)</f>
        <v>4441345.4465947459</v>
      </c>
      <c r="K135" s="100">
        <f>SUM(K132:K134)</f>
        <v>0</v>
      </c>
      <c r="L135" s="100">
        <f t="shared" si="54"/>
        <v>59286066.255382665</v>
      </c>
      <c r="M135" s="100">
        <f t="shared" si="54"/>
        <v>4365524.7874690015</v>
      </c>
      <c r="N135" s="100">
        <f t="shared" si="54"/>
        <v>43294928.984050207</v>
      </c>
      <c r="O135" s="100">
        <f t="shared" si="54"/>
        <v>94689143.735839963</v>
      </c>
      <c r="P135" s="100">
        <f>SUM(P132:P134)</f>
        <v>32921533.681395072</v>
      </c>
      <c r="Q135" s="100">
        <f t="shared" si="54"/>
        <v>8600009.6979920305</v>
      </c>
      <c r="R135" s="100">
        <f t="shared" si="54"/>
        <v>0</v>
      </c>
      <c r="S135" s="100">
        <f t="shared" si="54"/>
        <v>0</v>
      </c>
      <c r="T135" s="100">
        <f t="shared" si="54"/>
        <v>26540.288317337639</v>
      </c>
      <c r="U135" s="100"/>
      <c r="V135" s="102">
        <f>SUM(G135:T135)</f>
        <v>519102553.3642441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2429</v>
      </c>
      <c r="F138" s="100">
        <f>VLOOKUP(C138,'Functional Assignment'!$C$1:$AU$771,17,)</f>
        <v>0</v>
      </c>
      <c r="G138" s="100">
        <f t="shared" ref="G138:T138" si="55">IF(VLOOKUP($E138,$D$5:$AJ$945,3,)=0,0,(VLOOKUP($E138,$D$5:$AJ$945,G$1,)/VLOOKUP($E138,$D$5:$AJ$945,3,))*$F138)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2429</v>
      </c>
      <c r="F141" s="100">
        <f>VLOOKUP(C141,'Functional Assignment'!$C$1:$AU$771,18,)</f>
        <v>117629774.59232309</v>
      </c>
      <c r="G141" s="100">
        <f t="shared" ref="G141:T141" si="56">IF(VLOOKUP($E141,$D$5:$AJ$945,3,)=0,0,(VLOOKUP($E141,$D$5:$AJ$945,G$1,)/VLOOKUP($E141,$D$5:$AJ$945,3,))*$F141)</f>
        <v>57116261.007423446</v>
      </c>
      <c r="H141" s="100">
        <f t="shared" si="56"/>
        <v>13915119.418431398</v>
      </c>
      <c r="I141" s="100">
        <f t="shared" si="56"/>
        <v>0</v>
      </c>
      <c r="J141" s="100">
        <f t="shared" si="56"/>
        <v>1457293.1043874358</v>
      </c>
      <c r="K141" s="100">
        <f t="shared" si="56"/>
        <v>0</v>
      </c>
      <c r="L141" s="100">
        <f t="shared" si="56"/>
        <v>13003716.06364272</v>
      </c>
      <c r="M141" s="100">
        <f t="shared" si="56"/>
        <v>1005209.7693649898</v>
      </c>
      <c r="N141" s="100">
        <f t="shared" si="56"/>
        <v>9153026.5283362456</v>
      </c>
      <c r="O141" s="100">
        <f t="shared" si="56"/>
        <v>20936792.241966579</v>
      </c>
      <c r="P141" s="100">
        <f t="shared" si="56"/>
        <v>0</v>
      </c>
      <c r="Q141" s="100">
        <f t="shared" si="56"/>
        <v>0</v>
      </c>
      <c r="R141" s="100">
        <f t="shared" si="56"/>
        <v>1031346.0507974087</v>
      </c>
      <c r="S141" s="100">
        <f t="shared" si="56"/>
        <v>4319.9483590611007</v>
      </c>
      <c r="T141" s="100">
        <f t="shared" si="56"/>
        <v>6690.4596138056595</v>
      </c>
      <c r="U141" s="100"/>
      <c r="V141" s="102">
        <f>SUM(G141:T141)</f>
        <v>117629774.59232306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2429</v>
      </c>
      <c r="F144" s="100">
        <f>VLOOKUP(C144,'Functional Assignment'!$C$1:$AU$771,19,)</f>
        <v>0</v>
      </c>
      <c r="G144" s="100">
        <f t="shared" ref="G144:T148" si="57">IF(VLOOKUP($E144,$D$5:$AJ$945,3,)=0,0,(VLOOKUP($E144,$D$5:$AJ$945,G$1,)/VLOOKUP($E144,$D$5:$AJ$945,3,))*$F144)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2429</v>
      </c>
      <c r="F145" s="101">
        <f>VLOOKUP(C145,'Functional Assignment'!$C$1:$AU$771,20,)</f>
        <v>128503614.63788348</v>
      </c>
      <c r="G145" s="101">
        <f t="shared" si="57"/>
        <v>62396157.941237122</v>
      </c>
      <c r="H145" s="101">
        <f t="shared" si="57"/>
        <v>15201450.054491032</v>
      </c>
      <c r="I145" s="101">
        <f t="shared" si="57"/>
        <v>0</v>
      </c>
      <c r="J145" s="101">
        <f t="shared" si="57"/>
        <v>1592007.0590092728</v>
      </c>
      <c r="K145" s="101">
        <f t="shared" si="57"/>
        <v>0</v>
      </c>
      <c r="L145" s="101">
        <f t="shared" si="57"/>
        <v>14205795.460326042</v>
      </c>
      <c r="M145" s="101">
        <f t="shared" si="57"/>
        <v>1098132.5882872571</v>
      </c>
      <c r="N145" s="101">
        <f t="shared" si="57"/>
        <v>9999143.480841184</v>
      </c>
      <c r="O145" s="101">
        <f t="shared" si="57"/>
        <v>22872214.890656516</v>
      </c>
      <c r="P145" s="101">
        <f t="shared" si="57"/>
        <v>0</v>
      </c>
      <c r="Q145" s="101">
        <f t="shared" si="57"/>
        <v>0</v>
      </c>
      <c r="R145" s="101">
        <f t="shared" si="57"/>
        <v>1126684.9395001957</v>
      </c>
      <c r="S145" s="101">
        <f t="shared" si="57"/>
        <v>4719.2896620969495</v>
      </c>
      <c r="T145" s="101">
        <f t="shared" si="57"/>
        <v>7308.9338727587356</v>
      </c>
      <c r="U145" s="101"/>
      <c r="V145" s="101">
        <f t="shared" si="58"/>
        <v>128503614.63788348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237784208.72506231</v>
      </c>
      <c r="G146" s="101">
        <f t="shared" si="57"/>
        <v>190002670.93828985</v>
      </c>
      <c r="H146" s="101">
        <f t="shared" si="57"/>
        <v>36764392.2188503</v>
      </c>
      <c r="I146" s="101">
        <f t="shared" si="57"/>
        <v>0</v>
      </c>
      <c r="J146" s="101">
        <f t="shared" si="57"/>
        <v>261629.01973836514</v>
      </c>
      <c r="K146" s="101">
        <f t="shared" si="57"/>
        <v>0</v>
      </c>
      <c r="L146" s="101">
        <f t="shared" si="57"/>
        <v>1986704.0065461353</v>
      </c>
      <c r="M146" s="101">
        <f t="shared" si="57"/>
        <v>76326.847242389835</v>
      </c>
      <c r="N146" s="101">
        <f t="shared" si="57"/>
        <v>272658.91095836362</v>
      </c>
      <c r="O146" s="101">
        <f t="shared" si="57"/>
        <v>122211.1947175837</v>
      </c>
      <c r="P146" s="101">
        <f t="shared" si="57"/>
        <v>0</v>
      </c>
      <c r="Q146" s="101">
        <f t="shared" si="57"/>
        <v>0</v>
      </c>
      <c r="R146" s="101">
        <f t="shared" si="57"/>
        <v>8259378.6324899215</v>
      </c>
      <c r="S146" s="101">
        <f t="shared" si="57"/>
        <v>196.08695502219607</v>
      </c>
      <c r="T146" s="101">
        <f t="shared" si="57"/>
        <v>38040.869274306046</v>
      </c>
      <c r="U146" s="101"/>
      <c r="V146" s="101">
        <f t="shared" si="58"/>
        <v>237784208.72506222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59250540.333276063</v>
      </c>
      <c r="G147" s="101">
        <f t="shared" si="57"/>
        <v>49590373.035186723</v>
      </c>
      <c r="H147" s="101">
        <f t="shared" si="57"/>
        <v>8605330.8579806667</v>
      </c>
      <c r="I147" s="101">
        <f t="shared" si="57"/>
        <v>0</v>
      </c>
      <c r="J147" s="101">
        <f t="shared" si="57"/>
        <v>656958.81233267148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393677.66788764775</v>
      </c>
      <c r="S147" s="101">
        <f t="shared" si="57"/>
        <v>1648.9782397240338</v>
      </c>
      <c r="T147" s="101">
        <f t="shared" si="57"/>
        <v>2550.9816486133373</v>
      </c>
      <c r="U147" s="101"/>
      <c r="V147" s="101">
        <f t="shared" si="58"/>
        <v>59250540.333276056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90521434.52698794</v>
      </c>
      <c r="G148" s="101">
        <f t="shared" si="57"/>
        <v>73087087.035016119</v>
      </c>
      <c r="H148" s="101">
        <f t="shared" si="57"/>
        <v>14141918.745770058</v>
      </c>
      <c r="I148" s="101">
        <f t="shared" si="57"/>
        <v>0</v>
      </c>
      <c r="J148" s="101">
        <f t="shared" si="57"/>
        <v>100639.12702950527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3177081.2588418899</v>
      </c>
      <c r="S148" s="101">
        <f t="shared" si="57"/>
        <v>75.427488873528404</v>
      </c>
      <c r="T148" s="101">
        <f t="shared" si="57"/>
        <v>14632.932841464512</v>
      </c>
      <c r="U148" s="101"/>
      <c r="V148" s="101">
        <f t="shared" si="58"/>
        <v>90521434.52698791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516059798.22320974</v>
      </c>
      <c r="G149" s="100">
        <f t="shared" ref="G149:T149" si="61">SUM(G144:G148)</f>
        <v>375076288.9497298</v>
      </c>
      <c r="H149" s="100">
        <f t="shared" si="61"/>
        <v>74713091.877092049</v>
      </c>
      <c r="I149" s="100">
        <f>SUM(I144:I148)</f>
        <v>0</v>
      </c>
      <c r="J149" s="100">
        <f>SUM(J144:J148)</f>
        <v>2611234.0181098147</v>
      </c>
      <c r="K149" s="100">
        <f>SUM(K144:K148)</f>
        <v>0</v>
      </c>
      <c r="L149" s="100">
        <f t="shared" si="61"/>
        <v>16192499.466872178</v>
      </c>
      <c r="M149" s="100">
        <f t="shared" si="61"/>
        <v>1174459.4355296469</v>
      </c>
      <c r="N149" s="100">
        <f t="shared" si="61"/>
        <v>10271802.391799547</v>
      </c>
      <c r="O149" s="100">
        <f t="shared" si="61"/>
        <v>22994426.085374098</v>
      </c>
      <c r="P149" s="100">
        <f>SUM(P144:P148)</f>
        <v>0</v>
      </c>
      <c r="Q149" s="100">
        <f t="shared" si="61"/>
        <v>0</v>
      </c>
      <c r="R149" s="100">
        <f t="shared" si="61"/>
        <v>12956822.498719655</v>
      </c>
      <c r="S149" s="100">
        <f t="shared" si="61"/>
        <v>6639.7823457167078</v>
      </c>
      <c r="T149" s="100">
        <f t="shared" si="61"/>
        <v>62533.717637142632</v>
      </c>
      <c r="U149" s="100"/>
      <c r="V149" s="102">
        <f t="shared" si="58"/>
        <v>516059798.22320962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2332</v>
      </c>
      <c r="F152" s="100">
        <f>VLOOKUP(C152,'Functional Assignment'!$C$1:$AU$771,24,)</f>
        <v>91089035.518814862</v>
      </c>
      <c r="G152" s="100">
        <f t="shared" ref="G152:T153" si="62">IF(VLOOKUP($E152,$D$5:$AJ$945,3,)=0,0,(VLOOKUP($E152,$D$5:$AJ$945,G$1,)/VLOOKUP($E152,$D$5:$AJ$945,3,))*$F152)</f>
        <v>63648486.481307752</v>
      </c>
      <c r="H152" s="100">
        <f t="shared" si="62"/>
        <v>11044810.741648024</v>
      </c>
      <c r="I152" s="100">
        <f t="shared" si="62"/>
        <v>0</v>
      </c>
      <c r="J152" s="100">
        <f t="shared" si="62"/>
        <v>843196.60301532119</v>
      </c>
      <c r="K152" s="100">
        <f t="shared" si="62"/>
        <v>0</v>
      </c>
      <c r="L152" s="100">
        <f t="shared" si="62"/>
        <v>9195218.0236452762</v>
      </c>
      <c r="M152" s="100">
        <f t="shared" si="62"/>
        <v>0</v>
      </c>
      <c r="N152" s="100">
        <f t="shared" si="62"/>
        <v>5846653.8100557458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505279.2747648941</v>
      </c>
      <c r="S152" s="100">
        <f t="shared" si="62"/>
        <v>2116.43838864804</v>
      </c>
      <c r="T152" s="100">
        <f t="shared" si="62"/>
        <v>3274.1459891947911</v>
      </c>
      <c r="U152" s="100"/>
      <c r="V152" s="102">
        <f>SUM(G152:T152)</f>
        <v>91089035.518814862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2331</v>
      </c>
      <c r="F153" s="101">
        <f>VLOOKUP(C153,'Functional Assignment'!$C$1:$AU$771,25,)</f>
        <v>81058258.070884496</v>
      </c>
      <c r="G153" s="101">
        <f t="shared" si="62"/>
        <v>64824134.76701574</v>
      </c>
      <c r="H153" s="101">
        <f t="shared" si="62"/>
        <v>12543086.389539292</v>
      </c>
      <c r="I153" s="101">
        <f t="shared" si="62"/>
        <v>0</v>
      </c>
      <c r="J153" s="101">
        <f t="shared" si="62"/>
        <v>89261.244332666902</v>
      </c>
      <c r="K153" s="101">
        <f t="shared" si="62"/>
        <v>0</v>
      </c>
      <c r="L153" s="101">
        <f t="shared" si="62"/>
        <v>677813.46244519227</v>
      </c>
      <c r="M153" s="101">
        <f t="shared" si="62"/>
        <v>0</v>
      </c>
      <c r="N153" s="101">
        <f t="shared" si="62"/>
        <v>93024.365931851848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2817892.3534092284</v>
      </c>
      <c r="S153" s="101">
        <f t="shared" si="62"/>
        <v>66.899939541065692</v>
      </c>
      <c r="T153" s="101">
        <f t="shared" si="62"/>
        <v>12978.588270966744</v>
      </c>
      <c r="U153" s="101"/>
      <c r="V153" s="101">
        <f>SUM(G153:T153)</f>
        <v>81058258.070884481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172147293.58969936</v>
      </c>
      <c r="G154" s="100">
        <f t="shared" si="63"/>
        <v>128472621.2483235</v>
      </c>
      <c r="H154" s="100">
        <f t="shared" si="63"/>
        <v>23587897.131187316</v>
      </c>
      <c r="I154" s="100">
        <f>I152+I153</f>
        <v>0</v>
      </c>
      <c r="J154" s="100">
        <f>J152+J153</f>
        <v>932457.84734798805</v>
      </c>
      <c r="K154" s="100">
        <f>K152+K153</f>
        <v>0</v>
      </c>
      <c r="L154" s="100">
        <f t="shared" si="63"/>
        <v>9873031.4860904682</v>
      </c>
      <c r="M154" s="100">
        <f t="shared" si="63"/>
        <v>0</v>
      </c>
      <c r="N154" s="100">
        <f t="shared" si="63"/>
        <v>5939678.1759875976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3323171.6281741224</v>
      </c>
      <c r="S154" s="100">
        <f t="shared" si="63"/>
        <v>2183.3383281891056</v>
      </c>
      <c r="T154" s="100">
        <f t="shared" si="63"/>
        <v>16252.734260161535</v>
      </c>
      <c r="U154" s="100"/>
      <c r="V154" s="102">
        <f>SUM(G154:T154)</f>
        <v>172147293.58969936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54260568.084280506</v>
      </c>
      <c r="G157" s="100">
        <f t="shared" ref="G157:T157" si="64">IF(VLOOKUP($E157,$D$5:$AJ$945,3,)=0,0,(VLOOKUP($E157,$D$5:$AJ$945,G$1,)/VLOOKUP($E157,$D$5:$AJ$945,3,))*$F157)</f>
        <v>38053177.074820586</v>
      </c>
      <c r="H157" s="100">
        <f t="shared" si="64"/>
        <v>14906329.10644298</v>
      </c>
      <c r="I157" s="100">
        <f t="shared" si="64"/>
        <v>0</v>
      </c>
      <c r="J157" s="100">
        <f t="shared" si="64"/>
        <v>141169.68248597151</v>
      </c>
      <c r="K157" s="100">
        <f t="shared" si="64"/>
        <v>0</v>
      </c>
      <c r="L157" s="100">
        <f t="shared" si="64"/>
        <v>1012752.8731913411</v>
      </c>
      <c r="M157" s="100">
        <f t="shared" si="64"/>
        <v>0</v>
      </c>
      <c r="N157" s="100">
        <f t="shared" si="64"/>
        <v>147139.34733962108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54260568.084280498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48373891.661168471</v>
      </c>
      <c r="G160" s="100">
        <f t="shared" ref="G160:T160" si="65">IF(VLOOKUP($E160,$D$5:$AJ$945,3,)=0,0,(VLOOKUP($E160,$D$5:$AJ$945,G$1,)/VLOOKUP($E160,$D$5:$AJ$945,3,))*$F160)</f>
        <v>30061924.276593085</v>
      </c>
      <c r="H160" s="100">
        <f t="shared" si="65"/>
        <v>11204639.311636535</v>
      </c>
      <c r="I160" s="100">
        <f t="shared" si="65"/>
        <v>0</v>
      </c>
      <c r="J160" s="100">
        <f t="shared" si="65"/>
        <v>237668.3687116683</v>
      </c>
      <c r="K160" s="100">
        <f t="shared" si="65"/>
        <v>0</v>
      </c>
      <c r="L160" s="100">
        <f t="shared" si="65"/>
        <v>3037012.9709217176</v>
      </c>
      <c r="M160" s="100">
        <f t="shared" si="65"/>
        <v>669597.46119180683</v>
      </c>
      <c r="N160" s="100">
        <f t="shared" si="65"/>
        <v>563222.64411432331</v>
      </c>
      <c r="O160" s="100">
        <f t="shared" si="65"/>
        <v>1487762.2208086634</v>
      </c>
      <c r="P160" s="100">
        <f t="shared" si="65"/>
        <v>1014670.9760409056</v>
      </c>
      <c r="Q160" s="100">
        <f t="shared" si="65"/>
        <v>42945.331605681378</v>
      </c>
      <c r="R160" s="100">
        <f t="shared" si="65"/>
        <v>0</v>
      </c>
      <c r="S160" s="100">
        <f t="shared" si="65"/>
        <v>279.22102330301146</v>
      </c>
      <c r="T160" s="100">
        <f t="shared" si="65"/>
        <v>54168.87852078423</v>
      </c>
      <c r="U160" s="100"/>
      <c r="V160" s="102">
        <f>SUM(G160:T160)</f>
        <v>48373891.661168471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64200371.729934186</v>
      </c>
      <c r="G163" s="100">
        <f t="shared" ref="G163:T163" si="66">IF(VLOOKUP($E163,$D$5:$AJ$945,3,)=0,0,(VLOOKUP($E163,$D$5:$AJ$945,G$1,)/VLOOKUP($E163,$D$5:$AJ$945,3,))*$F163)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64200371.729934186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64200371.729934186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IF(VLOOKUP($E166,$D$5:$AJ$945,3,)=0,0,(VLOOKUP($E166,$D$5:$AJ$945,G$1,)/VLOOKUP($E166,$D$5:$AJ$945,3,))*$F166)</f>
        <v>3974752.3115407242</v>
      </c>
      <c r="H166" s="100">
        <f t="shared" si="67"/>
        <v>1538182.0922057012</v>
      </c>
      <c r="I166" s="100">
        <f t="shared" si="67"/>
        <v>0</v>
      </c>
      <c r="J166" s="100">
        <f t="shared" si="67"/>
        <v>54731.364871652178</v>
      </c>
      <c r="K166" s="100">
        <f t="shared" si="67"/>
        <v>0</v>
      </c>
      <c r="L166" s="100">
        <f t="shared" si="67"/>
        <v>207803.82463494918</v>
      </c>
      <c r="M166" s="100">
        <f t="shared" si="67"/>
        <v>7983.5802047182342</v>
      </c>
      <c r="N166" s="100">
        <f t="shared" si="67"/>
        <v>142596.89498600777</v>
      </c>
      <c r="O166" s="100">
        <f t="shared" si="67"/>
        <v>63914.789500200895</v>
      </c>
      <c r="P166" s="100">
        <f t="shared" si="67"/>
        <v>5537.743494602244</v>
      </c>
      <c r="Q166" s="100">
        <f t="shared" si="67"/>
        <v>461.47862455018691</v>
      </c>
      <c r="R166" s="100">
        <f t="shared" si="67"/>
        <v>172777.59703159</v>
      </c>
      <c r="S166" s="100">
        <f t="shared" si="67"/>
        <v>0</v>
      </c>
      <c r="T166" s="100">
        <f t="shared" si="67"/>
        <v>793.74323422632165</v>
      </c>
      <c r="U166" s="100"/>
      <c r="V166" s="102">
        <f>SUM(G166:T166)</f>
        <v>6169535.4203289207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IF(VLOOKUP($E169,$D$5:$AJ$945,3,)=0,0,(VLOOKUP($E169,$D$5:$AJ$945,G$1,)/VLOOKUP($E169,$D$5:$AJ$945,3,))*$F169)</f>
        <v>498375.79451496393</v>
      </c>
      <c r="H169" s="100">
        <f t="shared" si="68"/>
        <v>192865.53279959052</v>
      </c>
      <c r="I169" s="100">
        <f t="shared" si="68"/>
        <v>0</v>
      </c>
      <c r="J169" s="100">
        <f t="shared" si="68"/>
        <v>6862.5125076598306</v>
      </c>
      <c r="K169" s="100">
        <f t="shared" si="68"/>
        <v>0</v>
      </c>
      <c r="L169" s="100">
        <f t="shared" si="68"/>
        <v>26055.559715001866</v>
      </c>
      <c r="M169" s="100">
        <f t="shared" si="68"/>
        <v>1001.0241684866362</v>
      </c>
      <c r="N169" s="100">
        <f t="shared" si="68"/>
        <v>17879.564627882693</v>
      </c>
      <c r="O169" s="100">
        <f t="shared" si="68"/>
        <v>8013.979614762955</v>
      </c>
      <c r="P169" s="100">
        <f t="shared" si="68"/>
        <v>694.35202438379395</v>
      </c>
      <c r="Q169" s="100">
        <f t="shared" si="68"/>
        <v>57.862668698649486</v>
      </c>
      <c r="R169" s="100">
        <f t="shared" si="68"/>
        <v>21663.783160774368</v>
      </c>
      <c r="S169" s="100">
        <f t="shared" si="68"/>
        <v>0</v>
      </c>
      <c r="T169" s="100">
        <f t="shared" si="68"/>
        <v>99.523790161677127</v>
      </c>
      <c r="U169" s="100"/>
      <c r="V169" s="102">
        <f>SUM(G169:T169)</f>
        <v>773569.48959236697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IF(VLOOKUP($E172,$D$5:$AJ$945,3,)=0,0,(VLOOKUP($E172,$D$5:$AJ$945,G$1,)/VLOOKUP($E172,$D$5:$AJ$945,3,))*$F172)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1716633054.3461716</v>
      </c>
      <c r="H174" s="100">
        <f t="shared" si="70"/>
        <v>441219651.03133303</v>
      </c>
      <c r="I174" s="100">
        <f>I129+I135+I138+I141+I149+I154+I157+I160+I163+I166+I169+I172</f>
        <v>0</v>
      </c>
      <c r="J174" s="100">
        <f>J129+J135+J138+J141+J149+J154+J157+J160+J163+J166+J169+J172</f>
        <v>28182297.978403468</v>
      </c>
      <c r="K174" s="100">
        <f>K129+K135+K138+K141+K149+K154+K157+K160+K163+K166+K169+K172</f>
        <v>0</v>
      </c>
      <c r="L174" s="100">
        <f t="shared" si="70"/>
        <v>347387075.53153688</v>
      </c>
      <c r="M174" s="100">
        <f t="shared" si="70"/>
        <v>25275870.378223237</v>
      </c>
      <c r="N174" s="100">
        <f t="shared" si="70"/>
        <v>248673397.50148326</v>
      </c>
      <c r="O174" s="100">
        <f>O129+O135+O138+O141+O149+O154+O157+O160+O163+O166+O169+O172</f>
        <v>533415050.36546725</v>
      </c>
      <c r="P174" s="100">
        <f>P129+P135+P138+P141+P149+P154+P157+P160+P163+P166+P169+P172</f>
        <v>170797076.92138174</v>
      </c>
      <c r="Q174" s="100">
        <f t="shared" si="70"/>
        <v>45005985.731704071</v>
      </c>
      <c r="R174" s="100">
        <f t="shared" si="70"/>
        <v>82196367.310438812</v>
      </c>
      <c r="S174" s="100">
        <f t="shared" si="70"/>
        <v>15193.548301309937</v>
      </c>
      <c r="T174" s="100">
        <f t="shared" si="70"/>
        <v>278738.71657262801</v>
      </c>
      <c r="U174" s="100"/>
      <c r="V174" s="102">
        <f>SUM(G174:T174)</f>
        <v>3639079759.3610182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397" t="s">
        <v>2455</v>
      </c>
      <c r="F180" s="100">
        <f>VLOOKUP(C180,'Functional Assignment'!$C$1:$AU$771,6,)</f>
        <v>37625250.163491994</v>
      </c>
      <c r="G180" s="100">
        <f t="shared" ref="G180:T185" si="71">IF(VLOOKUP($E180,$D$5:$AJ$945,3,)=0,0,(VLOOKUP($E180,$D$5:$AJ$945,G$1,)/VLOOKUP($E180,$D$5:$AJ$945,3,))*$F180)</f>
        <v>15401975.401192702</v>
      </c>
      <c r="H180" s="100">
        <f t="shared" si="71"/>
        <v>4275075.4982531322</v>
      </c>
      <c r="I180" s="100">
        <f t="shared" si="71"/>
        <v>0</v>
      </c>
      <c r="J180" s="100">
        <f t="shared" si="71"/>
        <v>321914.68219066504</v>
      </c>
      <c r="K180" s="100">
        <f t="shared" si="71"/>
        <v>0</v>
      </c>
      <c r="L180" s="100">
        <f t="shared" si="71"/>
        <v>4297133.6966299377</v>
      </c>
      <c r="M180" s="100">
        <f t="shared" si="71"/>
        <v>316419.09899871482</v>
      </c>
      <c r="N180" s="100">
        <f t="shared" si="71"/>
        <v>3138074.5929263118</v>
      </c>
      <c r="O180" s="100">
        <f t="shared" si="71"/>
        <v>6863196.2947174152</v>
      </c>
      <c r="P180" s="100">
        <f t="shared" si="71"/>
        <v>2386196.9711005427</v>
      </c>
      <c r="Q180" s="100">
        <f t="shared" si="71"/>
        <v>623340.25174474414</v>
      </c>
      <c r="R180" s="100">
        <f t="shared" si="71"/>
        <v>0</v>
      </c>
      <c r="S180" s="100">
        <f t="shared" si="71"/>
        <v>0</v>
      </c>
      <c r="T180" s="100">
        <f t="shared" si="71"/>
        <v>1923.6757378273674</v>
      </c>
      <c r="U180" s="100"/>
      <c r="V180" s="102">
        <f t="shared" ref="V180:V186" si="72">SUM(G180:T180)</f>
        <v>37625250.163491994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397" t="s">
        <v>2455</v>
      </c>
      <c r="F181" s="101">
        <f>VLOOKUP(C181,'Functional Assignment'!$C$1:$AU$771,7,)</f>
        <v>35951279.322969064</v>
      </c>
      <c r="G181" s="101">
        <f t="shared" si="71"/>
        <v>14716731.911886552</v>
      </c>
      <c r="H181" s="101">
        <f t="shared" si="71"/>
        <v>4084874.7236665585</v>
      </c>
      <c r="I181" s="101">
        <f t="shared" si="71"/>
        <v>0</v>
      </c>
      <c r="J181" s="101">
        <f t="shared" si="71"/>
        <v>307592.49725417118</v>
      </c>
      <c r="K181" s="101">
        <f t="shared" si="71"/>
        <v>0</v>
      </c>
      <c r="L181" s="101">
        <f t="shared" si="71"/>
        <v>4105951.5390434694</v>
      </c>
      <c r="M181" s="101">
        <f t="shared" si="71"/>
        <v>302341.41598513222</v>
      </c>
      <c r="N181" s="101">
        <f t="shared" si="71"/>
        <v>2998459.6975802719</v>
      </c>
      <c r="O181" s="101">
        <f t="shared" si="71"/>
        <v>6557848.4121061359</v>
      </c>
      <c r="P181" s="101">
        <f t="shared" si="71"/>
        <v>2280033.5799733186</v>
      </c>
      <c r="Q181" s="101">
        <f t="shared" si="71"/>
        <v>595607.45526868524</v>
      </c>
      <c r="R181" s="101">
        <f t="shared" si="71"/>
        <v>0</v>
      </c>
      <c r="S181" s="101">
        <f t="shared" si="71"/>
        <v>0</v>
      </c>
      <c r="T181" s="101">
        <f t="shared" si="71"/>
        <v>1838.0902047677359</v>
      </c>
      <c r="U181" s="101"/>
      <c r="V181" s="101">
        <f t="shared" si="72"/>
        <v>35951279.322969064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397" t="s">
        <v>2455</v>
      </c>
      <c r="F182" s="101">
        <f>VLOOKUP(C182,'Functional Assignment'!$C$1:$AU$771,8,)</f>
        <v>35933655.745627098</v>
      </c>
      <c r="G182" s="101">
        <f t="shared" si="71"/>
        <v>14709517.663382621</v>
      </c>
      <c r="H182" s="101">
        <f t="shared" si="71"/>
        <v>4082872.288510411</v>
      </c>
      <c r="I182" s="101">
        <f t="shared" si="71"/>
        <v>0</v>
      </c>
      <c r="J182" s="101">
        <f t="shared" si="71"/>
        <v>307441.71318564139</v>
      </c>
      <c r="K182" s="101">
        <f t="shared" si="71"/>
        <v>0</v>
      </c>
      <c r="L182" s="101">
        <f t="shared" si="71"/>
        <v>4103938.771879869</v>
      </c>
      <c r="M182" s="101">
        <f t="shared" si="71"/>
        <v>302193.20603464823</v>
      </c>
      <c r="N182" s="101">
        <f t="shared" si="71"/>
        <v>2996989.8309334596</v>
      </c>
      <c r="O182" s="101">
        <f t="shared" si="71"/>
        <v>6554633.7073483607</v>
      </c>
      <c r="P182" s="101">
        <f t="shared" si="71"/>
        <v>2278915.891009375</v>
      </c>
      <c r="Q182" s="101">
        <f t="shared" si="71"/>
        <v>595315.48418306466</v>
      </c>
      <c r="R182" s="101">
        <f t="shared" si="71"/>
        <v>0</v>
      </c>
      <c r="S182" s="101">
        <f t="shared" si="71"/>
        <v>0</v>
      </c>
      <c r="T182" s="101">
        <f t="shared" si="71"/>
        <v>1837.1891596451349</v>
      </c>
      <c r="U182" s="101"/>
      <c r="V182" s="101">
        <f t="shared" si="72"/>
        <v>35933655.745627098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215133717.18701735</v>
      </c>
      <c r="H183" s="101">
        <f t="shared" si="71"/>
        <v>63734648.606902696</v>
      </c>
      <c r="I183" s="101">
        <f t="shared" si="71"/>
        <v>0</v>
      </c>
      <c r="J183" s="101">
        <f t="shared" si="71"/>
        <v>5363164.4900922701</v>
      </c>
      <c r="K183" s="101">
        <f t="shared" si="71"/>
        <v>0</v>
      </c>
      <c r="L183" s="101">
        <f t="shared" si="71"/>
        <v>75809703.775081843</v>
      </c>
      <c r="M183" s="101">
        <f t="shared" si="71"/>
        <v>5850204.2746286383</v>
      </c>
      <c r="N183" s="101">
        <f t="shared" si="71"/>
        <v>59018115.113687538</v>
      </c>
      <c r="O183" s="101">
        <f t="shared" si="71"/>
        <v>141867453.65974441</v>
      </c>
      <c r="P183" s="101">
        <f t="shared" si="71"/>
        <v>50523777.892294951</v>
      </c>
      <c r="Q183" s="101">
        <f t="shared" si="71"/>
        <v>18652079.557136446</v>
      </c>
      <c r="R183" s="101">
        <f t="shared" si="71"/>
        <v>4366315.119832471</v>
      </c>
      <c r="S183" s="101">
        <f t="shared" si="71"/>
        <v>15776.520661516181</v>
      </c>
      <c r="T183" s="101">
        <f t="shared" si="71"/>
        <v>52590.571051975669</v>
      </c>
      <c r="U183" s="101"/>
      <c r="V183" s="101">
        <f t="shared" si="72"/>
        <v>640387546.76813209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259961942.16347921</v>
      </c>
      <c r="H186" s="100">
        <f t="shared" si="75"/>
        <v>76177471.117332801</v>
      </c>
      <c r="I186" s="100">
        <f>SUM(I180:I185)</f>
        <v>0</v>
      </c>
      <c r="J186" s="100">
        <f>SUM(J180:J185)</f>
        <v>6300113.3827227475</v>
      </c>
      <c r="K186" s="100">
        <f>SUM(K180:K185)</f>
        <v>0</v>
      </c>
      <c r="L186" s="100">
        <f t="shared" si="75"/>
        <v>88316727.782635123</v>
      </c>
      <c r="M186" s="100">
        <f t="shared" si="75"/>
        <v>6771157.9956471333</v>
      </c>
      <c r="N186" s="100">
        <f t="shared" si="75"/>
        <v>68151639.235127583</v>
      </c>
      <c r="O186" s="100">
        <f t="shared" si="75"/>
        <v>161843132.07391632</v>
      </c>
      <c r="P186" s="100">
        <f>SUM(P180:P185)</f>
        <v>57468924.334378183</v>
      </c>
      <c r="Q186" s="100">
        <f t="shared" si="75"/>
        <v>20466342.74833294</v>
      </c>
      <c r="R186" s="100">
        <f t="shared" si="75"/>
        <v>4366315.119832471</v>
      </c>
      <c r="S186" s="100">
        <f t="shared" si="75"/>
        <v>15776.520661516181</v>
      </c>
      <c r="T186" s="100">
        <f t="shared" si="75"/>
        <v>58189.526154215906</v>
      </c>
      <c r="U186" s="100"/>
      <c r="V186" s="102">
        <f t="shared" si="72"/>
        <v>749897732.0002203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0.346663192953093</v>
      </c>
      <c r="H187" s="244">
        <f t="shared" ref="H187:Q187" si="76">H186/$F$186</f>
        <v>0.10158381318762333</v>
      </c>
      <c r="I187" s="244">
        <f>I186/$F$186</f>
        <v>0</v>
      </c>
      <c r="J187" s="244">
        <f t="shared" si="76"/>
        <v>8.4012967553833019E-3</v>
      </c>
      <c r="K187" s="244">
        <f>K186/$F$186</f>
        <v>0</v>
      </c>
      <c r="L187" s="244">
        <f t="shared" si="76"/>
        <v>0.11777169607789822</v>
      </c>
      <c r="M187" s="244">
        <f t="shared" si="76"/>
        <v>9.0294418914780017E-3</v>
      </c>
      <c r="N187" s="244">
        <f t="shared" si="76"/>
        <v>9.0881244637645547E-2</v>
      </c>
      <c r="O187" s="244">
        <f t="shared" si="76"/>
        <v>0.21582027144185145</v>
      </c>
      <c r="P187" s="244">
        <f t="shared" si="76"/>
        <v>7.6635682283089368E-2</v>
      </c>
      <c r="Q187" s="244">
        <f t="shared" si="76"/>
        <v>2.7292178486448507E-2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2424</v>
      </c>
      <c r="C189" s="97" t="s">
        <v>840</v>
      </c>
      <c r="D189" s="97" t="s">
        <v>684</v>
      </c>
      <c r="E189" s="397" t="s">
        <v>2455</v>
      </c>
      <c r="F189" s="100">
        <f>VLOOKUP(C189,'Functional Assignment'!$C$1:$AU$771,13,)</f>
        <v>44026929.480304562</v>
      </c>
      <c r="G189" s="100">
        <f t="shared" ref="G189:T191" si="77">IF(VLOOKUP($E189,$D$5:$AJ$945,3,)=0,0,(VLOOKUP($E189,$D$5:$AJ$945,G$1,)/VLOOKUP($E189,$D$5:$AJ$945,3,))*$F189)</f>
        <v>18022516.312826082</v>
      </c>
      <c r="H189" s="100">
        <f t="shared" si="77"/>
        <v>5002450.3934647059</v>
      </c>
      <c r="I189" s="100">
        <f t="shared" si="77"/>
        <v>0</v>
      </c>
      <c r="J189" s="100">
        <f t="shared" si="77"/>
        <v>376686.26653372071</v>
      </c>
      <c r="K189" s="100">
        <f t="shared" si="77"/>
        <v>0</v>
      </c>
      <c r="L189" s="100">
        <f t="shared" si="77"/>
        <v>5028261.6436272506</v>
      </c>
      <c r="M189" s="100">
        <f t="shared" si="77"/>
        <v>370255.64739912929</v>
      </c>
      <c r="N189" s="100">
        <f t="shared" si="77"/>
        <v>3671996.5503580743</v>
      </c>
      <c r="O189" s="100">
        <f t="shared" si="77"/>
        <v>8030922.2653409531</v>
      </c>
      <c r="P189" s="100">
        <f t="shared" si="77"/>
        <v>2792192.0868634465</v>
      </c>
      <c r="Q189" s="100">
        <f t="shared" si="77"/>
        <v>729397.33786620735</v>
      </c>
      <c r="R189" s="100">
        <f t="shared" si="77"/>
        <v>0</v>
      </c>
      <c r="S189" s="100">
        <f t="shared" si="77"/>
        <v>0</v>
      </c>
      <c r="T189" s="100">
        <f t="shared" si="77"/>
        <v>2250.9760249907122</v>
      </c>
      <c r="U189" s="100"/>
      <c r="V189" s="102">
        <f>SUM(G189:T189)</f>
        <v>44026929.480304562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2423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2423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18022516.312826082</v>
      </c>
      <c r="H192" s="100">
        <f t="shared" si="78"/>
        <v>5002450.3934647059</v>
      </c>
      <c r="I192" s="100">
        <f>SUM(I189:I191)</f>
        <v>0</v>
      </c>
      <c r="J192" s="100">
        <f>SUM(J189:J191)</f>
        <v>376686.26653372071</v>
      </c>
      <c r="K192" s="100">
        <f>SUM(K189:K191)</f>
        <v>0</v>
      </c>
      <c r="L192" s="100">
        <f t="shared" si="78"/>
        <v>5028261.6436272506</v>
      </c>
      <c r="M192" s="100">
        <f t="shared" si="78"/>
        <v>370255.64739912929</v>
      </c>
      <c r="N192" s="100">
        <f t="shared" si="78"/>
        <v>3671996.5503580743</v>
      </c>
      <c r="O192" s="100">
        <f t="shared" si="78"/>
        <v>8030922.2653409531</v>
      </c>
      <c r="P192" s="100">
        <f>SUM(P189:P191)</f>
        <v>2792192.0868634465</v>
      </c>
      <c r="Q192" s="100">
        <f t="shared" si="78"/>
        <v>729397.33786620735</v>
      </c>
      <c r="R192" s="100">
        <f t="shared" si="78"/>
        <v>0</v>
      </c>
      <c r="S192" s="100">
        <f t="shared" si="78"/>
        <v>0</v>
      </c>
      <c r="T192" s="100">
        <f t="shared" si="78"/>
        <v>2250.9760249907122</v>
      </c>
      <c r="U192" s="100"/>
      <c r="V192" s="102">
        <f>SUM(G192:T192)</f>
        <v>44026929.480304562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2429</v>
      </c>
      <c r="F195" s="100">
        <f>VLOOKUP(C195,'Functional Assignment'!$C$1:$AU$771,17,)</f>
        <v>0</v>
      </c>
      <c r="G195" s="100">
        <f t="shared" ref="G195:T195" si="79">IF(VLOOKUP($E195,$D$5:$AJ$945,3,)=0,0,(VLOOKUP($E195,$D$5:$AJ$945,G$1,)/VLOOKUP($E195,$D$5:$AJ$945,3,))*$F195)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2429</v>
      </c>
      <c r="F198" s="100">
        <f>VLOOKUP(C198,'Functional Assignment'!$C$1:$AU$771,18,)</f>
        <v>7273698.7604337949</v>
      </c>
      <c r="G198" s="100">
        <f t="shared" ref="G198:T198" si="80">IF(VLOOKUP($E198,$D$5:$AJ$945,3,)=0,0,(VLOOKUP($E198,$D$5:$AJ$945,G$1,)/VLOOKUP($E198,$D$5:$AJ$945,3,))*$F198)</f>
        <v>3531813.9334207517</v>
      </c>
      <c r="H198" s="100">
        <f t="shared" si="80"/>
        <v>860448.7020052342</v>
      </c>
      <c r="I198" s="100">
        <f t="shared" si="80"/>
        <v>0</v>
      </c>
      <c r="J198" s="100">
        <f t="shared" si="80"/>
        <v>90112.482861659708</v>
      </c>
      <c r="K198" s="100">
        <f t="shared" si="80"/>
        <v>0</v>
      </c>
      <c r="L198" s="100">
        <f t="shared" si="80"/>
        <v>804091.5979050427</v>
      </c>
      <c r="M198" s="100">
        <f t="shared" si="80"/>
        <v>62157.672908464847</v>
      </c>
      <c r="N198" s="100">
        <f t="shared" si="80"/>
        <v>565982.19238381484</v>
      </c>
      <c r="O198" s="100">
        <f t="shared" si="80"/>
        <v>1294637.5210327997</v>
      </c>
      <c r="P198" s="100">
        <f t="shared" si="80"/>
        <v>0</v>
      </c>
      <c r="Q198" s="100">
        <f t="shared" si="80"/>
        <v>0</v>
      </c>
      <c r="R198" s="100">
        <f t="shared" si="80"/>
        <v>63773.823568586406</v>
      </c>
      <c r="S198" s="100">
        <f t="shared" si="80"/>
        <v>267.12627082166858</v>
      </c>
      <c r="T198" s="100">
        <f t="shared" si="80"/>
        <v>413.70807661860971</v>
      </c>
      <c r="U198" s="100"/>
      <c r="V198" s="102">
        <f>SUM(G198:T198)</f>
        <v>7273698.7604337931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2429</v>
      </c>
      <c r="F201" s="100">
        <f>VLOOKUP(C201,'Functional Assignment'!$C$1:$AU$771,19,)</f>
        <v>0</v>
      </c>
      <c r="G201" s="100">
        <f t="shared" ref="G201:T205" si="81">IF(VLOOKUP($E201,$D$5:$AJ$945,3,)=0,0,(VLOOKUP($E201,$D$5:$AJ$945,G$1,)/VLOOKUP($E201,$D$5:$AJ$945,3,))*$F201)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2429</v>
      </c>
      <c r="F202" s="101">
        <f>VLOOKUP(C202,'Functional Assignment'!$C$1:$AU$771,20,)</f>
        <v>13814191.157278344</v>
      </c>
      <c r="G202" s="101">
        <f t="shared" si="81"/>
        <v>6707612.5112038134</v>
      </c>
      <c r="H202" s="101">
        <f t="shared" si="81"/>
        <v>1634162.1012943138</v>
      </c>
      <c r="I202" s="101">
        <f t="shared" si="81"/>
        <v>0</v>
      </c>
      <c r="J202" s="101">
        <f t="shared" si="81"/>
        <v>171141.41029311687</v>
      </c>
      <c r="K202" s="101">
        <f t="shared" si="81"/>
        <v>0</v>
      </c>
      <c r="L202" s="101">
        <f t="shared" si="81"/>
        <v>1527128.8249995101</v>
      </c>
      <c r="M202" s="101">
        <f t="shared" si="81"/>
        <v>118049.70259696394</v>
      </c>
      <c r="N202" s="101">
        <f t="shared" si="81"/>
        <v>1074912.0158420217</v>
      </c>
      <c r="O202" s="101">
        <f t="shared" si="81"/>
        <v>2458772.4600606714</v>
      </c>
      <c r="P202" s="101">
        <f t="shared" si="81"/>
        <v>0</v>
      </c>
      <c r="Q202" s="101">
        <f t="shared" si="81"/>
        <v>0</v>
      </c>
      <c r="R202" s="101">
        <f t="shared" si="81"/>
        <v>121119.0920359829</v>
      </c>
      <c r="S202" s="101">
        <f t="shared" si="81"/>
        <v>507.32556980973453</v>
      </c>
      <c r="T202" s="101">
        <f t="shared" si="81"/>
        <v>785.71338213882689</v>
      </c>
      <c r="U202" s="101"/>
      <c r="V202" s="101">
        <f t="shared" si="82"/>
        <v>13814191.157278342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21347292.750939507</v>
      </c>
      <c r="G203" s="101">
        <f t="shared" si="81"/>
        <v>17057661.910046741</v>
      </c>
      <c r="H203" s="101">
        <f t="shared" si="81"/>
        <v>3300556.6169181871</v>
      </c>
      <c r="I203" s="101">
        <f t="shared" si="81"/>
        <v>0</v>
      </c>
      <c r="J203" s="101">
        <f t="shared" si="81"/>
        <v>23487.982261067398</v>
      </c>
      <c r="K203" s="101">
        <f t="shared" si="81"/>
        <v>0</v>
      </c>
      <c r="L203" s="101">
        <f t="shared" si="81"/>
        <v>178358.15197569391</v>
      </c>
      <c r="M203" s="101">
        <f t="shared" si="81"/>
        <v>6852.3118569387179</v>
      </c>
      <c r="N203" s="101">
        <f t="shared" si="81"/>
        <v>24478.200737503626</v>
      </c>
      <c r="O203" s="101">
        <f t="shared" si="81"/>
        <v>10971.620718913438</v>
      </c>
      <c r="P203" s="101">
        <f t="shared" si="81"/>
        <v>0</v>
      </c>
      <c r="Q203" s="101">
        <f t="shared" si="81"/>
        <v>0</v>
      </c>
      <c r="R203" s="101">
        <f t="shared" si="81"/>
        <v>741493.19903947529</v>
      </c>
      <c r="S203" s="101">
        <f t="shared" si="81"/>
        <v>17.603884025532992</v>
      </c>
      <c r="T203" s="101">
        <f t="shared" si="81"/>
        <v>3415.1535009534009</v>
      </c>
      <c r="U203" s="101"/>
      <c r="V203" s="101">
        <f t="shared" si="82"/>
        <v>21347292.750939503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7132524.2301955046</v>
      </c>
      <c r="G204" s="101">
        <f t="shared" si="81"/>
        <v>5969642.3909109384</v>
      </c>
      <c r="H204" s="101">
        <f t="shared" si="81"/>
        <v>1035901.6223000661</v>
      </c>
      <c r="I204" s="101">
        <f t="shared" si="81"/>
        <v>0</v>
      </c>
      <c r="J204" s="101">
        <f t="shared" si="81"/>
        <v>79084.082961039821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47390.546808541687</v>
      </c>
      <c r="S204" s="101">
        <f t="shared" si="81"/>
        <v>198.50244712943862</v>
      </c>
      <c r="T204" s="101">
        <f t="shared" si="81"/>
        <v>307.08476778734337</v>
      </c>
      <c r="U204" s="101"/>
      <c r="V204" s="101">
        <f t="shared" si="82"/>
        <v>7132524.2301955028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10461859.976506073</v>
      </c>
      <c r="G205" s="101">
        <f t="shared" si="81"/>
        <v>8446915.083113119</v>
      </c>
      <c r="H205" s="101">
        <f t="shared" si="81"/>
        <v>1634428.0720967019</v>
      </c>
      <c r="I205" s="101">
        <f t="shared" si="81"/>
        <v>0</v>
      </c>
      <c r="J205" s="101">
        <f t="shared" si="81"/>
        <v>11631.194983179255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367185.73272362258</v>
      </c>
      <c r="S205" s="101">
        <f t="shared" si="81"/>
        <v>8.7174030228062627</v>
      </c>
      <c r="T205" s="101">
        <f t="shared" si="81"/>
        <v>1691.1761864244154</v>
      </c>
      <c r="U205" s="101"/>
      <c r="V205" s="101">
        <f t="shared" si="82"/>
        <v>10461859.976506067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52755868.114919424</v>
      </c>
      <c r="G206" s="100">
        <f t="shared" ref="G206:T206" si="85">SUM(G201:G205)</f>
        <v>38181831.895274609</v>
      </c>
      <c r="H206" s="100">
        <f t="shared" si="85"/>
        <v>7605048.4126092689</v>
      </c>
      <c r="I206" s="100">
        <f>SUM(I201:I205)</f>
        <v>0</v>
      </c>
      <c r="J206" s="100">
        <f>SUM(J201:J205)</f>
        <v>285344.67049840337</v>
      </c>
      <c r="K206" s="100">
        <f>SUM(K201:K205)</f>
        <v>0</v>
      </c>
      <c r="L206" s="100">
        <f t="shared" si="85"/>
        <v>1705486.976975204</v>
      </c>
      <c r="M206" s="100">
        <f t="shared" si="85"/>
        <v>124902.01445390265</v>
      </c>
      <c r="N206" s="100">
        <f t="shared" si="85"/>
        <v>1099390.2165795253</v>
      </c>
      <c r="O206" s="100">
        <f t="shared" si="85"/>
        <v>2469744.0807795851</v>
      </c>
      <c r="P206" s="100">
        <f>SUM(P201:P205)</f>
        <v>0</v>
      </c>
      <c r="Q206" s="100">
        <f t="shared" si="85"/>
        <v>0</v>
      </c>
      <c r="R206" s="100">
        <f t="shared" si="85"/>
        <v>1277188.5706076224</v>
      </c>
      <c r="S206" s="100">
        <f t="shared" si="85"/>
        <v>732.14930398751233</v>
      </c>
      <c r="T206" s="100">
        <f t="shared" si="85"/>
        <v>6199.1278373039868</v>
      </c>
      <c r="U206" s="100"/>
      <c r="V206" s="102">
        <f t="shared" si="82"/>
        <v>52755868.114919409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2332</v>
      </c>
      <c r="F209" s="100">
        <f>VLOOKUP(C209,'Functional Assignment'!$C$1:$AU$771,24,)</f>
        <v>1406013.0594503474</v>
      </c>
      <c r="G209" s="100">
        <f t="shared" ref="G209:T210" si="86">IF(VLOOKUP($E209,$D$5:$AJ$945,3,)=0,0,(VLOOKUP($E209,$D$5:$AJ$945,G$1,)/VLOOKUP($E209,$D$5:$AJ$945,3,))*$F209)</f>
        <v>982451.97895945329</v>
      </c>
      <c r="H209" s="100">
        <f t="shared" si="86"/>
        <v>170483.17674531729</v>
      </c>
      <c r="I209" s="100">
        <f t="shared" si="86"/>
        <v>0</v>
      </c>
      <c r="J209" s="100">
        <f t="shared" si="86"/>
        <v>13015.237550504438</v>
      </c>
      <c r="K209" s="100">
        <f t="shared" si="86"/>
        <v>0</v>
      </c>
      <c r="L209" s="100">
        <f t="shared" si="86"/>
        <v>141933.62079311963</v>
      </c>
      <c r="M209" s="100">
        <f t="shared" si="86"/>
        <v>0</v>
      </c>
      <c r="N209" s="100">
        <f t="shared" si="86"/>
        <v>90246.554529886678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7799.2840185721261</v>
      </c>
      <c r="S209" s="100">
        <f t="shared" si="86"/>
        <v>32.668476474828211</v>
      </c>
      <c r="T209" s="100">
        <f t="shared" si="86"/>
        <v>50.538377019086781</v>
      </c>
      <c r="U209" s="100"/>
      <c r="V209" s="102">
        <f>SUM(G209:T209)</f>
        <v>1406013.0594503477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2331</v>
      </c>
      <c r="F210" s="101">
        <f>VLOOKUP(C210,'Functional Assignment'!$C$1:$AU$771,25,)</f>
        <v>1251182.0854708615</v>
      </c>
      <c r="G210" s="101">
        <f t="shared" si="86"/>
        <v>1000598.804574754</v>
      </c>
      <c r="H210" s="101">
        <f t="shared" si="86"/>
        <v>193609.94623621207</v>
      </c>
      <c r="I210" s="101">
        <f t="shared" si="86"/>
        <v>0</v>
      </c>
      <c r="J210" s="101">
        <f t="shared" si="86"/>
        <v>1377.8000230180819</v>
      </c>
      <c r="K210" s="101">
        <f t="shared" si="86"/>
        <v>0</v>
      </c>
      <c r="L210" s="101">
        <f t="shared" si="86"/>
        <v>10462.451102277273</v>
      </c>
      <c r="M210" s="101">
        <f t="shared" si="86"/>
        <v>0</v>
      </c>
      <c r="N210" s="101">
        <f t="shared" si="86"/>
        <v>1435.8860273611715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43495.832692182601</v>
      </c>
      <c r="S210" s="101">
        <f t="shared" si="86"/>
        <v>1.0326400772104793</v>
      </c>
      <c r="T210" s="101">
        <f t="shared" si="86"/>
        <v>200.332174978833</v>
      </c>
      <c r="U210" s="101"/>
      <c r="V210" s="101">
        <f>SUM(G210:T210)</f>
        <v>1251182.0854708615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2657195.1449212087</v>
      </c>
      <c r="G211" s="100">
        <f t="shared" si="87"/>
        <v>1983050.7835342074</v>
      </c>
      <c r="H211" s="100">
        <f t="shared" si="87"/>
        <v>364093.12298152933</v>
      </c>
      <c r="I211" s="100">
        <f>I209+I210</f>
        <v>0</v>
      </c>
      <c r="J211" s="100">
        <f>J209+J210</f>
        <v>14393.037573522521</v>
      </c>
      <c r="K211" s="100">
        <f>K209+K210</f>
        <v>0</v>
      </c>
      <c r="L211" s="100">
        <f t="shared" si="87"/>
        <v>152396.07189539689</v>
      </c>
      <c r="M211" s="100">
        <f t="shared" si="87"/>
        <v>0</v>
      </c>
      <c r="N211" s="100">
        <f t="shared" si="87"/>
        <v>91682.440557247843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51295.11671075473</v>
      </c>
      <c r="S211" s="100">
        <f t="shared" si="87"/>
        <v>33.701116552038691</v>
      </c>
      <c r="T211" s="100">
        <f t="shared" si="87"/>
        <v>250.87055199791979</v>
      </c>
      <c r="U211" s="100"/>
      <c r="V211" s="102">
        <f>SUM(G211:T211)</f>
        <v>2657195.1449212083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790358.70275707357</v>
      </c>
      <c r="G214" s="100">
        <f t="shared" ref="G214:T214" si="88">IF(VLOOKUP($E214,$D$5:$AJ$945,3,)=0,0,(VLOOKUP($E214,$D$5:$AJ$945,G$1,)/VLOOKUP($E214,$D$5:$AJ$945,3,))*$F214)</f>
        <v>554282.06394605455</v>
      </c>
      <c r="H214" s="100">
        <f t="shared" si="88"/>
        <v>217125.3886826036</v>
      </c>
      <c r="I214" s="100">
        <f t="shared" si="88"/>
        <v>0</v>
      </c>
      <c r="J214" s="100">
        <f t="shared" si="88"/>
        <v>2056.2756907545909</v>
      </c>
      <c r="K214" s="100">
        <f t="shared" si="88"/>
        <v>0</v>
      </c>
      <c r="L214" s="100">
        <f t="shared" si="88"/>
        <v>14751.744689176916</v>
      </c>
      <c r="M214" s="100">
        <f t="shared" si="88"/>
        <v>0</v>
      </c>
      <c r="N214" s="100">
        <f t="shared" si="88"/>
        <v>2143.2297484838878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790358.70275707357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17921938.677439213</v>
      </c>
      <c r="G217" s="100">
        <f t="shared" ref="G217:T217" si="89">IF(VLOOKUP($E217,$D$5:$AJ$945,3,)=0,0,(VLOOKUP($E217,$D$5:$AJ$945,G$1,)/VLOOKUP($E217,$D$5:$AJ$945,3,))*$F217)</f>
        <v>11137577.418510895</v>
      </c>
      <c r="H217" s="100">
        <f t="shared" si="89"/>
        <v>4151182.6266227714</v>
      </c>
      <c r="I217" s="100">
        <f t="shared" si="89"/>
        <v>0</v>
      </c>
      <c r="J217" s="100">
        <f t="shared" si="89"/>
        <v>88053.24077402633</v>
      </c>
      <c r="K217" s="100">
        <f t="shared" si="89"/>
        <v>0</v>
      </c>
      <c r="L217" s="100">
        <f t="shared" si="89"/>
        <v>1125176.3783797205</v>
      </c>
      <c r="M217" s="100">
        <f t="shared" si="89"/>
        <v>248077.71766855347</v>
      </c>
      <c r="N217" s="100">
        <f t="shared" si="89"/>
        <v>208667.14136346686</v>
      </c>
      <c r="O217" s="100">
        <f t="shared" si="89"/>
        <v>551197.81295883411</v>
      </c>
      <c r="P217" s="100">
        <f t="shared" si="89"/>
        <v>375923.25913650187</v>
      </c>
      <c r="Q217" s="100">
        <f t="shared" si="89"/>
        <v>15910.723183290036</v>
      </c>
      <c r="R217" s="100">
        <f t="shared" si="89"/>
        <v>0</v>
      </c>
      <c r="S217" s="100">
        <f t="shared" si="89"/>
        <v>103.44799405720423</v>
      </c>
      <c r="T217" s="100">
        <f t="shared" si="89"/>
        <v>20068.910847097621</v>
      </c>
      <c r="U217" s="100"/>
      <c r="V217" s="102">
        <f>SUM(G217:T217)</f>
        <v>17921938.677439213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792592.22267536237</v>
      </c>
      <c r="G220" s="100">
        <f t="shared" ref="G220:T220" si="90">IF(VLOOKUP($E220,$D$5:$AJ$945,3,)=0,0,(VLOOKUP($E220,$D$5:$AJ$945,G$1,)/VLOOKUP($E220,$D$5:$AJ$945,3,))*$F220)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792592.22267536237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792592.22267536237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IF(VLOOKUP($E223,$D$5:$AJ$945,3,)=0,0,(VLOOKUP($E223,$D$5:$AJ$945,G$1,)/VLOOKUP($E223,$D$5:$AJ$945,3,))*$F223)</f>
        <v>33007707.002699856</v>
      </c>
      <c r="H223" s="100">
        <f t="shared" si="91"/>
        <v>12773591.871098267</v>
      </c>
      <c r="I223" s="100">
        <f t="shared" si="91"/>
        <v>0</v>
      </c>
      <c r="J223" s="100">
        <f t="shared" si="91"/>
        <v>454508.03319140233</v>
      </c>
      <c r="K223" s="100">
        <f t="shared" si="91"/>
        <v>0</v>
      </c>
      <c r="L223" s="100">
        <f t="shared" si="91"/>
        <v>1725674.2609282332</v>
      </c>
      <c r="M223" s="100">
        <f t="shared" si="91"/>
        <v>66298.389327245022</v>
      </c>
      <c r="N223" s="100">
        <f t="shared" si="91"/>
        <v>1184173.54347507</v>
      </c>
      <c r="O223" s="100">
        <f t="shared" si="91"/>
        <v>530770.34230193263</v>
      </c>
      <c r="P223" s="100">
        <f t="shared" si="91"/>
        <v>45987.322076701748</v>
      </c>
      <c r="Q223" s="100">
        <f t="shared" si="91"/>
        <v>3832.2768397251452</v>
      </c>
      <c r="R223" s="100">
        <f t="shared" si="91"/>
        <v>1434804.4487930946</v>
      </c>
      <c r="S223" s="100">
        <f t="shared" si="91"/>
        <v>0</v>
      </c>
      <c r="T223" s="100">
        <f t="shared" si="91"/>
        <v>6591.5161643272504</v>
      </c>
      <c r="U223" s="100"/>
      <c r="V223" s="102">
        <f>SUM(G223:T223)</f>
        <v>51233939.006895863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IF(VLOOKUP($E226,$D$5:$AJ$945,3,)=0,0,(VLOOKUP($E226,$D$5:$AJ$945,G$1,)/VLOOKUP($E226,$D$5:$AJ$945,3,))*$F226)</f>
        <v>4138683.5991828409</v>
      </c>
      <c r="H226" s="100">
        <f t="shared" si="92"/>
        <v>1601621.5599358508</v>
      </c>
      <c r="I226" s="100">
        <f t="shared" si="92"/>
        <v>0</v>
      </c>
      <c r="J226" s="100">
        <f t="shared" si="92"/>
        <v>56988.658512760245</v>
      </c>
      <c r="K226" s="100">
        <f t="shared" si="92"/>
        <v>0</v>
      </c>
      <c r="L226" s="100">
        <f t="shared" si="92"/>
        <v>216374.30799574987</v>
      </c>
      <c r="M226" s="100">
        <f t="shared" si="92"/>
        <v>8312.8481641716025</v>
      </c>
      <c r="N226" s="100">
        <f t="shared" si="92"/>
        <v>148478.0394641055</v>
      </c>
      <c r="O226" s="100">
        <f t="shared" si="92"/>
        <v>66550.836458830468</v>
      </c>
      <c r="P226" s="100">
        <f t="shared" si="92"/>
        <v>5766.1374549167194</v>
      </c>
      <c r="Q226" s="100">
        <f t="shared" si="92"/>
        <v>480.51145457639319</v>
      </c>
      <c r="R226" s="100">
        <f t="shared" si="92"/>
        <v>179903.48859340162</v>
      </c>
      <c r="S226" s="100">
        <f t="shared" si="92"/>
        <v>0</v>
      </c>
      <c r="T226" s="100">
        <f t="shared" si="92"/>
        <v>826.4797018713964</v>
      </c>
      <c r="U226" s="100"/>
      <c r="V226" s="102">
        <f>SUM(G226:T226)</f>
        <v>6423986.4669190748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IF(VLOOKUP($E229,$D$5:$AJ$945,3,)=0,0,(VLOOKUP($E229,$D$5:$AJ$945,G$1,)/VLOOKUP($E229,$D$5:$AJ$945,3,))*$F229)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933774238.57748592</v>
      </c>
      <c r="G231" s="100">
        <f>G186+G192+G195+G198+G206+G211+G214+G217+G220+G223+G226+G229</f>
        <v>370519405.17287457</v>
      </c>
      <c r="H231" s="100">
        <f t="shared" ref="H231:T231" si="94">H186+H192+H195+H198+H206+H211+H214+H217+H220+H223+H226+H229</f>
        <v>108753033.19473302</v>
      </c>
      <c r="I231" s="100">
        <f>I186+I192+I195+I198+I206+I211+I214+I217+I220+I223+I226+I229</f>
        <v>0</v>
      </c>
      <c r="J231" s="100">
        <f>J186+J192+J195+J198+J206+J211+J214+J217+J220+J223+J226+J229</f>
        <v>7668256.0483589973</v>
      </c>
      <c r="K231" s="100">
        <f>K186+K192+K195+K198+K206+K211+K214+K217+K220+K223+K226+K229</f>
        <v>0</v>
      </c>
      <c r="L231" s="100">
        <f t="shared" si="94"/>
        <v>99088940.765030891</v>
      </c>
      <c r="M231" s="100">
        <f t="shared" si="94"/>
        <v>7651162.2855686005</v>
      </c>
      <c r="N231" s="100">
        <f t="shared" si="94"/>
        <v>75124152.589057371</v>
      </c>
      <c r="O231" s="100">
        <f>O186+O192+O195+O198+O206+O211+O214+O217+O220+O223+O226+O229</f>
        <v>174786954.93278927</v>
      </c>
      <c r="P231" s="100">
        <f>P186+P192+P195+P198+P206+P211+P214+P217+P220+P223+P226+P229</f>
        <v>60688793.139909752</v>
      </c>
      <c r="Q231" s="100">
        <f t="shared" si="94"/>
        <v>21215963.597676735</v>
      </c>
      <c r="R231" s="100">
        <f t="shared" si="94"/>
        <v>8165872.7907812931</v>
      </c>
      <c r="S231" s="100">
        <f t="shared" si="94"/>
        <v>16912.945346934604</v>
      </c>
      <c r="T231" s="100">
        <f t="shared" si="94"/>
        <v>94791.115358423413</v>
      </c>
      <c r="U231" s="100"/>
      <c r="V231" s="102">
        <f>SUM(G231:T231)</f>
        <v>933774238.5774858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397" t="s">
        <v>2455</v>
      </c>
      <c r="F237" s="100">
        <f>VLOOKUP(C237,'Functional Assignment'!$C$1:$AU$771,6,)</f>
        <v>18742668.338841524</v>
      </c>
      <c r="G237" s="100">
        <f t="shared" ref="G237:T242" si="95">IF(VLOOKUP($E237,$D$5:$AJ$945,3,)=0,0,(VLOOKUP($E237,$D$5:$AJ$945,G$1,)/VLOOKUP($E237,$D$5:$AJ$945,3,))*$F237)</f>
        <v>7672350.7605446475</v>
      </c>
      <c r="H237" s="100">
        <f t="shared" si="95"/>
        <v>2129589.0881547728</v>
      </c>
      <c r="I237" s="100">
        <f t="shared" si="95"/>
        <v>0</v>
      </c>
      <c r="J237" s="100">
        <f t="shared" si="95"/>
        <v>160358.80414045963</v>
      </c>
      <c r="K237" s="100">
        <f t="shared" si="95"/>
        <v>0</v>
      </c>
      <c r="L237" s="100">
        <f t="shared" si="95"/>
        <v>2140577.1744673522</v>
      </c>
      <c r="M237" s="100">
        <f t="shared" si="95"/>
        <v>157621.23049915055</v>
      </c>
      <c r="N237" s="100">
        <f t="shared" si="95"/>
        <v>1563202.6647581577</v>
      </c>
      <c r="O237" s="100">
        <f t="shared" si="95"/>
        <v>3418837.3854606152</v>
      </c>
      <c r="P237" s="100">
        <f t="shared" si="95"/>
        <v>1188661.8222111214</v>
      </c>
      <c r="Q237" s="100">
        <f t="shared" si="95"/>
        <v>310511.14743252564</v>
      </c>
      <c r="R237" s="100">
        <f t="shared" si="95"/>
        <v>0</v>
      </c>
      <c r="S237" s="100">
        <f t="shared" si="95"/>
        <v>0</v>
      </c>
      <c r="T237" s="100">
        <f t="shared" si="95"/>
        <v>958.26117272062186</v>
      </c>
      <c r="U237" s="100"/>
      <c r="V237" s="102">
        <f t="shared" ref="V237:V243" si="96">SUM(G237:T237)</f>
        <v>18742668.33884152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397" t="s">
        <v>2455</v>
      </c>
      <c r="F238" s="101">
        <f>VLOOKUP(C238,'Functional Assignment'!$C$1:$AU$771,7,)</f>
        <v>17681329.098344762</v>
      </c>
      <c r="G238" s="101">
        <f t="shared" si="95"/>
        <v>7237889.3070414625</v>
      </c>
      <c r="H238" s="101">
        <f t="shared" si="95"/>
        <v>2008997.0558714932</v>
      </c>
      <c r="I238" s="101">
        <f t="shared" si="95"/>
        <v>0</v>
      </c>
      <c r="J238" s="101">
        <f t="shared" si="95"/>
        <v>151278.18187704906</v>
      </c>
      <c r="K238" s="101">
        <f t="shared" si="95"/>
        <v>0</v>
      </c>
      <c r="L238" s="101">
        <f t="shared" si="95"/>
        <v>2019362.9208988922</v>
      </c>
      <c r="M238" s="101">
        <f t="shared" si="95"/>
        <v>148695.62854964321</v>
      </c>
      <c r="N238" s="101">
        <f t="shared" si="95"/>
        <v>1474683.3408837277</v>
      </c>
      <c r="O238" s="101">
        <f t="shared" si="95"/>
        <v>3225239.2163809724</v>
      </c>
      <c r="P238" s="101">
        <f t="shared" si="95"/>
        <v>1121351.5858677393</v>
      </c>
      <c r="Q238" s="101">
        <f t="shared" si="95"/>
        <v>292927.86316243833</v>
      </c>
      <c r="R238" s="101">
        <f t="shared" si="95"/>
        <v>0</v>
      </c>
      <c r="S238" s="101">
        <f t="shared" si="95"/>
        <v>0</v>
      </c>
      <c r="T238" s="101">
        <f t="shared" si="95"/>
        <v>903.99781134292675</v>
      </c>
      <c r="U238" s="101"/>
      <c r="V238" s="101">
        <f t="shared" si="96"/>
        <v>17681329.098344762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397" t="s">
        <v>2455</v>
      </c>
      <c r="F239" s="101">
        <f>VLOOKUP(C239,'Functional Assignment'!$C$1:$AU$771,8,)</f>
        <v>18132161.576938502</v>
      </c>
      <c r="G239" s="101">
        <f t="shared" si="95"/>
        <v>7422438.5317027532</v>
      </c>
      <c r="H239" s="101">
        <f t="shared" si="95"/>
        <v>2060221.7753000152</v>
      </c>
      <c r="I239" s="101">
        <f t="shared" si="95"/>
        <v>0</v>
      </c>
      <c r="J239" s="101">
        <f t="shared" si="95"/>
        <v>155135.42118940197</v>
      </c>
      <c r="K239" s="101">
        <f t="shared" si="95"/>
        <v>0</v>
      </c>
      <c r="L239" s="101">
        <f t="shared" si="95"/>
        <v>2070851.9456065637</v>
      </c>
      <c r="M239" s="101">
        <f t="shared" si="95"/>
        <v>152487.01880103361</v>
      </c>
      <c r="N239" s="101">
        <f t="shared" si="95"/>
        <v>1512284.3120558409</v>
      </c>
      <c r="O239" s="101">
        <f t="shared" si="95"/>
        <v>3307475.2622059942</v>
      </c>
      <c r="P239" s="101">
        <f t="shared" si="95"/>
        <v>1149943.4248646786</v>
      </c>
      <c r="Q239" s="101">
        <f t="shared" si="95"/>
        <v>300396.83757404255</v>
      </c>
      <c r="R239" s="101">
        <f t="shared" si="95"/>
        <v>0</v>
      </c>
      <c r="S239" s="101">
        <f t="shared" si="95"/>
        <v>0</v>
      </c>
      <c r="T239" s="101">
        <f t="shared" si="95"/>
        <v>927.04763817801472</v>
      </c>
      <c r="U239" s="101"/>
      <c r="V239" s="101">
        <f t="shared" si="96"/>
        <v>18132161.576938499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13040849.56225881</v>
      </c>
      <c r="H240" s="101">
        <f t="shared" si="95"/>
        <v>3863429.5695431032</v>
      </c>
      <c r="I240" s="101">
        <f t="shared" si="95"/>
        <v>0</v>
      </c>
      <c r="J240" s="101">
        <f t="shared" si="95"/>
        <v>325101.16130305233</v>
      </c>
      <c r="K240" s="101">
        <f t="shared" si="95"/>
        <v>0</v>
      </c>
      <c r="L240" s="101">
        <f t="shared" si="95"/>
        <v>4595388.185622382</v>
      </c>
      <c r="M240" s="101">
        <f t="shared" si="95"/>
        <v>354624.2534711312</v>
      </c>
      <c r="N240" s="101">
        <f t="shared" si="95"/>
        <v>3577525.5069692903</v>
      </c>
      <c r="O240" s="101">
        <f t="shared" si="95"/>
        <v>8599638.1466749273</v>
      </c>
      <c r="P240" s="101">
        <f t="shared" si="95"/>
        <v>3062620.7524580299</v>
      </c>
      <c r="Q240" s="101">
        <f t="shared" si="95"/>
        <v>1130640.8251964052</v>
      </c>
      <c r="R240" s="101">
        <f t="shared" si="95"/>
        <v>264674.73050564423</v>
      </c>
      <c r="S240" s="101">
        <f t="shared" si="95"/>
        <v>956.33188164479918</v>
      </c>
      <c r="T240" s="101">
        <f t="shared" si="95"/>
        <v>3187.904408707373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35373528.161547676</v>
      </c>
      <c r="H243" s="100">
        <f t="shared" si="99"/>
        <v>10062237.488869384</v>
      </c>
      <c r="I243" s="100">
        <f>SUM(I237:I242)</f>
        <v>0</v>
      </c>
      <c r="J243" s="100">
        <f>SUM(J237:J242)</f>
        <v>791873.56850996299</v>
      </c>
      <c r="K243" s="100">
        <f>SUM(K237:K242)</f>
        <v>0</v>
      </c>
      <c r="L243" s="100">
        <f t="shared" si="99"/>
        <v>10826180.226595189</v>
      </c>
      <c r="M243" s="100">
        <f t="shared" si="99"/>
        <v>813428.13132095861</v>
      </c>
      <c r="N243" s="100">
        <f t="shared" si="99"/>
        <v>8127695.824667016</v>
      </c>
      <c r="O243" s="100">
        <f t="shared" si="99"/>
        <v>18551190.010722511</v>
      </c>
      <c r="P243" s="100">
        <f>SUM(P237:P242)</f>
        <v>6522577.5854015686</v>
      </c>
      <c r="Q243" s="100">
        <f t="shared" si="99"/>
        <v>2034476.6733654118</v>
      </c>
      <c r="R243" s="100">
        <f t="shared" si="99"/>
        <v>264674.73050564423</v>
      </c>
      <c r="S243" s="100">
        <f t="shared" si="99"/>
        <v>956.33188164479918</v>
      </c>
      <c r="T243" s="100">
        <f t="shared" si="99"/>
        <v>5977.2110309489362</v>
      </c>
      <c r="U243" s="100"/>
      <c r="V243" s="102">
        <f t="shared" si="96"/>
        <v>93374795.944417909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2424</v>
      </c>
      <c r="C246" s="97" t="s">
        <v>1054</v>
      </c>
      <c r="D246" s="97" t="s">
        <v>1705</v>
      </c>
      <c r="E246" s="397" t="s">
        <v>2455</v>
      </c>
      <c r="F246" s="100">
        <f>VLOOKUP(C246,'Functional Assignment'!$C$1:$AU$771,13,)</f>
        <v>11565291.387347333</v>
      </c>
      <c r="G246" s="100">
        <f t="shared" ref="G246:T248" si="100">IF(VLOOKUP($E246,$D$5:$AJ$945,3,)=0,0,(VLOOKUP($E246,$D$5:$AJ$945,G$1,)/VLOOKUP($E246,$D$5:$AJ$945,3,))*$F246)</f>
        <v>4734276.3883703938</v>
      </c>
      <c r="H246" s="100">
        <f t="shared" si="100"/>
        <v>1314077.477900224</v>
      </c>
      <c r="I246" s="100">
        <f t="shared" si="100"/>
        <v>0</v>
      </c>
      <c r="J246" s="100">
        <f t="shared" si="100"/>
        <v>98950.494288349946</v>
      </c>
      <c r="K246" s="100">
        <f t="shared" si="100"/>
        <v>0</v>
      </c>
      <c r="L246" s="100">
        <f t="shared" si="100"/>
        <v>1320857.7515355928</v>
      </c>
      <c r="M246" s="100">
        <f t="shared" si="100"/>
        <v>97261.255793399454</v>
      </c>
      <c r="N246" s="100">
        <f t="shared" si="100"/>
        <v>964584.87065792945</v>
      </c>
      <c r="O246" s="100">
        <f t="shared" si="100"/>
        <v>2109616.9368193955</v>
      </c>
      <c r="P246" s="100">
        <f t="shared" si="100"/>
        <v>733471.88811945752</v>
      </c>
      <c r="Q246" s="100">
        <f t="shared" si="100"/>
        <v>191603.02226735631</v>
      </c>
      <c r="R246" s="100">
        <f t="shared" si="100"/>
        <v>0</v>
      </c>
      <c r="S246" s="100">
        <f t="shared" si="100"/>
        <v>0</v>
      </c>
      <c r="T246" s="100">
        <f t="shared" si="100"/>
        <v>591.30159523380712</v>
      </c>
      <c r="U246" s="100"/>
      <c r="V246" s="102">
        <f>SUM(G246:T246)</f>
        <v>11565291.387347331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2423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2423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4734276.3883703938</v>
      </c>
      <c r="H249" s="100">
        <f t="shared" si="101"/>
        <v>1314077.477900224</v>
      </c>
      <c r="I249" s="100">
        <f>SUM(I246:I248)</f>
        <v>0</v>
      </c>
      <c r="J249" s="100">
        <f>SUM(J246:J248)</f>
        <v>98950.494288349946</v>
      </c>
      <c r="K249" s="100">
        <f>SUM(K246:K248)</f>
        <v>0</v>
      </c>
      <c r="L249" s="100">
        <f t="shared" si="101"/>
        <v>1320857.7515355928</v>
      </c>
      <c r="M249" s="100">
        <f t="shared" si="101"/>
        <v>97261.255793399454</v>
      </c>
      <c r="N249" s="100">
        <f t="shared" si="101"/>
        <v>964584.87065792945</v>
      </c>
      <c r="O249" s="100">
        <f t="shared" si="101"/>
        <v>2109616.9368193955</v>
      </c>
      <c r="P249" s="100">
        <f>SUM(P246:P248)</f>
        <v>733471.88811945752</v>
      </c>
      <c r="Q249" s="100">
        <f t="shared" si="101"/>
        <v>191603.02226735631</v>
      </c>
      <c r="R249" s="100">
        <f t="shared" si="101"/>
        <v>0</v>
      </c>
      <c r="S249" s="100">
        <f t="shared" si="101"/>
        <v>0</v>
      </c>
      <c r="T249" s="100">
        <f t="shared" si="101"/>
        <v>591.30159523380712</v>
      </c>
      <c r="U249" s="100"/>
      <c r="V249" s="102">
        <f>SUM(G249:T249)</f>
        <v>11565291.387347331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2429</v>
      </c>
      <c r="F252" s="100">
        <f>VLOOKUP(C252,'Functional Assignment'!$C$1:$AU$771,17,)</f>
        <v>0</v>
      </c>
      <c r="G252" s="100">
        <f t="shared" ref="G252:T252" si="102">IF(VLOOKUP($E252,$D$5:$AJ$945,3,)=0,0,(VLOOKUP($E252,$D$5:$AJ$945,G$1,)/VLOOKUP($E252,$D$5:$AJ$945,3,))*$F252)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2429</v>
      </c>
      <c r="F255" s="100">
        <f>VLOOKUP(C255,'Functional Assignment'!$C$1:$AU$771,18,)</f>
        <v>4046690.3513230029</v>
      </c>
      <c r="G255" s="100">
        <f t="shared" ref="G255:T255" si="103">IF(VLOOKUP($E255,$D$5:$AJ$945,3,)=0,0,(VLOOKUP($E255,$D$5:$AJ$945,G$1,)/VLOOKUP($E255,$D$5:$AJ$945,3,))*$F255)</f>
        <v>1964909.1662670851</v>
      </c>
      <c r="H255" s="100">
        <f t="shared" si="103"/>
        <v>478706.8553283505</v>
      </c>
      <c r="I255" s="100">
        <f t="shared" si="103"/>
        <v>0</v>
      </c>
      <c r="J255" s="100">
        <f t="shared" si="103"/>
        <v>50133.683967452351</v>
      </c>
      <c r="K255" s="100">
        <f t="shared" si="103"/>
        <v>0</v>
      </c>
      <c r="L255" s="100">
        <f t="shared" si="103"/>
        <v>447352.82804428</v>
      </c>
      <c r="M255" s="100">
        <f t="shared" si="103"/>
        <v>34581.148258107787</v>
      </c>
      <c r="N255" s="100">
        <f t="shared" si="103"/>
        <v>314881.70631960966</v>
      </c>
      <c r="O255" s="100">
        <f t="shared" si="103"/>
        <v>720265.89736192406</v>
      </c>
      <c r="P255" s="100">
        <f t="shared" si="103"/>
        <v>0</v>
      </c>
      <c r="Q255" s="100">
        <f t="shared" si="103"/>
        <v>0</v>
      </c>
      <c r="R255" s="100">
        <f t="shared" si="103"/>
        <v>35480.286577964216</v>
      </c>
      <c r="S255" s="100">
        <f t="shared" si="103"/>
        <v>148.61452726074589</v>
      </c>
      <c r="T255" s="100">
        <f t="shared" si="103"/>
        <v>230.16467096818306</v>
      </c>
      <c r="U255" s="100"/>
      <c r="V255" s="102">
        <f>SUM(G255:T255)</f>
        <v>4046690.3513230025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2429</v>
      </c>
      <c r="F258" s="100">
        <f>VLOOKUP(C258,'Functional Assignment'!$C$1:$AU$771,19,)</f>
        <v>0</v>
      </c>
      <c r="G258" s="100">
        <f t="shared" ref="G258:T262" si="104">IF(VLOOKUP($E258,$D$5:$AJ$945,3,)=0,0,(VLOOKUP($E258,$D$5:$AJ$945,G$1,)/VLOOKUP($E258,$D$5:$AJ$945,3,))*$F258)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2429</v>
      </c>
      <c r="F259" s="101">
        <f>VLOOKUP(C259,'Functional Assignment'!$C$1:$AU$771,20,)</f>
        <v>4830954.0465032104</v>
      </c>
      <c r="G259" s="101">
        <f t="shared" si="104"/>
        <v>2345715.897112275</v>
      </c>
      <c r="H259" s="101">
        <f t="shared" si="104"/>
        <v>571482.0307615702</v>
      </c>
      <c r="I259" s="101">
        <f t="shared" si="104"/>
        <v>0</v>
      </c>
      <c r="J259" s="101">
        <f t="shared" si="104"/>
        <v>59849.779054504535</v>
      </c>
      <c r="K259" s="101">
        <f t="shared" si="104"/>
        <v>0</v>
      </c>
      <c r="L259" s="101">
        <f t="shared" si="104"/>
        <v>534051.47595457057</v>
      </c>
      <c r="M259" s="101">
        <f t="shared" si="104"/>
        <v>41283.103871690008</v>
      </c>
      <c r="N259" s="101">
        <f t="shared" si="104"/>
        <v>375906.95636428613</v>
      </c>
      <c r="O259" s="101">
        <f t="shared" si="104"/>
        <v>859856.11680944683</v>
      </c>
      <c r="P259" s="101">
        <f t="shared" si="104"/>
        <v>0</v>
      </c>
      <c r="Q259" s="101">
        <f t="shared" si="104"/>
        <v>0</v>
      </c>
      <c r="R259" s="101">
        <f t="shared" si="104"/>
        <v>42356.498554151047</v>
      </c>
      <c r="S259" s="101">
        <f t="shared" si="104"/>
        <v>177.41657737779204</v>
      </c>
      <c r="T259" s="101">
        <f t="shared" si="104"/>
        <v>274.7714433382086</v>
      </c>
      <c r="U259" s="101"/>
      <c r="V259" s="101">
        <f t="shared" si="105"/>
        <v>4830954.0465032104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7668802.5696673645</v>
      </c>
      <c r="G260" s="101">
        <f t="shared" si="104"/>
        <v>6127795.3609610042</v>
      </c>
      <c r="H260" s="101">
        <f t="shared" si="104"/>
        <v>1185692.1325089736</v>
      </c>
      <c r="I260" s="101">
        <f t="shared" si="104"/>
        <v>0</v>
      </c>
      <c r="J260" s="101">
        <f t="shared" si="104"/>
        <v>8437.8239817809099</v>
      </c>
      <c r="K260" s="101">
        <f t="shared" si="104"/>
        <v>0</v>
      </c>
      <c r="L260" s="101">
        <f t="shared" si="104"/>
        <v>64073.391888633116</v>
      </c>
      <c r="M260" s="101">
        <f t="shared" si="104"/>
        <v>2461.6248715819515</v>
      </c>
      <c r="N260" s="101">
        <f t="shared" si="104"/>
        <v>8793.5501192927513</v>
      </c>
      <c r="O260" s="101">
        <f t="shared" si="104"/>
        <v>3941.4456036312172</v>
      </c>
      <c r="P260" s="101">
        <f t="shared" si="104"/>
        <v>0</v>
      </c>
      <c r="Q260" s="101">
        <f t="shared" si="104"/>
        <v>0</v>
      </c>
      <c r="R260" s="101">
        <f t="shared" si="104"/>
        <v>266374.05578909029</v>
      </c>
      <c r="S260" s="101">
        <f t="shared" si="104"/>
        <v>6.3240202224327584</v>
      </c>
      <c r="T260" s="101">
        <f t="shared" si="104"/>
        <v>1226.8599231519554</v>
      </c>
      <c r="U260" s="101"/>
      <c r="V260" s="101">
        <f t="shared" si="105"/>
        <v>7668802.5696673635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2457476.1256506187</v>
      </c>
      <c r="G261" s="101">
        <f t="shared" si="104"/>
        <v>2056810.9102565774</v>
      </c>
      <c r="H261" s="101">
        <f t="shared" si="104"/>
        <v>356914.80647874059</v>
      </c>
      <c r="I261" s="101">
        <f t="shared" si="104"/>
        <v>0</v>
      </c>
      <c r="J261" s="101">
        <f t="shared" si="104"/>
        <v>27248.031625740601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16328.17970256332</v>
      </c>
      <c r="S261" s="101">
        <f t="shared" si="104"/>
        <v>68.393041363765334</v>
      </c>
      <c r="T261" s="101">
        <f t="shared" si="104"/>
        <v>105.80454563246191</v>
      </c>
      <c r="U261" s="101"/>
      <c r="V261" s="101">
        <f t="shared" si="105"/>
        <v>2457476.1256506182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3623335.6304890811</v>
      </c>
      <c r="G262" s="101">
        <f t="shared" si="104"/>
        <v>2925484.4221859709</v>
      </c>
      <c r="H262" s="101">
        <f t="shared" si="104"/>
        <v>566063.92002938502</v>
      </c>
      <c r="I262" s="101">
        <f t="shared" si="104"/>
        <v>0</v>
      </c>
      <c r="J262" s="101">
        <f t="shared" si="104"/>
        <v>4028.3203275861379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127170.23085497899</v>
      </c>
      <c r="S262" s="101">
        <f t="shared" si="104"/>
        <v>3.0191645700476957</v>
      </c>
      <c r="T262" s="101">
        <f t="shared" si="104"/>
        <v>585.71792658925301</v>
      </c>
      <c r="U262" s="101"/>
      <c r="V262" s="101">
        <f t="shared" si="105"/>
        <v>3623335.6304890802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18580568.372310273</v>
      </c>
      <c r="G263" s="100">
        <f t="shared" ref="G263:T263" si="108">SUM(G258:G262)</f>
        <v>13455806.590515828</v>
      </c>
      <c r="H263" s="100">
        <f t="shared" si="108"/>
        <v>2680152.8897786695</v>
      </c>
      <c r="I263" s="100">
        <f>SUM(I258:I262)</f>
        <v>0</v>
      </c>
      <c r="J263" s="100">
        <f>SUM(J258:J262)</f>
        <v>99563.95498961219</v>
      </c>
      <c r="K263" s="100">
        <f>SUM(K258:K262)</f>
        <v>0</v>
      </c>
      <c r="L263" s="100">
        <f t="shared" si="108"/>
        <v>598124.86784320371</v>
      </c>
      <c r="M263" s="100">
        <f t="shared" si="108"/>
        <v>43744.72874327196</v>
      </c>
      <c r="N263" s="100">
        <f t="shared" si="108"/>
        <v>384700.50648357888</v>
      </c>
      <c r="O263" s="100">
        <f t="shared" si="108"/>
        <v>863797.56241307803</v>
      </c>
      <c r="P263" s="100">
        <f>SUM(P258:P262)</f>
        <v>0</v>
      </c>
      <c r="Q263" s="100">
        <f t="shared" si="108"/>
        <v>0</v>
      </c>
      <c r="R263" s="100">
        <f t="shared" si="108"/>
        <v>452228.96490078361</v>
      </c>
      <c r="S263" s="100">
        <f t="shared" si="108"/>
        <v>255.15280353403782</v>
      </c>
      <c r="T263" s="100">
        <f t="shared" si="108"/>
        <v>2193.153838711879</v>
      </c>
      <c r="U263" s="100"/>
      <c r="V263" s="102">
        <f t="shared" si="105"/>
        <v>18580568.372310273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2332</v>
      </c>
      <c r="F266" s="100">
        <f>VLOOKUP(C266,'Functional Assignment'!$C$1:$AU$771,24,)</f>
        <v>644545.6468455724</v>
      </c>
      <c r="G266" s="100">
        <f t="shared" ref="G266:T267" si="109">IF(VLOOKUP($E266,$D$5:$AJ$945,3,)=0,0,(VLOOKUP($E266,$D$5:$AJ$945,G$1,)/VLOOKUP($E266,$D$5:$AJ$945,3,))*$F266)</f>
        <v>450376.43286235479</v>
      </c>
      <c r="H266" s="100">
        <f t="shared" si="109"/>
        <v>78153.036127954314</v>
      </c>
      <c r="I266" s="100">
        <f t="shared" si="109"/>
        <v>0</v>
      </c>
      <c r="J266" s="100">
        <f t="shared" si="109"/>
        <v>5966.4557519246264</v>
      </c>
      <c r="K266" s="100">
        <f t="shared" si="109"/>
        <v>0</v>
      </c>
      <c r="L266" s="100">
        <f t="shared" si="109"/>
        <v>65065.325537586963</v>
      </c>
      <c r="M266" s="100">
        <f t="shared" si="109"/>
        <v>0</v>
      </c>
      <c r="N266" s="100">
        <f t="shared" si="109"/>
        <v>41370.898708287707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3575.3541042130214</v>
      </c>
      <c r="S266" s="100">
        <f t="shared" si="109"/>
        <v>14.975909476373612</v>
      </c>
      <c r="T266" s="100">
        <f t="shared" si="109"/>
        <v>23.167843774528642</v>
      </c>
      <c r="U266" s="100"/>
      <c r="V266" s="102">
        <f>SUM(G266:T266)</f>
        <v>644545.64684557251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2331</v>
      </c>
      <c r="F267" s="101">
        <f>VLOOKUP(C267,'Functional Assignment'!$C$1:$AU$771,25,)</f>
        <v>573567.9062018611</v>
      </c>
      <c r="G267" s="101">
        <f t="shared" si="109"/>
        <v>458695.31537613476</v>
      </c>
      <c r="H267" s="101">
        <f t="shared" si="109"/>
        <v>88754.828551407714</v>
      </c>
      <c r="I267" s="101">
        <f t="shared" si="109"/>
        <v>0</v>
      </c>
      <c r="J267" s="101">
        <f t="shared" si="109"/>
        <v>631.6122038064151</v>
      </c>
      <c r="K267" s="101">
        <f t="shared" si="109"/>
        <v>0</v>
      </c>
      <c r="L267" s="101">
        <f t="shared" si="109"/>
        <v>4796.2053182804166</v>
      </c>
      <c r="M267" s="101">
        <f t="shared" si="109"/>
        <v>0</v>
      </c>
      <c r="N267" s="101">
        <f t="shared" si="109"/>
        <v>658.24003701916445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19939.394893408291</v>
      </c>
      <c r="S267" s="101">
        <f t="shared" si="109"/>
        <v>0.47338370155998888</v>
      </c>
      <c r="T267" s="101">
        <f t="shared" si="109"/>
        <v>91.836438102637842</v>
      </c>
      <c r="U267" s="101"/>
      <c r="V267" s="101">
        <f>SUM(G267:T267)</f>
        <v>573567.90620186087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1218113.5530474335</v>
      </c>
      <c r="G268" s="100">
        <f t="shared" si="110"/>
        <v>909071.7482384895</v>
      </c>
      <c r="H268" s="100">
        <f t="shared" si="110"/>
        <v>166907.86467936204</v>
      </c>
      <c r="I268" s="100">
        <f>I266+I267</f>
        <v>0</v>
      </c>
      <c r="J268" s="100">
        <f>J266+J267</f>
        <v>6598.0679557310414</v>
      </c>
      <c r="K268" s="100">
        <f>K266+K267</f>
        <v>0</v>
      </c>
      <c r="L268" s="100">
        <f t="shared" si="110"/>
        <v>69861.530855867386</v>
      </c>
      <c r="M268" s="100">
        <f t="shared" si="110"/>
        <v>0</v>
      </c>
      <c r="N268" s="100">
        <f t="shared" si="110"/>
        <v>42029.138745306875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23514.748997621311</v>
      </c>
      <c r="S268" s="100">
        <f t="shared" si="110"/>
        <v>15.449293177933601</v>
      </c>
      <c r="T268" s="100">
        <f t="shared" si="110"/>
        <v>115.00428187716648</v>
      </c>
      <c r="U268" s="100"/>
      <c r="V268" s="102">
        <f>SUM(G268:T268)</f>
        <v>1218113.553047433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356370.0044785231</v>
      </c>
      <c r="G271" s="100">
        <f t="shared" ref="G271:T271" si="111">IF(VLOOKUP($E271,$D$5:$AJ$945,3,)=0,0,(VLOOKUP($E271,$D$5:$AJ$945,G$1,)/VLOOKUP($E271,$D$5:$AJ$945,3,))*$F271)</f>
        <v>249923.86484992446</v>
      </c>
      <c r="H271" s="100">
        <f t="shared" si="111"/>
        <v>97901.0865159073</v>
      </c>
      <c r="I271" s="100">
        <f t="shared" si="111"/>
        <v>0</v>
      </c>
      <c r="J271" s="100">
        <f t="shared" si="111"/>
        <v>927.16759436825646</v>
      </c>
      <c r="K271" s="100">
        <f t="shared" si="111"/>
        <v>0</v>
      </c>
      <c r="L271" s="100">
        <f t="shared" si="111"/>
        <v>6651.5106401805942</v>
      </c>
      <c r="M271" s="100">
        <f t="shared" si="111"/>
        <v>0</v>
      </c>
      <c r="N271" s="100">
        <f t="shared" si="111"/>
        <v>966.37487814246913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356370.00447852316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10892600.321030885</v>
      </c>
      <c r="G274" s="100">
        <f t="shared" ref="G274:T274" si="112">IF(VLOOKUP($E274,$D$5:$AJ$945,3,)=0,0,(VLOOKUP($E274,$D$5:$AJ$945,G$1,)/VLOOKUP($E274,$D$5:$AJ$945,3,))*$F274)</f>
        <v>6769199.5574729079</v>
      </c>
      <c r="H274" s="100">
        <f t="shared" si="112"/>
        <v>2523006.8032946708</v>
      </c>
      <c r="I274" s="100">
        <f t="shared" si="112"/>
        <v>0</v>
      </c>
      <c r="J274" s="100">
        <f t="shared" si="112"/>
        <v>53517.02045104948</v>
      </c>
      <c r="K274" s="100">
        <f t="shared" si="112"/>
        <v>0</v>
      </c>
      <c r="L274" s="100">
        <f t="shared" si="112"/>
        <v>683859.97748021153</v>
      </c>
      <c r="M274" s="100">
        <f t="shared" si="112"/>
        <v>150776.73658814246</v>
      </c>
      <c r="N274" s="100">
        <f t="shared" si="112"/>
        <v>126823.76677616581</v>
      </c>
      <c r="O274" s="100">
        <f t="shared" si="112"/>
        <v>335007.14305785135</v>
      </c>
      <c r="P274" s="100">
        <f t="shared" si="112"/>
        <v>228478.73139460615</v>
      </c>
      <c r="Q274" s="100">
        <f t="shared" si="112"/>
        <v>9670.2232706725208</v>
      </c>
      <c r="R274" s="100">
        <f t="shared" si="112"/>
        <v>0</v>
      </c>
      <c r="S274" s="100">
        <f t="shared" si="112"/>
        <v>62.87364740824512</v>
      </c>
      <c r="T274" s="100">
        <f t="shared" si="112"/>
        <v>12197.487597199553</v>
      </c>
      <c r="U274" s="100"/>
      <c r="V274" s="102">
        <f>SUM(G274:T274)</f>
        <v>10892600.321030887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421765.11680222803</v>
      </c>
      <c r="G277" s="100">
        <f t="shared" ref="G277:T277" si="113">IF(VLOOKUP($E277,$D$5:$AJ$945,3,)=0,0,(VLOOKUP($E277,$D$5:$AJ$945,G$1,)/VLOOKUP($E277,$D$5:$AJ$945,3,))*$F277)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421765.11680222803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421765.11680222803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IF(VLOOKUP($E280,$D$5:$AJ$945,3,)=0,0,(VLOOKUP($E280,$D$5:$AJ$945,G$1,)/VLOOKUP($E280,$D$5:$AJ$945,3,))*$F280)</f>
        <v>17569790.454219982</v>
      </c>
      <c r="H280" s="100">
        <f t="shared" si="114"/>
        <v>6799300.9179512886</v>
      </c>
      <c r="I280" s="100">
        <f t="shared" si="114"/>
        <v>0</v>
      </c>
      <c r="J280" s="100">
        <f t="shared" si="114"/>
        <v>241931.70710947656</v>
      </c>
      <c r="K280" s="100">
        <f t="shared" si="114"/>
        <v>0</v>
      </c>
      <c r="L280" s="100">
        <f t="shared" si="114"/>
        <v>918565.3264030125</v>
      </c>
      <c r="M280" s="100">
        <f t="shared" si="114"/>
        <v>35290.206854923643</v>
      </c>
      <c r="N280" s="100">
        <f t="shared" si="114"/>
        <v>630327.97214863612</v>
      </c>
      <c r="O280" s="100">
        <f t="shared" si="114"/>
        <v>282525.64447438868</v>
      </c>
      <c r="P280" s="100">
        <f t="shared" si="114"/>
        <v>24478.756199947034</v>
      </c>
      <c r="Q280" s="100">
        <f t="shared" si="114"/>
        <v>2039.8963499955862</v>
      </c>
      <c r="R280" s="100">
        <f t="shared" si="114"/>
        <v>763737.19343834743</v>
      </c>
      <c r="S280" s="100">
        <f t="shared" si="114"/>
        <v>0</v>
      </c>
      <c r="T280" s="100">
        <f t="shared" si="114"/>
        <v>3508.6217219924083</v>
      </c>
      <c r="U280" s="100"/>
      <c r="V280" s="102">
        <f>SUM(G280:T280)</f>
        <v>27271496.696871996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IF(VLOOKUP($E283,$D$5:$AJ$945,3,)=0,0,(VLOOKUP($E283,$D$5:$AJ$945,G$1,)/VLOOKUP($E283,$D$5:$AJ$945,3,))*$F283)</f>
        <v>2415231.7937926077</v>
      </c>
      <c r="H283" s="100">
        <f t="shared" si="115"/>
        <v>934666.11314393557</v>
      </c>
      <c r="I283" s="100">
        <f t="shared" si="115"/>
        <v>0</v>
      </c>
      <c r="J283" s="100">
        <f t="shared" si="115"/>
        <v>33257.14967744446</v>
      </c>
      <c r="K283" s="100">
        <f t="shared" si="115"/>
        <v>0</v>
      </c>
      <c r="L283" s="100">
        <f t="shared" si="115"/>
        <v>126270.61129640166</v>
      </c>
      <c r="M283" s="100">
        <f t="shared" si="115"/>
        <v>4851.1693880252033</v>
      </c>
      <c r="N283" s="100">
        <f t="shared" si="115"/>
        <v>86648.054387270968</v>
      </c>
      <c r="O283" s="100">
        <f t="shared" si="115"/>
        <v>38837.396545750904</v>
      </c>
      <c r="P283" s="100">
        <f t="shared" si="115"/>
        <v>3364.9729859134359</v>
      </c>
      <c r="Q283" s="100">
        <f t="shared" si="115"/>
        <v>280.4144154927863</v>
      </c>
      <c r="R283" s="100">
        <f t="shared" si="115"/>
        <v>104987.15716049919</v>
      </c>
      <c r="S283" s="100">
        <f t="shared" si="115"/>
        <v>0</v>
      </c>
      <c r="T283" s="100">
        <f t="shared" si="115"/>
        <v>482.31279464759245</v>
      </c>
      <c r="U283" s="100"/>
      <c r="V283" s="102">
        <f>SUM(G283:T283)</f>
        <v>3748877.1455879891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IF(VLOOKUP($E286,$D$5:$AJ$945,3,)=0,0,(VLOOKUP($E286,$D$5:$AJ$945,G$1,)/VLOOKUP($E286,$D$5:$AJ$945,3,))*$F286)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83441737.725274891</v>
      </c>
      <c r="H288" s="100">
        <f t="shared" si="117"/>
        <v>25056957.497461796</v>
      </c>
      <c r="I288" s="100">
        <f>I243+I249+I252+I255+I263+I268+I271+I274+I277+I280+I283+I286</f>
        <v>0</v>
      </c>
      <c r="J288" s="100">
        <f>J243+J249+J252+J255+J263+J268+J271+J274+J277+J280+J283+J286</f>
        <v>1376752.8145434472</v>
      </c>
      <c r="K288" s="100">
        <f>K243+K249+K252+K255+K263+K268+K271+K274+K277+K280+K283+K286</f>
        <v>0</v>
      </c>
      <c r="L288" s="100">
        <f t="shared" si="117"/>
        <v>14997724.63069394</v>
      </c>
      <c r="M288" s="100">
        <f t="shared" si="117"/>
        <v>1179933.376946829</v>
      </c>
      <c r="N288" s="100">
        <f t="shared" si="117"/>
        <v>10678658.215063656</v>
      </c>
      <c r="O288" s="100">
        <f>O243+O249+O252+O255+O263+O268+O271+O274+O277+O280+O283+O286</f>
        <v>22901240.591394898</v>
      </c>
      <c r="P288" s="100">
        <f>P243+P249+P252+P255+P263+P268+P271+P274+P277+P280+P283+P286</f>
        <v>7512371.9341014912</v>
      </c>
      <c r="Q288" s="100">
        <f t="shared" si="117"/>
        <v>2238070.2296689288</v>
      </c>
      <c r="R288" s="100">
        <f t="shared" si="117"/>
        <v>2066388.198383088</v>
      </c>
      <c r="S288" s="100">
        <f t="shared" si="117"/>
        <v>1438.4221530257614</v>
      </c>
      <c r="T288" s="100">
        <f t="shared" si="117"/>
        <v>25295.257531579526</v>
      </c>
      <c r="U288" s="100"/>
      <c r="V288" s="102">
        <f>SUM(G288:T288)</f>
        <v>171476568.89321756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397" t="s">
        <v>2455</v>
      </c>
      <c r="F294" s="100">
        <f>VLOOKUP(C294,'Functional Assignment'!$C$1:$AU$771,6,)</f>
        <v>52845706.182438992</v>
      </c>
      <c r="G294" s="100">
        <f t="shared" ref="G294:T299" si="118">IF(VLOOKUP($E294,$D$5:$AJ$945,3,)=0,0,(VLOOKUP($E294,$D$5:$AJ$945,G$1,)/VLOOKUP($E294,$D$5:$AJ$945,3,))*$F294)</f>
        <v>21632501.130061373</v>
      </c>
      <c r="H294" s="100">
        <f t="shared" si="118"/>
        <v>6004461.9692027969</v>
      </c>
      <c r="I294" s="100">
        <f t="shared" si="118"/>
        <v>0</v>
      </c>
      <c r="J294" s="100">
        <f t="shared" si="118"/>
        <v>452138.08910080738</v>
      </c>
      <c r="K294" s="100">
        <f t="shared" si="118"/>
        <v>0</v>
      </c>
      <c r="L294" s="100">
        <f t="shared" si="118"/>
        <v>6035443.3198986575</v>
      </c>
      <c r="M294" s="100">
        <f t="shared" si="118"/>
        <v>444419.39026422804</v>
      </c>
      <c r="N294" s="100">
        <f t="shared" si="118"/>
        <v>4407512.6994709056</v>
      </c>
      <c r="O294" s="100">
        <f t="shared" si="118"/>
        <v>9639549.3262383994</v>
      </c>
      <c r="P294" s="100">
        <f t="shared" si="118"/>
        <v>3351479.7504405961</v>
      </c>
      <c r="Q294" s="100">
        <f t="shared" si="118"/>
        <v>875498.65189608792</v>
      </c>
      <c r="R294" s="100">
        <f t="shared" si="118"/>
        <v>0</v>
      </c>
      <c r="S294" s="100">
        <f t="shared" si="118"/>
        <v>0</v>
      </c>
      <c r="T294" s="100">
        <f t="shared" si="118"/>
        <v>2701.8558651379008</v>
      </c>
      <c r="U294" s="100"/>
      <c r="V294" s="102">
        <f t="shared" ref="V294:V300" si="119">SUM(G294:T294)</f>
        <v>52845706.182438992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397" t="s">
        <v>2455</v>
      </c>
      <c r="F295" s="101">
        <f>VLOOKUP(C295,'Functional Assignment'!$C$1:$AU$771,7,)</f>
        <v>55359222.059284404</v>
      </c>
      <c r="G295" s="101">
        <f t="shared" si="118"/>
        <v>22661414.14824627</v>
      </c>
      <c r="H295" s="101">
        <f t="shared" si="118"/>
        <v>6290053.9610933503</v>
      </c>
      <c r="I295" s="101">
        <f t="shared" si="118"/>
        <v>0</v>
      </c>
      <c r="J295" s="101">
        <f t="shared" si="118"/>
        <v>473643.26610720489</v>
      </c>
      <c r="K295" s="101">
        <f t="shared" si="118"/>
        <v>0</v>
      </c>
      <c r="L295" s="101">
        <f t="shared" si="118"/>
        <v>6322508.8868908724</v>
      </c>
      <c r="M295" s="101">
        <f t="shared" si="118"/>
        <v>465557.44052607316</v>
      </c>
      <c r="N295" s="101">
        <f t="shared" si="118"/>
        <v>4617148.523226806</v>
      </c>
      <c r="O295" s="101">
        <f t="shared" si="118"/>
        <v>10098038.047980303</v>
      </c>
      <c r="P295" s="101">
        <f t="shared" si="118"/>
        <v>3510887.1682273168</v>
      </c>
      <c r="Q295" s="101">
        <f t="shared" si="118"/>
        <v>917140.25195533445</v>
      </c>
      <c r="R295" s="101">
        <f t="shared" si="118"/>
        <v>0</v>
      </c>
      <c r="S295" s="101">
        <f t="shared" si="118"/>
        <v>0</v>
      </c>
      <c r="T295" s="101">
        <f t="shared" si="118"/>
        <v>2830.3650308689239</v>
      </c>
      <c r="U295" s="101"/>
      <c r="V295" s="101">
        <f t="shared" si="119"/>
        <v>55359222.059284404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397" t="s">
        <v>2455</v>
      </c>
      <c r="F296" s="101">
        <f>VLOOKUP(C296,'Functional Assignment'!$C$1:$AU$771,8,)</f>
        <v>45505093.860292643</v>
      </c>
      <c r="G296" s="101">
        <f t="shared" si="118"/>
        <v>18627606.015102301</v>
      </c>
      <c r="H296" s="101">
        <f t="shared" si="118"/>
        <v>5170403.1458269805</v>
      </c>
      <c r="I296" s="101">
        <f t="shared" si="118"/>
        <v>0</v>
      </c>
      <c r="J296" s="101">
        <f t="shared" si="118"/>
        <v>389333.16760525538</v>
      </c>
      <c r="K296" s="101">
        <f t="shared" si="118"/>
        <v>0</v>
      </c>
      <c r="L296" s="101">
        <f t="shared" si="118"/>
        <v>5197080.9853938641</v>
      </c>
      <c r="M296" s="101">
        <f t="shared" si="118"/>
        <v>382686.64624313574</v>
      </c>
      <c r="N296" s="101">
        <f t="shared" si="118"/>
        <v>3795280.5169723383</v>
      </c>
      <c r="O296" s="101">
        <f t="shared" si="118"/>
        <v>8300553.2246471364</v>
      </c>
      <c r="P296" s="101">
        <f t="shared" si="118"/>
        <v>2885937.4134988748</v>
      </c>
      <c r="Q296" s="101">
        <f t="shared" si="118"/>
        <v>753886.19449142984</v>
      </c>
      <c r="R296" s="101">
        <f t="shared" si="118"/>
        <v>0</v>
      </c>
      <c r="S296" s="101">
        <f t="shared" si="118"/>
        <v>0</v>
      </c>
      <c r="T296" s="101">
        <f t="shared" si="118"/>
        <v>2326.550511324966</v>
      </c>
      <c r="U296" s="101"/>
      <c r="V296" s="101">
        <f t="shared" si="119"/>
        <v>45505093.860292636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62921521.293409944</v>
      </c>
      <c r="H300" s="100">
        <f t="shared" si="122"/>
        <v>17464919.076123126</v>
      </c>
      <c r="I300" s="100">
        <f>SUM(I294:I299)</f>
        <v>0</v>
      </c>
      <c r="J300" s="100">
        <f>SUM(J294:J299)</f>
        <v>1315114.5228132675</v>
      </c>
      <c r="K300" s="100">
        <f>SUM(K294:K299)</f>
        <v>0</v>
      </c>
      <c r="L300" s="100">
        <f t="shared" si="122"/>
        <v>17555033.192183394</v>
      </c>
      <c r="M300" s="100">
        <f t="shared" si="122"/>
        <v>1292663.477033437</v>
      </c>
      <c r="N300" s="100">
        <f t="shared" si="122"/>
        <v>12819941.739670051</v>
      </c>
      <c r="O300" s="100">
        <f t="shared" si="122"/>
        <v>28038140.598865837</v>
      </c>
      <c r="P300" s="100">
        <f>SUM(P294:P299)</f>
        <v>9748304.3321667872</v>
      </c>
      <c r="Q300" s="100">
        <f t="shared" si="122"/>
        <v>2546525.0983428522</v>
      </c>
      <c r="R300" s="100">
        <f t="shared" si="122"/>
        <v>0</v>
      </c>
      <c r="S300" s="100">
        <f t="shared" si="122"/>
        <v>0</v>
      </c>
      <c r="T300" s="100">
        <f t="shared" si="122"/>
        <v>7858.7714073317911</v>
      </c>
      <c r="U300" s="100"/>
      <c r="V300" s="102">
        <f t="shared" si="119"/>
        <v>153710022.10201603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2424</v>
      </c>
      <c r="C303" s="97" t="s">
        <v>845</v>
      </c>
      <c r="D303" s="97" t="s">
        <v>1733</v>
      </c>
      <c r="E303" s="397" t="s">
        <v>2455</v>
      </c>
      <c r="F303" s="100">
        <f>VLOOKUP(C303,'Functional Assignment'!$C$1:$AU$771,13,)</f>
        <v>24058002.03631277</v>
      </c>
      <c r="G303" s="100">
        <f t="shared" ref="G303:T305" si="123">IF(VLOOKUP($E303,$D$5:$AJ$945,3,)=0,0,(VLOOKUP($E303,$D$5:$AJ$945,G$1,)/VLOOKUP($E303,$D$5:$AJ$945,3,))*$F303)</f>
        <v>9848193.8048260771</v>
      </c>
      <c r="H303" s="100">
        <f t="shared" si="123"/>
        <v>2733530.6634628153</v>
      </c>
      <c r="I303" s="100">
        <f t="shared" si="123"/>
        <v>0</v>
      </c>
      <c r="J303" s="100">
        <f t="shared" si="123"/>
        <v>205835.81626725377</v>
      </c>
      <c r="K303" s="100">
        <f t="shared" si="123"/>
        <v>0</v>
      </c>
      <c r="L303" s="100">
        <f t="shared" si="123"/>
        <v>2747634.92002352</v>
      </c>
      <c r="M303" s="100">
        <f t="shared" si="123"/>
        <v>202321.87945492257</v>
      </c>
      <c r="N303" s="100">
        <f t="shared" si="123"/>
        <v>2006519.6807641857</v>
      </c>
      <c r="O303" s="100">
        <f t="shared" si="123"/>
        <v>4388403.7904454311</v>
      </c>
      <c r="P303" s="100">
        <f t="shared" si="123"/>
        <v>1525760.7946878902</v>
      </c>
      <c r="Q303" s="100">
        <f t="shared" si="123"/>
        <v>398570.66678966006</v>
      </c>
      <c r="R303" s="100">
        <f t="shared" si="123"/>
        <v>0</v>
      </c>
      <c r="S303" s="100">
        <f t="shared" si="123"/>
        <v>0</v>
      </c>
      <c r="T303" s="100">
        <f t="shared" si="123"/>
        <v>1230.0195910128948</v>
      </c>
      <c r="U303" s="100"/>
      <c r="V303" s="102">
        <f>SUM(G303:T303)</f>
        <v>24058002.036312766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2423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2423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9848193.8048260771</v>
      </c>
      <c r="H306" s="100">
        <f t="shared" si="124"/>
        <v>2733530.6634628153</v>
      </c>
      <c r="I306" s="100">
        <f>SUM(I303:I305)</f>
        <v>0</v>
      </c>
      <c r="J306" s="100">
        <f>SUM(J303:J305)</f>
        <v>205835.81626725377</v>
      </c>
      <c r="K306" s="100">
        <f>SUM(K303:K305)</f>
        <v>0</v>
      </c>
      <c r="L306" s="100">
        <f t="shared" si="124"/>
        <v>2747634.92002352</v>
      </c>
      <c r="M306" s="100">
        <f t="shared" si="124"/>
        <v>202321.87945492257</v>
      </c>
      <c r="N306" s="100">
        <f t="shared" si="124"/>
        <v>2006519.6807641857</v>
      </c>
      <c r="O306" s="100">
        <f t="shared" si="124"/>
        <v>4388403.7904454311</v>
      </c>
      <c r="P306" s="100">
        <f>SUM(P303:P305)</f>
        <v>1525760.7946878902</v>
      </c>
      <c r="Q306" s="100">
        <f t="shared" si="124"/>
        <v>398570.66678966006</v>
      </c>
      <c r="R306" s="100">
        <f t="shared" si="124"/>
        <v>0</v>
      </c>
      <c r="S306" s="100">
        <f t="shared" si="124"/>
        <v>0</v>
      </c>
      <c r="T306" s="100">
        <f t="shared" si="124"/>
        <v>1230.0195910128948</v>
      </c>
      <c r="U306" s="100"/>
      <c r="V306" s="102">
        <f>SUM(G306:T306)</f>
        <v>24058002.036312766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2429</v>
      </c>
      <c r="F309" s="100">
        <f>VLOOKUP(C309,'Functional Assignment'!$C$1:$AU$771,17,)</f>
        <v>0</v>
      </c>
      <c r="G309" s="100">
        <f t="shared" ref="G309:T309" si="125">IF(VLOOKUP($E309,$D$5:$AJ$945,3,)=0,0,(VLOOKUP($E309,$D$5:$AJ$945,G$1,)/VLOOKUP($E309,$D$5:$AJ$945,3,))*$F309)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2429</v>
      </c>
      <c r="F312" s="100">
        <f>VLOOKUP(C312,'Functional Assignment'!$C$1:$AU$771,18,)</f>
        <v>6089358.8125094417</v>
      </c>
      <c r="G312" s="100">
        <f t="shared" ref="G312:T312" si="126">IF(VLOOKUP($E312,$D$5:$AJ$945,3,)=0,0,(VLOOKUP($E312,$D$5:$AJ$945,G$1,)/VLOOKUP($E312,$D$5:$AJ$945,3,))*$F312)</f>
        <v>2956746.3553215209</v>
      </c>
      <c r="H312" s="100">
        <f t="shared" si="126"/>
        <v>720346.14834054536</v>
      </c>
      <c r="I312" s="100">
        <f t="shared" si="126"/>
        <v>0</v>
      </c>
      <c r="J312" s="100">
        <f t="shared" si="126"/>
        <v>75439.918493136516</v>
      </c>
      <c r="K312" s="100">
        <f t="shared" si="126"/>
        <v>0</v>
      </c>
      <c r="L312" s="100">
        <f t="shared" si="126"/>
        <v>673165.38930680905</v>
      </c>
      <c r="M312" s="100">
        <f t="shared" si="126"/>
        <v>52036.850267863781</v>
      </c>
      <c r="N312" s="100">
        <f t="shared" si="126"/>
        <v>473826.14601298858</v>
      </c>
      <c r="O312" s="100">
        <f t="shared" si="126"/>
        <v>1083838.1760583515</v>
      </c>
      <c r="P312" s="100">
        <f t="shared" si="126"/>
        <v>0</v>
      </c>
      <c r="Q312" s="100">
        <f t="shared" si="126"/>
        <v>0</v>
      </c>
      <c r="R312" s="100">
        <f t="shared" si="126"/>
        <v>53389.851208470136</v>
      </c>
      <c r="S312" s="100">
        <f t="shared" si="126"/>
        <v>223.63143771212506</v>
      </c>
      <c r="T312" s="100">
        <f t="shared" si="126"/>
        <v>346.34606204307795</v>
      </c>
      <c r="U312" s="100"/>
      <c r="V312" s="102">
        <f>SUM(G312:T312)</f>
        <v>6089358.8125094408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2429</v>
      </c>
      <c r="F315" s="100">
        <f>VLOOKUP(C315,'Functional Assignment'!$C$1:$AU$771,19,)</f>
        <v>0</v>
      </c>
      <c r="G315" s="100">
        <f t="shared" ref="G315:T319" si="127">IF(VLOOKUP($E315,$D$5:$AJ$945,3,)=0,0,(VLOOKUP($E315,$D$5:$AJ$945,G$1,)/VLOOKUP($E315,$D$5:$AJ$945,3,))*$F315)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2429</v>
      </c>
      <c r="F316" s="101">
        <f>VLOOKUP(C316,'Functional Assignment'!$C$1:$AU$771,20,)</f>
        <v>6635525.2727088071</v>
      </c>
      <c r="G316" s="101">
        <f t="shared" si="127"/>
        <v>3221942.6986993942</v>
      </c>
      <c r="H316" s="101">
        <f t="shared" si="127"/>
        <v>784955.39835701289</v>
      </c>
      <c r="I316" s="101">
        <f t="shared" si="127"/>
        <v>0</v>
      </c>
      <c r="J316" s="101">
        <f t="shared" si="127"/>
        <v>82206.271816984285</v>
      </c>
      <c r="K316" s="101">
        <f t="shared" si="127"/>
        <v>0</v>
      </c>
      <c r="L316" s="101">
        <f t="shared" si="127"/>
        <v>733542.90508911759</v>
      </c>
      <c r="M316" s="101">
        <f t="shared" si="127"/>
        <v>56704.136789449338</v>
      </c>
      <c r="N316" s="101">
        <f t="shared" si="127"/>
        <v>516324.5365473401</v>
      </c>
      <c r="O316" s="101">
        <f t="shared" si="127"/>
        <v>1181049.7344954507</v>
      </c>
      <c r="P316" s="101">
        <f t="shared" si="127"/>
        <v>0</v>
      </c>
      <c r="Q316" s="101">
        <f t="shared" si="127"/>
        <v>0</v>
      </c>
      <c r="R316" s="101">
        <f t="shared" si="127"/>
        <v>58178.491021449743</v>
      </c>
      <c r="S316" s="101">
        <f t="shared" si="127"/>
        <v>243.68937722352527</v>
      </c>
      <c r="T316" s="101">
        <f t="shared" si="127"/>
        <v>377.41051538444759</v>
      </c>
      <c r="U316" s="101"/>
      <c r="V316" s="101">
        <f t="shared" si="128"/>
        <v>6635525.2727088071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9832359.6453646608</v>
      </c>
      <c r="H317" s="101">
        <f t="shared" si="127"/>
        <v>1902503.3945779952</v>
      </c>
      <c r="I317" s="101">
        <f t="shared" si="127"/>
        <v>0</v>
      </c>
      <c r="J317" s="101">
        <f t="shared" si="127"/>
        <v>13538.918179562352</v>
      </c>
      <c r="K317" s="101">
        <f t="shared" si="127"/>
        <v>0</v>
      </c>
      <c r="L317" s="101">
        <f t="shared" si="127"/>
        <v>102809.01949843047</v>
      </c>
      <c r="M317" s="101">
        <f t="shared" si="127"/>
        <v>3949.8024368706356</v>
      </c>
      <c r="N317" s="101">
        <f t="shared" si="127"/>
        <v>14109.698878532095</v>
      </c>
      <c r="O317" s="101">
        <f t="shared" si="127"/>
        <v>6324.2501445847738</v>
      </c>
      <c r="P317" s="101">
        <f t="shared" si="127"/>
        <v>0</v>
      </c>
      <c r="Q317" s="101">
        <f t="shared" si="127"/>
        <v>0</v>
      </c>
      <c r="R317" s="101">
        <f t="shared" si="127"/>
        <v>427410.73460097122</v>
      </c>
      <c r="S317" s="101">
        <f t="shared" si="127"/>
        <v>10.147212426128798</v>
      </c>
      <c r="T317" s="101">
        <f t="shared" si="127"/>
        <v>1968.5592106689874</v>
      </c>
      <c r="U317" s="101"/>
      <c r="V317" s="101">
        <f t="shared" si="128"/>
        <v>12304984.170104701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2556668.6784193865</v>
      </c>
      <c r="H318" s="101">
        <f t="shared" si="127"/>
        <v>443654.25233692542</v>
      </c>
      <c r="I318" s="101">
        <f t="shared" si="127"/>
        <v>0</v>
      </c>
      <c r="J318" s="101">
        <f t="shared" si="127"/>
        <v>33870.001689859571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20296.345868730947</v>
      </c>
      <c r="S318" s="101">
        <f t="shared" si="127"/>
        <v>85.014303358964384</v>
      </c>
      <c r="T318" s="101">
        <f t="shared" si="127"/>
        <v>131.51776203830306</v>
      </c>
      <c r="U318" s="101"/>
      <c r="V318" s="101">
        <f t="shared" si="128"/>
        <v>3054705.8103802996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3770271.9692489989</v>
      </c>
      <c r="H319" s="101">
        <f t="shared" si="127"/>
        <v>729525.31016906793</v>
      </c>
      <c r="I319" s="101">
        <f t="shared" si="127"/>
        <v>0</v>
      </c>
      <c r="J319" s="101">
        <f t="shared" si="127"/>
        <v>5191.5720689106711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163892.97891293713</v>
      </c>
      <c r="S319" s="101">
        <f t="shared" si="127"/>
        <v>3.8910039864423243</v>
      </c>
      <c r="T319" s="101">
        <f t="shared" si="127"/>
        <v>754.85477336981103</v>
      </c>
      <c r="U319" s="101"/>
      <c r="V319" s="101">
        <f t="shared" si="128"/>
        <v>4669640.576177272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19381242.991732441</v>
      </c>
      <c r="H320" s="100">
        <f t="shared" si="131"/>
        <v>3860638.3554410012</v>
      </c>
      <c r="I320" s="100">
        <f>SUM(I315:I319)</f>
        <v>0</v>
      </c>
      <c r="J320" s="100">
        <f>SUM(J315:J319)</f>
        <v>134806.76375531688</v>
      </c>
      <c r="K320" s="100">
        <f>SUM(K315:K319)</f>
        <v>0</v>
      </c>
      <c r="L320" s="100">
        <f t="shared" si="131"/>
        <v>836351.92458754801</v>
      </c>
      <c r="M320" s="100">
        <f t="shared" si="131"/>
        <v>60653.93922631997</v>
      </c>
      <c r="N320" s="100">
        <f t="shared" si="131"/>
        <v>530434.23542587215</v>
      </c>
      <c r="O320" s="100">
        <f t="shared" si="131"/>
        <v>1187373.9846400355</v>
      </c>
      <c r="P320" s="100">
        <f>SUM(P315:P319)</f>
        <v>0</v>
      </c>
      <c r="Q320" s="100">
        <f t="shared" si="131"/>
        <v>0</v>
      </c>
      <c r="R320" s="100">
        <f t="shared" si="131"/>
        <v>669778.55040408904</v>
      </c>
      <c r="S320" s="100">
        <f t="shared" si="131"/>
        <v>342.74189699506076</v>
      </c>
      <c r="T320" s="100">
        <f t="shared" si="131"/>
        <v>3232.3422614615488</v>
      </c>
      <c r="U320" s="100"/>
      <c r="V320" s="102">
        <f t="shared" si="128"/>
        <v>26664855.82937108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2332</v>
      </c>
      <c r="F323" s="100">
        <f>VLOOKUP(C323,'Functional Assignment'!$C$1:$AU$771,24,)</f>
        <v>4741964.9861297403</v>
      </c>
      <c r="G323" s="100">
        <f t="shared" ref="G323:T324" si="132">IF(VLOOKUP($E323,$D$5:$AJ$945,3,)=0,0,(VLOOKUP($E323,$D$5:$AJ$945,G$1,)/VLOOKUP($E323,$D$5:$AJ$945,3,))*$F323)</f>
        <v>3313449.2268520221</v>
      </c>
      <c r="H323" s="100">
        <f t="shared" si="132"/>
        <v>574977.05971984367</v>
      </c>
      <c r="I323" s="100">
        <f t="shared" si="132"/>
        <v>0</v>
      </c>
      <c r="J323" s="100">
        <f t="shared" si="132"/>
        <v>43895.609884861515</v>
      </c>
      <c r="K323" s="100">
        <f t="shared" si="132"/>
        <v>0</v>
      </c>
      <c r="L323" s="100">
        <f t="shared" si="132"/>
        <v>478689.90663479501</v>
      </c>
      <c r="M323" s="100">
        <f t="shared" si="132"/>
        <v>0</v>
      </c>
      <c r="N323" s="100">
        <f t="shared" si="132"/>
        <v>304368.44012449484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26304.116796332179</v>
      </c>
      <c r="S323" s="100">
        <f t="shared" si="132"/>
        <v>110.17875726872589</v>
      </c>
      <c r="T323" s="100">
        <f t="shared" si="132"/>
        <v>170.44736012197515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2331</v>
      </c>
      <c r="F324" s="101">
        <f>VLOOKUP(C324,'Functional Assignment'!$C$1:$AU$771,25,)</f>
        <v>4219777.0502181724</v>
      </c>
      <c r="G324" s="101">
        <f t="shared" si="132"/>
        <v>3374651.7961302903</v>
      </c>
      <c r="H324" s="101">
        <f t="shared" si="132"/>
        <v>652975.14830871404</v>
      </c>
      <c r="I324" s="101">
        <f t="shared" si="132"/>
        <v>0</v>
      </c>
      <c r="J324" s="101">
        <f t="shared" si="132"/>
        <v>4646.8127896298693</v>
      </c>
      <c r="K324" s="101">
        <f t="shared" si="132"/>
        <v>0</v>
      </c>
      <c r="L324" s="101">
        <f t="shared" si="132"/>
        <v>35285.999986008945</v>
      </c>
      <c r="M324" s="101">
        <f t="shared" si="132"/>
        <v>0</v>
      </c>
      <c r="N324" s="101">
        <f t="shared" si="132"/>
        <v>4842.7155210645187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146695.44801349053</v>
      </c>
      <c r="S324" s="101">
        <f t="shared" si="132"/>
        <v>3.4827152255048679</v>
      </c>
      <c r="T324" s="101">
        <f t="shared" si="132"/>
        <v>675.64675374794433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6688101.0229823124</v>
      </c>
      <c r="H325" s="100">
        <f t="shared" si="133"/>
        <v>1227952.2080285577</v>
      </c>
      <c r="I325" s="100">
        <f>I323+I324</f>
        <v>0</v>
      </c>
      <c r="J325" s="100">
        <f>J323+J324</f>
        <v>48542.422674491383</v>
      </c>
      <c r="K325" s="100">
        <f>K323+K324</f>
        <v>0</v>
      </c>
      <c r="L325" s="100">
        <f t="shared" si="133"/>
        <v>513975.90662080399</v>
      </c>
      <c r="M325" s="100">
        <f t="shared" si="133"/>
        <v>0</v>
      </c>
      <c r="N325" s="100">
        <f t="shared" si="133"/>
        <v>309211.15564555937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172999.56480982271</v>
      </c>
      <c r="S325" s="100">
        <f t="shared" si="133"/>
        <v>113.66147249423075</v>
      </c>
      <c r="T325" s="100">
        <f t="shared" si="133"/>
        <v>846.09411386991951</v>
      </c>
      <c r="U325" s="100"/>
      <c r="V325" s="102">
        <f>SUM(G325:T325)</f>
        <v>8961742.0363479108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IF(VLOOKUP($E328,$D$5:$AJ$945,3,)=0,0,(VLOOKUP($E328,$D$5:$AJ$945,G$1,)/VLOOKUP($E328,$D$5:$AJ$945,3,))*$F328)</f>
        <v>1981201.8347892405</v>
      </c>
      <c r="H328" s="100">
        <f t="shared" si="134"/>
        <v>776083.59789749118</v>
      </c>
      <c r="I328" s="100">
        <f t="shared" si="134"/>
        <v>0</v>
      </c>
      <c r="J328" s="100">
        <f t="shared" si="134"/>
        <v>7349.8628881341556</v>
      </c>
      <c r="K328" s="100">
        <f t="shared" si="134"/>
        <v>0</v>
      </c>
      <c r="L328" s="100">
        <f t="shared" si="134"/>
        <v>52727.998153994347</v>
      </c>
      <c r="M328" s="100">
        <f t="shared" si="134"/>
        <v>0</v>
      </c>
      <c r="N328" s="100">
        <f t="shared" si="134"/>
        <v>7660.6677110237852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2825023.9614398838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IF(VLOOKUP($E331,$D$5:$AJ$945,3,)=0,0,(VLOOKUP($E331,$D$5:$AJ$945,G$1,)/VLOOKUP($E331,$D$5:$AJ$945,3,))*$F331)</f>
        <v>1497945.440319458</v>
      </c>
      <c r="H331" s="100">
        <f t="shared" si="135"/>
        <v>558312.17632194178</v>
      </c>
      <c r="I331" s="100">
        <f t="shared" si="135"/>
        <v>0</v>
      </c>
      <c r="J331" s="100">
        <f t="shared" si="135"/>
        <v>11842.69662660977</v>
      </c>
      <c r="K331" s="100">
        <f t="shared" si="135"/>
        <v>0</v>
      </c>
      <c r="L331" s="100">
        <f t="shared" si="135"/>
        <v>151330.29044070252</v>
      </c>
      <c r="M331" s="100">
        <f t="shared" si="135"/>
        <v>33365.145045712437</v>
      </c>
      <c r="N331" s="100">
        <f t="shared" si="135"/>
        <v>28064.630323502806</v>
      </c>
      <c r="O331" s="100">
        <f t="shared" si="135"/>
        <v>74133.199672621005</v>
      </c>
      <c r="P331" s="100">
        <f t="shared" si="135"/>
        <v>50559.696312202308</v>
      </c>
      <c r="Q331" s="100">
        <f t="shared" si="135"/>
        <v>2139.9083794454964</v>
      </c>
      <c r="R331" s="100">
        <f t="shared" si="135"/>
        <v>0</v>
      </c>
      <c r="S331" s="100">
        <f t="shared" si="135"/>
        <v>13.913209774922642</v>
      </c>
      <c r="T331" s="100">
        <f t="shared" si="135"/>
        <v>2699.1626963349927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IF(VLOOKUP($E334,$D$5:$AJ$945,3,)=0,0,(VLOOKUP($E334,$D$5:$AJ$945,G$1,)/VLOOKUP($E334,$D$5:$AJ$945,3,))*$F334)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IF(VLOOKUP($E337,$D$5:$AJ$945,3,)=0,0,(VLOOKUP($E337,$D$5:$AJ$945,G$1,)/VLOOKUP($E337,$D$5:$AJ$945,3,))*$F337)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IF(VLOOKUP($E340,$D$5:$AJ$945,3,)=0,0,(VLOOKUP($E340,$D$5:$AJ$945,G$1,)/VLOOKUP($E340,$D$5:$AJ$945,3,))*$F340)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IF(VLOOKUP($E343,$D$5:$AJ$945,3,)=0,0,(VLOOKUP($E343,$D$5:$AJ$945,G$1,)/VLOOKUP($E343,$D$5:$AJ$945,3,))*$F343)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105274952.74338102</v>
      </c>
      <c r="H345" s="100">
        <f t="shared" si="140"/>
        <v>27341782.225615479</v>
      </c>
      <c r="I345" s="100">
        <f>I300+I306+I309+I312+I320+I325+I328+I331+I334+I337+I340+I343</f>
        <v>0</v>
      </c>
      <c r="J345" s="100">
        <f>J300+J306+J309+J312+J320+J325+J328+J331+J334+J337+J340+J343</f>
        <v>1798932.0035182098</v>
      </c>
      <c r="K345" s="100">
        <f>K300+K306+K309+K312+K320+K325+K328+K331+K334+K337+K340+K343</f>
        <v>0</v>
      </c>
      <c r="L345" s="100">
        <f t="shared" si="140"/>
        <v>22530219.621316772</v>
      </c>
      <c r="M345" s="100">
        <f t="shared" si="140"/>
        <v>1641041.2910282558</v>
      </c>
      <c r="N345" s="100">
        <f t="shared" si="140"/>
        <v>16175658.255553182</v>
      </c>
      <c r="O345" s="100">
        <f>O300+O306+O309+O312+O320+O325+O328+O331+O334+O337+O340+O343</f>
        <v>34771889.749682277</v>
      </c>
      <c r="P345" s="100">
        <f>P300+P306+P309+P312+P320+P325+P328+P331+P334+P337+P340+P343</f>
        <v>11324624.823166879</v>
      </c>
      <c r="Q345" s="100">
        <f t="shared" si="140"/>
        <v>2947235.6735119577</v>
      </c>
      <c r="R345" s="100">
        <f t="shared" si="140"/>
        <v>4239593.4682664694</v>
      </c>
      <c r="S345" s="100">
        <f t="shared" si="140"/>
        <v>693.9480169763392</v>
      </c>
      <c r="T345" s="100">
        <f t="shared" si="140"/>
        <v>16212.736132054226</v>
      </c>
      <c r="U345" s="100"/>
      <c r="V345" s="102">
        <f>SUM(G345:T345)</f>
        <v>228062836.53918952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397" t="s">
        <v>2455</v>
      </c>
      <c r="F351" s="100">
        <f>VLOOKUP(C351,'Functional Assignment'!$C$1:$AU$771,6,)</f>
        <v>0</v>
      </c>
      <c r="G351" s="100">
        <f t="shared" ref="G351:T356" si="141">IF(VLOOKUP($E351,$D$5:$AJ$945,3,)=0,0,(VLOOKUP($E351,$D$5:$AJ$945,G$1,)/VLOOKUP($E351,$D$5:$AJ$945,3,))*$F351)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397" t="s">
        <v>2455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397" t="s">
        <v>2455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2424</v>
      </c>
      <c r="C360" s="97" t="s">
        <v>72</v>
      </c>
      <c r="D360" s="97" t="s">
        <v>82</v>
      </c>
      <c r="E360" s="397" t="s">
        <v>2455</v>
      </c>
      <c r="F360" s="100">
        <f>VLOOKUP(C360,'Functional Assignment'!$C$1:$AU$771,13,)</f>
        <v>0</v>
      </c>
      <c r="G360" s="100">
        <f t="shared" ref="G360:T362" si="146">IF(VLOOKUP($E360,$D$5:$AJ$945,3,)=0,0,(VLOOKUP($E360,$D$5:$AJ$945,G$1,)/VLOOKUP($E360,$D$5:$AJ$945,3,))*$F360)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2423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2423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2429</v>
      </c>
      <c r="F366" s="100">
        <f>VLOOKUP(C366,'Functional Assignment'!$C$1:$AU$771,17,)</f>
        <v>0</v>
      </c>
      <c r="G366" s="100">
        <f t="shared" ref="G366:T366" si="148">IF(VLOOKUP($E366,$D$5:$AJ$945,3,)=0,0,(VLOOKUP($E366,$D$5:$AJ$945,G$1,)/VLOOKUP($E366,$D$5:$AJ$945,3,))*$F366)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2429</v>
      </c>
      <c r="F369" s="100">
        <f>VLOOKUP(C369,'Functional Assignment'!$C$1:$AU$771,18,)</f>
        <v>0</v>
      </c>
      <c r="G369" s="100">
        <f t="shared" ref="G369:T369" si="149">IF(VLOOKUP($E369,$D$5:$AJ$945,3,)=0,0,(VLOOKUP($E369,$D$5:$AJ$945,G$1,)/VLOOKUP($E369,$D$5:$AJ$945,3,))*$F369)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2429</v>
      </c>
      <c r="F372" s="100">
        <f>VLOOKUP(C372,'Functional Assignment'!$C$1:$AU$771,19,)</f>
        <v>0</v>
      </c>
      <c r="G372" s="100">
        <f t="shared" ref="G372:T376" si="150">IF(VLOOKUP($E372,$D$5:$AJ$945,3,)=0,0,(VLOOKUP($E372,$D$5:$AJ$945,G$1,)/VLOOKUP($E372,$D$5:$AJ$945,3,))*$F372)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2429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2332</v>
      </c>
      <c r="F380" s="100">
        <f>VLOOKUP(C380,'Functional Assignment'!$C$1:$AU$771,24,)</f>
        <v>0</v>
      </c>
      <c r="G380" s="100">
        <f t="shared" ref="G380:T381" si="155">IF(VLOOKUP($E380,$D$5:$AJ$945,3,)=0,0,(VLOOKUP($E380,$D$5:$AJ$945,G$1,)/VLOOKUP($E380,$D$5:$AJ$945,3,))*$F380)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2331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IF(VLOOKUP($E385,$D$5:$AJ$945,3,)=0,0,(VLOOKUP($E385,$D$5:$AJ$945,G$1,)/VLOOKUP($E385,$D$5:$AJ$945,3,))*$F385)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IF(VLOOKUP($E388,$D$5:$AJ$945,3,)=0,0,(VLOOKUP($E388,$D$5:$AJ$945,G$1,)/VLOOKUP($E388,$D$5:$AJ$945,3,))*$F388)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IF(VLOOKUP($E391,$D$5:$AJ$945,3,)=0,0,(VLOOKUP($E391,$D$5:$AJ$945,G$1,)/VLOOKUP($E391,$D$5:$AJ$945,3,))*$F391)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IF(VLOOKUP($E394,$D$5:$AJ$945,3,)=0,0,(VLOOKUP($E394,$D$5:$AJ$945,G$1,)/VLOOKUP($E394,$D$5:$AJ$945,3,))*$F394)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IF(VLOOKUP($E397,$D$5:$AJ$945,3,)=0,0,(VLOOKUP($E397,$D$5:$AJ$945,G$1,)/VLOOKUP($E397,$D$5:$AJ$945,3,))*$F397)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IF(VLOOKUP($E400,$D$5:$AJ$945,3,)=0,0,(VLOOKUP($E400,$D$5:$AJ$945,G$1,)/VLOOKUP($E400,$D$5:$AJ$945,3,))*$F400)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397" t="s">
        <v>2455</v>
      </c>
      <c r="F408" s="100">
        <f>VLOOKUP(C408,'Functional Assignment'!$C$1:$AU$771,6,)</f>
        <v>5182784.4920048928</v>
      </c>
      <c r="G408" s="100">
        <f t="shared" ref="G408:T413" si="164">IF(VLOOKUP($E408,$D$5:$AJ$945,3,)=0,0,(VLOOKUP($E408,$D$5:$AJ$945,G$1,)/VLOOKUP($E408,$D$5:$AJ$945,3,))*$F408)</f>
        <v>2121583.747847002</v>
      </c>
      <c r="H408" s="100">
        <f t="shared" si="164"/>
        <v>588881.00140780711</v>
      </c>
      <c r="I408" s="100">
        <f t="shared" si="164"/>
        <v>0</v>
      </c>
      <c r="J408" s="100">
        <f t="shared" si="164"/>
        <v>44342.945637749806</v>
      </c>
      <c r="K408" s="100">
        <f t="shared" si="164"/>
        <v>0</v>
      </c>
      <c r="L408" s="100">
        <f t="shared" si="164"/>
        <v>591919.46329104004</v>
      </c>
      <c r="M408" s="100">
        <f t="shared" si="164"/>
        <v>43585.942741609615</v>
      </c>
      <c r="N408" s="100">
        <f t="shared" si="164"/>
        <v>432261.9587724118</v>
      </c>
      <c r="O408" s="100">
        <f t="shared" si="164"/>
        <v>945388.19455773605</v>
      </c>
      <c r="P408" s="100">
        <f t="shared" si="164"/>
        <v>328692.6891635356</v>
      </c>
      <c r="Q408" s="100">
        <f t="shared" si="164"/>
        <v>85863.567044659634</v>
      </c>
      <c r="R408" s="100">
        <f t="shared" si="164"/>
        <v>0</v>
      </c>
      <c r="S408" s="100">
        <f t="shared" si="164"/>
        <v>0</v>
      </c>
      <c r="T408" s="100">
        <f t="shared" si="164"/>
        <v>264.98154134086525</v>
      </c>
      <c r="U408" s="100"/>
      <c r="V408" s="102">
        <f t="shared" ref="V408:V414" si="165">SUM(G408:T408)</f>
        <v>5182784.4920048928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397" t="s">
        <v>2455</v>
      </c>
      <c r="F409" s="101">
        <f>VLOOKUP(C409,'Functional Assignment'!$C$1:$AU$771,7,)</f>
        <v>5429294.7962091612</v>
      </c>
      <c r="G409" s="101">
        <f t="shared" si="164"/>
        <v>2222493.2600760711</v>
      </c>
      <c r="H409" s="101">
        <f t="shared" si="164"/>
        <v>616890.12179880321</v>
      </c>
      <c r="I409" s="101">
        <f t="shared" si="164"/>
        <v>0</v>
      </c>
      <c r="J409" s="101">
        <f t="shared" si="164"/>
        <v>46452.042212252854</v>
      </c>
      <c r="K409" s="101">
        <f t="shared" si="164"/>
        <v>0</v>
      </c>
      <c r="L409" s="101">
        <f t="shared" si="164"/>
        <v>620073.10293887672</v>
      </c>
      <c r="M409" s="101">
        <f t="shared" si="164"/>
        <v>45659.033764560423</v>
      </c>
      <c r="N409" s="101">
        <f t="shared" si="164"/>
        <v>452821.76154200372</v>
      </c>
      <c r="O409" s="101">
        <f t="shared" si="164"/>
        <v>990353.97150467604</v>
      </c>
      <c r="P409" s="101">
        <f t="shared" si="164"/>
        <v>344326.39627993514</v>
      </c>
      <c r="Q409" s="101">
        <f t="shared" si="164"/>
        <v>89947.521155600247</v>
      </c>
      <c r="R409" s="101">
        <f t="shared" si="164"/>
        <v>0</v>
      </c>
      <c r="S409" s="101">
        <f t="shared" si="164"/>
        <v>0</v>
      </c>
      <c r="T409" s="101">
        <f t="shared" si="164"/>
        <v>277.58493638173911</v>
      </c>
      <c r="U409" s="101"/>
      <c r="V409" s="101">
        <f t="shared" si="165"/>
        <v>5429294.7962091602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397" t="s">
        <v>2455</v>
      </c>
      <c r="F410" s="101">
        <f>VLOOKUP(C410,'Functional Assignment'!$C$1:$AU$771,8,)</f>
        <v>4462862.014789843</v>
      </c>
      <c r="G410" s="101">
        <f t="shared" si="164"/>
        <v>1826881.9654893957</v>
      </c>
      <c r="H410" s="101">
        <f t="shared" si="164"/>
        <v>507081.59995239583</v>
      </c>
      <c r="I410" s="101">
        <f t="shared" si="164"/>
        <v>0</v>
      </c>
      <c r="J410" s="101">
        <f t="shared" si="164"/>
        <v>38183.422061226956</v>
      </c>
      <c r="K410" s="101">
        <f t="shared" si="164"/>
        <v>0</v>
      </c>
      <c r="L410" s="101">
        <f t="shared" si="164"/>
        <v>509697.9997164582</v>
      </c>
      <c r="M410" s="101">
        <f t="shared" si="164"/>
        <v>37531.571791264629</v>
      </c>
      <c r="N410" s="101">
        <f t="shared" si="164"/>
        <v>372217.96106320305</v>
      </c>
      <c r="O410" s="101">
        <f t="shared" si="164"/>
        <v>814067.62508281565</v>
      </c>
      <c r="P410" s="101">
        <f t="shared" si="164"/>
        <v>283035.1366663932</v>
      </c>
      <c r="Q410" s="101">
        <f t="shared" si="164"/>
        <v>73936.559085005982</v>
      </c>
      <c r="R410" s="101">
        <f t="shared" si="164"/>
        <v>0</v>
      </c>
      <c r="S410" s="101">
        <f t="shared" si="164"/>
        <v>0</v>
      </c>
      <c r="T410" s="101">
        <f t="shared" si="164"/>
        <v>228.17388168365605</v>
      </c>
      <c r="U410" s="101"/>
      <c r="V410" s="101">
        <f t="shared" si="165"/>
        <v>4462862.0147898421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6170958.973412469</v>
      </c>
      <c r="H414" s="100">
        <f t="shared" si="168"/>
        <v>1712852.7231590061</v>
      </c>
      <c r="I414" s="100">
        <f>SUM(I408:I413)</f>
        <v>0</v>
      </c>
      <c r="J414" s="100">
        <f>SUM(J408:J413)</f>
        <v>128978.40991122961</v>
      </c>
      <c r="K414" s="100">
        <f>SUM(K408:K413)</f>
        <v>0</v>
      </c>
      <c r="L414" s="100">
        <f t="shared" si="168"/>
        <v>1721690.5659463748</v>
      </c>
      <c r="M414" s="100">
        <f t="shared" si="168"/>
        <v>126776.54829743467</v>
      </c>
      <c r="N414" s="100">
        <f t="shared" si="168"/>
        <v>1257301.6813776186</v>
      </c>
      <c r="O414" s="100">
        <f t="shared" si="168"/>
        <v>2749809.7911452278</v>
      </c>
      <c r="P414" s="100">
        <f>SUM(P408:P413)</f>
        <v>956054.222109864</v>
      </c>
      <c r="Q414" s="100">
        <f t="shared" si="168"/>
        <v>249747.64728526588</v>
      </c>
      <c r="R414" s="100">
        <f t="shared" si="168"/>
        <v>0</v>
      </c>
      <c r="S414" s="100">
        <f t="shared" si="168"/>
        <v>0</v>
      </c>
      <c r="T414" s="100">
        <f t="shared" si="168"/>
        <v>770.74035940626038</v>
      </c>
      <c r="U414" s="100"/>
      <c r="V414" s="102">
        <f t="shared" si="165"/>
        <v>15074941.303003896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2424</v>
      </c>
      <c r="C417" s="97" t="s">
        <v>394</v>
      </c>
      <c r="D417" s="97" t="s">
        <v>1763</v>
      </c>
      <c r="E417" s="397" t="s">
        <v>2455</v>
      </c>
      <c r="F417" s="100">
        <f>VLOOKUP(C417,'Functional Assignment'!$C$1:$AU$771,13,)</f>
        <v>3342931.7179400311</v>
      </c>
      <c r="G417" s="100">
        <f t="shared" ref="G417:T419" si="169">IF(VLOOKUP($E417,$D$5:$AJ$945,3,)=0,0,(VLOOKUP($E417,$D$5:$AJ$945,G$1,)/VLOOKUP($E417,$D$5:$AJ$945,3,))*$F417)</f>
        <v>1368436.1396628823</v>
      </c>
      <c r="H417" s="100">
        <f t="shared" si="169"/>
        <v>379832.30457203969</v>
      </c>
      <c r="I417" s="100">
        <f t="shared" si="169"/>
        <v>0</v>
      </c>
      <c r="J417" s="100">
        <f t="shared" si="169"/>
        <v>28601.505555169519</v>
      </c>
      <c r="K417" s="100">
        <f t="shared" si="169"/>
        <v>0</v>
      </c>
      <c r="L417" s="100">
        <f t="shared" si="169"/>
        <v>381792.13342830032</v>
      </c>
      <c r="M417" s="100">
        <f t="shared" si="169"/>
        <v>28113.233469771545</v>
      </c>
      <c r="N417" s="100">
        <f t="shared" si="169"/>
        <v>278811.94262819778</v>
      </c>
      <c r="O417" s="100">
        <f t="shared" si="169"/>
        <v>609781.90125952347</v>
      </c>
      <c r="P417" s="100">
        <f t="shared" si="169"/>
        <v>212009.04991415748</v>
      </c>
      <c r="Q417" s="100">
        <f t="shared" si="169"/>
        <v>55382.592529527872</v>
      </c>
      <c r="R417" s="100">
        <f t="shared" si="169"/>
        <v>0</v>
      </c>
      <c r="S417" s="100">
        <f t="shared" si="169"/>
        <v>0</v>
      </c>
      <c r="T417" s="100">
        <f t="shared" si="169"/>
        <v>170.91492046090264</v>
      </c>
      <c r="U417" s="100"/>
      <c r="V417" s="102">
        <f>SUM(G417:T417)</f>
        <v>3342931.7179400311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2423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2423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1368436.1396628823</v>
      </c>
      <c r="H420" s="100">
        <f t="shared" si="170"/>
        <v>379832.30457203969</v>
      </c>
      <c r="I420" s="100">
        <f>SUM(I417:I419)</f>
        <v>0</v>
      </c>
      <c r="J420" s="100">
        <f>SUM(J417:J419)</f>
        <v>28601.505555169519</v>
      </c>
      <c r="K420" s="100">
        <f>SUM(K417:K419)</f>
        <v>0</v>
      </c>
      <c r="L420" s="100">
        <f t="shared" si="170"/>
        <v>381792.13342830032</v>
      </c>
      <c r="M420" s="100">
        <f t="shared" si="170"/>
        <v>28113.233469771545</v>
      </c>
      <c r="N420" s="100">
        <f t="shared" si="170"/>
        <v>278811.94262819778</v>
      </c>
      <c r="O420" s="100">
        <f t="shared" si="170"/>
        <v>609781.90125952347</v>
      </c>
      <c r="P420" s="100">
        <f>SUM(P417:P419)</f>
        <v>212009.04991415748</v>
      </c>
      <c r="Q420" s="100">
        <f t="shared" si="170"/>
        <v>55382.592529527872</v>
      </c>
      <c r="R420" s="100">
        <f t="shared" si="170"/>
        <v>0</v>
      </c>
      <c r="S420" s="100">
        <f t="shared" si="170"/>
        <v>0</v>
      </c>
      <c r="T420" s="100">
        <f t="shared" si="170"/>
        <v>170.91492046090264</v>
      </c>
      <c r="U420" s="100"/>
      <c r="V420" s="102">
        <f>SUM(G420:T420)</f>
        <v>3342931.7179400311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2429</v>
      </c>
      <c r="F423" s="100">
        <f>VLOOKUP(C423,'Functional Assignment'!$C$1:$AU$771,17,)</f>
        <v>0</v>
      </c>
      <c r="G423" s="100">
        <f t="shared" ref="G423:T423" si="171">IF(VLOOKUP($E423,$D$5:$AJ$945,3,)=0,0,(VLOOKUP($E423,$D$5:$AJ$945,G$1,)/VLOOKUP($E423,$D$5:$AJ$945,3,))*$F423)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2429</v>
      </c>
      <c r="F426" s="100">
        <f>VLOOKUP(C426,'Functional Assignment'!$C$1:$AU$771,18,)</f>
        <v>784098.26751743548</v>
      </c>
      <c r="G426" s="100">
        <f t="shared" ref="G426:T426" si="172">IF(VLOOKUP($E426,$D$5:$AJ$945,3,)=0,0,(VLOOKUP($E426,$D$5:$AJ$945,G$1,)/VLOOKUP($E426,$D$5:$AJ$945,3,))*$F426)</f>
        <v>380726.40586286713</v>
      </c>
      <c r="H426" s="100">
        <f t="shared" si="172"/>
        <v>92755.606019858504</v>
      </c>
      <c r="I426" s="100">
        <f t="shared" si="172"/>
        <v>0</v>
      </c>
      <c r="J426" s="100">
        <f t="shared" si="172"/>
        <v>9714.045634920969</v>
      </c>
      <c r="K426" s="100">
        <f t="shared" si="172"/>
        <v>0</v>
      </c>
      <c r="L426" s="100">
        <f t="shared" si="172"/>
        <v>86680.360241516086</v>
      </c>
      <c r="M426" s="100">
        <f t="shared" si="172"/>
        <v>6700.5419451184498</v>
      </c>
      <c r="N426" s="100">
        <f t="shared" si="172"/>
        <v>61012.377761352633</v>
      </c>
      <c r="O426" s="100">
        <f t="shared" si="172"/>
        <v>139560.77516253162</v>
      </c>
      <c r="P426" s="100">
        <f t="shared" si="172"/>
        <v>0</v>
      </c>
      <c r="Q426" s="100">
        <f t="shared" si="172"/>
        <v>0</v>
      </c>
      <c r="R426" s="100">
        <f t="shared" si="172"/>
        <v>6874.7615511793565</v>
      </c>
      <c r="S426" s="100">
        <f t="shared" si="172"/>
        <v>28.795974793321257</v>
      </c>
      <c r="T426" s="100">
        <f t="shared" si="172"/>
        <v>44.597363297359898</v>
      </c>
      <c r="U426" s="100"/>
      <c r="V426" s="102">
        <f>SUM(G426:T426)</f>
        <v>784098.26751743536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2429</v>
      </c>
      <c r="F429" s="100">
        <f>VLOOKUP(C429,'Functional Assignment'!$C$1:$AU$771,19,)</f>
        <v>0</v>
      </c>
      <c r="G429" s="100">
        <f t="shared" ref="G429:T433" si="173">IF(VLOOKUP($E429,$D$5:$AJ$945,3,)=0,0,(VLOOKUP($E429,$D$5:$AJ$945,G$1,)/VLOOKUP($E429,$D$5:$AJ$945,3,))*$F429)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2429</v>
      </c>
      <c r="F430" s="101">
        <f>VLOOKUP(C430,'Functional Assignment'!$C$1:$AU$771,20,)</f>
        <v>854425.56935727748</v>
      </c>
      <c r="G430" s="101">
        <f t="shared" si="173"/>
        <v>414874.49924954289</v>
      </c>
      <c r="H430" s="101">
        <f t="shared" si="173"/>
        <v>101075.03710666549</v>
      </c>
      <c r="I430" s="101">
        <f t="shared" si="173"/>
        <v>0</v>
      </c>
      <c r="J430" s="101">
        <f t="shared" si="173"/>
        <v>10585.317320823395</v>
      </c>
      <c r="K430" s="101">
        <f t="shared" si="173"/>
        <v>0</v>
      </c>
      <c r="L430" s="101">
        <f t="shared" si="173"/>
        <v>94454.890693664784</v>
      </c>
      <c r="M430" s="101">
        <f t="shared" si="173"/>
        <v>7301.5266116920038</v>
      </c>
      <c r="N430" s="101">
        <f t="shared" si="173"/>
        <v>66484.696837346128</v>
      </c>
      <c r="O430" s="101">
        <f t="shared" si="173"/>
        <v>152078.25309413468</v>
      </c>
      <c r="P430" s="101">
        <f t="shared" si="173"/>
        <v>0</v>
      </c>
      <c r="Q430" s="101">
        <f t="shared" si="173"/>
        <v>0</v>
      </c>
      <c r="R430" s="101">
        <f t="shared" si="173"/>
        <v>7491.3723137786756</v>
      </c>
      <c r="S430" s="101">
        <f t="shared" si="173"/>
        <v>31.378741896575129</v>
      </c>
      <c r="T430" s="101">
        <f t="shared" si="173"/>
        <v>48.597387732823634</v>
      </c>
      <c r="U430" s="101"/>
      <c r="V430" s="101">
        <f t="shared" si="174"/>
        <v>854425.56935727748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1266066.9868395647</v>
      </c>
      <c r="H431" s="101">
        <f t="shared" si="173"/>
        <v>244976.46822357181</v>
      </c>
      <c r="I431" s="101">
        <f t="shared" si="173"/>
        <v>0</v>
      </c>
      <c r="J431" s="101">
        <f t="shared" si="173"/>
        <v>1743.3432017254268</v>
      </c>
      <c r="K431" s="101">
        <f t="shared" si="173"/>
        <v>0</v>
      </c>
      <c r="L431" s="101">
        <f t="shared" si="173"/>
        <v>13238.236825243841</v>
      </c>
      <c r="M431" s="101">
        <f t="shared" si="173"/>
        <v>508.59759510708068</v>
      </c>
      <c r="N431" s="101">
        <f t="shared" si="173"/>
        <v>1816.8399640241378</v>
      </c>
      <c r="O431" s="101">
        <f t="shared" si="173"/>
        <v>814.34412626971869</v>
      </c>
      <c r="P431" s="101">
        <f t="shared" si="173"/>
        <v>0</v>
      </c>
      <c r="Q431" s="101">
        <f t="shared" si="173"/>
        <v>0</v>
      </c>
      <c r="R431" s="101">
        <f t="shared" si="173"/>
        <v>55035.68221838239</v>
      </c>
      <c r="S431" s="101">
        <f t="shared" si="173"/>
        <v>1.3066091075326414</v>
      </c>
      <c r="T431" s="101">
        <f t="shared" si="173"/>
        <v>253.48216686133244</v>
      </c>
      <c r="U431" s="101"/>
      <c r="V431" s="101">
        <f t="shared" si="174"/>
        <v>1584455.287769858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329210.27370673174</v>
      </c>
      <c r="H432" s="101">
        <f t="shared" si="173"/>
        <v>57127.284061418082</v>
      </c>
      <c r="I432" s="101">
        <f t="shared" si="173"/>
        <v>0</v>
      </c>
      <c r="J432" s="101">
        <f t="shared" si="173"/>
        <v>4361.2817808131622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2613.4655753761131</v>
      </c>
      <c r="S432" s="101">
        <f t="shared" si="173"/>
        <v>10.94689441539003</v>
      </c>
      <c r="T432" s="101">
        <f t="shared" si="173"/>
        <v>16.934927393366486</v>
      </c>
      <c r="U432" s="101"/>
      <c r="V432" s="101">
        <f t="shared" si="174"/>
        <v>393340.18694614788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485480.29606739583</v>
      </c>
      <c r="H433" s="101">
        <f t="shared" si="173"/>
        <v>93937.563777417658</v>
      </c>
      <c r="I433" s="101">
        <f t="shared" si="173"/>
        <v>0</v>
      </c>
      <c r="J433" s="101">
        <f t="shared" si="173"/>
        <v>668.49446555231282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21103.732721400764</v>
      </c>
      <c r="S433" s="101">
        <f t="shared" si="173"/>
        <v>0.50102639351869049</v>
      </c>
      <c r="T433" s="101">
        <f t="shared" si="173"/>
        <v>97.199120342625974</v>
      </c>
      <c r="U433" s="101"/>
      <c r="V433" s="101">
        <f t="shared" si="174"/>
        <v>601287.78717850265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2495632.0558632351</v>
      </c>
      <c r="H434" s="100">
        <f t="shared" si="177"/>
        <v>497116.35316907306</v>
      </c>
      <c r="I434" s="100">
        <f>SUM(I429:I433)</f>
        <v>0</v>
      </c>
      <c r="J434" s="100">
        <f>SUM(J429:J433)</f>
        <v>17358.436768914296</v>
      </c>
      <c r="K434" s="100">
        <f>SUM(K429:K433)</f>
        <v>0</v>
      </c>
      <c r="L434" s="100">
        <f t="shared" si="177"/>
        <v>107693.12751890863</v>
      </c>
      <c r="M434" s="100">
        <f t="shared" si="177"/>
        <v>7810.1242067990843</v>
      </c>
      <c r="N434" s="100">
        <f t="shared" si="177"/>
        <v>68301.536801370268</v>
      </c>
      <c r="O434" s="100">
        <f t="shared" si="177"/>
        <v>152892.59722040439</v>
      </c>
      <c r="P434" s="100">
        <f>SUM(P429:P433)</f>
        <v>0</v>
      </c>
      <c r="Q434" s="100">
        <f t="shared" si="177"/>
        <v>0</v>
      </c>
      <c r="R434" s="100">
        <f t="shared" si="177"/>
        <v>86244.252828937941</v>
      </c>
      <c r="S434" s="100">
        <f t="shared" si="177"/>
        <v>44.133271813016499</v>
      </c>
      <c r="T434" s="100">
        <f t="shared" si="177"/>
        <v>416.21360233014855</v>
      </c>
      <c r="U434" s="100"/>
      <c r="V434" s="102">
        <f t="shared" si="174"/>
        <v>3433508.8312517856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2332</v>
      </c>
      <c r="F437" s="100">
        <f>VLOOKUP(C437,'Functional Assignment'!$C$1:$AU$771,24,)</f>
        <v>610600.66334314167</v>
      </c>
      <c r="G437" s="100">
        <f t="shared" ref="G437:T438" si="178">IF(VLOOKUP($E437,$D$5:$AJ$945,3,)=0,0,(VLOOKUP($E437,$D$5:$AJ$945,G$1,)/VLOOKUP($E437,$D$5:$AJ$945,3,))*$F437)</f>
        <v>426657.36710151023</v>
      </c>
      <c r="H437" s="100">
        <f t="shared" si="178"/>
        <v>74037.108055192235</v>
      </c>
      <c r="I437" s="100">
        <f t="shared" si="178"/>
        <v>0</v>
      </c>
      <c r="J437" s="100">
        <f t="shared" si="178"/>
        <v>5652.2324799837497</v>
      </c>
      <c r="K437" s="100">
        <f t="shared" si="178"/>
        <v>0</v>
      </c>
      <c r="L437" s="100">
        <f t="shared" si="178"/>
        <v>61638.661479326955</v>
      </c>
      <c r="M437" s="100">
        <f t="shared" si="178"/>
        <v>0</v>
      </c>
      <c r="N437" s="100">
        <f t="shared" si="178"/>
        <v>39192.10116150973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3387.0581523641104</v>
      </c>
      <c r="S437" s="100">
        <f t="shared" si="178"/>
        <v>14.18720350559045</v>
      </c>
      <c r="T437" s="100">
        <f t="shared" si="178"/>
        <v>21.947709749014557</v>
      </c>
      <c r="U437" s="100"/>
      <c r="V437" s="102">
        <f>SUM(G437:T437)</f>
        <v>610600.66334314155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2331</v>
      </c>
      <c r="F438" s="101">
        <f>VLOOKUP(C438,'Functional Assignment'!$C$1:$AU$771,25,)</f>
        <v>543360.9639801092</v>
      </c>
      <c r="G438" s="101">
        <f t="shared" si="178"/>
        <v>434538.13583534164</v>
      </c>
      <c r="H438" s="101">
        <f t="shared" si="178"/>
        <v>84080.557294308615</v>
      </c>
      <c r="I438" s="101">
        <f t="shared" si="178"/>
        <v>0</v>
      </c>
      <c r="J438" s="101">
        <f t="shared" si="178"/>
        <v>598.34835982101072</v>
      </c>
      <c r="K438" s="101">
        <f t="shared" si="178"/>
        <v>0</v>
      </c>
      <c r="L438" s="101">
        <f t="shared" si="178"/>
        <v>4543.6132618448755</v>
      </c>
      <c r="M438" s="101">
        <f t="shared" si="178"/>
        <v>0</v>
      </c>
      <c r="N438" s="101">
        <f t="shared" si="178"/>
        <v>623.57383873420679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18889.287063159674</v>
      </c>
      <c r="S438" s="101">
        <f t="shared" si="178"/>
        <v>0.44845295845681904</v>
      </c>
      <c r="T438" s="101">
        <f t="shared" si="178"/>
        <v>86.999873940622891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861195.50293685193</v>
      </c>
      <c r="H439" s="100">
        <f t="shared" si="179"/>
        <v>158117.66534950084</v>
      </c>
      <c r="I439" s="100">
        <f>I437+I438</f>
        <v>0</v>
      </c>
      <c r="J439" s="100">
        <f>J437+J438</f>
        <v>6250.5808398047602</v>
      </c>
      <c r="K439" s="100">
        <f>K437+K438</f>
        <v>0</v>
      </c>
      <c r="L439" s="100">
        <f t="shared" si="179"/>
        <v>66182.27474117183</v>
      </c>
      <c r="M439" s="100">
        <f t="shared" si="179"/>
        <v>0</v>
      </c>
      <c r="N439" s="100">
        <f t="shared" si="179"/>
        <v>39815.675000243937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22276.345215523783</v>
      </c>
      <c r="S439" s="100">
        <f t="shared" si="179"/>
        <v>14.635656464047269</v>
      </c>
      <c r="T439" s="100">
        <f t="shared" si="179"/>
        <v>108.94758368963744</v>
      </c>
      <c r="U439" s="100"/>
      <c r="V439" s="102">
        <f>SUM(G439:T439)</f>
        <v>1153961.627323251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IF(VLOOKUP($E442,$D$5:$AJ$945,3,)=0,0,(VLOOKUP($E442,$D$5:$AJ$945,G$1,)/VLOOKUP($E442,$D$5:$AJ$945,3,))*$F442)</f>
        <v>255110.09846707064</v>
      </c>
      <c r="H442" s="100">
        <f t="shared" si="180"/>
        <v>99932.656835727801</v>
      </c>
      <c r="I442" s="100">
        <f t="shared" si="180"/>
        <v>0</v>
      </c>
      <c r="J442" s="100">
        <f t="shared" si="180"/>
        <v>946.40748468256743</v>
      </c>
      <c r="K442" s="100">
        <f t="shared" si="180"/>
        <v>0</v>
      </c>
      <c r="L442" s="100">
        <f t="shared" si="180"/>
        <v>6789.5378274106924</v>
      </c>
      <c r="M442" s="100">
        <f t="shared" si="180"/>
        <v>0</v>
      </c>
      <c r="N442" s="100">
        <f t="shared" si="180"/>
        <v>986.42836876369324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363765.12898365542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IF(VLOOKUP($E445,$D$5:$AJ$945,3,)=0,0,(VLOOKUP($E445,$D$5:$AJ$945,G$1,)/VLOOKUP($E445,$D$5:$AJ$945,3,))*$F445)</f>
        <v>192883.43169682578</v>
      </c>
      <c r="H445" s="100">
        <f t="shared" si="181"/>
        <v>71891.248925683947</v>
      </c>
      <c r="I445" s="100">
        <f t="shared" si="181"/>
        <v>0</v>
      </c>
      <c r="J445" s="100">
        <f t="shared" si="181"/>
        <v>1524.928681913651</v>
      </c>
      <c r="K445" s="100">
        <f t="shared" si="181"/>
        <v>0</v>
      </c>
      <c r="L445" s="100">
        <f t="shared" si="181"/>
        <v>19486.094055371646</v>
      </c>
      <c r="M445" s="100">
        <f t="shared" si="181"/>
        <v>4296.2737508696455</v>
      </c>
      <c r="N445" s="100">
        <f t="shared" si="181"/>
        <v>3613.7512491413422</v>
      </c>
      <c r="O445" s="100">
        <f t="shared" si="181"/>
        <v>9545.7855611027207</v>
      </c>
      <c r="P445" s="100">
        <f t="shared" si="181"/>
        <v>6510.3357357041987</v>
      </c>
      <c r="Q445" s="100">
        <f t="shared" si="181"/>
        <v>275.54599829498136</v>
      </c>
      <c r="R445" s="100">
        <f t="shared" si="181"/>
        <v>0</v>
      </c>
      <c r="S445" s="100">
        <f t="shared" si="181"/>
        <v>1.7915389807071871</v>
      </c>
      <c r="T445" s="100">
        <f t="shared" si="181"/>
        <v>347.5585622571943</v>
      </c>
      <c r="U445" s="100"/>
      <c r="V445" s="102">
        <f>SUM(G445:T445)</f>
        <v>310376.74575614592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IF(VLOOKUP($E448,$D$5:$AJ$945,3,)=0,0,(VLOOKUP($E448,$D$5:$AJ$945,G$1,)/VLOOKUP($E448,$D$5:$AJ$945,3,))*$F448)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IF(VLOOKUP($E451,$D$5:$AJ$945,3,)=0,0,(VLOOKUP($E451,$D$5:$AJ$945,G$1,)/VLOOKUP($E451,$D$5:$AJ$945,3,))*$F451)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IF(VLOOKUP($E454,$D$5:$AJ$945,3,)=0,0,(VLOOKUP($E454,$D$5:$AJ$945,G$1,)/VLOOKUP($E454,$D$5:$AJ$945,3,))*$F454)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IF(VLOOKUP($E457,$D$5:$AJ$945,3,)=0,0,(VLOOKUP($E457,$D$5:$AJ$945,G$1,)/VLOOKUP($E457,$D$5:$AJ$945,3,))*$F457)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11724942.607902201</v>
      </c>
      <c r="H459" s="100">
        <f t="shared" si="186"/>
        <v>3012498.5580308898</v>
      </c>
      <c r="I459" s="100">
        <f>I414+I420+I423+I426+I434+I439+I442+I445+I448+I451+I454+I457</f>
        <v>0</v>
      </c>
      <c r="J459" s="100">
        <f>J414+J420+J423+J426+J434+J439+J442+J445+J448+J451+J454+J457</f>
        <v>193374.31487663536</v>
      </c>
      <c r="K459" s="100">
        <f>K414+K420+K423+K426+K434+K439+K442+K445+K448+K451+K454+K457</f>
        <v>0</v>
      </c>
      <c r="L459" s="100">
        <f t="shared" si="186"/>
        <v>2390314.0937590543</v>
      </c>
      <c r="M459" s="100">
        <f t="shared" si="186"/>
        <v>173696.72166999339</v>
      </c>
      <c r="N459" s="100">
        <f t="shared" si="186"/>
        <v>1709843.3931866884</v>
      </c>
      <c r="O459" s="100">
        <f>O414+O420+O423+O426+O434+O439+O442+O445+O448+O451+O454+O457</f>
        <v>3661590.8503487902</v>
      </c>
      <c r="P459" s="100">
        <f>P414+P420+P423+P426+P434+P439+P442+P445+P448+P451+P454+P457</f>
        <v>1174573.6077597258</v>
      </c>
      <c r="Q459" s="100">
        <f t="shared" si="186"/>
        <v>305405.7858130887</v>
      </c>
      <c r="R459" s="100">
        <f t="shared" si="186"/>
        <v>545912.63149363315</v>
      </c>
      <c r="S459" s="100">
        <f t="shared" si="186"/>
        <v>89.356442051092216</v>
      </c>
      <c r="T459" s="100">
        <f t="shared" si="186"/>
        <v>1858.9723914415033</v>
      </c>
      <c r="U459" s="100"/>
      <c r="V459" s="102">
        <f>SUM(G459:T459)</f>
        <v>24894100.893674191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397" t="s">
        <v>2455</v>
      </c>
      <c r="F465" s="100">
        <f>VLOOKUP(C465,'Functional Assignment'!$C$1:$AU$771,6,)</f>
        <v>2691267.5380682121</v>
      </c>
      <c r="G465" s="100">
        <f t="shared" ref="G465:T470" si="187">IF(VLOOKUP($E465,$D$5:$AJ$945,3,)=0,0,(VLOOKUP($E465,$D$5:$AJ$945,G$1,)/VLOOKUP($E465,$D$5:$AJ$945,3,))*$F465)</f>
        <v>1101676.0350891976</v>
      </c>
      <c r="H465" s="100">
        <f t="shared" si="187"/>
        <v>305788.58243454742</v>
      </c>
      <c r="I465" s="100">
        <f t="shared" si="187"/>
        <v>0</v>
      </c>
      <c r="J465" s="100">
        <f t="shared" si="187"/>
        <v>23025.987347398819</v>
      </c>
      <c r="K465" s="100">
        <f t="shared" si="187"/>
        <v>0</v>
      </c>
      <c r="L465" s="100">
        <f t="shared" si="187"/>
        <v>307366.36631589872</v>
      </c>
      <c r="M465" s="100">
        <f t="shared" si="187"/>
        <v>22632.898010238747</v>
      </c>
      <c r="N465" s="100">
        <f t="shared" si="187"/>
        <v>224460.92045319668</v>
      </c>
      <c r="O465" s="100">
        <f t="shared" si="187"/>
        <v>490912.28138292197</v>
      </c>
      <c r="P465" s="100">
        <f t="shared" si="187"/>
        <v>170680.44517590437</v>
      </c>
      <c r="Q465" s="100">
        <f t="shared" si="187"/>
        <v>44586.424738769143</v>
      </c>
      <c r="R465" s="100">
        <f t="shared" si="187"/>
        <v>0</v>
      </c>
      <c r="S465" s="100">
        <f t="shared" si="187"/>
        <v>0</v>
      </c>
      <c r="T465" s="100">
        <f t="shared" si="187"/>
        <v>137.59712013842255</v>
      </c>
      <c r="U465" s="100"/>
      <c r="V465" s="102">
        <f t="shared" ref="V465:V471" si="188">SUM(G465:T465)</f>
        <v>2691267.5380682116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397" t="s">
        <v>2455</v>
      </c>
      <c r="F466" s="101">
        <f>VLOOKUP(C466,'Functional Assignment'!$C$1:$AU$771,7,)</f>
        <v>2819273.0880824341</v>
      </c>
      <c r="G466" s="101">
        <f t="shared" si="187"/>
        <v>1154075.3765943921</v>
      </c>
      <c r="H466" s="101">
        <f t="shared" si="187"/>
        <v>320332.89478139795</v>
      </c>
      <c r="I466" s="101">
        <f t="shared" si="187"/>
        <v>0</v>
      </c>
      <c r="J466" s="101">
        <f t="shared" si="187"/>
        <v>24121.179160673535</v>
      </c>
      <c r="K466" s="101">
        <f t="shared" si="187"/>
        <v>0</v>
      </c>
      <c r="L466" s="101">
        <f t="shared" si="187"/>
        <v>321985.72326187557</v>
      </c>
      <c r="M466" s="101">
        <f t="shared" si="187"/>
        <v>23709.393199675007</v>
      </c>
      <c r="N466" s="101">
        <f t="shared" si="187"/>
        <v>235137.02127665252</v>
      </c>
      <c r="O466" s="101">
        <f t="shared" si="187"/>
        <v>514261.68670895789</v>
      </c>
      <c r="P466" s="101">
        <f t="shared" si="187"/>
        <v>178798.56942493253</v>
      </c>
      <c r="Q466" s="101">
        <f t="shared" si="187"/>
        <v>46707.101981415391</v>
      </c>
      <c r="R466" s="101">
        <f t="shared" si="187"/>
        <v>0</v>
      </c>
      <c r="S466" s="101">
        <f t="shared" si="187"/>
        <v>0</v>
      </c>
      <c r="T466" s="101">
        <f t="shared" si="187"/>
        <v>144.14169246151997</v>
      </c>
      <c r="U466" s="101"/>
      <c r="V466" s="101">
        <f t="shared" si="188"/>
        <v>2819273.0880824341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397" t="s">
        <v>2455</v>
      </c>
      <c r="F467" s="101">
        <f>VLOOKUP(C467,'Functional Assignment'!$C$1:$AU$771,8,)</f>
        <v>2317432.9717567316</v>
      </c>
      <c r="G467" s="101">
        <f t="shared" si="187"/>
        <v>948646.06799460587</v>
      </c>
      <c r="H467" s="101">
        <f t="shared" si="187"/>
        <v>263312.55934117781</v>
      </c>
      <c r="I467" s="101">
        <f t="shared" si="187"/>
        <v>0</v>
      </c>
      <c r="J467" s="101">
        <f t="shared" si="187"/>
        <v>19827.527932959772</v>
      </c>
      <c r="K467" s="101">
        <f t="shared" si="187"/>
        <v>0</v>
      </c>
      <c r="L467" s="101">
        <f t="shared" si="187"/>
        <v>264671.17877875862</v>
      </c>
      <c r="M467" s="101">
        <f t="shared" si="187"/>
        <v>19489.041261569739</v>
      </c>
      <c r="N467" s="101">
        <f t="shared" si="187"/>
        <v>193281.83860252053</v>
      </c>
      <c r="O467" s="101">
        <f t="shared" si="187"/>
        <v>422721.37237374391</v>
      </c>
      <c r="P467" s="101">
        <f t="shared" si="187"/>
        <v>146971.82115482891</v>
      </c>
      <c r="Q467" s="101">
        <f t="shared" si="187"/>
        <v>38393.080331411766</v>
      </c>
      <c r="R467" s="101">
        <f t="shared" si="187"/>
        <v>0</v>
      </c>
      <c r="S467" s="101">
        <f t="shared" si="187"/>
        <v>0</v>
      </c>
      <c r="T467" s="101">
        <f t="shared" si="187"/>
        <v>118.48398515460805</v>
      </c>
      <c r="U467" s="101"/>
      <c r="V467" s="101">
        <f t="shared" si="188"/>
        <v>2317432.9717567312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3204397.4796781954</v>
      </c>
      <c r="H471" s="100">
        <f t="shared" si="191"/>
        <v>889434.03655712318</v>
      </c>
      <c r="I471" s="100">
        <f>SUM(I465:I470)</f>
        <v>0</v>
      </c>
      <c r="J471" s="100">
        <f>SUM(J465:J470)</f>
        <v>66974.69444103213</v>
      </c>
      <c r="K471" s="100">
        <f>SUM(K465:K470)</f>
        <v>0</v>
      </c>
      <c r="L471" s="100">
        <f t="shared" si="191"/>
        <v>894023.26835653291</v>
      </c>
      <c r="M471" s="100">
        <f t="shared" si="191"/>
        <v>65831.332471483489</v>
      </c>
      <c r="N471" s="100">
        <f t="shared" si="191"/>
        <v>652879.78033236973</v>
      </c>
      <c r="O471" s="100">
        <f t="shared" si="191"/>
        <v>1427895.3404656239</v>
      </c>
      <c r="P471" s="100">
        <f>SUM(P465:P470)</f>
        <v>496450.83575566579</v>
      </c>
      <c r="Q471" s="100">
        <f t="shared" si="191"/>
        <v>129686.60705159631</v>
      </c>
      <c r="R471" s="100">
        <f t="shared" si="191"/>
        <v>0</v>
      </c>
      <c r="S471" s="100">
        <f t="shared" si="191"/>
        <v>0</v>
      </c>
      <c r="T471" s="100">
        <f t="shared" si="191"/>
        <v>400.22279775455058</v>
      </c>
      <c r="U471" s="100"/>
      <c r="V471" s="102">
        <f t="shared" si="188"/>
        <v>7827973.5979073765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2424</v>
      </c>
      <c r="C474" s="97" t="s">
        <v>1755</v>
      </c>
      <c r="D474" s="97" t="s">
        <v>1790</v>
      </c>
      <c r="E474" s="397" t="s">
        <v>2455</v>
      </c>
      <c r="F474" s="100">
        <f>VLOOKUP(C474,'Functional Assignment'!$C$1:$AU$771,13,)</f>
        <v>1735886.1107092532</v>
      </c>
      <c r="G474" s="100">
        <f t="shared" ref="G474:T476" si="192">IF(VLOOKUP($E474,$D$5:$AJ$945,3,)=0,0,(VLOOKUP($E474,$D$5:$AJ$945,G$1,)/VLOOKUP($E474,$D$5:$AJ$945,3,))*$F474)</f>
        <v>710588.6355636291</v>
      </c>
      <c r="H474" s="100">
        <f t="shared" si="192"/>
        <v>197235.74321511717</v>
      </c>
      <c r="I474" s="100">
        <f t="shared" si="192"/>
        <v>0</v>
      </c>
      <c r="J474" s="100">
        <f t="shared" si="192"/>
        <v>14851.920537936327</v>
      </c>
      <c r="K474" s="100">
        <f t="shared" si="192"/>
        <v>0</v>
      </c>
      <c r="L474" s="100">
        <f t="shared" si="192"/>
        <v>198253.42469293284</v>
      </c>
      <c r="M474" s="100">
        <f t="shared" si="192"/>
        <v>14598.375206232191</v>
      </c>
      <c r="N474" s="100">
        <f t="shared" si="192"/>
        <v>144778.84071362176</v>
      </c>
      <c r="O474" s="100">
        <f t="shared" si="192"/>
        <v>316641.80493957573</v>
      </c>
      <c r="P474" s="100">
        <f t="shared" si="192"/>
        <v>110090.06349595224</v>
      </c>
      <c r="Q474" s="100">
        <f t="shared" si="192"/>
        <v>28758.551253424703</v>
      </c>
      <c r="R474" s="100">
        <f t="shared" si="192"/>
        <v>0</v>
      </c>
      <c r="S474" s="100">
        <f t="shared" si="192"/>
        <v>0</v>
      </c>
      <c r="T474" s="100">
        <f t="shared" si="192"/>
        <v>88.751090831099035</v>
      </c>
      <c r="U474" s="100"/>
      <c r="V474" s="102">
        <f>SUM(G474:T474)</f>
        <v>1735886.1107092532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2423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2423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710588.6355636291</v>
      </c>
      <c r="H477" s="100">
        <f t="shared" si="193"/>
        <v>197235.74321511717</v>
      </c>
      <c r="I477" s="100">
        <f>SUM(I474:I476)</f>
        <v>0</v>
      </c>
      <c r="J477" s="100">
        <f>SUM(J474:J476)</f>
        <v>14851.920537936327</v>
      </c>
      <c r="K477" s="100">
        <f>SUM(K474:K476)</f>
        <v>0</v>
      </c>
      <c r="L477" s="100">
        <f t="shared" si="193"/>
        <v>198253.42469293284</v>
      </c>
      <c r="M477" s="100">
        <f t="shared" si="193"/>
        <v>14598.375206232191</v>
      </c>
      <c r="N477" s="100">
        <f t="shared" si="193"/>
        <v>144778.84071362176</v>
      </c>
      <c r="O477" s="100">
        <f t="shared" si="193"/>
        <v>316641.80493957573</v>
      </c>
      <c r="P477" s="100">
        <f>SUM(P474:P476)</f>
        <v>110090.06349595224</v>
      </c>
      <c r="Q477" s="100">
        <f t="shared" si="193"/>
        <v>28758.551253424703</v>
      </c>
      <c r="R477" s="100">
        <f t="shared" si="193"/>
        <v>0</v>
      </c>
      <c r="S477" s="100">
        <f t="shared" si="193"/>
        <v>0</v>
      </c>
      <c r="T477" s="100">
        <f t="shared" si="193"/>
        <v>88.751090831099035</v>
      </c>
      <c r="U477" s="100"/>
      <c r="V477" s="102">
        <f>SUM(G477:T477)</f>
        <v>1735886.1107092532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2429</v>
      </c>
      <c r="F480" s="100">
        <f>VLOOKUP(C480,'Functional Assignment'!$C$1:$AU$771,17,)</f>
        <v>0</v>
      </c>
      <c r="G480" s="100">
        <f t="shared" ref="G480:T480" si="194">IF(VLOOKUP($E480,$D$5:$AJ$945,3,)=0,0,(VLOOKUP($E480,$D$5:$AJ$945,G$1,)/VLOOKUP($E480,$D$5:$AJ$945,3,))*$F480)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2429</v>
      </c>
      <c r="F483" s="100">
        <f>VLOOKUP(C483,'Functional Assignment'!$C$1:$AU$771,18,)</f>
        <v>407159.16652148665</v>
      </c>
      <c r="G483" s="100">
        <f t="shared" ref="G483:T483" si="195">IF(VLOOKUP($E483,$D$5:$AJ$945,3,)=0,0,(VLOOKUP($E483,$D$5:$AJ$945,G$1,)/VLOOKUP($E483,$D$5:$AJ$945,3,))*$F483)</f>
        <v>197700.02371596778</v>
      </c>
      <c r="H483" s="100">
        <f t="shared" si="195"/>
        <v>48165.257853220792</v>
      </c>
      <c r="I483" s="100">
        <f t="shared" si="195"/>
        <v>0</v>
      </c>
      <c r="J483" s="100">
        <f t="shared" si="195"/>
        <v>5044.2181651398168</v>
      </c>
      <c r="K483" s="100">
        <f t="shared" si="195"/>
        <v>0</v>
      </c>
      <c r="L483" s="100">
        <f t="shared" si="195"/>
        <v>45010.561420393802</v>
      </c>
      <c r="M483" s="100">
        <f t="shared" si="195"/>
        <v>3479.3943395060801</v>
      </c>
      <c r="N483" s="100">
        <f t="shared" si="195"/>
        <v>31681.933127411274</v>
      </c>
      <c r="O483" s="100">
        <f t="shared" si="195"/>
        <v>72469.805441835677</v>
      </c>
      <c r="P483" s="100">
        <f t="shared" si="195"/>
        <v>0</v>
      </c>
      <c r="Q483" s="100">
        <f t="shared" si="195"/>
        <v>0</v>
      </c>
      <c r="R483" s="100">
        <f t="shared" si="195"/>
        <v>3569.8614563638316</v>
      </c>
      <c r="S483" s="100">
        <f t="shared" si="195"/>
        <v>14.952902693107546</v>
      </c>
      <c r="T483" s="100">
        <f t="shared" si="195"/>
        <v>23.158098954484966</v>
      </c>
      <c r="U483" s="100"/>
      <c r="V483" s="102">
        <f>SUM(G483:T483)</f>
        <v>407159.16652148665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2429</v>
      </c>
      <c r="F486" s="100">
        <f>VLOOKUP(C486,'Functional Assignment'!$C$1:$AU$771,19,)</f>
        <v>0</v>
      </c>
      <c r="G486" s="100">
        <f t="shared" ref="G486:T490" si="196">IF(VLOOKUP($E486,$D$5:$AJ$945,3,)=0,0,(VLOOKUP($E486,$D$5:$AJ$945,G$1,)/VLOOKUP($E486,$D$5:$AJ$945,3,))*$F486)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2429</v>
      </c>
      <c r="F487" s="101">
        <f>VLOOKUP(C487,'Functional Assignment'!$C$1:$AU$771,20,)</f>
        <v>443678.06572971429</v>
      </c>
      <c r="G487" s="101">
        <f t="shared" si="196"/>
        <v>215432.12416510904</v>
      </c>
      <c r="H487" s="101">
        <f t="shared" si="196"/>
        <v>52485.293705311189</v>
      </c>
      <c r="I487" s="101">
        <f t="shared" si="196"/>
        <v>0</v>
      </c>
      <c r="J487" s="101">
        <f t="shared" si="196"/>
        <v>5496.6439236725819</v>
      </c>
      <c r="K487" s="101">
        <f t="shared" si="196"/>
        <v>0</v>
      </c>
      <c r="L487" s="101">
        <f t="shared" si="196"/>
        <v>49047.646400845435</v>
      </c>
      <c r="M487" s="101">
        <f t="shared" si="196"/>
        <v>3791.4679992388392</v>
      </c>
      <c r="N487" s="101">
        <f t="shared" si="196"/>
        <v>34523.547458451227</v>
      </c>
      <c r="O487" s="101">
        <f t="shared" si="196"/>
        <v>78969.763537291205</v>
      </c>
      <c r="P487" s="101">
        <f t="shared" si="196"/>
        <v>0</v>
      </c>
      <c r="Q487" s="101">
        <f t="shared" si="196"/>
        <v>0</v>
      </c>
      <c r="R487" s="101">
        <f t="shared" si="196"/>
        <v>3890.0492881301284</v>
      </c>
      <c r="S487" s="101">
        <f t="shared" si="196"/>
        <v>16.294057679215939</v>
      </c>
      <c r="T487" s="101">
        <f t="shared" si="196"/>
        <v>25.235193985399292</v>
      </c>
      <c r="U487" s="101"/>
      <c r="V487" s="101">
        <f t="shared" si="197"/>
        <v>443678.06572971417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657431.34563233121</v>
      </c>
      <c r="H488" s="101">
        <f t="shared" si="196"/>
        <v>127209.07410635111</v>
      </c>
      <c r="I488" s="101">
        <f t="shared" si="196"/>
        <v>0</v>
      </c>
      <c r="J488" s="101">
        <f t="shared" si="196"/>
        <v>905.26684521674588</v>
      </c>
      <c r="K488" s="101">
        <f t="shared" si="196"/>
        <v>0</v>
      </c>
      <c r="L488" s="101">
        <f t="shared" si="196"/>
        <v>6874.2269882141763</v>
      </c>
      <c r="M488" s="101">
        <f t="shared" si="196"/>
        <v>264.09977103287861</v>
      </c>
      <c r="N488" s="101">
        <f t="shared" si="196"/>
        <v>943.43155201340448</v>
      </c>
      <c r="O488" s="101">
        <f t="shared" si="196"/>
        <v>422.86495130697904</v>
      </c>
      <c r="P488" s="101">
        <f t="shared" si="196"/>
        <v>0</v>
      </c>
      <c r="Q488" s="101">
        <f t="shared" si="196"/>
        <v>0</v>
      </c>
      <c r="R488" s="101">
        <f t="shared" si="196"/>
        <v>28578.410933014467</v>
      </c>
      <c r="S488" s="101">
        <f t="shared" si="196"/>
        <v>0.67848367638504459</v>
      </c>
      <c r="T488" s="101">
        <f t="shared" si="196"/>
        <v>131.62583321869866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170949.21160473398</v>
      </c>
      <c r="H489" s="101">
        <f t="shared" si="196"/>
        <v>29664.518246835665</v>
      </c>
      <c r="I489" s="101">
        <f t="shared" si="196"/>
        <v>0</v>
      </c>
      <c r="J489" s="101">
        <f t="shared" si="196"/>
        <v>2264.6853441768972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1357.0957997035418</v>
      </c>
      <c r="S489" s="101">
        <f t="shared" si="196"/>
        <v>5.6844002732984125</v>
      </c>
      <c r="T489" s="101">
        <f t="shared" si="196"/>
        <v>8.7938096642098085</v>
      </c>
      <c r="U489" s="101"/>
      <c r="V489" s="101">
        <f t="shared" si="197"/>
        <v>204249.98920538757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252095.63762364781</v>
      </c>
      <c r="H490" s="101">
        <f t="shared" si="196"/>
        <v>48779.013750112499</v>
      </c>
      <c r="I490" s="101">
        <f t="shared" si="196"/>
        <v>0</v>
      </c>
      <c r="J490" s="101">
        <f t="shared" si="196"/>
        <v>347.12951258045473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10958.54764804297</v>
      </c>
      <c r="S490" s="101">
        <f t="shared" si="196"/>
        <v>0.26016826875057503</v>
      </c>
      <c r="T490" s="101">
        <f t="shared" si="196"/>
        <v>50.47264413761156</v>
      </c>
      <c r="U490" s="101"/>
      <c r="V490" s="101">
        <f t="shared" si="197"/>
        <v>312231.06134679011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1295908.319025822</v>
      </c>
      <c r="H491" s="100">
        <f t="shared" si="200"/>
        <v>258137.89980861044</v>
      </c>
      <c r="I491" s="100">
        <f>SUM(I486:I490)</f>
        <v>0</v>
      </c>
      <c r="J491" s="100">
        <f>SUM(J486:J490)</f>
        <v>9013.7256256466808</v>
      </c>
      <c r="K491" s="100">
        <f>SUM(K486:K490)</f>
        <v>0</v>
      </c>
      <c r="L491" s="100">
        <f t="shared" si="200"/>
        <v>55921.873389059612</v>
      </c>
      <c r="M491" s="100">
        <f t="shared" si="200"/>
        <v>4055.5677702717176</v>
      </c>
      <c r="N491" s="100">
        <f t="shared" si="200"/>
        <v>35466.979010464631</v>
      </c>
      <c r="O491" s="100">
        <f t="shared" si="200"/>
        <v>79392.628488598188</v>
      </c>
      <c r="P491" s="100">
        <f>SUM(P486:P490)</f>
        <v>0</v>
      </c>
      <c r="Q491" s="100">
        <f t="shared" si="200"/>
        <v>0</v>
      </c>
      <c r="R491" s="100">
        <f t="shared" si="200"/>
        <v>44784.103668891112</v>
      </c>
      <c r="S491" s="100">
        <f t="shared" si="200"/>
        <v>22.917109897649972</v>
      </c>
      <c r="T491" s="100">
        <f t="shared" si="200"/>
        <v>216.12748100591932</v>
      </c>
      <c r="U491" s="100"/>
      <c r="V491" s="102">
        <f t="shared" si="197"/>
        <v>1782920.1413782679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2332</v>
      </c>
      <c r="F494" s="100">
        <f>VLOOKUP(C494,'Functional Assignment'!$C$1:$AU$771,24,)</f>
        <v>317066.9640061821</v>
      </c>
      <c r="G494" s="100">
        <f t="shared" ref="G494:T495" si="201">IF(VLOOKUP($E494,$D$5:$AJ$945,3,)=0,0,(VLOOKUP($E494,$D$5:$AJ$945,G$1,)/VLOOKUP($E494,$D$5:$AJ$945,3,))*$F494)</f>
        <v>221550.62085434343</v>
      </c>
      <c r="H494" s="100">
        <f t="shared" si="201"/>
        <v>38445.292454039263</v>
      </c>
      <c r="I494" s="100">
        <f t="shared" si="201"/>
        <v>0</v>
      </c>
      <c r="J494" s="100">
        <f t="shared" si="201"/>
        <v>2935.0380696826187</v>
      </c>
      <c r="K494" s="100">
        <f t="shared" si="201"/>
        <v>0</v>
      </c>
      <c r="L494" s="100">
        <f t="shared" si="201"/>
        <v>32007.143840379384</v>
      </c>
      <c r="M494" s="100">
        <f t="shared" si="201"/>
        <v>0</v>
      </c>
      <c r="N494" s="100">
        <f t="shared" si="201"/>
        <v>20351.305320020052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1758.799670151946</v>
      </c>
      <c r="S494" s="100">
        <f t="shared" si="201"/>
        <v>7.3669974720081557</v>
      </c>
      <c r="T494" s="100">
        <f t="shared" si="201"/>
        <v>11.396800093383151</v>
      </c>
      <c r="U494" s="100"/>
      <c r="V494" s="102">
        <f>SUM(G494:T494)</f>
        <v>317066.96400618216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2331</v>
      </c>
      <c r="F495" s="101">
        <f>VLOOKUP(C495,'Functional Assignment'!$C$1:$AU$771,25,)</f>
        <v>282151.36594410776</v>
      </c>
      <c r="G495" s="101">
        <f t="shared" si="201"/>
        <v>225642.87224953485</v>
      </c>
      <c r="H495" s="101">
        <f t="shared" si="201"/>
        <v>43660.560221619882</v>
      </c>
      <c r="I495" s="101">
        <f t="shared" si="201"/>
        <v>0</v>
      </c>
      <c r="J495" s="101">
        <f t="shared" si="201"/>
        <v>310.7047031816125</v>
      </c>
      <c r="K495" s="101">
        <f t="shared" si="201"/>
        <v>0</v>
      </c>
      <c r="L495" s="101">
        <f t="shared" si="201"/>
        <v>2359.3647191008449</v>
      </c>
      <c r="M495" s="101">
        <f t="shared" si="201"/>
        <v>0</v>
      </c>
      <c r="N495" s="101">
        <f t="shared" si="201"/>
        <v>323.80355238825717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9808.6511543658999</v>
      </c>
      <c r="S495" s="101">
        <f t="shared" si="201"/>
        <v>0.2328684303403504</v>
      </c>
      <c r="T495" s="101">
        <f t="shared" si="201"/>
        <v>45.176475486027975</v>
      </c>
      <c r="U495" s="101"/>
      <c r="V495" s="101">
        <f>SUM(G495:T495)</f>
        <v>282151.3659441077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447193.49310387828</v>
      </c>
      <c r="H496" s="100">
        <f t="shared" si="202"/>
        <v>82105.852675659145</v>
      </c>
      <c r="I496" s="100">
        <f>I494+I495</f>
        <v>0</v>
      </c>
      <c r="J496" s="100">
        <f>J494+J495</f>
        <v>3245.742772864231</v>
      </c>
      <c r="K496" s="100">
        <f>K494+K495</f>
        <v>0</v>
      </c>
      <c r="L496" s="100">
        <f t="shared" si="202"/>
        <v>34366.508559480229</v>
      </c>
      <c r="M496" s="100">
        <f t="shared" si="202"/>
        <v>0</v>
      </c>
      <c r="N496" s="100">
        <f t="shared" si="202"/>
        <v>20675.108872408309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11567.450824517846</v>
      </c>
      <c r="S496" s="100">
        <f t="shared" si="202"/>
        <v>7.5998659023485065</v>
      </c>
      <c r="T496" s="100">
        <f t="shared" si="202"/>
        <v>56.573275579411124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IF(VLOOKUP($E499,$D$5:$AJ$945,3,)=0,0,(VLOOKUP($E499,$D$5:$AJ$945,G$1,)/VLOOKUP($E499,$D$5:$AJ$945,3,))*$F499)</f>
        <v>132471.17021688508</v>
      </c>
      <c r="H499" s="100">
        <f t="shared" si="203"/>
        <v>51892.089233072962</v>
      </c>
      <c r="I499" s="100">
        <f t="shared" si="203"/>
        <v>0</v>
      </c>
      <c r="J499" s="100">
        <f t="shared" si="203"/>
        <v>491.44156876291311</v>
      </c>
      <c r="K499" s="100">
        <f t="shared" si="203"/>
        <v>0</v>
      </c>
      <c r="L499" s="100">
        <f t="shared" si="203"/>
        <v>3525.6072834176648</v>
      </c>
      <c r="M499" s="100">
        <f t="shared" si="203"/>
        <v>0</v>
      </c>
      <c r="N499" s="100">
        <f t="shared" si="203"/>
        <v>512.22323667491617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IF(VLOOKUP($E502,$D$5:$AJ$945,3,)=0,0,(VLOOKUP($E502,$D$5:$AJ$945,G$1,)/VLOOKUP($E502,$D$5:$AJ$945,3,))*$F502)</f>
        <v>100158.69252477001</v>
      </c>
      <c r="H502" s="100">
        <f t="shared" si="204"/>
        <v>37331.010927299765</v>
      </c>
      <c r="I502" s="100">
        <f t="shared" si="204"/>
        <v>0</v>
      </c>
      <c r="J502" s="100">
        <f t="shared" si="204"/>
        <v>791.85060961617933</v>
      </c>
      <c r="K502" s="100">
        <f t="shared" si="204"/>
        <v>0</v>
      </c>
      <c r="L502" s="100">
        <f t="shared" si="204"/>
        <v>10118.555470686579</v>
      </c>
      <c r="M502" s="100">
        <f t="shared" si="204"/>
        <v>2230.9285864011026</v>
      </c>
      <c r="N502" s="100">
        <f t="shared" si="204"/>
        <v>1876.5147272610855</v>
      </c>
      <c r="O502" s="100">
        <f t="shared" si="204"/>
        <v>4956.8456580794582</v>
      </c>
      <c r="P502" s="100">
        <f t="shared" si="204"/>
        <v>3380.6258497636945</v>
      </c>
      <c r="Q502" s="100">
        <f t="shared" si="204"/>
        <v>143.08293188725975</v>
      </c>
      <c r="R502" s="100">
        <f t="shared" si="204"/>
        <v>0</v>
      </c>
      <c r="S502" s="100">
        <f t="shared" si="204"/>
        <v>0.93029349559080854</v>
      </c>
      <c r="T502" s="100">
        <f t="shared" si="204"/>
        <v>180.47693814461687</v>
      </c>
      <c r="U502" s="100"/>
      <c r="V502" s="102">
        <f>SUM(G502:T502)</f>
        <v>161169.51451740536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IF(VLOOKUP($E505,$D$5:$AJ$945,3,)=0,0,(VLOOKUP($E505,$D$5:$AJ$945,G$1,)/VLOOKUP($E505,$D$5:$AJ$945,3,))*$F505)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IF(VLOOKUP($E508,$D$5:$AJ$945,3,)=0,0,(VLOOKUP($E508,$D$5:$AJ$945,G$1,)/VLOOKUP($E508,$D$5:$AJ$945,3,))*$F508)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IF(VLOOKUP($E511,$D$5:$AJ$945,3,)=0,0,(VLOOKUP($E511,$D$5:$AJ$945,G$1,)/VLOOKUP($E511,$D$5:$AJ$945,3,))*$F511)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IF(VLOOKUP($E514,$D$5:$AJ$945,3,)=0,0,(VLOOKUP($E514,$D$5:$AJ$945,G$1,)/VLOOKUP($E514,$D$5:$AJ$945,3,))*$F514)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6088417.8138291491</v>
      </c>
      <c r="H516" s="100">
        <f t="shared" si="209"/>
        <v>1564301.8902701035</v>
      </c>
      <c r="I516" s="100">
        <f>I471+I477+I480+I483+I491+I496+I499+I502+I505+I508+I511+I514</f>
        <v>0</v>
      </c>
      <c r="J516" s="100">
        <f>J471+J477+J480+J483+J491+J496+J499+J502+J505+J508+J511+J514</f>
        <v>100413.59372099827</v>
      </c>
      <c r="K516" s="100">
        <f>K471+K477+K480+K483+K491+K496+K499+K502+K505+K508+K511+K514</f>
        <v>0</v>
      </c>
      <c r="L516" s="100">
        <f t="shared" si="209"/>
        <v>1241219.7991725039</v>
      </c>
      <c r="M516" s="100">
        <f t="shared" si="209"/>
        <v>90195.59837389458</v>
      </c>
      <c r="N516" s="100">
        <f t="shared" si="209"/>
        <v>887871.38002021168</v>
      </c>
      <c r="O516" s="100">
        <f>O471+O477+O480+O483+O491+O496+O499+O502+O505+O508+O511+O514</f>
        <v>1901356.4249937129</v>
      </c>
      <c r="P516" s="100">
        <f>P471+P477+P480+P483+P491+P496+P499+P502+P505+P508+P511+P514</f>
        <v>609921.52510138182</v>
      </c>
      <c r="Q516" s="100">
        <f t="shared" si="209"/>
        <v>158588.24123690827</v>
      </c>
      <c r="R516" s="100">
        <f t="shared" si="209"/>
        <v>283476.37182804599</v>
      </c>
      <c r="S516" s="100">
        <f t="shared" si="209"/>
        <v>46.400171988696833</v>
      </c>
      <c r="T516" s="100">
        <f t="shared" si="209"/>
        <v>965.30968227008179</v>
      </c>
      <c r="U516" s="100"/>
      <c r="V516" s="102">
        <f>SUM(G516:T516)</f>
        <v>12926774.348401172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397" t="s">
        <v>2455</v>
      </c>
      <c r="F523" s="100">
        <f>VLOOKUP(C523,'Functional Assignment'!$C$1:$AU$744,6,)</f>
        <v>0</v>
      </c>
      <c r="G523" s="100">
        <f t="shared" ref="G523:T528" si="210">IF(VLOOKUP($E523,$D$5:$AJ$1013,3,)=0,0,(VLOOKUP($E523,$D$5:$AJ$1013,G$1,)/VLOOKUP($E523,$D$5:$AJ$1013,3,))*$F523)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397" t="s">
        <v>2455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397" t="s">
        <v>2455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2424</v>
      </c>
      <c r="C532" s="97" t="s">
        <v>936</v>
      </c>
      <c r="D532" s="97" t="s">
        <v>1790</v>
      </c>
      <c r="E532" s="397" t="s">
        <v>2455</v>
      </c>
      <c r="F532" s="100">
        <f>VLOOKUP(C532,'Functional Assignment'!$C$1:$AU$744,13,)</f>
        <v>0</v>
      </c>
      <c r="G532" s="100">
        <f t="shared" ref="G532:T534" si="215">IF(VLOOKUP($E532,$D$5:$AJ$1013,3,)=0,0,(VLOOKUP($E532,$D$5:$AJ$1013,G$1,)/VLOOKUP($E532,$D$5:$AJ$1013,3,))*$F532)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2423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2423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2429</v>
      </c>
      <c r="F538" s="100">
        <f>VLOOKUP(C538,'Functional Assignment'!$C$1:$AU$744,17,)</f>
        <v>0</v>
      </c>
      <c r="G538" s="100">
        <f t="shared" ref="G538:T538" si="217">IF(VLOOKUP($E538,$D$5:$AJ$1013,3,)=0,0,(VLOOKUP($E538,$D$5:$AJ$1013,G$1,)/VLOOKUP($E538,$D$5:$AJ$1013,3,))*$F538)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2429</v>
      </c>
      <c r="F541" s="100">
        <f>VLOOKUP(C541,'Functional Assignment'!$C$1:$AU$744,18,)</f>
        <v>0</v>
      </c>
      <c r="G541" s="100">
        <f t="shared" ref="G541:T541" si="218">IF(VLOOKUP($E541,$D$5:$AJ$1013,3,)=0,0,(VLOOKUP($E541,$D$5:$AJ$1013,G$1,)/VLOOKUP($E541,$D$5:$AJ$1013,3,))*$F541)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2429</v>
      </c>
      <c r="F544" s="100">
        <f>VLOOKUP(C544,'Functional Assignment'!$C$1:$AU$744,19,)</f>
        <v>0</v>
      </c>
      <c r="G544" s="100">
        <f t="shared" ref="G544:T548" si="219">IF(VLOOKUP($E544,$D$5:$AJ$1013,3,)=0,0,(VLOOKUP($E544,$D$5:$AJ$1013,G$1,)/VLOOKUP($E544,$D$5:$AJ$1013,3,))*$F544)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2429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2332</v>
      </c>
      <c r="F552" s="100">
        <f>VLOOKUP(C552,'Functional Assignment'!$C$1:$AU$744,24,)</f>
        <v>0</v>
      </c>
      <c r="G552" s="100">
        <f t="shared" ref="G552:T553" si="224">IF(VLOOKUP($E552,$D$5:$AJ$1013,3,)=0,0,(VLOOKUP($E552,$D$5:$AJ$1013,G$1,)/VLOOKUP($E552,$D$5:$AJ$1013,3,))*$F552)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2331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IF(VLOOKUP($E557,$D$5:$AJ$1013,3,)=0,0,(VLOOKUP($E557,$D$5:$AJ$1013,G$1,)/VLOOKUP($E557,$D$5:$AJ$1013,3,))*$F557)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IF(VLOOKUP($E560,$D$5:$AJ$1013,3,)=0,0,(VLOOKUP($E560,$D$5:$AJ$1013,G$1,)/VLOOKUP($E560,$D$5:$AJ$1013,3,))*$F560)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IF(VLOOKUP($E563,$D$5:$AJ$1013,3,)=0,0,(VLOOKUP($E563,$D$5:$AJ$1013,G$1,)/VLOOKUP($E563,$D$5:$AJ$1013,3,))*$F563)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IF(VLOOKUP($E566,$D$5:$AJ$1013,3,)=0,0,(VLOOKUP($E566,$D$5:$AJ$1013,G$1,)/VLOOKUP($E566,$D$5:$AJ$1013,3,))*$F566)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IF(VLOOKUP($E569,$D$5:$AJ$1013,3,)=0,0,(VLOOKUP($E569,$D$5:$AJ$1013,G$1,)/VLOOKUP($E569,$D$5:$AJ$1013,3,))*$F569)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IF(VLOOKUP($E572,$D$5:$AJ$1013,3,)=0,0,(VLOOKUP($E572,$D$5:$AJ$1013,G$1,)/VLOOKUP($E572,$D$5:$AJ$1013,3,))*$F572)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397" t="s">
        <v>2455</v>
      </c>
      <c r="F585" s="100">
        <f>VLOOKUP(C585,'Functional Assignment'!$C$1:$AU$771,6,)</f>
        <v>17924442.093626585</v>
      </c>
      <c r="G585" s="100">
        <f t="shared" ref="G585:T590" si="233">IF(VLOOKUP($E585,$D$5:$AJ$945,3,)=0,0,(VLOOKUP($E585,$D$5:$AJ$945,G$1,)/VLOOKUP($E585,$D$5:$AJ$945,3,))*$F585)</f>
        <v>7337408.1237076744</v>
      </c>
      <c r="H585" s="100">
        <f t="shared" si="233"/>
        <v>2036620.1654832589</v>
      </c>
      <c r="I585" s="100">
        <f t="shared" si="233"/>
        <v>0</v>
      </c>
      <c r="J585" s="100">
        <f t="shared" si="233"/>
        <v>153358.21170469144</v>
      </c>
      <c r="K585" s="100">
        <f t="shared" si="233"/>
        <v>0</v>
      </c>
      <c r="L585" s="100">
        <f t="shared" si="233"/>
        <v>2047128.5580594346</v>
      </c>
      <c r="M585" s="100">
        <f t="shared" si="233"/>
        <v>150740.1490402098</v>
      </c>
      <c r="N585" s="100">
        <f t="shared" si="233"/>
        <v>1494959.796465792</v>
      </c>
      <c r="O585" s="100">
        <f t="shared" si="233"/>
        <v>3269585.2925177594</v>
      </c>
      <c r="P585" s="100">
        <f t="shared" si="233"/>
        <v>1136769.8353267037</v>
      </c>
      <c r="Q585" s="100">
        <f t="shared" si="233"/>
        <v>296955.5338097536</v>
      </c>
      <c r="R585" s="100">
        <f t="shared" si="233"/>
        <v>0</v>
      </c>
      <c r="S585" s="100">
        <f t="shared" si="233"/>
        <v>0</v>
      </c>
      <c r="T585" s="100">
        <f t="shared" si="233"/>
        <v>916.42751130617023</v>
      </c>
      <c r="U585" s="100"/>
      <c r="V585" s="102">
        <f t="shared" ref="V585:V591" si="234">SUM(G585:T585)</f>
        <v>17924442.093626585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397" t="s">
        <v>2455</v>
      </c>
      <c r="F586" s="101">
        <f>VLOOKUP(C586,'Functional Assignment'!$C$1:$AU$771,7,)</f>
        <v>18776987.608495641</v>
      </c>
      <c r="G586" s="101">
        <f t="shared" si="233"/>
        <v>7686399.4258612311</v>
      </c>
      <c r="H586" s="101">
        <f t="shared" si="233"/>
        <v>2133488.5298376512</v>
      </c>
      <c r="I586" s="101">
        <f t="shared" si="233"/>
        <v>0</v>
      </c>
      <c r="J586" s="101">
        <f t="shared" si="233"/>
        <v>160652.43346480204</v>
      </c>
      <c r="K586" s="101">
        <f t="shared" si="233"/>
        <v>0</v>
      </c>
      <c r="L586" s="101">
        <f t="shared" si="233"/>
        <v>2144496.7361827861</v>
      </c>
      <c r="M586" s="101">
        <f t="shared" si="233"/>
        <v>157909.84711525444</v>
      </c>
      <c r="N586" s="101">
        <f t="shared" si="233"/>
        <v>1566065.0092656733</v>
      </c>
      <c r="O586" s="101">
        <f t="shared" si="233"/>
        <v>3425097.5400988981</v>
      </c>
      <c r="P586" s="101">
        <f t="shared" si="233"/>
        <v>1190838.353581496</v>
      </c>
      <c r="Q586" s="101">
        <f t="shared" si="233"/>
        <v>311079.71726509649</v>
      </c>
      <c r="R586" s="101">
        <f t="shared" si="233"/>
        <v>0</v>
      </c>
      <c r="S586" s="101">
        <f t="shared" si="233"/>
        <v>0</v>
      </c>
      <c r="T586" s="101">
        <f t="shared" si="233"/>
        <v>960.01582275182989</v>
      </c>
      <c r="U586" s="101"/>
      <c r="V586" s="101">
        <f t="shared" si="234"/>
        <v>18776987.608495641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397" t="s">
        <v>2455</v>
      </c>
      <c r="F587" s="101">
        <f>VLOOKUP(C587,'Functional Assignment'!$C$1:$AU$771,8,)</f>
        <v>15434620.497793736</v>
      </c>
      <c r="G587" s="101">
        <f t="shared" si="233"/>
        <v>6318194.4093604581</v>
      </c>
      <c r="H587" s="101">
        <f t="shared" si="233"/>
        <v>1753720.3773592019</v>
      </c>
      <c r="I587" s="101">
        <f t="shared" si="233"/>
        <v>0</v>
      </c>
      <c r="J587" s="101">
        <f t="shared" si="233"/>
        <v>132055.75858474657</v>
      </c>
      <c r="K587" s="101">
        <f t="shared" si="233"/>
        <v>0</v>
      </c>
      <c r="L587" s="101">
        <f t="shared" si="233"/>
        <v>1762769.0858550037</v>
      </c>
      <c r="M587" s="101">
        <f t="shared" si="233"/>
        <v>129801.36185347619</v>
      </c>
      <c r="N587" s="101">
        <f t="shared" si="233"/>
        <v>1287300.1568128562</v>
      </c>
      <c r="O587" s="101">
        <f t="shared" si="233"/>
        <v>2815418.628461712</v>
      </c>
      <c r="P587" s="101">
        <f t="shared" si="233"/>
        <v>978865.11111248843</v>
      </c>
      <c r="Q587" s="101">
        <f t="shared" si="233"/>
        <v>255706.47862468351</v>
      </c>
      <c r="R587" s="101">
        <f t="shared" si="233"/>
        <v>0</v>
      </c>
      <c r="S587" s="101">
        <f t="shared" si="233"/>
        <v>0</v>
      </c>
      <c r="T587" s="101">
        <f t="shared" si="233"/>
        <v>789.12976910883981</v>
      </c>
      <c r="U587" s="101"/>
      <c r="V587" s="101">
        <f t="shared" si="234"/>
        <v>15434620.497793736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21342001.958929364</v>
      </c>
      <c r="H591" s="100">
        <f t="shared" si="237"/>
        <v>5923829.072680112</v>
      </c>
      <c r="I591" s="100">
        <f>SUM(I585:I590)</f>
        <v>0</v>
      </c>
      <c r="J591" s="100">
        <f>SUM(J585:J590)</f>
        <v>446066.40375424008</v>
      </c>
      <c r="K591" s="100">
        <f>SUM(K585:K590)</f>
        <v>0</v>
      </c>
      <c r="L591" s="100">
        <f t="shared" si="237"/>
        <v>5954394.3800972244</v>
      </c>
      <c r="M591" s="100">
        <f t="shared" si="237"/>
        <v>438451.35800894041</v>
      </c>
      <c r="N591" s="100">
        <f t="shared" si="237"/>
        <v>4348324.9625443211</v>
      </c>
      <c r="O591" s="100">
        <f t="shared" si="237"/>
        <v>9510101.4610783681</v>
      </c>
      <c r="P591" s="100">
        <f>SUM(P585:P590)</f>
        <v>3306473.3000206882</v>
      </c>
      <c r="Q591" s="100">
        <f t="shared" si="237"/>
        <v>863741.72969953367</v>
      </c>
      <c r="R591" s="100">
        <f t="shared" si="237"/>
        <v>0</v>
      </c>
      <c r="S591" s="100">
        <f t="shared" si="237"/>
        <v>0</v>
      </c>
      <c r="T591" s="100">
        <f t="shared" si="237"/>
        <v>2665.5731031668402</v>
      </c>
      <c r="U591" s="100"/>
      <c r="V591" s="102">
        <f t="shared" si="234"/>
        <v>52136050.199915968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2424</v>
      </c>
      <c r="C594" s="97" t="s">
        <v>396</v>
      </c>
      <c r="D594" s="97" t="s">
        <v>1181</v>
      </c>
      <c r="E594" s="397" t="s">
        <v>2455</v>
      </c>
      <c r="F594" s="100">
        <f>VLOOKUP(C594,'Functional Assignment'!$C$1:$AU$771,13,)</f>
        <v>11561388.688570451</v>
      </c>
      <c r="G594" s="100">
        <f t="shared" ref="G594:T596" si="238">IF(VLOOKUP($E594,$D$5:$AJ$945,3,)=0,0,(VLOOKUP($E594,$D$5:$AJ$945,G$1,)/VLOOKUP($E594,$D$5:$AJ$945,3,))*$F594)</f>
        <v>4732678.8104061643</v>
      </c>
      <c r="H594" s="100">
        <f t="shared" si="238"/>
        <v>1313634.0434553868</v>
      </c>
      <c r="I594" s="100">
        <f t="shared" si="238"/>
        <v>0</v>
      </c>
      <c r="J594" s="100">
        <f t="shared" si="238"/>
        <v>98917.10351935873</v>
      </c>
      <c r="K594" s="100">
        <f t="shared" si="238"/>
        <v>0</v>
      </c>
      <c r="L594" s="100">
        <f t="shared" si="238"/>
        <v>1320412.0290925773</v>
      </c>
      <c r="M594" s="100">
        <f t="shared" si="238"/>
        <v>97228.435056652757</v>
      </c>
      <c r="N594" s="100">
        <f t="shared" si="238"/>
        <v>964259.37222742441</v>
      </c>
      <c r="O594" s="100">
        <f t="shared" si="238"/>
        <v>2108905.0481895925</v>
      </c>
      <c r="P594" s="100">
        <f t="shared" si="238"/>
        <v>733224.37858902116</v>
      </c>
      <c r="Q594" s="100">
        <f t="shared" si="238"/>
        <v>191538.36597331188</v>
      </c>
      <c r="R594" s="100">
        <f t="shared" si="238"/>
        <v>0</v>
      </c>
      <c r="S594" s="100">
        <f t="shared" si="238"/>
        <v>0</v>
      </c>
      <c r="T594" s="100">
        <f t="shared" si="238"/>
        <v>591.10206096050626</v>
      </c>
      <c r="U594" s="100"/>
      <c r="V594" s="102">
        <f>SUM(G594:T594)</f>
        <v>11561388.688570451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2423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2423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4732678.8104061643</v>
      </c>
      <c r="H597" s="100">
        <f t="shared" si="239"/>
        <v>1313634.0434553868</v>
      </c>
      <c r="I597" s="100">
        <f>SUM(I594:I596)</f>
        <v>0</v>
      </c>
      <c r="J597" s="100">
        <f>SUM(J594:J596)</f>
        <v>98917.10351935873</v>
      </c>
      <c r="K597" s="100">
        <f>SUM(K594:K596)</f>
        <v>0</v>
      </c>
      <c r="L597" s="100">
        <f t="shared" si="239"/>
        <v>1320412.0290925773</v>
      </c>
      <c r="M597" s="100">
        <f t="shared" si="239"/>
        <v>97228.435056652757</v>
      </c>
      <c r="N597" s="100">
        <f t="shared" si="239"/>
        <v>964259.37222742441</v>
      </c>
      <c r="O597" s="100">
        <f t="shared" si="239"/>
        <v>2108905.0481895925</v>
      </c>
      <c r="P597" s="100">
        <f>SUM(P594:P596)</f>
        <v>733224.37858902116</v>
      </c>
      <c r="Q597" s="100">
        <f t="shared" si="239"/>
        <v>191538.36597331188</v>
      </c>
      <c r="R597" s="100">
        <f t="shared" si="239"/>
        <v>0</v>
      </c>
      <c r="S597" s="100">
        <f t="shared" si="239"/>
        <v>0</v>
      </c>
      <c r="T597" s="100">
        <f t="shared" si="239"/>
        <v>591.10206096050626</v>
      </c>
      <c r="U597" s="100"/>
      <c r="V597" s="102">
        <f>SUM(G597:T597)</f>
        <v>11561388.688570451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2429</v>
      </c>
      <c r="F600" s="100">
        <f>VLOOKUP(C600,'Functional Assignment'!$C$1:$AU$771,17,)</f>
        <v>0</v>
      </c>
      <c r="G600" s="100">
        <f t="shared" ref="G600:T600" si="240">IF(VLOOKUP($E600,$D$5:$AJ$945,3,)=0,0,(VLOOKUP($E600,$D$5:$AJ$945,G$1,)/VLOOKUP($E600,$D$5:$AJ$945,3,))*$F600)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2429</v>
      </c>
      <c r="F603" s="100">
        <f>VLOOKUP(C603,'Functional Assignment'!$C$1:$AU$771,18,)</f>
        <v>2711770.8663190794</v>
      </c>
      <c r="G603" s="100">
        <f t="shared" ref="G603:T603" si="241">IF(VLOOKUP($E603,$D$5:$AJ$945,3,)=0,0,(VLOOKUP($E603,$D$5:$AJ$945,G$1,)/VLOOKUP($E603,$D$5:$AJ$945,3,))*$F603)</f>
        <v>1316726.2551493126</v>
      </c>
      <c r="H603" s="100">
        <f t="shared" si="241"/>
        <v>320791.36061454157</v>
      </c>
      <c r="I603" s="100">
        <f t="shared" si="241"/>
        <v>0</v>
      </c>
      <c r="J603" s="100">
        <f t="shared" si="241"/>
        <v>33595.61809806824</v>
      </c>
      <c r="K603" s="100">
        <f t="shared" si="241"/>
        <v>0</v>
      </c>
      <c r="L603" s="100">
        <f t="shared" si="241"/>
        <v>299780.37871351262</v>
      </c>
      <c r="M603" s="100">
        <f t="shared" si="241"/>
        <v>23173.542383725708</v>
      </c>
      <c r="N603" s="100">
        <f t="shared" si="241"/>
        <v>211008.74131750473</v>
      </c>
      <c r="O603" s="100">
        <f t="shared" si="241"/>
        <v>482665.06870995619</v>
      </c>
      <c r="P603" s="100">
        <f t="shared" si="241"/>
        <v>0</v>
      </c>
      <c r="Q603" s="100">
        <f t="shared" si="241"/>
        <v>0</v>
      </c>
      <c r="R603" s="100">
        <f t="shared" si="241"/>
        <v>23776.073560785153</v>
      </c>
      <c r="S603" s="100">
        <f t="shared" si="241"/>
        <v>99.589667196976393</v>
      </c>
      <c r="T603" s="100">
        <f t="shared" si="241"/>
        <v>154.23810447551989</v>
      </c>
      <c r="U603" s="100"/>
      <c r="V603" s="102">
        <f>SUM(G603:T603)</f>
        <v>2711770.866319079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2429</v>
      </c>
      <c r="F606" s="100">
        <f>VLOOKUP(C606,'Functional Assignment'!$C$1:$AU$771,19,)</f>
        <v>0</v>
      </c>
      <c r="G606" s="100">
        <f t="shared" ref="G606:T610" si="242">IF(VLOOKUP($E606,$D$5:$AJ$945,3,)=0,0,(VLOOKUP($E606,$D$5:$AJ$945,G$1,)/VLOOKUP($E606,$D$5:$AJ$945,3,))*$F606)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2429</v>
      </c>
      <c r="F607" s="101">
        <f>VLOOKUP(C607,'Functional Assignment'!$C$1:$AU$771,20,)</f>
        <v>2954994.8806252596</v>
      </c>
      <c r="G607" s="101">
        <f t="shared" si="242"/>
        <v>1434825.9993044946</v>
      </c>
      <c r="H607" s="101">
        <f t="shared" si="242"/>
        <v>349563.76297806395</v>
      </c>
      <c r="I607" s="101">
        <f t="shared" si="242"/>
        <v>0</v>
      </c>
      <c r="J607" s="101">
        <f t="shared" si="242"/>
        <v>36608.874563944017</v>
      </c>
      <c r="K607" s="101">
        <f t="shared" si="242"/>
        <v>0</v>
      </c>
      <c r="L607" s="101">
        <f t="shared" si="242"/>
        <v>326668.26515942748</v>
      </c>
      <c r="M607" s="101">
        <f t="shared" si="242"/>
        <v>25252.022565908243</v>
      </c>
      <c r="N607" s="101">
        <f t="shared" si="242"/>
        <v>229934.52658733551</v>
      </c>
      <c r="O607" s="101">
        <f t="shared" si="242"/>
        <v>525956.23944826983</v>
      </c>
      <c r="P607" s="101">
        <f t="shared" si="242"/>
        <v>0</v>
      </c>
      <c r="Q607" s="101">
        <f t="shared" si="242"/>
        <v>0</v>
      </c>
      <c r="R607" s="101">
        <f t="shared" si="242"/>
        <v>25908.595938585768</v>
      </c>
      <c r="S607" s="101">
        <f t="shared" si="242"/>
        <v>108.52205855050713</v>
      </c>
      <c r="T607" s="101">
        <f t="shared" si="242"/>
        <v>168.07202067966938</v>
      </c>
      <c r="U607" s="101"/>
      <c r="V607" s="101">
        <f t="shared" si="243"/>
        <v>2954994.8806252596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4378639.4026735546</v>
      </c>
      <c r="H608" s="101">
        <f t="shared" si="242"/>
        <v>847240.80766783701</v>
      </c>
      <c r="I608" s="101">
        <f t="shared" si="242"/>
        <v>0</v>
      </c>
      <c r="J608" s="101">
        <f t="shared" si="242"/>
        <v>6029.2791098780417</v>
      </c>
      <c r="K608" s="101">
        <f t="shared" si="242"/>
        <v>0</v>
      </c>
      <c r="L608" s="101">
        <f t="shared" si="242"/>
        <v>45783.885045161594</v>
      </c>
      <c r="M608" s="101">
        <f t="shared" si="242"/>
        <v>1758.963382814336</v>
      </c>
      <c r="N608" s="101">
        <f t="shared" si="242"/>
        <v>6283.4645698223103</v>
      </c>
      <c r="O608" s="101">
        <f t="shared" si="242"/>
        <v>2816.3748961824917</v>
      </c>
      <c r="P608" s="101">
        <f t="shared" si="242"/>
        <v>0</v>
      </c>
      <c r="Q608" s="101">
        <f t="shared" si="242"/>
        <v>0</v>
      </c>
      <c r="R608" s="101">
        <f t="shared" si="242"/>
        <v>190338.59125888927</v>
      </c>
      <c r="S608" s="101">
        <f t="shared" si="242"/>
        <v>4.5188526212314342</v>
      </c>
      <c r="T608" s="101">
        <f t="shared" si="242"/>
        <v>876.65740851889848</v>
      </c>
      <c r="U608" s="101"/>
      <c r="V608" s="101">
        <f t="shared" si="243"/>
        <v>5479771.9448652798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1138559.8796913472</v>
      </c>
      <c r="H609" s="101">
        <f t="shared" si="242"/>
        <v>197572.30822633218</v>
      </c>
      <c r="I609" s="101">
        <f t="shared" si="242"/>
        <v>0</v>
      </c>
      <c r="J609" s="101">
        <f t="shared" si="242"/>
        <v>15083.309532697494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9038.5607276898882</v>
      </c>
      <c r="S609" s="101">
        <f t="shared" si="242"/>
        <v>37.859373731705908</v>
      </c>
      <c r="T609" s="101">
        <f t="shared" si="242"/>
        <v>58.568733832253969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1679013.1767741099</v>
      </c>
      <c r="H610" s="101">
        <f t="shared" si="242"/>
        <v>324879.11178674712</v>
      </c>
      <c r="I610" s="101">
        <f t="shared" si="242"/>
        <v>0</v>
      </c>
      <c r="J610" s="101">
        <f t="shared" si="242"/>
        <v>2311.9599813935251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72986.371651696958</v>
      </c>
      <c r="S610" s="101">
        <f t="shared" si="242"/>
        <v>1.7327787006884205</v>
      </c>
      <c r="T610" s="101">
        <f t="shared" si="242"/>
        <v>336.15906793355362</v>
      </c>
      <c r="U610" s="101"/>
      <c r="V610" s="101">
        <f t="shared" si="243"/>
        <v>2079528.5120405818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8631038.4584435076</v>
      </c>
      <c r="H611" s="100">
        <f t="shared" si="246"/>
        <v>1719255.9906589801</v>
      </c>
      <c r="I611" s="100">
        <f>SUM(I606:I610)</f>
        <v>0</v>
      </c>
      <c r="J611" s="100">
        <f>SUM(J606:J610)</f>
        <v>60033.423187913082</v>
      </c>
      <c r="K611" s="100">
        <f>SUM(K606:K610)</f>
        <v>0</v>
      </c>
      <c r="L611" s="100">
        <f t="shared" si="246"/>
        <v>372452.15020458907</v>
      </c>
      <c r="M611" s="100">
        <f t="shared" si="246"/>
        <v>27010.985948722577</v>
      </c>
      <c r="N611" s="100">
        <f t="shared" si="246"/>
        <v>236217.99115715781</v>
      </c>
      <c r="O611" s="100">
        <f t="shared" si="246"/>
        <v>528772.61434445227</v>
      </c>
      <c r="P611" s="100">
        <f>SUM(P606:P610)</f>
        <v>0</v>
      </c>
      <c r="Q611" s="100">
        <f t="shared" si="246"/>
        <v>0</v>
      </c>
      <c r="R611" s="100">
        <f t="shared" si="246"/>
        <v>298272.11957686185</v>
      </c>
      <c r="S611" s="100">
        <f t="shared" si="246"/>
        <v>152.63306360413287</v>
      </c>
      <c r="T611" s="100">
        <f t="shared" si="246"/>
        <v>1439.4572309643754</v>
      </c>
      <c r="U611" s="100"/>
      <c r="V611" s="102">
        <f t="shared" si="243"/>
        <v>11874645.823816754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2332</v>
      </c>
      <c r="F614" s="100">
        <f>VLOOKUP(C614,'Functional Assignment'!$C$1:$AU$771,24,)</f>
        <v>2111736.702405374</v>
      </c>
      <c r="G614" s="100">
        <f t="shared" ref="G614:T615" si="247">IF(VLOOKUP($E614,$D$5:$AJ$945,3,)=0,0,(VLOOKUP($E614,$D$5:$AJ$945,G$1,)/VLOOKUP($E614,$D$5:$AJ$945,3,))*$F614)</f>
        <v>1475576.5519920022</v>
      </c>
      <c r="H614" s="100">
        <f t="shared" si="247"/>
        <v>256054.22300735224</v>
      </c>
      <c r="I614" s="100">
        <f t="shared" si="247"/>
        <v>0</v>
      </c>
      <c r="J614" s="100">
        <f t="shared" si="247"/>
        <v>19548.008207455379</v>
      </c>
      <c r="K614" s="100">
        <f t="shared" si="247"/>
        <v>0</v>
      </c>
      <c r="L614" s="100">
        <f t="shared" si="247"/>
        <v>213174.71720446841</v>
      </c>
      <c r="M614" s="100">
        <f t="shared" si="247"/>
        <v>0</v>
      </c>
      <c r="N614" s="100">
        <f t="shared" si="247"/>
        <v>135544.23281167238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11713.998105352637</v>
      </c>
      <c r="S614" s="100">
        <f t="shared" si="247"/>
        <v>49.065846380211028</v>
      </c>
      <c r="T614" s="100">
        <f t="shared" si="247"/>
        <v>75.905230690337518</v>
      </c>
      <c r="U614" s="100"/>
      <c r="V614" s="102">
        <f>SUM(G614:T614)</f>
        <v>2111736.7024053736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2331</v>
      </c>
      <c r="F615" s="101">
        <f>VLOOKUP(C615,'Functional Assignment'!$C$1:$AU$771,25,)</f>
        <v>1879191.0313506036</v>
      </c>
      <c r="G615" s="101">
        <f t="shared" si="247"/>
        <v>1502831.8590650116</v>
      </c>
      <c r="H615" s="101">
        <f t="shared" si="247"/>
        <v>290789.0696104723</v>
      </c>
      <c r="I615" s="101">
        <f t="shared" si="247"/>
        <v>0</v>
      </c>
      <c r="J615" s="101">
        <f t="shared" si="247"/>
        <v>2069.3626262046832</v>
      </c>
      <c r="K615" s="101">
        <f t="shared" si="247"/>
        <v>0</v>
      </c>
      <c r="L615" s="101">
        <f t="shared" si="247"/>
        <v>15713.895288026459</v>
      </c>
      <c r="M615" s="101">
        <f t="shared" si="247"/>
        <v>0</v>
      </c>
      <c r="N615" s="101">
        <f t="shared" si="247"/>
        <v>2156.6038836332114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65327.804518169367</v>
      </c>
      <c r="S615" s="101">
        <f t="shared" si="247"/>
        <v>1.5509556876182751</v>
      </c>
      <c r="T615" s="101">
        <f t="shared" si="247"/>
        <v>300.88540339794537</v>
      </c>
      <c r="U615" s="101"/>
      <c r="V615" s="101">
        <f>SUM(G615:T615)</f>
        <v>1879191.0313506031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2978408.411057014</v>
      </c>
      <c r="H616" s="100">
        <f t="shared" si="248"/>
        <v>546843.29261782451</v>
      </c>
      <c r="I616" s="100">
        <f>I614+I615</f>
        <v>0</v>
      </c>
      <c r="J616" s="100">
        <f>J614+J615</f>
        <v>21617.370833660061</v>
      </c>
      <c r="K616" s="100">
        <f>K614+K615</f>
        <v>0</v>
      </c>
      <c r="L616" s="100">
        <f t="shared" si="248"/>
        <v>228888.61249249487</v>
      </c>
      <c r="M616" s="100">
        <f t="shared" si="248"/>
        <v>0</v>
      </c>
      <c r="N616" s="100">
        <f t="shared" si="248"/>
        <v>137700.8366953056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77041.802623522002</v>
      </c>
      <c r="S616" s="100">
        <f t="shared" si="248"/>
        <v>50.616802067829305</v>
      </c>
      <c r="T616" s="100">
        <f t="shared" si="248"/>
        <v>376.7906340882829</v>
      </c>
      <c r="U616" s="100"/>
      <c r="V616" s="102">
        <f>SUM(G616:T616)</f>
        <v>3990927.7337559769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IF(VLOOKUP($E619,$D$5:$AJ$945,3,)=0,0,(VLOOKUP($E619,$D$5:$AJ$945,G$1,)/VLOOKUP($E619,$D$5:$AJ$945,3,))*$F619)</f>
        <v>882287.5414801382</v>
      </c>
      <c r="H619" s="100">
        <f t="shared" si="249"/>
        <v>345612.88887806772</v>
      </c>
      <c r="I619" s="100">
        <f t="shared" si="249"/>
        <v>0</v>
      </c>
      <c r="J619" s="100">
        <f t="shared" si="249"/>
        <v>3273.1104645266146</v>
      </c>
      <c r="K619" s="100">
        <f t="shared" si="249"/>
        <v>0</v>
      </c>
      <c r="L619" s="100">
        <f t="shared" si="249"/>
        <v>23481.330898023247</v>
      </c>
      <c r="M619" s="100">
        <f t="shared" si="249"/>
        <v>0</v>
      </c>
      <c r="N619" s="100">
        <f t="shared" si="249"/>
        <v>3411.521008193728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1258066.3927289494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IF(VLOOKUP($E622,$D$5:$AJ$945,3,)=0,0,(VLOOKUP($E622,$D$5:$AJ$945,G$1,)/VLOOKUP($E622,$D$5:$AJ$945,3,))*$F622)</f>
        <v>667079.23271806922</v>
      </c>
      <c r="H622" s="100">
        <f t="shared" si="250"/>
        <v>248632.85949758525</v>
      </c>
      <c r="I622" s="100">
        <f t="shared" si="250"/>
        <v>0</v>
      </c>
      <c r="J622" s="100">
        <f t="shared" si="250"/>
        <v>5273.9016831660583</v>
      </c>
      <c r="K622" s="100">
        <f t="shared" si="250"/>
        <v>0</v>
      </c>
      <c r="L622" s="100">
        <f t="shared" si="250"/>
        <v>67391.836389353106</v>
      </c>
      <c r="M622" s="100">
        <f t="shared" si="250"/>
        <v>14858.481996429911</v>
      </c>
      <c r="N622" s="100">
        <f t="shared" si="250"/>
        <v>12498.006642168439</v>
      </c>
      <c r="O622" s="100">
        <f t="shared" si="250"/>
        <v>33013.697712515452</v>
      </c>
      <c r="P622" s="100">
        <f t="shared" si="250"/>
        <v>22515.722211624532</v>
      </c>
      <c r="Q622" s="100">
        <f t="shared" si="250"/>
        <v>952.96424116958258</v>
      </c>
      <c r="R622" s="100">
        <f t="shared" si="250"/>
        <v>0</v>
      </c>
      <c r="S622" s="100">
        <f t="shared" si="250"/>
        <v>6.1959621835903365</v>
      </c>
      <c r="T622" s="100">
        <f t="shared" si="250"/>
        <v>1202.0166636165252</v>
      </c>
      <c r="U622" s="100"/>
      <c r="V622" s="102">
        <f>SUM(G622:T622)</f>
        <v>1073424.9157178816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IF(VLOOKUP($E625,$D$5:$AJ$945,3,)=0,0,(VLOOKUP($E625,$D$5:$AJ$945,G$1,)/VLOOKUP($E625,$D$5:$AJ$945,3,))*$F625)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IF(VLOOKUP($E628,$D$5:$AJ$945,3,)=0,0,(VLOOKUP($E628,$D$5:$AJ$945,G$1,)/VLOOKUP($E628,$D$5:$AJ$945,3,))*$F628)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IF(VLOOKUP($E631,$D$5:$AJ$945,3,)=0,0,(VLOOKUP($E631,$D$5:$AJ$945,G$1,)/VLOOKUP($E631,$D$5:$AJ$945,3,))*$F631)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IF(VLOOKUP($E634,$D$5:$AJ$945,3,)=0,0,(VLOOKUP($E634,$D$5:$AJ$945,G$1,)/VLOOKUP($E634,$D$5:$AJ$945,3,))*$F634)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40550220.668183573</v>
      </c>
      <c r="H636" s="100">
        <f t="shared" si="255"/>
        <v>10418599.508402497</v>
      </c>
      <c r="I636" s="100">
        <f>I591+I597+I600+I603+I611+I616+I619+I622+I625+I628+I631+I634</f>
        <v>0</v>
      </c>
      <c r="J636" s="100">
        <f>J591+J597+J600+J603+J611+J616+J619+J622+J625+J628+J631+J634</f>
        <v>668776.93154093286</v>
      </c>
      <c r="K636" s="100">
        <f>K591+K597+K600+K603+K611+K616+K619+K622+K625+K628+K631+K634</f>
        <v>0</v>
      </c>
      <c r="L636" s="100">
        <f t="shared" si="255"/>
        <v>8266800.717887775</v>
      </c>
      <c r="M636" s="100">
        <f t="shared" si="255"/>
        <v>600722.80339447141</v>
      </c>
      <c r="N636" s="100">
        <f t="shared" si="255"/>
        <v>5913421.431592077</v>
      </c>
      <c r="O636" s="100">
        <f>O591+O597+O600+O603+O611+O616+O619+O622+O625+O628+O631+O634</f>
        <v>12663457.890034882</v>
      </c>
      <c r="P636" s="100">
        <f>P591+P597+P600+P603+P611+P616+P619+P622+P625+P628+P631+P634</f>
        <v>4062213.4008213338</v>
      </c>
      <c r="Q636" s="100">
        <f t="shared" si="255"/>
        <v>1056233.0599140152</v>
      </c>
      <c r="R636" s="100">
        <f t="shared" si="255"/>
        <v>1888015.8660816066</v>
      </c>
      <c r="S636" s="100">
        <f t="shared" si="255"/>
        <v>309.03549505252892</v>
      </c>
      <c r="T636" s="100">
        <f t="shared" si="255"/>
        <v>6429.1777972720492</v>
      </c>
      <c r="U636" s="100"/>
      <c r="V636" s="102">
        <f>SUM(G636:T636)</f>
        <v>86095200.491145507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IF(VLOOKUP($E651,$D$5:$AJ$1007,3,)=0,0,(VLOOKUP($E651,$D$5:$AJ$1007,G$1,)/VLOOKUP($E651,$D$5:$AJ$1007,3,))*$F651)</f>
        <v>554543189</v>
      </c>
      <c r="H651" s="100">
        <f t="shared" si="256"/>
        <v>198233993.99999997</v>
      </c>
      <c r="I651" s="100">
        <f t="shared" si="256"/>
        <v>0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174459441</v>
      </c>
      <c r="M651" s="100">
        <f t="shared" si="256"/>
        <v>13950650.999999998</v>
      </c>
      <c r="N651" s="100">
        <f t="shared" si="256"/>
        <v>116879945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2829615.4300200166</v>
      </c>
      <c r="H652" s="101">
        <f t="shared" si="256"/>
        <v>838290.47107581364</v>
      </c>
      <c r="I652" s="101">
        <f t="shared" si="256"/>
        <v>0</v>
      </c>
      <c r="J652" s="101">
        <f t="shared" si="256"/>
        <v>70540.746440541348</v>
      </c>
      <c r="K652" s="101">
        <f t="shared" si="256"/>
        <v>0</v>
      </c>
      <c r="L652" s="101">
        <f t="shared" si="256"/>
        <v>997111.51906858548</v>
      </c>
      <c r="M652" s="101">
        <f t="shared" si="256"/>
        <v>76946.693901392908</v>
      </c>
      <c r="N652" s="101">
        <f t="shared" si="256"/>
        <v>776254.74686152849</v>
      </c>
      <c r="O652" s="101">
        <f t="shared" si="256"/>
        <v>1865957.3271087771</v>
      </c>
      <c r="P652" s="101">
        <f t="shared" si="256"/>
        <v>664530.24368404015</v>
      </c>
      <c r="Q652" s="101">
        <f t="shared" si="256"/>
        <v>245327.47728685281</v>
      </c>
      <c r="R652" s="101">
        <f t="shared" si="256"/>
        <v>57429.364383024025</v>
      </c>
      <c r="S652" s="101">
        <f t="shared" si="256"/>
        <v>207.50576376202625</v>
      </c>
      <c r="T652" s="101">
        <f t="shared" si="256"/>
        <v>691.71440566367289</v>
      </c>
      <c r="U652" s="101"/>
      <c r="V652" s="101">
        <f t="shared" si="257"/>
        <v>8422903.2399999984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1942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2430</v>
      </c>
      <c r="E654" s="97" t="s">
        <v>582</v>
      </c>
      <c r="F654" s="101">
        <f>-17395776</f>
        <v>-17395776</v>
      </c>
      <c r="G654" s="101">
        <f t="shared" si="256"/>
        <v>-7120997.5447985651</v>
      </c>
      <c r="H654" s="101">
        <f t="shared" si="256"/>
        <v>-1976551.7950724438</v>
      </c>
      <c r="I654" s="101">
        <f t="shared" si="256"/>
        <v>0</v>
      </c>
      <c r="J654" s="101">
        <f t="shared" si="256"/>
        <v>-148835.04237624098</v>
      </c>
      <c r="K654" s="101">
        <f t="shared" si="256"/>
        <v>0</v>
      </c>
      <c r="L654" s="101">
        <f t="shared" si="256"/>
        <v>-1986750.25159457</v>
      </c>
      <c r="M654" s="101">
        <f t="shared" si="256"/>
        <v>-146294.19723152765</v>
      </c>
      <c r="N654" s="101">
        <f t="shared" si="256"/>
        <v>-1450867.2355036079</v>
      </c>
      <c r="O654" s="101">
        <f t="shared" si="256"/>
        <v>-3173151.6699064914</v>
      </c>
      <c r="P654" s="101">
        <f t="shared" si="256"/>
        <v>-1103241.7810053704</v>
      </c>
      <c r="Q654" s="101">
        <f t="shared" si="256"/>
        <v>-288197.08424574614</v>
      </c>
      <c r="R654" s="101">
        <f t="shared" si="256"/>
        <v>0</v>
      </c>
      <c r="S654" s="101">
        <f t="shared" si="256"/>
        <v>0</v>
      </c>
      <c r="T654" s="101">
        <f t="shared" si="256"/>
        <v>-889.39826543265804</v>
      </c>
      <c r="U654" s="101"/>
      <c r="V654" s="101">
        <f>SUM(G654:T654)</f>
        <v>-17395775.999999993</v>
      </c>
      <c r="W654" s="98" t="str">
        <f t="shared" si="258"/>
        <v>ok</v>
      </c>
      <c r="X654" s="102"/>
    </row>
    <row r="655" spans="1:24" ht="12" customHeight="1" x14ac:dyDescent="0.25">
      <c r="A655" s="97" t="s">
        <v>2191</v>
      </c>
      <c r="E655" s="97" t="s">
        <v>1931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2192</v>
      </c>
      <c r="E656" s="97" t="s">
        <v>2230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2193</v>
      </c>
      <c r="E657" s="97" t="s">
        <v>2230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1335.3264374361033</v>
      </c>
      <c r="M657" s="101">
        <f t="shared" si="256"/>
        <v>51.155304539599754</v>
      </c>
      <c r="N657" s="101">
        <f t="shared" si="256"/>
        <v>981.87969205789011</v>
      </c>
      <c r="O657" s="101">
        <f t="shared" si="256"/>
        <v>439.12613805743086</v>
      </c>
      <c r="P657" s="101">
        <f t="shared" si="256"/>
        <v>47.644788939323412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2194</v>
      </c>
      <c r="E658" s="97" t="s">
        <v>422</v>
      </c>
      <c r="F658" s="101">
        <v>3142644.6954118521</v>
      </c>
      <c r="G658" s="101">
        <f t="shared" si="256"/>
        <v>1482453.8396918518</v>
      </c>
      <c r="H658" s="101">
        <f t="shared" si="256"/>
        <v>381029.4600601329</v>
      </c>
      <c r="I658" s="101">
        <f t="shared" si="256"/>
        <v>0</v>
      </c>
      <c r="J658" s="101">
        <f t="shared" si="256"/>
        <v>24337.732367233741</v>
      </c>
      <c r="K658" s="101">
        <f t="shared" si="256"/>
        <v>0</v>
      </c>
      <c r="L658" s="101">
        <f t="shared" si="256"/>
        <v>299997.3131574103</v>
      </c>
      <c r="M658" s="101">
        <f t="shared" si="256"/>
        <v>21827.793073705088</v>
      </c>
      <c r="N658" s="101">
        <f t="shared" si="256"/>
        <v>214749.93273719854</v>
      </c>
      <c r="O658" s="101">
        <f t="shared" si="256"/>
        <v>460647.77068206581</v>
      </c>
      <c r="P658" s="101">
        <f t="shared" si="256"/>
        <v>147497.32439859424</v>
      </c>
      <c r="Q658" s="101">
        <f t="shared" si="256"/>
        <v>38866.370531641274</v>
      </c>
      <c r="R658" s="101">
        <f t="shared" si="256"/>
        <v>70983.324024651694</v>
      </c>
      <c r="S658" s="101">
        <f t="shared" si="256"/>
        <v>13.120878664659836</v>
      </c>
      <c r="T658" s="101">
        <f t="shared" si="256"/>
        <v>240.71380870110107</v>
      </c>
      <c r="U658" s="101"/>
      <c r="V658" s="101">
        <f t="shared" si="257"/>
        <v>3142644.6954118512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2195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2318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2196</v>
      </c>
      <c r="E661" s="97" t="s">
        <v>516</v>
      </c>
      <c r="F661" s="101"/>
      <c r="G661" s="101">
        <f t="shared" ref="G661:T666" si="260">IF(VLOOKUP($E661,$D$5:$AJ$1007,3,)=0,0,(VLOOKUP($E661,$D$5:$AJ$1007,G$1,)/VLOOKUP($E661,$D$5:$AJ$1007,3,))*$F661)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2197</v>
      </c>
      <c r="E662" s="97" t="s">
        <v>2230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2198</v>
      </c>
      <c r="E663" s="97" t="s">
        <v>2230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14148.300886224186</v>
      </c>
      <c r="M663" s="101">
        <f t="shared" si="260"/>
        <v>542.01026824747498</v>
      </c>
      <c r="N663" s="101">
        <f t="shared" si="260"/>
        <v>10403.395699991839</v>
      </c>
      <c r="O663" s="101">
        <f t="shared" si="260"/>
        <v>4652.7115423335927</v>
      </c>
      <c r="P663" s="101">
        <f t="shared" si="260"/>
        <v>504.81499555156512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22338060.122524954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2199</v>
      </c>
      <c r="E664" s="97" t="s">
        <v>2230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2200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577558036.32237256</v>
      </c>
      <c r="H668" s="102">
        <f t="shared" si="261"/>
        <v>199632188.59720656</v>
      </c>
      <c r="I668" s="102">
        <f t="shared" si="261"/>
        <v>0</v>
      </c>
      <c r="J668" s="102">
        <f t="shared" si="261"/>
        <v>11997673.987746205</v>
      </c>
      <c r="K668" s="102">
        <f t="shared" si="261"/>
        <v>0</v>
      </c>
      <c r="L668" s="102">
        <f t="shared" si="261"/>
        <v>173883934.54071742</v>
      </c>
      <c r="M668" s="102">
        <f t="shared" si="261"/>
        <v>13909259.197503271</v>
      </c>
      <c r="N668" s="102">
        <f t="shared" si="261"/>
        <v>116473231.72984052</v>
      </c>
      <c r="O668" s="102">
        <f t="shared" si="261"/>
        <v>250828327.75421491</v>
      </c>
      <c r="P668" s="102">
        <f t="shared" si="261"/>
        <v>86439484.209639043</v>
      </c>
      <c r="Q668" s="102">
        <f t="shared" si="261"/>
        <v>29888103.763572749</v>
      </c>
      <c r="R668" s="102">
        <f t="shared" si="261"/>
        <v>26166186.181470577</v>
      </c>
      <c r="S668" s="102">
        <f t="shared" si="261"/>
        <v>29690.626642426691</v>
      </c>
      <c r="T668" s="102">
        <f t="shared" si="261"/>
        <v>156555.02994893212</v>
      </c>
      <c r="U668" s="102"/>
      <c r="V668" s="102">
        <f>SUM(G668:T668)</f>
        <v>1486962671.9408755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933774238.57748592</v>
      </c>
      <c r="G671" s="102">
        <f t="shared" si="262"/>
        <v>370519405.17287457</v>
      </c>
      <c r="H671" s="102">
        <f t="shared" si="262"/>
        <v>108753033.19473302</v>
      </c>
      <c r="I671" s="102">
        <f t="shared" si="262"/>
        <v>0</v>
      </c>
      <c r="J671" s="102">
        <f t="shared" si="262"/>
        <v>7668256.0483589973</v>
      </c>
      <c r="K671" s="102">
        <f t="shared" si="262"/>
        <v>0</v>
      </c>
      <c r="L671" s="102">
        <f t="shared" si="262"/>
        <v>99088940.765030891</v>
      </c>
      <c r="M671" s="102">
        <f t="shared" si="262"/>
        <v>7651162.2855686005</v>
      </c>
      <c r="N671" s="102">
        <f t="shared" si="262"/>
        <v>75124152.589057371</v>
      </c>
      <c r="O671" s="102">
        <f t="shared" si="262"/>
        <v>174786954.93278927</v>
      </c>
      <c r="P671" s="102">
        <f t="shared" si="262"/>
        <v>60688793.139909752</v>
      </c>
      <c r="Q671" s="102">
        <f t="shared" si="262"/>
        <v>21215963.597676735</v>
      </c>
      <c r="R671" s="102">
        <f t="shared" si="262"/>
        <v>8165872.7907812931</v>
      </c>
      <c r="S671" s="102">
        <f t="shared" si="262"/>
        <v>16912.945346934604</v>
      </c>
      <c r="T671" s="102">
        <f t="shared" si="262"/>
        <v>94791.115358423413</v>
      </c>
      <c r="U671" s="102"/>
      <c r="V671" s="102">
        <f t="shared" ref="V671:V679" si="263">SUM(G671:T671)</f>
        <v>933774238.5774858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105274952.74338102</v>
      </c>
      <c r="H672" s="101">
        <f t="shared" si="266"/>
        <v>27341782.225615479</v>
      </c>
      <c r="I672" s="101">
        <f t="shared" si="266"/>
        <v>0</v>
      </c>
      <c r="J672" s="101">
        <f t="shared" si="266"/>
        <v>1798932.0035182098</v>
      </c>
      <c r="K672" s="101">
        <f t="shared" si="266"/>
        <v>0</v>
      </c>
      <c r="L672" s="101">
        <f t="shared" si="266"/>
        <v>22530219.621316772</v>
      </c>
      <c r="M672" s="101">
        <f t="shared" si="266"/>
        <v>1641041.2910282558</v>
      </c>
      <c r="N672" s="101">
        <f t="shared" si="266"/>
        <v>16175658.255553182</v>
      </c>
      <c r="O672" s="101">
        <f t="shared" si="266"/>
        <v>34771889.749682277</v>
      </c>
      <c r="P672" s="101">
        <f t="shared" si="266"/>
        <v>11324624.823166879</v>
      </c>
      <c r="Q672" s="101">
        <f t="shared" si="266"/>
        <v>2947235.6735119577</v>
      </c>
      <c r="R672" s="101">
        <f t="shared" si="266"/>
        <v>4239593.4682664694</v>
      </c>
      <c r="S672" s="101">
        <f t="shared" si="266"/>
        <v>693.9480169763392</v>
      </c>
      <c r="T672" s="101">
        <f t="shared" si="266"/>
        <v>16212.736132054226</v>
      </c>
      <c r="U672" s="101"/>
      <c r="V672" s="102">
        <f t="shared" si="263"/>
        <v>228062836.53918952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11724942.607902201</v>
      </c>
      <c r="H674" s="101">
        <f t="shared" si="268"/>
        <v>3012498.5580308898</v>
      </c>
      <c r="I674" s="101">
        <f t="shared" si="268"/>
        <v>0</v>
      </c>
      <c r="J674" s="101">
        <f t="shared" si="268"/>
        <v>193374.31487663536</v>
      </c>
      <c r="K674" s="101">
        <f t="shared" si="268"/>
        <v>0</v>
      </c>
      <c r="L674" s="101">
        <f t="shared" si="268"/>
        <v>2390314.0937590543</v>
      </c>
      <c r="M674" s="101">
        <f t="shared" si="268"/>
        <v>173696.72166999339</v>
      </c>
      <c r="N674" s="101">
        <f t="shared" si="268"/>
        <v>1709843.3931866884</v>
      </c>
      <c r="O674" s="101">
        <f t="shared" si="268"/>
        <v>3661590.8503487902</v>
      </c>
      <c r="P674" s="101">
        <f t="shared" si="268"/>
        <v>1174573.6077597258</v>
      </c>
      <c r="Q674" s="101">
        <f t="shared" si="268"/>
        <v>305405.7858130887</v>
      </c>
      <c r="R674" s="101">
        <f t="shared" si="268"/>
        <v>545912.63149363315</v>
      </c>
      <c r="S674" s="101">
        <f t="shared" si="268"/>
        <v>89.356442051092216</v>
      </c>
      <c r="T674" s="101">
        <f t="shared" si="268"/>
        <v>1858.9723914415033</v>
      </c>
      <c r="U674" s="101"/>
      <c r="V674" s="102">
        <f t="shared" si="263"/>
        <v>24894100.893674191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6088417.8138291491</v>
      </c>
      <c r="H675" s="101">
        <f t="shared" si="269"/>
        <v>1564301.8902701035</v>
      </c>
      <c r="I675" s="101">
        <f t="shared" si="269"/>
        <v>0</v>
      </c>
      <c r="J675" s="101">
        <f t="shared" si="269"/>
        <v>100413.59372099827</v>
      </c>
      <c r="K675" s="101">
        <f t="shared" si="269"/>
        <v>0</v>
      </c>
      <c r="L675" s="101">
        <f t="shared" si="269"/>
        <v>1241219.7991725039</v>
      </c>
      <c r="M675" s="101">
        <f t="shared" si="269"/>
        <v>90195.59837389458</v>
      </c>
      <c r="N675" s="101">
        <f t="shared" si="269"/>
        <v>887871.38002021168</v>
      </c>
      <c r="O675" s="101">
        <f t="shared" si="269"/>
        <v>1901356.4249937129</v>
      </c>
      <c r="P675" s="101">
        <f t="shared" si="269"/>
        <v>609921.52510138182</v>
      </c>
      <c r="Q675" s="101">
        <f t="shared" si="269"/>
        <v>158588.24123690827</v>
      </c>
      <c r="R675" s="101">
        <f t="shared" si="269"/>
        <v>283476.37182804599</v>
      </c>
      <c r="S675" s="101">
        <f t="shared" si="269"/>
        <v>46.400171988696833</v>
      </c>
      <c r="T675" s="101">
        <f t="shared" si="269"/>
        <v>965.30968227008179</v>
      </c>
      <c r="U675" s="101"/>
      <c r="V675" s="102">
        <f t="shared" si="263"/>
        <v>12926774.348401172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IF(VLOOKUP($E677,$D$5:$AJ$945,3,)=0,0,(VLOOKUP($E677,$D$5:$AJ$945,G$1,)/VLOOKUP($E677,$D$5:$AJ$945,3,))*$F677)</f>
        <v>18153353.162271839</v>
      </c>
      <c r="H677" s="100">
        <f t="shared" si="271"/>
        <v>20304092.186474111</v>
      </c>
      <c r="I677" s="100">
        <f t="shared" si="271"/>
        <v>0</v>
      </c>
      <c r="J677" s="100">
        <f t="shared" si="271"/>
        <v>655828.60473441554</v>
      </c>
      <c r="K677" s="100">
        <f t="shared" si="271"/>
        <v>0</v>
      </c>
      <c r="L677" s="100">
        <f t="shared" si="271"/>
        <v>16884437.441701207</v>
      </c>
      <c r="M677" s="100">
        <f t="shared" si="271"/>
        <v>1569567.3810316068</v>
      </c>
      <c r="N677" s="100">
        <f t="shared" si="271"/>
        <v>6969485.2237654692</v>
      </c>
      <c r="O677" s="100">
        <f t="shared" si="271"/>
        <v>9638437.6168130934</v>
      </c>
      <c r="P677" s="100">
        <f t="shared" si="271"/>
        <v>3588565.9199093352</v>
      </c>
      <c r="Q677" s="100">
        <f t="shared" si="271"/>
        <v>1758728.6244708167</v>
      </c>
      <c r="R677" s="100">
        <f t="shared" si="271"/>
        <v>4619187.7149082264</v>
      </c>
      <c r="S677" s="100">
        <f t="shared" si="271"/>
        <v>4868.3256618346886</v>
      </c>
      <c r="T677" s="100">
        <f t="shared" si="271"/>
        <v>15182.576536994065</v>
      </c>
      <c r="U677" s="100"/>
      <c r="V677" s="102">
        <f t="shared" si="263"/>
        <v>84161734.778278947</v>
      </c>
      <c r="W677" s="98" t="str">
        <f t="shared" si="264"/>
        <v>err</v>
      </c>
      <c r="X677" s="102">
        <f t="shared" si="265"/>
        <v>0.41827894747257233</v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-G930</f>
        <v>-0.40935210621236828</v>
      </c>
      <c r="H678" s="101">
        <f t="shared" si="272"/>
        <v>-0.11362251359596974</v>
      </c>
      <c r="I678" s="101">
        <f t="shared" si="272"/>
        <v>0</v>
      </c>
      <c r="J678" s="101">
        <f t="shared" si="272"/>
        <v>-8.5558150654642239E-3</v>
      </c>
      <c r="K678" s="101">
        <f t="shared" si="272"/>
        <v>0</v>
      </c>
      <c r="L678" s="101">
        <f t="shared" si="272"/>
        <v>-0.11420877410668946</v>
      </c>
      <c r="M678" s="101">
        <f t="shared" si="272"/>
        <v>-8.40975402485797E-3</v>
      </c>
      <c r="N678" s="101">
        <f t="shared" si="272"/>
        <v>-8.3403421353758986E-2</v>
      </c>
      <c r="O678" s="101">
        <f t="shared" si="272"/>
        <v>-0.18240931993528153</v>
      </c>
      <c r="P678" s="101">
        <f t="shared" si="272"/>
        <v>-6.3420095832768281E-2</v>
      </c>
      <c r="Q678" s="101">
        <f t="shared" si="272"/>
        <v>-1.6567072618418759E-2</v>
      </c>
      <c r="R678" s="101">
        <f t="shared" si="272"/>
        <v>0</v>
      </c>
      <c r="S678" s="101">
        <f t="shared" si="272"/>
        <v>0</v>
      </c>
      <c r="T678" s="101">
        <f t="shared" si="272"/>
        <v>-5.1127254422720664E-5</v>
      </c>
      <c r="U678" s="101"/>
      <c r="V678" s="102">
        <f t="shared" si="263"/>
        <v>-1</v>
      </c>
      <c r="W678" s="98" t="str">
        <f t="shared" si="264"/>
        <v>err</v>
      </c>
      <c r="X678" s="102">
        <f t="shared" si="265"/>
        <v>-1</v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IF(VLOOKUP($E679,$D$5:$AJ$1007,3,)=0,0,(VLOOKUP($E679,$D$5:$AJ$1007,G$1,)/VLOOKUP($E679,$D$5:$AJ$1007,3,))*$F679)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1283819684.7187505</v>
      </c>
      <c r="G681" s="102">
        <f t="shared" si="274"/>
        <v>511761071.09090668</v>
      </c>
      <c r="H681" s="102">
        <f t="shared" si="274"/>
        <v>160975707.94150111</v>
      </c>
      <c r="I681" s="102">
        <f t="shared" si="274"/>
        <v>0</v>
      </c>
      <c r="J681" s="102">
        <f t="shared" si="274"/>
        <v>10416804.556653442</v>
      </c>
      <c r="K681" s="102">
        <f t="shared" si="274"/>
        <v>0</v>
      </c>
      <c r="L681" s="102">
        <f t="shared" si="274"/>
        <v>142135131.60677165</v>
      </c>
      <c r="M681" s="102">
        <f t="shared" si="274"/>
        <v>11125663.269262597</v>
      </c>
      <c r="N681" s="102">
        <f t="shared" si="274"/>
        <v>100867010.7581795</v>
      </c>
      <c r="O681" s="102">
        <f t="shared" si="274"/>
        <v>224760229.39221784</v>
      </c>
      <c r="P681" s="102">
        <f t="shared" si="274"/>
        <v>77386478.95242697</v>
      </c>
      <c r="Q681" s="102">
        <f t="shared" si="274"/>
        <v>26385921.906142429</v>
      </c>
      <c r="R681" s="102">
        <f t="shared" si="274"/>
        <v>17854042.977277666</v>
      </c>
      <c r="S681" s="102">
        <f t="shared" si="274"/>
        <v>22610.975639785425</v>
      </c>
      <c r="T681" s="102">
        <f t="shared" si="274"/>
        <v>129010.71005005603</v>
      </c>
      <c r="U681" s="102"/>
      <c r="V681" s="102">
        <f>SUM(G681:T681)</f>
        <v>1283819684.1370299</v>
      </c>
      <c r="W681" s="98" t="str">
        <f>IF(ABS(F681-V681)&lt;0.01,"ok","err")</f>
        <v>err</v>
      </c>
      <c r="X681" s="102">
        <f>IF(W681="err",V681-F681,"")</f>
        <v>-0.58172059059143066</v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203142987.22212481</v>
      </c>
      <c r="G683" s="102">
        <f t="shared" si="275"/>
        <v>65796965.231465876</v>
      </c>
      <c r="H683" s="102">
        <f t="shared" si="275"/>
        <v>38656480.655705452</v>
      </c>
      <c r="I683" s="102">
        <f t="shared" si="275"/>
        <v>0</v>
      </c>
      <c r="J683" s="102">
        <f t="shared" si="275"/>
        <v>1580869.4310927633</v>
      </c>
      <c r="K683" s="102">
        <f t="shared" si="275"/>
        <v>0</v>
      </c>
      <c r="L683" s="102">
        <f t="shared" si="275"/>
        <v>31748802.933945775</v>
      </c>
      <c r="M683" s="102">
        <f t="shared" si="275"/>
        <v>2783595.9282406736</v>
      </c>
      <c r="N683" s="102">
        <f t="shared" si="275"/>
        <v>15606220.971661016</v>
      </c>
      <c r="O683" s="102">
        <f t="shared" si="275"/>
        <v>26068098.361997068</v>
      </c>
      <c r="P683" s="102">
        <f t="shared" si="275"/>
        <v>9053005.2572120726</v>
      </c>
      <c r="Q683" s="102">
        <f t="shared" si="275"/>
        <v>3502181.8574303202</v>
      </c>
      <c r="R683" s="102">
        <f t="shared" si="275"/>
        <v>8312143.2041929103</v>
      </c>
      <c r="S683" s="102">
        <f t="shared" si="275"/>
        <v>7079.6510026412652</v>
      </c>
      <c r="T683" s="102">
        <f t="shared" si="275"/>
        <v>27544.319898876085</v>
      </c>
      <c r="U683" s="102"/>
      <c r="V683" s="102">
        <f>SUM(G683:T683)</f>
        <v>203142987.80384547</v>
      </c>
      <c r="W683" s="98" t="str">
        <f>IF(ABS(F683-V683)&lt;0.01,"ok","err")</f>
        <v>err</v>
      </c>
      <c r="X683" s="102">
        <f>IF(W683="err",V683-F683,"")</f>
        <v>0.58172065019607544</v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1716633054.3461716</v>
      </c>
      <c r="H685" s="102">
        <f t="shared" si="276"/>
        <v>441219651.03133303</v>
      </c>
      <c r="I685" s="102">
        <f t="shared" si="276"/>
        <v>0</v>
      </c>
      <c r="J685" s="102">
        <f t="shared" si="276"/>
        <v>28182297.978403468</v>
      </c>
      <c r="K685" s="102">
        <f t="shared" si="276"/>
        <v>0</v>
      </c>
      <c r="L685" s="102">
        <f t="shared" si="276"/>
        <v>347387075.53153688</v>
      </c>
      <c r="M685" s="102">
        <f t="shared" si="276"/>
        <v>25275870.378223237</v>
      </c>
      <c r="N685" s="102">
        <f t="shared" si="276"/>
        <v>248673397.50148326</v>
      </c>
      <c r="O685" s="102">
        <f t="shared" si="276"/>
        <v>533415050.36546725</v>
      </c>
      <c r="P685" s="102">
        <f t="shared" si="276"/>
        <v>170797076.92138174</v>
      </c>
      <c r="Q685" s="102">
        <f t="shared" si="276"/>
        <v>45005985.731704071</v>
      </c>
      <c r="R685" s="102">
        <f t="shared" si="276"/>
        <v>82196367.310438812</v>
      </c>
      <c r="S685" s="102">
        <f t="shared" si="276"/>
        <v>15193.548301309937</v>
      </c>
      <c r="T685" s="102">
        <f t="shared" si="276"/>
        <v>278738.71657262801</v>
      </c>
      <c r="U685" s="102"/>
      <c r="V685" s="102">
        <f>SUM(G685:T685)</f>
        <v>3639079759.3610182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8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577558036.32237256</v>
      </c>
      <c r="H701" s="102">
        <f t="shared" si="277"/>
        <v>199632188.59720656</v>
      </c>
      <c r="I701" s="102">
        <f t="shared" si="277"/>
        <v>0</v>
      </c>
      <c r="J701" s="102">
        <f t="shared" si="277"/>
        <v>11997673.987746205</v>
      </c>
      <c r="K701" s="102">
        <f t="shared" si="277"/>
        <v>0</v>
      </c>
      <c r="L701" s="102">
        <f t="shared" si="277"/>
        <v>173883934.54071742</v>
      </c>
      <c r="M701" s="102">
        <f t="shared" si="277"/>
        <v>13909259.197503271</v>
      </c>
      <c r="N701" s="102">
        <f t="shared" si="277"/>
        <v>116473231.72984052</v>
      </c>
      <c r="O701" s="102">
        <f t="shared" si="277"/>
        <v>250828327.75421491</v>
      </c>
      <c r="P701" s="102">
        <f t="shared" si="277"/>
        <v>86439484.209639043</v>
      </c>
      <c r="Q701" s="102">
        <f t="shared" si="277"/>
        <v>29888103.763572749</v>
      </c>
      <c r="R701" s="102">
        <f t="shared" si="277"/>
        <v>26166186.181470577</v>
      </c>
      <c r="S701" s="102">
        <f t="shared" si="277"/>
        <v>29690.626642426691</v>
      </c>
      <c r="T701" s="102">
        <f t="shared" si="277"/>
        <v>156555.02994893212</v>
      </c>
      <c r="U701" s="102"/>
      <c r="V701" s="102">
        <f>SUM(G701:T701)</f>
        <v>1486962671.9408755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1199657950.3587506</v>
      </c>
      <c r="G703" s="102">
        <f t="shared" si="278"/>
        <v>493607717.92863482</v>
      </c>
      <c r="H703" s="102">
        <f t="shared" si="278"/>
        <v>140671615.755027</v>
      </c>
      <c r="I703" s="102">
        <f t="shared" si="278"/>
        <v>0</v>
      </c>
      <c r="J703" s="102">
        <f t="shared" si="278"/>
        <v>9760975.9519190267</v>
      </c>
      <c r="K703" s="102">
        <f t="shared" si="278"/>
        <v>0</v>
      </c>
      <c r="L703" s="102">
        <f t="shared" si="278"/>
        <v>125250694.16507046</v>
      </c>
      <c r="M703" s="102">
        <f t="shared" si="278"/>
        <v>9556095.8882309906</v>
      </c>
      <c r="N703" s="102">
        <f t="shared" si="278"/>
        <v>93897525.534414038</v>
      </c>
      <c r="O703" s="102">
        <f t="shared" si="278"/>
        <v>215121791.77540475</v>
      </c>
      <c r="P703" s="102">
        <f t="shared" si="278"/>
        <v>73797913.032517642</v>
      </c>
      <c r="Q703" s="102">
        <f t="shared" si="278"/>
        <v>24627193.281671613</v>
      </c>
      <c r="R703" s="102">
        <f t="shared" si="278"/>
        <v>13234855.262369441</v>
      </c>
      <c r="S703" s="102">
        <f t="shared" si="278"/>
        <v>17742.649977950736</v>
      </c>
      <c r="T703" s="102">
        <f t="shared" si="278"/>
        <v>113828.13351306197</v>
      </c>
      <c r="U703" s="102"/>
      <c r="V703" s="102">
        <f>SUM(G703:T703)</f>
        <v>1199657949.3587506</v>
      </c>
      <c r="W703" s="98" t="str">
        <f>IF(ABS(F703-V703)&lt;0.01,"ok","err")</f>
        <v>err</v>
      </c>
      <c r="X703" s="243">
        <f>IF(W703="err",V703-F703,"")</f>
        <v>-1</v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40550220.668183573</v>
      </c>
      <c r="H705" s="251">
        <f t="shared" si="279"/>
        <v>10418599.508402497</v>
      </c>
      <c r="I705" s="251">
        <f t="shared" si="279"/>
        <v>0</v>
      </c>
      <c r="J705" s="251">
        <f t="shared" si="279"/>
        <v>668776.93154093286</v>
      </c>
      <c r="K705" s="251">
        <f t="shared" si="279"/>
        <v>0</v>
      </c>
      <c r="L705" s="251">
        <f t="shared" si="279"/>
        <v>8266800.717887775</v>
      </c>
      <c r="M705" s="251">
        <f t="shared" si="279"/>
        <v>600722.80339447141</v>
      </c>
      <c r="N705" s="251">
        <f t="shared" si="279"/>
        <v>5913421.431592077</v>
      </c>
      <c r="O705" s="251">
        <f t="shared" si="279"/>
        <v>12663457.890034882</v>
      </c>
      <c r="P705" s="251">
        <f t="shared" si="279"/>
        <v>4062213.4008213338</v>
      </c>
      <c r="Q705" s="251">
        <f t="shared" si="279"/>
        <v>1056233.0599140152</v>
      </c>
      <c r="R705" s="251">
        <f t="shared" si="279"/>
        <v>1888015.8660816066</v>
      </c>
      <c r="S705" s="251">
        <f t="shared" si="279"/>
        <v>309.03549505252892</v>
      </c>
      <c r="T705" s="251">
        <f t="shared" si="279"/>
        <v>6429.1777972720492</v>
      </c>
      <c r="U705" s="251"/>
      <c r="V705" s="251">
        <f>SUM(G705:T705)</f>
        <v>86095200.491145507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201209521.09097922</v>
      </c>
      <c r="G707" s="102">
        <f t="shared" ref="G707:T707" si="280">G701-G703-G705</f>
        <v>43400097.725554161</v>
      </c>
      <c r="H707" s="102">
        <f t="shared" si="280"/>
        <v>48541973.33377707</v>
      </c>
      <c r="I707" s="102">
        <f>I701-I703-I705</f>
        <v>0</v>
      </c>
      <c r="J707" s="102">
        <f>J701-J703-J705</f>
        <v>1567921.1042862455</v>
      </c>
      <c r="K707" s="102">
        <f>K701-K703-K705</f>
        <v>0</v>
      </c>
      <c r="L707" s="102">
        <f t="shared" si="280"/>
        <v>40366439.65775919</v>
      </c>
      <c r="M707" s="102">
        <f t="shared" si="280"/>
        <v>3752440.5058778087</v>
      </c>
      <c r="N707" s="102">
        <f t="shared" si="280"/>
        <v>16662284.763834402</v>
      </c>
      <c r="O707" s="102">
        <f>O701-O703-O705</f>
        <v>23043078.088775277</v>
      </c>
      <c r="P707" s="102">
        <f>P701-P703-P705</f>
        <v>8579357.7763000671</v>
      </c>
      <c r="Q707" s="102">
        <f t="shared" si="280"/>
        <v>4204677.4219871201</v>
      </c>
      <c r="R707" s="102">
        <f t="shared" si="280"/>
        <v>11043315.053019529</v>
      </c>
      <c r="S707" s="102">
        <f t="shared" si="280"/>
        <v>11638.941169423426</v>
      </c>
      <c r="T707" s="102">
        <f t="shared" si="280"/>
        <v>36297.718638598097</v>
      </c>
      <c r="U707" s="102"/>
      <c r="V707" s="102">
        <f>SUM(G707:T707)</f>
        <v>201209522.09097889</v>
      </c>
      <c r="W707" s="98" t="str">
        <f>IF(ABS(F707-V707)&lt;0.01,"ok","err")</f>
        <v>err</v>
      </c>
      <c r="X707" s="102">
        <f>IF(W707="err",V707-F707,"")</f>
        <v>0.99999967217445374</v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577558036.32237256</v>
      </c>
      <c r="H714" s="102">
        <f t="shared" si="281"/>
        <v>199632188.59720656</v>
      </c>
      <c r="I714" s="102">
        <f t="shared" si="281"/>
        <v>0</v>
      </c>
      <c r="J714" s="102">
        <f t="shared" si="281"/>
        <v>11997673.987746205</v>
      </c>
      <c r="K714" s="102">
        <f t="shared" si="281"/>
        <v>0</v>
      </c>
      <c r="L714" s="102">
        <f t="shared" si="281"/>
        <v>173883934.54071742</v>
      </c>
      <c r="M714" s="102">
        <f t="shared" si="281"/>
        <v>13909259.197503271</v>
      </c>
      <c r="N714" s="102">
        <f t="shared" si="281"/>
        <v>116473231.72984052</v>
      </c>
      <c r="O714" s="102">
        <f t="shared" si="281"/>
        <v>250828327.75421491</v>
      </c>
      <c r="P714" s="102">
        <f t="shared" si="281"/>
        <v>86439484.209639043</v>
      </c>
      <c r="Q714" s="102">
        <f t="shared" si="281"/>
        <v>29888103.763572749</v>
      </c>
      <c r="R714" s="102">
        <f t="shared" si="281"/>
        <v>26166186.181470577</v>
      </c>
      <c r="S714" s="102">
        <f t="shared" si="281"/>
        <v>29690.626642426691</v>
      </c>
      <c r="T714" s="102">
        <f t="shared" si="281"/>
        <v>156555.02994893212</v>
      </c>
      <c r="U714" s="102"/>
      <c r="V714" s="102">
        <f>SUM(G714:T714)</f>
        <v>1486962671.9408755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2319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2323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2320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2321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2322</v>
      </c>
      <c r="E721" s="97" t="s">
        <v>2431</v>
      </c>
      <c r="F721" s="229">
        <f>-1635232</f>
        <v>-1635232</v>
      </c>
      <c r="G721" s="100">
        <f t="shared" ref="G721:T726" si="285">IF(VLOOKUP($E721,$D$5:$AJ$967,3,)=0,0,(VLOOKUP($E721,$D$5:$AJ$967,G$1,)/VLOOKUP($E721,$D$5:$AJ$967,3,))*$F721)</f>
        <v>-609965.43393935554</v>
      </c>
      <c r="H721" s="100">
        <f t="shared" si="285"/>
        <v>-368765.56167765619</v>
      </c>
      <c r="I721" s="100">
        <f t="shared" si="285"/>
        <v>0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-168729.68557332992</v>
      </c>
      <c r="M721" s="100">
        <f t="shared" si="285"/>
        <v>-13653.249062990584</v>
      </c>
      <c r="N721" s="100">
        <f t="shared" si="285"/>
        <v>-105681.79888788707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2225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1945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1946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2226</v>
      </c>
      <c r="E727" s="97" t="s">
        <v>422</v>
      </c>
      <c r="F727" s="229">
        <v>0</v>
      </c>
      <c r="G727" s="100">
        <f t="shared" ref="G727:T727" si="286">IF(VLOOKUP($E727,$D$5:$AJ$952,3,)=0,0,(VLOOKUP($E727,$D$5:$AJ$952,G$1,)/VLOOKUP($E727,$D$5:$AJ$952,3,))*$F727)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576948070.88843322</v>
      </c>
      <c r="H729" s="102">
        <f t="shared" si="287"/>
        <v>199263423.0355289</v>
      </c>
      <c r="I729" s="102">
        <f t="shared" si="287"/>
        <v>0</v>
      </c>
      <c r="J729" s="102">
        <f t="shared" si="287"/>
        <v>11974301.202798663</v>
      </c>
      <c r="K729" s="102">
        <f t="shared" si="287"/>
        <v>0</v>
      </c>
      <c r="L729" s="102">
        <f t="shared" si="287"/>
        <v>173715204.85514408</v>
      </c>
      <c r="M729" s="102">
        <f t="shared" si="287"/>
        <v>13895605.94844028</v>
      </c>
      <c r="N729" s="102">
        <f t="shared" si="287"/>
        <v>116367549.93095262</v>
      </c>
      <c r="O729" s="102">
        <f t="shared" si="287"/>
        <v>250618049.03936678</v>
      </c>
      <c r="P729" s="102">
        <f t="shared" si="287"/>
        <v>86370870.077902898</v>
      </c>
      <c r="Q729" s="102">
        <f t="shared" si="287"/>
        <v>29864384.899244361</v>
      </c>
      <c r="R729" s="102">
        <f t="shared" si="287"/>
        <v>26123992.44827177</v>
      </c>
      <c r="S729" s="102">
        <f t="shared" si="287"/>
        <v>29624.691924233273</v>
      </c>
      <c r="T729" s="102">
        <f t="shared" si="287"/>
        <v>156362.9228673428</v>
      </c>
      <c r="U729" s="102">
        <f t="shared" si="287"/>
        <v>0</v>
      </c>
      <c r="V729" s="102">
        <f>SUM(G729:T729)</f>
        <v>1485327439.9408748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933774238.57748592</v>
      </c>
      <c r="G734" s="102">
        <f t="shared" si="288"/>
        <v>370519405.17287457</v>
      </c>
      <c r="H734" s="102">
        <f t="shared" si="288"/>
        <v>108753033.19473302</v>
      </c>
      <c r="I734" s="102">
        <f t="shared" si="288"/>
        <v>0</v>
      </c>
      <c r="J734" s="102">
        <f t="shared" si="288"/>
        <v>7668256.0483589973</v>
      </c>
      <c r="K734" s="102">
        <f t="shared" si="288"/>
        <v>0</v>
      </c>
      <c r="L734" s="102">
        <f t="shared" si="288"/>
        <v>99088940.765030891</v>
      </c>
      <c r="M734" s="102">
        <f t="shared" si="288"/>
        <v>7651162.2855686005</v>
      </c>
      <c r="N734" s="102">
        <f t="shared" si="288"/>
        <v>75124152.589057371</v>
      </c>
      <c r="O734" s="102">
        <f t="shared" si="288"/>
        <v>174786954.93278927</v>
      </c>
      <c r="P734" s="102">
        <f t="shared" si="288"/>
        <v>60688793.139909752</v>
      </c>
      <c r="Q734" s="102">
        <f t="shared" si="288"/>
        <v>21215963.597676735</v>
      </c>
      <c r="R734" s="102">
        <f t="shared" si="288"/>
        <v>8165872.7907812931</v>
      </c>
      <c r="S734" s="102">
        <f t="shared" si="288"/>
        <v>16912.945346934604</v>
      </c>
      <c r="T734" s="102">
        <f t="shared" si="288"/>
        <v>94791.115358423413</v>
      </c>
      <c r="U734" s="102"/>
      <c r="V734" s="102">
        <f>V231</f>
        <v>933774238.5774858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105274952.74338102</v>
      </c>
      <c r="H735" s="101">
        <f t="shared" si="291"/>
        <v>27341782.225615479</v>
      </c>
      <c r="I735" s="101">
        <f t="shared" si="291"/>
        <v>0</v>
      </c>
      <c r="J735" s="101">
        <f t="shared" si="291"/>
        <v>1798932.0035182098</v>
      </c>
      <c r="K735" s="101">
        <f t="shared" si="291"/>
        <v>0</v>
      </c>
      <c r="L735" s="101">
        <f t="shared" si="291"/>
        <v>22530219.621316772</v>
      </c>
      <c r="M735" s="101">
        <f t="shared" si="291"/>
        <v>1641041.2910282558</v>
      </c>
      <c r="N735" s="101">
        <f t="shared" si="291"/>
        <v>16175658.255553182</v>
      </c>
      <c r="O735" s="101">
        <f t="shared" si="291"/>
        <v>34771889.749682277</v>
      </c>
      <c r="P735" s="101">
        <f t="shared" si="291"/>
        <v>11324624.823166879</v>
      </c>
      <c r="Q735" s="101">
        <f t="shared" si="291"/>
        <v>2947235.6735119577</v>
      </c>
      <c r="R735" s="101">
        <f t="shared" si="291"/>
        <v>4239593.4682664694</v>
      </c>
      <c r="S735" s="101">
        <f t="shared" si="291"/>
        <v>693.9480169763392</v>
      </c>
      <c r="T735" s="101">
        <f t="shared" si="291"/>
        <v>16212.736132054226</v>
      </c>
      <c r="U735" s="101"/>
      <c r="V735" s="101">
        <f>V345</f>
        <v>228062836.53918952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11724942.607902201</v>
      </c>
      <c r="H737" s="101">
        <f t="shared" si="293"/>
        <v>3012498.5580308898</v>
      </c>
      <c r="I737" s="101">
        <f t="shared" si="293"/>
        <v>0</v>
      </c>
      <c r="J737" s="101">
        <f t="shared" si="293"/>
        <v>193374.31487663536</v>
      </c>
      <c r="K737" s="101">
        <f t="shared" si="293"/>
        <v>0</v>
      </c>
      <c r="L737" s="101">
        <f t="shared" si="293"/>
        <v>2390314.0937590543</v>
      </c>
      <c r="M737" s="101">
        <f t="shared" si="293"/>
        <v>173696.72166999339</v>
      </c>
      <c r="N737" s="101">
        <f t="shared" si="293"/>
        <v>1709843.3931866884</v>
      </c>
      <c r="O737" s="101">
        <f t="shared" si="293"/>
        <v>3661590.8503487902</v>
      </c>
      <c r="P737" s="101">
        <f t="shared" si="293"/>
        <v>1174573.6077597258</v>
      </c>
      <c r="Q737" s="101">
        <f t="shared" si="293"/>
        <v>305405.7858130887</v>
      </c>
      <c r="R737" s="101">
        <f t="shared" si="293"/>
        <v>545912.63149363315</v>
      </c>
      <c r="S737" s="101">
        <f t="shared" si="293"/>
        <v>89.356442051092216</v>
      </c>
      <c r="T737" s="101">
        <f t="shared" si="293"/>
        <v>1858.9723914415033</v>
      </c>
      <c r="U737" s="101"/>
      <c r="V737" s="102">
        <f>SUM(G737:T737)</f>
        <v>24894100.893674191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6088417.8138291491</v>
      </c>
      <c r="H738" s="101">
        <f t="shared" si="294"/>
        <v>1564301.8902701035</v>
      </c>
      <c r="I738" s="101">
        <f t="shared" si="294"/>
        <v>0</v>
      </c>
      <c r="J738" s="101">
        <f t="shared" si="294"/>
        <v>100413.59372099827</v>
      </c>
      <c r="K738" s="101">
        <f t="shared" si="294"/>
        <v>0</v>
      </c>
      <c r="L738" s="101">
        <f t="shared" si="294"/>
        <v>1241219.7991725039</v>
      </c>
      <c r="M738" s="101">
        <f t="shared" si="294"/>
        <v>90195.59837389458</v>
      </c>
      <c r="N738" s="101">
        <f t="shared" si="294"/>
        <v>887871.38002021168</v>
      </c>
      <c r="O738" s="101">
        <f t="shared" si="294"/>
        <v>1901356.4249937129</v>
      </c>
      <c r="P738" s="101">
        <f t="shared" si="294"/>
        <v>609921.52510138182</v>
      </c>
      <c r="Q738" s="101">
        <f t="shared" si="294"/>
        <v>158588.24123690827</v>
      </c>
      <c r="R738" s="101">
        <f t="shared" si="294"/>
        <v>283476.37182804599</v>
      </c>
      <c r="S738" s="101">
        <f t="shared" si="294"/>
        <v>46.400171988696833</v>
      </c>
      <c r="T738" s="101">
        <f t="shared" si="294"/>
        <v>965.30968227008179</v>
      </c>
      <c r="U738" s="101"/>
      <c r="V738" s="102">
        <f>SUM(G738:T738)</f>
        <v>12926774.348401172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IF(VLOOKUP($E740,$D$5:$AJ$967,3,)=0,0,(VLOOKUP($E740,$D$5:$AJ$967,G$1,)/VLOOKUP($E740,$D$5:$AJ$967,3,))*$F740)</f>
        <v>18153353.162271839</v>
      </c>
      <c r="H740" s="100">
        <f t="shared" si="296"/>
        <v>20304092.186474111</v>
      </c>
      <c r="I740" s="100">
        <f t="shared" si="296"/>
        <v>0</v>
      </c>
      <c r="J740" s="100">
        <f t="shared" si="296"/>
        <v>655828.60473441554</v>
      </c>
      <c r="K740" s="100">
        <f t="shared" si="296"/>
        <v>0</v>
      </c>
      <c r="L740" s="100">
        <f t="shared" si="296"/>
        <v>16884437.441701207</v>
      </c>
      <c r="M740" s="100">
        <f t="shared" si="296"/>
        <v>1569567.3810316068</v>
      </c>
      <c r="N740" s="100">
        <f t="shared" si="296"/>
        <v>6969485.2237654692</v>
      </c>
      <c r="O740" s="100">
        <f t="shared" si="296"/>
        <v>9638437.6168130934</v>
      </c>
      <c r="P740" s="100">
        <f t="shared" si="296"/>
        <v>3588565.9199093352</v>
      </c>
      <c r="Q740" s="100">
        <f t="shared" si="296"/>
        <v>1758728.6244708167</v>
      </c>
      <c r="R740" s="100">
        <f t="shared" si="296"/>
        <v>4619187.7149082264</v>
      </c>
      <c r="S740" s="100">
        <f t="shared" si="296"/>
        <v>4868.3256618346886</v>
      </c>
      <c r="T740" s="100">
        <f t="shared" si="296"/>
        <v>15182.576536994065</v>
      </c>
      <c r="U740" s="100"/>
      <c r="V740" s="102">
        <f>SUM(G740:T740)</f>
        <v>84161734.778278947</v>
      </c>
      <c r="W740" s="98" t="str">
        <f t="shared" si="289"/>
        <v>err</v>
      </c>
      <c r="X740" s="102">
        <f t="shared" si="290"/>
        <v>0.41827894747257233</v>
      </c>
    </row>
    <row r="741" spans="1:24" ht="12" customHeight="1" x14ac:dyDescent="0.25">
      <c r="A741" s="107" t="s">
        <v>945</v>
      </c>
      <c r="F741" s="101">
        <f t="shared" ref="F741:T741" si="297">-F930</f>
        <v>-1</v>
      </c>
      <c r="G741" s="101">
        <f t="shared" si="297"/>
        <v>-0.40935210621236828</v>
      </c>
      <c r="H741" s="101">
        <f t="shared" si="297"/>
        <v>-0.11362251359596974</v>
      </c>
      <c r="I741" s="101">
        <f t="shared" si="297"/>
        <v>0</v>
      </c>
      <c r="J741" s="101">
        <f t="shared" si="297"/>
        <v>-8.5558150654642239E-3</v>
      </c>
      <c r="K741" s="101">
        <f t="shared" si="297"/>
        <v>0</v>
      </c>
      <c r="L741" s="101">
        <f t="shared" si="297"/>
        <v>-0.11420877410668946</v>
      </c>
      <c r="M741" s="101">
        <f t="shared" si="297"/>
        <v>-8.40975402485797E-3</v>
      </c>
      <c r="N741" s="101">
        <f t="shared" si="297"/>
        <v>-8.3403421353758986E-2</v>
      </c>
      <c r="O741" s="101">
        <f t="shared" si="297"/>
        <v>-0.18240931993528153</v>
      </c>
      <c r="P741" s="101">
        <f t="shared" si="297"/>
        <v>-6.3420095832768281E-2</v>
      </c>
      <c r="Q741" s="101">
        <f t="shared" si="297"/>
        <v>-1.6567072618418759E-2</v>
      </c>
      <c r="R741" s="101">
        <f t="shared" si="297"/>
        <v>0</v>
      </c>
      <c r="S741" s="101">
        <f t="shared" si="297"/>
        <v>0</v>
      </c>
      <c r="T741" s="101">
        <f t="shared" si="297"/>
        <v>-5.1127254422720664E-5</v>
      </c>
      <c r="U741" s="101"/>
      <c r="V741" s="102">
        <f>SUM(G741:T741)</f>
        <v>-1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1</v>
      </c>
      <c r="G742" s="100">
        <f t="shared" ref="G742:T742" si="298">IF(VLOOKUP($E742,$D$5:$AJ$1007,3,)=0,0,(VLOOKUP($E742,$D$5:$AJ$1007,G$1,)/VLOOKUP($E742,$D$5:$AJ$1007,3,))*$F742)</f>
        <v>0.40935210621236817</v>
      </c>
      <c r="H742" s="100">
        <f t="shared" si="298"/>
        <v>0.11362251359596973</v>
      </c>
      <c r="I742" s="100">
        <f t="shared" si="298"/>
        <v>0</v>
      </c>
      <c r="J742" s="100">
        <f t="shared" si="298"/>
        <v>8.5558150654642239E-3</v>
      </c>
      <c r="K742" s="100">
        <f t="shared" si="298"/>
        <v>0</v>
      </c>
      <c r="L742" s="100">
        <f t="shared" si="298"/>
        <v>0.11420877410668946</v>
      </c>
      <c r="M742" s="100">
        <f t="shared" si="298"/>
        <v>8.4097540248579683E-3</v>
      </c>
      <c r="N742" s="100">
        <f t="shared" si="298"/>
        <v>8.3403421353758972E-2</v>
      </c>
      <c r="O742" s="100">
        <f t="shared" si="298"/>
        <v>0.18240931993528151</v>
      </c>
      <c r="P742" s="100">
        <f t="shared" si="298"/>
        <v>6.3420095832768281E-2</v>
      </c>
      <c r="Q742" s="100">
        <f t="shared" si="298"/>
        <v>1.6567072618418756E-2</v>
      </c>
      <c r="R742" s="100">
        <f t="shared" si="298"/>
        <v>0</v>
      </c>
      <c r="S742" s="100">
        <f t="shared" si="298"/>
        <v>0</v>
      </c>
      <c r="T742" s="100">
        <f t="shared" si="298"/>
        <v>5.1127254422720664E-5</v>
      </c>
      <c r="U742" s="100"/>
      <c r="V742" s="102">
        <f>SUM(G742:T742)</f>
        <v>0.99999999999999989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2324</v>
      </c>
      <c r="E745" s="97" t="s">
        <v>1732</v>
      </c>
      <c r="F745" s="101"/>
      <c r="G745" s="101">
        <f t="shared" ref="G745:T754" si="299">IF(VLOOKUP($E745,$D$5:$AJ$952,3,)=0,0,(VLOOKUP($E745,$D$5:$AJ$952,G$1,)/VLOOKUP($E745,$D$5:$AJ$952,3,))*$F745)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2325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2329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2326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1948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1947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1951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1949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2227</v>
      </c>
      <c r="E755" s="97" t="s">
        <v>432</v>
      </c>
      <c r="F755" s="101">
        <f>-838116</f>
        <v>-838116</v>
      </c>
      <c r="G755" s="101">
        <f t="shared" ref="G755:T763" si="303">IF(VLOOKUP($E755,$D$5:$AJ$952,3,)=0,0,(VLOOKUP($E755,$D$5:$AJ$952,G$1,)/VLOOKUP($E755,$D$5:$AJ$952,3,))*$F755)</f>
        <v>-317360.86960830563</v>
      </c>
      <c r="H755" s="101">
        <f t="shared" si="303"/>
        <v>-113447.81429056131</v>
      </c>
      <c r="I755" s="101">
        <f t="shared" si="303"/>
        <v>0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-99841.817563354634</v>
      </c>
      <c r="M755" s="101">
        <f t="shared" si="303"/>
        <v>-7983.8519718289754</v>
      </c>
      <c r="N755" s="101">
        <f t="shared" si="303"/>
        <v>-66889.507834115575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2229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2228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1950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1952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2251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-35518.236182472356</v>
      </c>
      <c r="H763" s="101">
        <f t="shared" si="303"/>
        <v>-39726.29934004035</v>
      </c>
      <c r="I763" s="101">
        <f t="shared" si="303"/>
        <v>0</v>
      </c>
      <c r="J763" s="101">
        <f t="shared" si="303"/>
        <v>-1283.1720437516747</v>
      </c>
      <c r="K763" s="101">
        <f t="shared" si="303"/>
        <v>0</v>
      </c>
      <c r="L763" s="101">
        <f t="shared" si="303"/>
        <v>-33035.518645056291</v>
      </c>
      <c r="M763" s="101">
        <f t="shared" si="303"/>
        <v>-3070.9623971645615</v>
      </c>
      <c r="N763" s="101">
        <f t="shared" si="303"/>
        <v>-13636.258824205775</v>
      </c>
      <c r="O763" s="101">
        <f t="shared" si="303"/>
        <v>-18858.240714199303</v>
      </c>
      <c r="P763" s="101">
        <f t="shared" si="303"/>
        <v>-7021.2665814605771</v>
      </c>
      <c r="Q763" s="101">
        <f t="shared" si="303"/>
        <v>-3441.0688816793581</v>
      </c>
      <c r="R763" s="101">
        <f t="shared" si="303"/>
        <v>-9037.7462919777681</v>
      </c>
      <c r="S763" s="101">
        <f t="shared" si="303"/>
        <v>-9.5252011639152077</v>
      </c>
      <c r="T763" s="101">
        <f t="shared" si="303"/>
        <v>-29.705715218506327</v>
      </c>
      <c r="U763" s="101"/>
      <c r="V763" s="101">
        <f t="shared" si="304"/>
        <v>-164668.00081839043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-352879.10579077801</v>
      </c>
      <c r="H764" s="100">
        <f t="shared" si="305"/>
        <v>-153174.11363060167</v>
      </c>
      <c r="I764" s="100">
        <f t="shared" si="305"/>
        <v>0</v>
      </c>
      <c r="J764" s="100">
        <f t="shared" si="305"/>
        <v>-8172.4231749146184</v>
      </c>
      <c r="K764" s="100">
        <f t="shared" si="305"/>
        <v>0</v>
      </c>
      <c r="L764" s="100">
        <f t="shared" si="305"/>
        <v>-132877.33620841091</v>
      </c>
      <c r="M764" s="100">
        <f t="shared" si="305"/>
        <v>-11054.814368993537</v>
      </c>
      <c r="N764" s="100">
        <f t="shared" si="305"/>
        <v>-80525.766658321343</v>
      </c>
      <c r="O764" s="100">
        <f t="shared" si="305"/>
        <v>-162825.21024131944</v>
      </c>
      <c r="P764" s="100">
        <f t="shared" si="305"/>
        <v>-56645.578801812837</v>
      </c>
      <c r="Q764" s="100">
        <f t="shared" si="305"/>
        <v>-20548.095458007068</v>
      </c>
      <c r="R764" s="100">
        <f t="shared" si="305"/>
        <v>-23935.889477986275</v>
      </c>
      <c r="S764" s="100">
        <f t="shared" si="305"/>
        <v>-26.390659099161383</v>
      </c>
      <c r="T764" s="100">
        <f t="shared" si="305"/>
        <v>-119.27634814559315</v>
      </c>
      <c r="U764" s="100"/>
      <c r="V764" s="100">
        <f t="shared" si="304"/>
        <v>-1002784.0008183905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1282816900.7187505</v>
      </c>
      <c r="G768" s="102">
        <f t="shared" si="306"/>
        <v>511408192.39446807</v>
      </c>
      <c r="H768" s="102">
        <f t="shared" si="306"/>
        <v>160822533.94149303</v>
      </c>
      <c r="I768" s="102">
        <f t="shared" si="306"/>
        <v>0</v>
      </c>
      <c r="J768" s="102">
        <f t="shared" si="306"/>
        <v>10408632.142034343</v>
      </c>
      <c r="K768" s="102">
        <f t="shared" si="306"/>
        <v>0</v>
      </c>
      <c r="L768" s="102">
        <f t="shared" si="306"/>
        <v>142002254.38477203</v>
      </c>
      <c r="M768" s="102">
        <f t="shared" si="306"/>
        <v>11114608.463303357</v>
      </c>
      <c r="N768" s="102">
        <f t="shared" si="306"/>
        <v>100786485.0749246</v>
      </c>
      <c r="O768" s="102">
        <f t="shared" si="306"/>
        <v>224597404.36438584</v>
      </c>
      <c r="P768" s="102">
        <f t="shared" si="306"/>
        <v>77329833.437045261</v>
      </c>
      <c r="Q768" s="102">
        <f t="shared" si="306"/>
        <v>26365373.827251494</v>
      </c>
      <c r="R768" s="102">
        <f t="shared" si="306"/>
        <v>17830107.087799683</v>
      </c>
      <c r="S768" s="102">
        <f t="shared" si="306"/>
        <v>22584.584980686261</v>
      </c>
      <c r="T768" s="102">
        <f t="shared" si="306"/>
        <v>128891.43375303769</v>
      </c>
      <c r="U768" s="102"/>
      <c r="V768" s="102">
        <f>SUM(G768:T768)</f>
        <v>1282816901.1362116</v>
      </c>
      <c r="W768" s="98" t="str">
        <f>IF(ABS(F768-V768)&lt;0.01,"ok","err")</f>
        <v>err</v>
      </c>
      <c r="X768" s="243">
        <f>IF(W768="err",V768-F768,"")</f>
        <v>0.41746115684509277</v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202510539.22212481</v>
      </c>
      <c r="G770" s="102">
        <f t="shared" si="307"/>
        <v>65539878.493965149</v>
      </c>
      <c r="H770" s="102">
        <f t="shared" si="307"/>
        <v>38440889.094035864</v>
      </c>
      <c r="I770" s="102">
        <f t="shared" si="307"/>
        <v>0</v>
      </c>
      <c r="J770" s="102">
        <f t="shared" si="307"/>
        <v>1565669.0607643202</v>
      </c>
      <c r="K770" s="102">
        <f t="shared" si="307"/>
        <v>0</v>
      </c>
      <c r="L770" s="102">
        <f t="shared" si="307"/>
        <v>31712950.470372051</v>
      </c>
      <c r="M770" s="102">
        <f t="shared" si="307"/>
        <v>2780997.4851369224</v>
      </c>
      <c r="N770" s="102">
        <f t="shared" si="307"/>
        <v>15581064.85602802</v>
      </c>
      <c r="O770" s="102">
        <f t="shared" si="307"/>
        <v>26020644.674980938</v>
      </c>
      <c r="P770" s="102">
        <f t="shared" si="307"/>
        <v>9041036.6408576369</v>
      </c>
      <c r="Q770" s="102">
        <f t="shared" si="307"/>
        <v>3499011.0719928667</v>
      </c>
      <c r="R770" s="102">
        <f t="shared" si="307"/>
        <v>8293885.3604720868</v>
      </c>
      <c r="S770" s="102">
        <f t="shared" si="307"/>
        <v>7040.1069435470126</v>
      </c>
      <c r="T770" s="102">
        <f t="shared" si="307"/>
        <v>27471.489114305106</v>
      </c>
      <c r="U770" s="102"/>
      <c r="V770" s="102">
        <f>V729-V768</f>
        <v>202510538.80466318</v>
      </c>
      <c r="W770" s="98" t="str">
        <f>IF(ABS(F770-V770)&lt;0.01,"ok","err")</f>
        <v>err</v>
      </c>
      <c r="X770" s="243">
        <f>IF(W770="err",V770-F770,"")</f>
        <v>-0.41746163368225098</v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1716633054.3461716</v>
      </c>
      <c r="H772" s="102">
        <f t="shared" si="308"/>
        <v>441219651.03133303</v>
      </c>
      <c r="I772" s="102">
        <f t="shared" si="308"/>
        <v>0</v>
      </c>
      <c r="J772" s="102">
        <f t="shared" si="308"/>
        <v>28182297.978403468</v>
      </c>
      <c r="K772" s="102">
        <f t="shared" si="308"/>
        <v>0</v>
      </c>
      <c r="L772" s="102">
        <f t="shared" si="308"/>
        <v>347387075.53153688</v>
      </c>
      <c r="M772" s="102">
        <f t="shared" si="308"/>
        <v>25275870.378223237</v>
      </c>
      <c r="N772" s="102">
        <f t="shared" si="308"/>
        <v>248673397.50148326</v>
      </c>
      <c r="O772" s="102">
        <f t="shared" si="308"/>
        <v>533415050.36546725</v>
      </c>
      <c r="P772" s="102">
        <f t="shared" si="308"/>
        <v>170797076.92138174</v>
      </c>
      <c r="Q772" s="102">
        <f t="shared" si="308"/>
        <v>45005985.731704071</v>
      </c>
      <c r="R772" s="102">
        <f t="shared" si="308"/>
        <v>82196367.310438812</v>
      </c>
      <c r="S772" s="102">
        <f t="shared" si="308"/>
        <v>15193.548301309937</v>
      </c>
      <c r="T772" s="102">
        <f t="shared" si="308"/>
        <v>278738.71657262801</v>
      </c>
      <c r="U772" s="102"/>
      <c r="V772" s="102">
        <f>SUM(G772:T772)</f>
        <v>3639079759.3610182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hidden="1" customHeight="1" x14ac:dyDescent="0.25">
      <c r="A773" s="368" t="s">
        <v>2337</v>
      </c>
      <c r="E773" s="97" t="s">
        <v>411</v>
      </c>
      <c r="F773" s="102">
        <v>0</v>
      </c>
      <c r="G773" s="100">
        <f t="shared" ref="G773:T775" si="309">IF(VLOOKUP($E773,$D$5:$AJ$952,3,)=0,0,(VLOOKUP($E773,$D$5:$AJ$952,G$1,)/VLOOKUP($E773,$D$5:$AJ$952,3,))*$F773)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hidden="1" customHeight="1" x14ac:dyDescent="0.25">
      <c r="A774" s="368" t="s">
        <v>2337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hidden="1" customHeight="1" x14ac:dyDescent="0.25">
      <c r="A775" s="368" t="s">
        <v>2337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hidden="1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1716633054.3461716</v>
      </c>
      <c r="H776" s="127">
        <f t="shared" si="310"/>
        <v>441219651.03133303</v>
      </c>
      <c r="I776" s="127">
        <f>SUM(I772:I775)</f>
        <v>0</v>
      </c>
      <c r="J776" s="127">
        <f t="shared" si="310"/>
        <v>28182297.978403468</v>
      </c>
      <c r="K776" s="127">
        <f>SUM(K772:K775)</f>
        <v>0</v>
      </c>
      <c r="L776" s="102">
        <f t="shared" si="310"/>
        <v>347387075.53153688</v>
      </c>
      <c r="M776" s="102">
        <f t="shared" si="310"/>
        <v>25275870.378223237</v>
      </c>
      <c r="N776" s="102">
        <f t="shared" si="310"/>
        <v>248673397.50148326</v>
      </c>
      <c r="O776" s="102">
        <f t="shared" si="310"/>
        <v>533415050.36546725</v>
      </c>
      <c r="P776" s="102">
        <f t="shared" si="310"/>
        <v>170797076.92138174</v>
      </c>
      <c r="Q776" s="127">
        <f t="shared" si="310"/>
        <v>45005985.731704071</v>
      </c>
      <c r="R776" s="127">
        <f t="shared" si="310"/>
        <v>82196367.310438812</v>
      </c>
      <c r="S776" s="127">
        <f t="shared" si="310"/>
        <v>15193.548301309937</v>
      </c>
      <c r="T776" s="127">
        <f t="shared" si="310"/>
        <v>278738.71657262801</v>
      </c>
      <c r="U776" s="127">
        <f t="shared" si="310"/>
        <v>0</v>
      </c>
      <c r="V776" s="102">
        <f>SUM(G776:T776)</f>
        <v>3639079759.3610182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5.5648832290964519E-2</v>
      </c>
      <c r="G778" s="232">
        <f t="shared" si="311"/>
        <v>3.8179317547236601E-2</v>
      </c>
      <c r="H778" s="232">
        <f t="shared" si="311"/>
        <v>8.712415461138652E-2</v>
      </c>
      <c r="I778" s="232" t="e">
        <f>I770/I776</f>
        <v>#DIV/0!</v>
      </c>
      <c r="J778" s="232">
        <f t="shared" si="311"/>
        <v>5.5555053103338727E-2</v>
      </c>
      <c r="K778" s="232" t="e">
        <f>K770/K776</f>
        <v>#DIV/0!</v>
      </c>
      <c r="L778" s="232">
        <f t="shared" si="311"/>
        <v>9.1289954935278098E-2</v>
      </c>
      <c r="M778" s="232">
        <f t="shared" si="311"/>
        <v>0.11002578520630997</v>
      </c>
      <c r="N778" s="232">
        <f t="shared" si="311"/>
        <v>6.2656741784915232E-2</v>
      </c>
      <c r="O778" s="232">
        <f t="shared" si="311"/>
        <v>4.8781234532383359E-2</v>
      </c>
      <c r="P778" s="232">
        <f t="shared" si="311"/>
        <v>5.2934375715453522E-2</v>
      </c>
      <c r="Q778" s="232">
        <f t="shared" si="311"/>
        <v>7.7745460189488066E-2</v>
      </c>
      <c r="R778" s="232">
        <f t="shared" si="311"/>
        <v>0.10090330791807117</v>
      </c>
      <c r="S778" s="232">
        <f t="shared" si="311"/>
        <v>0.46336160611935778</v>
      </c>
      <c r="T778" s="232">
        <f t="shared" si="311"/>
        <v>9.8556416747894254E-2</v>
      </c>
      <c r="U778" s="232"/>
      <c r="V778" s="232">
        <f>V770/V776</f>
        <v>5.5648832176248254E-2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576948070.88843322</v>
      </c>
      <c r="H783" s="102">
        <f t="shared" si="312"/>
        <v>199263423.0355289</v>
      </c>
      <c r="I783" s="102">
        <f t="shared" si="312"/>
        <v>0</v>
      </c>
      <c r="J783" s="102">
        <f t="shared" si="312"/>
        <v>11974301.202798663</v>
      </c>
      <c r="K783" s="102">
        <f t="shared" si="312"/>
        <v>0</v>
      </c>
      <c r="L783" s="102">
        <f t="shared" si="312"/>
        <v>173715204.85514408</v>
      </c>
      <c r="M783" s="102">
        <f t="shared" si="312"/>
        <v>13895605.94844028</v>
      </c>
      <c r="N783" s="102">
        <f t="shared" si="312"/>
        <v>116367549.93095262</v>
      </c>
      <c r="O783" s="102">
        <f t="shared" si="312"/>
        <v>250618049.03936678</v>
      </c>
      <c r="P783" s="102">
        <f t="shared" si="312"/>
        <v>86370870.077902898</v>
      </c>
      <c r="Q783" s="102">
        <f t="shared" si="312"/>
        <v>29864384.899244361</v>
      </c>
      <c r="R783" s="102">
        <f t="shared" si="312"/>
        <v>26123992.44827177</v>
      </c>
      <c r="S783" s="102">
        <f t="shared" si="312"/>
        <v>29624.691924233273</v>
      </c>
      <c r="T783" s="102">
        <f t="shared" si="312"/>
        <v>156362.9228673428</v>
      </c>
      <c r="U783" s="102"/>
      <c r="V783" s="102">
        <f>SUM(G783:T783)</f>
        <v>1485327439.9408748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1198655166.3587506</v>
      </c>
      <c r="G785" s="102">
        <f t="shared" si="313"/>
        <v>493254839.23219615</v>
      </c>
      <c r="H785" s="102">
        <f t="shared" si="313"/>
        <v>140518441.75501892</v>
      </c>
      <c r="I785" s="102">
        <f t="shared" si="313"/>
        <v>0</v>
      </c>
      <c r="J785" s="102">
        <f t="shared" si="313"/>
        <v>9752803.5372999273</v>
      </c>
      <c r="K785" s="102">
        <f t="shared" si="313"/>
        <v>0</v>
      </c>
      <c r="L785" s="102">
        <f t="shared" si="313"/>
        <v>125117816.94307081</v>
      </c>
      <c r="M785" s="102">
        <f t="shared" si="313"/>
        <v>9545041.082271751</v>
      </c>
      <c r="N785" s="102">
        <f t="shared" si="313"/>
        <v>93816999.85115914</v>
      </c>
      <c r="O785" s="102">
        <f t="shared" si="313"/>
        <v>214958966.74757275</v>
      </c>
      <c r="P785" s="102">
        <f t="shared" si="313"/>
        <v>73741267.517135933</v>
      </c>
      <c r="Q785" s="102">
        <f t="shared" si="313"/>
        <v>24606645.202780679</v>
      </c>
      <c r="R785" s="102">
        <f t="shared" si="313"/>
        <v>13210919.372891454</v>
      </c>
      <c r="S785" s="102">
        <f t="shared" si="313"/>
        <v>17716.259318851575</v>
      </c>
      <c r="T785" s="102">
        <f t="shared" si="313"/>
        <v>113708.85721604363</v>
      </c>
      <c r="U785" s="102"/>
      <c r="V785" s="102">
        <f>SUM(G785:T785)</f>
        <v>1198655166.3579321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40550220.668183573</v>
      </c>
      <c r="H787" s="227">
        <f t="shared" si="314"/>
        <v>10418599.508402497</v>
      </c>
      <c r="I787" s="227">
        <f t="shared" si="314"/>
        <v>0</v>
      </c>
      <c r="J787" s="227">
        <f t="shared" si="314"/>
        <v>668776.93154093286</v>
      </c>
      <c r="K787" s="227">
        <f t="shared" si="314"/>
        <v>0</v>
      </c>
      <c r="L787" s="227">
        <f t="shared" si="314"/>
        <v>8266800.717887775</v>
      </c>
      <c r="M787" s="227">
        <f t="shared" si="314"/>
        <v>600722.80339447141</v>
      </c>
      <c r="N787" s="227">
        <f t="shared" si="314"/>
        <v>5913421.431592077</v>
      </c>
      <c r="O787" s="227">
        <f t="shared" si="314"/>
        <v>12663457.890034882</v>
      </c>
      <c r="P787" s="227">
        <f t="shared" si="314"/>
        <v>4062213.4008213338</v>
      </c>
      <c r="Q787" s="227">
        <f t="shared" si="314"/>
        <v>1056233.0599140152</v>
      </c>
      <c r="R787" s="227">
        <f t="shared" si="314"/>
        <v>1888015.8660816066</v>
      </c>
      <c r="S787" s="227">
        <f t="shared" si="314"/>
        <v>309.03549505252892</v>
      </c>
      <c r="T787" s="227">
        <f t="shared" si="314"/>
        <v>6429.1777972720492</v>
      </c>
      <c r="U787" s="227"/>
      <c r="V787" s="227">
        <f>SUM(G787:T787)</f>
        <v>86095200.491145507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IF(VLOOKUP($E789,$D$5:$AJ$979,3,)=0,0,(VLOOKUP($E789,$D$5:$AJ$979,G$1,)/VLOOKUP($E789,$D$5:$AJ$979,3,))*$F789)</f>
        <v>3490553.7013399145</v>
      </c>
      <c r="H789" s="253">
        <f t="shared" si="315"/>
        <v>896830.65782590164</v>
      </c>
      <c r="I789" s="253">
        <f t="shared" si="315"/>
        <v>0</v>
      </c>
      <c r="J789" s="253">
        <f t="shared" si="315"/>
        <v>57568.164988866927</v>
      </c>
      <c r="K789" s="253">
        <f t="shared" si="315"/>
        <v>0</v>
      </c>
      <c r="L789" s="253">
        <f t="shared" si="315"/>
        <v>711604.31111299328</v>
      </c>
      <c r="M789" s="253">
        <f t="shared" si="315"/>
        <v>51710.081235466416</v>
      </c>
      <c r="N789" s="253">
        <f t="shared" si="315"/>
        <v>509025.96152385155</v>
      </c>
      <c r="O789" s="253">
        <f t="shared" si="315"/>
        <v>1090067.5528137251</v>
      </c>
      <c r="P789" s="253">
        <f t="shared" si="315"/>
        <v>349674.39851677301</v>
      </c>
      <c r="Q789" s="253">
        <f t="shared" si="315"/>
        <v>90920.299717461428</v>
      </c>
      <c r="R789" s="253">
        <f t="shared" si="315"/>
        <v>162519.97303458428</v>
      </c>
      <c r="S789" s="253">
        <f t="shared" si="315"/>
        <v>26.601704585725937</v>
      </c>
      <c r="T789" s="253">
        <f t="shared" si="315"/>
        <v>553.42215127446309</v>
      </c>
      <c r="U789" s="253"/>
      <c r="V789" s="251">
        <f>SUM(G789:T789)</f>
        <v>7411055.1259653978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193166017.96501383</v>
      </c>
      <c r="G791" s="102">
        <f t="shared" ref="G791:T791" si="316">G783-G785-G787-G789</f>
        <v>39652457.286713578</v>
      </c>
      <c r="H791" s="102">
        <f t="shared" si="316"/>
        <v>47429551.11428158</v>
      </c>
      <c r="I791" s="102">
        <f>I783-I785-I787-I789</f>
        <v>0</v>
      </c>
      <c r="J791" s="102">
        <f>J783-J785-J787-J789</f>
        <v>1495152.5689689354</v>
      </c>
      <c r="K791" s="102">
        <f>K783-K785-K787-K789</f>
        <v>0</v>
      </c>
      <c r="L791" s="102">
        <f t="shared" si="316"/>
        <v>39618982.883072503</v>
      </c>
      <c r="M791" s="102">
        <f t="shared" si="316"/>
        <v>3698131.981538591</v>
      </c>
      <c r="N791" s="102">
        <f t="shared" si="316"/>
        <v>16128102.686677555</v>
      </c>
      <c r="O791" s="102">
        <f>O783-O785-O787-O789</f>
        <v>21905556.848945424</v>
      </c>
      <c r="P791" s="102">
        <f>P783-P785-P787-P789</f>
        <v>8217714.7614288582</v>
      </c>
      <c r="Q791" s="102">
        <f t="shared" si="316"/>
        <v>4110586.3368322053</v>
      </c>
      <c r="R791" s="102">
        <f t="shared" si="316"/>
        <v>10862537.236264125</v>
      </c>
      <c r="S791" s="102">
        <f t="shared" si="316"/>
        <v>11572.795405743444</v>
      </c>
      <c r="T791" s="102">
        <f t="shared" si="316"/>
        <v>35671.465702752655</v>
      </c>
      <c r="U791" s="102"/>
      <c r="V791" s="102">
        <f>SUM(G791:T791)</f>
        <v>193166017.96583185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576948070.88843322</v>
      </c>
      <c r="H800" s="102">
        <f t="shared" si="317"/>
        <v>199263423.0355289</v>
      </c>
      <c r="I800" s="102">
        <f t="shared" si="317"/>
        <v>0</v>
      </c>
      <c r="J800" s="102">
        <f t="shared" si="317"/>
        <v>11974301.202798663</v>
      </c>
      <c r="K800" s="102">
        <f t="shared" si="317"/>
        <v>0</v>
      </c>
      <c r="L800" s="102">
        <f t="shared" si="317"/>
        <v>173715204.85514408</v>
      </c>
      <c r="M800" s="102">
        <f t="shared" si="317"/>
        <v>13895605.94844028</v>
      </c>
      <c r="N800" s="102">
        <f t="shared" si="317"/>
        <v>116367549.93095262</v>
      </c>
      <c r="O800" s="102">
        <f t="shared" si="317"/>
        <v>250618049.03936678</v>
      </c>
      <c r="P800" s="102">
        <f t="shared" si="317"/>
        <v>86370870.077902898</v>
      </c>
      <c r="Q800" s="102">
        <f t="shared" si="317"/>
        <v>29864384.899244361</v>
      </c>
      <c r="R800" s="102">
        <f t="shared" si="317"/>
        <v>26123992.44827177</v>
      </c>
      <c r="S800" s="102">
        <f t="shared" si="317"/>
        <v>29624.691924233273</v>
      </c>
      <c r="T800" s="102">
        <f t="shared" si="317"/>
        <v>156362.9228673428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v>94389823</v>
      </c>
      <c r="G801" s="100">
        <f>36998263+1799</f>
        <v>37000062</v>
      </c>
      <c r="H801" s="100">
        <v>12094455</v>
      </c>
      <c r="I801" s="100"/>
      <c r="J801" s="100">
        <v>777151</v>
      </c>
      <c r="K801" s="100"/>
      <c r="L801" s="100">
        <v>9478307</v>
      </c>
      <c r="M801" s="100">
        <v>705851</v>
      </c>
      <c r="N801" s="100">
        <v>6865949</v>
      </c>
      <c r="O801" s="100">
        <v>17335551</v>
      </c>
      <c r="P801" s="100">
        <v>6022823</v>
      </c>
      <c r="Q801" s="100">
        <v>2235015</v>
      </c>
      <c r="R801" s="100">
        <v>1866484</v>
      </c>
      <c r="S801" s="100">
        <v>0</v>
      </c>
      <c r="T801" s="100">
        <v>8175</v>
      </c>
      <c r="U801" s="259"/>
      <c r="V801" s="102">
        <f>SUM(G801:T801)</f>
        <v>94389823</v>
      </c>
      <c r="W801" s="98" t="str">
        <f>IF(ABS(F801-V801)&lt;0.01,"ok","err")</f>
        <v>ok</v>
      </c>
    </row>
    <row r="802" spans="1:23" ht="12" customHeight="1" x14ac:dyDescent="0.25">
      <c r="A802" s="97" t="s">
        <v>2438</v>
      </c>
      <c r="E802" s="259" t="s">
        <v>582</v>
      </c>
      <c r="F802" s="100">
        <v>8688375</v>
      </c>
      <c r="G802" s="100">
        <f t="shared" ref="G802:T803" si="318">IF(VLOOKUP($E802,$D$5:$AJ$952,3,)=0,0,(VLOOKUP($E802,$D$5:$AJ$952,G$1,)/VLOOKUP($E802,$D$5:$AJ$952,3,))*$F802)</f>
        <v>3556604.6058128844</v>
      </c>
      <c r="H802" s="100">
        <f t="shared" si="318"/>
        <v>987195.00656438351</v>
      </c>
      <c r="I802" s="100">
        <f t="shared" si="318"/>
        <v>0</v>
      </c>
      <c r="J802" s="100">
        <f t="shared" si="318"/>
        <v>74336.129719402728</v>
      </c>
      <c r="K802" s="100">
        <f t="shared" si="318"/>
        <v>0</v>
      </c>
      <c r="L802" s="100">
        <f t="shared" si="318"/>
        <v>992288.657729208</v>
      </c>
      <c r="M802" s="100">
        <f t="shared" si="318"/>
        <v>73067.096625725346</v>
      </c>
      <c r="N802" s="100">
        <f t="shared" si="318"/>
        <v>724640.20100446558</v>
      </c>
      <c r="O802" s="100">
        <f t="shared" si="318"/>
        <v>1584840.5750927015</v>
      </c>
      <c r="P802" s="100">
        <f t="shared" si="318"/>
        <v>551017.57513102808</v>
      </c>
      <c r="Q802" s="100">
        <f t="shared" si="318"/>
        <v>143940.93956105405</v>
      </c>
      <c r="R802" s="100">
        <f t="shared" si="318"/>
        <v>0</v>
      </c>
      <c r="S802" s="100">
        <f t="shared" si="318"/>
        <v>0</v>
      </c>
      <c r="T802" s="100">
        <f t="shared" si="318"/>
        <v>444.21275914500563</v>
      </c>
      <c r="U802" s="100"/>
      <c r="V802" s="102">
        <f>SUM(G802:T802)</f>
        <v>8688374.9999999981</v>
      </c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2230</v>
      </c>
      <c r="F803" s="100">
        <v>19720</v>
      </c>
      <c r="G803" s="100">
        <f t="shared" si="318"/>
        <v>18400.728721546326</v>
      </c>
      <c r="H803" s="100">
        <f t="shared" si="318"/>
        <v>1280.2771944444455</v>
      </c>
      <c r="I803" s="100">
        <f t="shared" si="318"/>
        <v>0</v>
      </c>
      <c r="J803" s="100">
        <f t="shared" si="318"/>
        <v>7.9772672995770479</v>
      </c>
      <c r="K803" s="100">
        <f t="shared" si="318"/>
        <v>0</v>
      </c>
      <c r="L803" s="100">
        <f t="shared" si="318"/>
        <v>12.49009501926276</v>
      </c>
      <c r="M803" s="100">
        <f t="shared" si="318"/>
        <v>0.47848570695994946</v>
      </c>
      <c r="N803" s="100">
        <f t="shared" si="318"/>
        <v>9.1840993389111567</v>
      </c>
      <c r="O803" s="100">
        <f t="shared" si="318"/>
        <v>4.1074055272283623</v>
      </c>
      <c r="P803" s="100">
        <f t="shared" si="318"/>
        <v>0.44564978595606092</v>
      </c>
      <c r="Q803" s="100">
        <f t="shared" si="318"/>
        <v>0</v>
      </c>
      <c r="R803" s="100">
        <f t="shared" si="318"/>
        <v>4.3110813313328897</v>
      </c>
      <c r="S803" s="100">
        <f t="shared" si="318"/>
        <v>0</v>
      </c>
      <c r="T803" s="100">
        <f t="shared" si="318"/>
        <v>0</v>
      </c>
      <c r="U803" s="100"/>
      <c r="V803" s="102">
        <f>SUM(G803:T803)</f>
        <v>19720.000000000007</v>
      </c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1588425357.9408753</v>
      </c>
      <c r="G806" s="100">
        <f t="shared" si="319"/>
        <v>617523138.22296762</v>
      </c>
      <c r="H806" s="100">
        <f t="shared" si="319"/>
        <v>212346353.31928772</v>
      </c>
      <c r="I806" s="100">
        <f t="shared" si="319"/>
        <v>0</v>
      </c>
      <c r="J806" s="100">
        <f t="shared" si="319"/>
        <v>12825796.309785364</v>
      </c>
      <c r="K806" s="100">
        <f t="shared" si="319"/>
        <v>0</v>
      </c>
      <c r="L806" s="100">
        <f t="shared" si="319"/>
        <v>184185813.00296831</v>
      </c>
      <c r="M806" s="100">
        <f t="shared" si="319"/>
        <v>14674524.523551712</v>
      </c>
      <c r="N806" s="100">
        <f t="shared" si="319"/>
        <v>123958148.31605642</v>
      </c>
      <c r="O806" s="100">
        <f t="shared" si="319"/>
        <v>269538444.721865</v>
      </c>
      <c r="P806" s="100">
        <f t="shared" si="319"/>
        <v>92944711.098683715</v>
      </c>
      <c r="Q806" s="100">
        <f t="shared" si="319"/>
        <v>32243340.838805415</v>
      </c>
      <c r="R806" s="100">
        <f t="shared" si="319"/>
        <v>27990480.759353101</v>
      </c>
      <c r="S806" s="100">
        <f t="shared" si="319"/>
        <v>29624.691924233273</v>
      </c>
      <c r="T806" s="100">
        <f t="shared" si="319"/>
        <v>164982.13562648781</v>
      </c>
      <c r="U806" s="100"/>
      <c r="V806" s="100">
        <f>SUM(V800:V805)</f>
        <v>1588425357.9400001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1283819684.7187505</v>
      </c>
      <c r="G811" s="100">
        <f t="shared" si="320"/>
        <v>511761071.09090668</v>
      </c>
      <c r="H811" s="100">
        <f t="shared" si="320"/>
        <v>160975707.94150111</v>
      </c>
      <c r="I811" s="100">
        <f t="shared" si="320"/>
        <v>0</v>
      </c>
      <c r="J811" s="100">
        <f t="shared" si="320"/>
        <v>10416804.556653442</v>
      </c>
      <c r="K811" s="100">
        <f t="shared" si="320"/>
        <v>0</v>
      </c>
      <c r="L811" s="100">
        <f t="shared" si="320"/>
        <v>142135131.60677165</v>
      </c>
      <c r="M811" s="100">
        <f t="shared" si="320"/>
        <v>11125663.269262597</v>
      </c>
      <c r="N811" s="100">
        <f t="shared" si="320"/>
        <v>100867010.7581795</v>
      </c>
      <c r="O811" s="100">
        <f t="shared" si="320"/>
        <v>224760229.39221784</v>
      </c>
      <c r="P811" s="100">
        <f t="shared" si="320"/>
        <v>77386478.95242697</v>
      </c>
      <c r="Q811" s="100">
        <f t="shared" si="320"/>
        <v>26385921.906142429</v>
      </c>
      <c r="R811" s="100">
        <f t="shared" si="320"/>
        <v>17854042.977277666</v>
      </c>
      <c r="S811" s="100">
        <f t="shared" si="320"/>
        <v>22610.975639785425</v>
      </c>
      <c r="T811" s="100">
        <f t="shared" si="320"/>
        <v>129010.71005005603</v>
      </c>
      <c r="U811" s="100">
        <f t="shared" si="320"/>
        <v>0</v>
      </c>
      <c r="V811" s="102">
        <f>SUM(G811:T811)</f>
        <v>1283819684.1370299</v>
      </c>
      <c r="W811" s="260" t="str">
        <f>IF(ABS(F811-V811)&lt;0.01,"ok","err")</f>
        <v>err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-352879.10579077801</v>
      </c>
      <c r="H813" s="100">
        <f t="shared" si="321"/>
        <v>-153174.11363060167</v>
      </c>
      <c r="I813" s="100">
        <f t="shared" si="321"/>
        <v>0</v>
      </c>
      <c r="J813" s="100">
        <f t="shared" si="321"/>
        <v>-8172.4231749146184</v>
      </c>
      <c r="K813" s="100">
        <f t="shared" si="321"/>
        <v>0</v>
      </c>
      <c r="L813" s="100">
        <f t="shared" si="321"/>
        <v>-132877.33620841091</v>
      </c>
      <c r="M813" s="100">
        <f t="shared" si="321"/>
        <v>-11054.814368993537</v>
      </c>
      <c r="N813" s="100">
        <f t="shared" si="321"/>
        <v>-80525.766658321343</v>
      </c>
      <c r="O813" s="100">
        <f t="shared" si="321"/>
        <v>-162825.21024131944</v>
      </c>
      <c r="P813" s="100">
        <f t="shared" si="321"/>
        <v>-56645.578801812837</v>
      </c>
      <c r="Q813" s="100">
        <f t="shared" si="321"/>
        <v>-20548.095458007068</v>
      </c>
      <c r="R813" s="100">
        <f t="shared" si="321"/>
        <v>-23935.889477986275</v>
      </c>
      <c r="S813" s="100">
        <f t="shared" si="321"/>
        <v>-26.390659099161383</v>
      </c>
      <c r="T813" s="100">
        <f t="shared" si="321"/>
        <v>-119.27634814559315</v>
      </c>
      <c r="U813" s="100">
        <f t="shared" si="321"/>
        <v>0</v>
      </c>
      <c r="V813" s="102">
        <f>SUM(G813:T813)</f>
        <v>-1002784.0008183905</v>
      </c>
      <c r="W813" s="260" t="str">
        <f>IF(ABS(F813-V813)&lt;0.01,"ok","err")</f>
        <v>ok</v>
      </c>
    </row>
    <row r="814" spans="1:23" ht="12" customHeight="1" x14ac:dyDescent="0.25">
      <c r="A814" s="97" t="s">
        <v>2333</v>
      </c>
      <c r="E814" s="259" t="s">
        <v>517</v>
      </c>
      <c r="F814" s="100">
        <v>362905</v>
      </c>
      <c r="G814" s="100">
        <f t="shared" ref="G814:T815" si="322">IF(VLOOKUP($E814,$D$5:$AJ$952,3,)=0,0,(VLOOKUP($E814,$D$5:$AJ$952,G$1,)/VLOOKUP($E814,$D$5:$AJ$952,3,))*$F814)</f>
        <v>226685.47879299489</v>
      </c>
      <c r="H814" s="100">
        <f t="shared" si="322"/>
        <v>43862.298416690595</v>
      </c>
      <c r="I814" s="100">
        <f t="shared" si="322"/>
        <v>0</v>
      </c>
      <c r="J814" s="100">
        <f t="shared" si="322"/>
        <v>312.14034683120553</v>
      </c>
      <c r="K814" s="100">
        <f t="shared" si="322"/>
        <v>0</v>
      </c>
      <c r="L814" s="100">
        <f t="shared" si="322"/>
        <v>2370.2664110976702</v>
      </c>
      <c r="M814" s="100">
        <f t="shared" si="322"/>
        <v>91.062866782122356</v>
      </c>
      <c r="N814" s="100">
        <f t="shared" si="322"/>
        <v>325.29972064365097</v>
      </c>
      <c r="O814" s="100">
        <f t="shared" si="322"/>
        <v>145.80586184189534</v>
      </c>
      <c r="P814" s="100">
        <f t="shared" si="322"/>
        <v>15.791248574934512</v>
      </c>
      <c r="Q814" s="100">
        <f t="shared" si="322"/>
        <v>0.52637495249781707</v>
      </c>
      <c r="R814" s="100">
        <f t="shared" si="322"/>
        <v>88685.757496642211</v>
      </c>
      <c r="S814" s="100">
        <f t="shared" si="322"/>
        <v>2.1054998099912683</v>
      </c>
      <c r="T814" s="100">
        <f t="shared" si="322"/>
        <v>408.46696313830608</v>
      </c>
      <c r="U814" s="100"/>
      <c r="V814" s="102">
        <f>SUM(G814:T814)</f>
        <v>362905.00000000006</v>
      </c>
      <c r="W814" s="98" t="str">
        <f>IF(ABS(F814-V814)&lt;0.01,"ok","err")</f>
        <v>ok</v>
      </c>
    </row>
    <row r="815" spans="1:23" ht="12" customHeight="1" x14ac:dyDescent="0.25">
      <c r="A815" s="97" t="s">
        <v>2334</v>
      </c>
      <c r="E815" s="259" t="s">
        <v>516</v>
      </c>
      <c r="F815" s="100">
        <v>200113</v>
      </c>
      <c r="G815" s="100">
        <f t="shared" si="322"/>
        <v>75774.75635822113</v>
      </c>
      <c r="H815" s="100">
        <f t="shared" si="322"/>
        <v>27087.398953279848</v>
      </c>
      <c r="I815" s="100">
        <f t="shared" si="322"/>
        <v>0</v>
      </c>
      <c r="J815" s="100">
        <f t="shared" si="322"/>
        <v>1644.9139637119567</v>
      </c>
      <c r="K815" s="100">
        <f t="shared" si="322"/>
        <v>0</v>
      </c>
      <c r="L815" s="100">
        <f t="shared" si="322"/>
        <v>23838.759357959501</v>
      </c>
      <c r="M815" s="100">
        <f t="shared" si="322"/>
        <v>1906.2666380770822</v>
      </c>
      <c r="N815" s="100">
        <f t="shared" si="322"/>
        <v>15970.891954345663</v>
      </c>
      <c r="O815" s="100">
        <f t="shared" si="322"/>
        <v>34374.31354726624</v>
      </c>
      <c r="P815" s="100">
        <f t="shared" si="322"/>
        <v>11848.562718467791</v>
      </c>
      <c r="Q815" s="100">
        <f t="shared" si="322"/>
        <v>4084.5639616337917</v>
      </c>
      <c r="R815" s="100">
        <f t="shared" si="322"/>
        <v>3557.1593041795172</v>
      </c>
      <c r="S815" s="100">
        <f t="shared" si="322"/>
        <v>4.0268857578138553</v>
      </c>
      <c r="T815" s="100">
        <f t="shared" si="322"/>
        <v>21.386357099659385</v>
      </c>
      <c r="U815" s="100"/>
      <c r="V815" s="102">
        <f>SUM(G815:T815)</f>
        <v>200112.99999999997</v>
      </c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3">SUM(F801:F804)*$E$817</f>
        <v>39751941.689718261</v>
      </c>
      <c r="G817" s="100">
        <f t="shared" si="323"/>
        <v>15644716.615313265</v>
      </c>
      <c r="H817" s="100">
        <f t="shared" si="323"/>
        <v>5044446.0165590355</v>
      </c>
      <c r="I817" s="100">
        <f t="shared" si="323"/>
        <v>0</v>
      </c>
      <c r="J817" s="100">
        <f t="shared" si="323"/>
        <v>328314.91167470324</v>
      </c>
      <c r="K817" s="100">
        <f t="shared" si="323"/>
        <v>0</v>
      </c>
      <c r="L817" s="100">
        <f t="shared" si="323"/>
        <v>4037200.8729429203</v>
      </c>
      <c r="M817" s="100">
        <f t="shared" si="323"/>
        <v>300331.2421776363</v>
      </c>
      <c r="N817" s="100">
        <f t="shared" si="323"/>
        <v>2926742.1714055957</v>
      </c>
      <c r="O817" s="100">
        <f t="shared" si="323"/>
        <v>7295224.5836532488</v>
      </c>
      <c r="P817" s="100">
        <f t="shared" si="323"/>
        <v>2534706.3258402254</v>
      </c>
      <c r="Q817" s="100">
        <f t="shared" si="323"/>
        <v>917265.05856151169</v>
      </c>
      <c r="R817" s="100">
        <f t="shared" si="323"/>
        <v>719670.54181099753</v>
      </c>
      <c r="S817" s="100">
        <f t="shared" si="323"/>
        <v>0</v>
      </c>
      <c r="T817" s="100">
        <f t="shared" si="323"/>
        <v>3323.3497791178274</v>
      </c>
      <c r="U817" s="100">
        <f>SUM(U801:U804)*0.367473</f>
        <v>0</v>
      </c>
      <c r="V817" s="102">
        <f>ROUND(SUM(G817:T817),2)</f>
        <v>39751941.689999998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1323131860.4084687</v>
      </c>
      <c r="G819" s="100">
        <f t="shared" ref="G819:T819" si="324">SUM(G811:G817)</f>
        <v>527355368.83558035</v>
      </c>
      <c r="H819" s="100">
        <f t="shared" si="324"/>
        <v>165937929.54179955</v>
      </c>
      <c r="I819" s="100">
        <f t="shared" si="324"/>
        <v>0</v>
      </c>
      <c r="J819" s="100">
        <f t="shared" si="324"/>
        <v>10738904.099463774</v>
      </c>
      <c r="K819" s="100">
        <f t="shared" si="324"/>
        <v>0</v>
      </c>
      <c r="L819" s="100">
        <f t="shared" si="324"/>
        <v>146065664.16927522</v>
      </c>
      <c r="M819" s="100">
        <f t="shared" si="324"/>
        <v>11416937.0265761</v>
      </c>
      <c r="N819" s="100">
        <f t="shared" si="324"/>
        <v>103729523.35460177</v>
      </c>
      <c r="O819" s="100">
        <f t="shared" si="324"/>
        <v>231927148.88503885</v>
      </c>
      <c r="P819" s="100">
        <f t="shared" si="324"/>
        <v>79876404.05343242</v>
      </c>
      <c r="Q819" s="100">
        <f t="shared" si="324"/>
        <v>27286723.959582515</v>
      </c>
      <c r="R819" s="100">
        <f t="shared" si="324"/>
        <v>18642020.546411499</v>
      </c>
      <c r="S819" s="100">
        <f t="shared" si="324"/>
        <v>22590.717366254066</v>
      </c>
      <c r="T819" s="100">
        <f t="shared" si="324"/>
        <v>132644.63680126623</v>
      </c>
      <c r="U819" s="100"/>
      <c r="V819" s="102">
        <f>ROUND(SUM(G819:T819),2)</f>
        <v>1323131859.8299999</v>
      </c>
      <c r="W819" s="260" t="str">
        <f>IF(ABS(F819-V819)&lt;0.01,"ok","err")</f>
        <v>err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265293497.53240657</v>
      </c>
      <c r="G821" s="100">
        <f t="shared" ref="G821:T821" si="325">G806-G819</f>
        <v>90167769.387387276</v>
      </c>
      <c r="H821" s="100">
        <f t="shared" si="325"/>
        <v>46408423.777488172</v>
      </c>
      <c r="I821" s="100">
        <f>I806-I819</f>
        <v>0</v>
      </c>
      <c r="J821" s="100">
        <f t="shared" si="325"/>
        <v>2086892.2103215903</v>
      </c>
      <c r="K821" s="100">
        <f>K806-K819</f>
        <v>0</v>
      </c>
      <c r="L821" s="100">
        <f t="shared" si="325"/>
        <v>38120148.833693087</v>
      </c>
      <c r="M821" s="100">
        <f t="shared" si="325"/>
        <v>3257587.4969756119</v>
      </c>
      <c r="N821" s="100">
        <f t="shared" si="325"/>
        <v>20228624.961454645</v>
      </c>
      <c r="O821" s="100">
        <f t="shared" si="325"/>
        <v>37611295.836826146</v>
      </c>
      <c r="P821" s="100">
        <f t="shared" si="325"/>
        <v>13068307.045251295</v>
      </c>
      <c r="Q821" s="100">
        <f t="shared" si="325"/>
        <v>4956616.8792228997</v>
      </c>
      <c r="R821" s="100">
        <f t="shared" si="325"/>
        <v>9348460.2129416019</v>
      </c>
      <c r="S821" s="100">
        <f t="shared" si="325"/>
        <v>7033.974557979207</v>
      </c>
      <c r="T821" s="100">
        <f t="shared" si="325"/>
        <v>32337.498825221584</v>
      </c>
      <c r="U821" s="100"/>
      <c r="V821" s="102">
        <f>ROUND(SUM(G821:T821),2)</f>
        <v>265293498.11000001</v>
      </c>
      <c r="W821" s="98" t="str">
        <f>IF(ABS(F821-V821)&lt;0.01,"ok","err")</f>
        <v>err</v>
      </c>
    </row>
    <row r="823" spans="1:23" ht="12" customHeight="1" x14ac:dyDescent="0.25">
      <c r="A823" s="24" t="s">
        <v>420</v>
      </c>
      <c r="F823" s="102">
        <f t="shared" ref="F823:V823" si="326">F776</f>
        <v>3639079759.3610182</v>
      </c>
      <c r="G823" s="102">
        <f t="shared" si="326"/>
        <v>1716633054.3461716</v>
      </c>
      <c r="H823" s="102">
        <f t="shared" si="326"/>
        <v>441219651.03133303</v>
      </c>
      <c r="I823" s="102">
        <f t="shared" si="326"/>
        <v>0</v>
      </c>
      <c r="J823" s="102">
        <f t="shared" si="326"/>
        <v>28182297.978403468</v>
      </c>
      <c r="K823" s="102">
        <f t="shared" si="326"/>
        <v>0</v>
      </c>
      <c r="L823" s="102">
        <f t="shared" si="326"/>
        <v>347387075.53153688</v>
      </c>
      <c r="M823" s="102">
        <f t="shared" si="326"/>
        <v>25275870.378223237</v>
      </c>
      <c r="N823" s="102">
        <f t="shared" si="326"/>
        <v>248673397.50148326</v>
      </c>
      <c r="O823" s="102">
        <f t="shared" si="326"/>
        <v>533415050.36546725</v>
      </c>
      <c r="P823" s="102">
        <f t="shared" si="326"/>
        <v>170797076.92138174</v>
      </c>
      <c r="Q823" s="102">
        <f t="shared" si="326"/>
        <v>45005985.731704071</v>
      </c>
      <c r="R823" s="102">
        <f t="shared" si="326"/>
        <v>82196367.310438812</v>
      </c>
      <c r="S823" s="102">
        <f t="shared" si="326"/>
        <v>15193.548301309937</v>
      </c>
      <c r="T823" s="102">
        <f t="shared" si="326"/>
        <v>278738.71657262801</v>
      </c>
      <c r="U823" s="102">
        <f t="shared" si="326"/>
        <v>0</v>
      </c>
      <c r="V823" s="102">
        <f t="shared" si="326"/>
        <v>3639079759.3610182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7">F821/F823</f>
        <v>7.2901259404929655E-2</v>
      </c>
      <c r="G825" s="232">
        <f t="shared" si="327"/>
        <v>5.2525942663809548E-2</v>
      </c>
      <c r="H825" s="232">
        <f t="shared" si="327"/>
        <v>0.10518213245717947</v>
      </c>
      <c r="I825" s="232" t="e">
        <f>I821/I823</f>
        <v>#DIV/0!</v>
      </c>
      <c r="J825" s="232">
        <f t="shared" si="327"/>
        <v>7.40497532146175E-2</v>
      </c>
      <c r="K825" s="232" t="e">
        <f>K821/K823</f>
        <v>#DIV/0!</v>
      </c>
      <c r="L825" s="232">
        <f t="shared" si="327"/>
        <v>0.10973392943697015</v>
      </c>
      <c r="M825" s="232">
        <f t="shared" si="327"/>
        <v>0.12888131835737809</v>
      </c>
      <c r="N825" s="232">
        <f t="shared" si="327"/>
        <v>8.1346155900467745E-2</v>
      </c>
      <c r="O825" s="232">
        <f t="shared" si="327"/>
        <v>7.0510376134038419E-2</v>
      </c>
      <c r="P825" s="232">
        <f t="shared" si="327"/>
        <v>7.6513645788368292E-2</v>
      </c>
      <c r="Q825" s="232">
        <f>Q821/Q823</f>
        <v>0.11013239236156214</v>
      </c>
      <c r="R825" s="232">
        <f>R821/R823</f>
        <v>0.1137332526829852</v>
      </c>
      <c r="S825" s="232">
        <f>S821/S823</f>
        <v>0.4629579883833167</v>
      </c>
      <c r="T825" s="232">
        <f>T821/T823</f>
        <v>0.11601366047330473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8">IF(VLOOKUP($E833,$D$5:$AJ$945,3,)=0,0,(VLOOKUP($E833,$D$5:$AJ$945,G$1,)/VLOOKUP($E833,$D$5:$AJ$945,3,))*$F833)</f>
        <v>0.33594300556396001</v>
      </c>
      <c r="H833" s="118">
        <f t="shared" si="328"/>
        <v>9.9525121824362031E-2</v>
      </c>
      <c r="I833" s="118">
        <f t="shared" si="328"/>
        <v>0</v>
      </c>
      <c r="J833" s="118">
        <f t="shared" si="328"/>
        <v>8.3748731797780151E-3</v>
      </c>
      <c r="K833" s="118">
        <f t="shared" si="328"/>
        <v>0</v>
      </c>
      <c r="L833" s="118">
        <f t="shared" si="328"/>
        <v>0.11838097751537099</v>
      </c>
      <c r="M833" s="118">
        <f t="shared" si="328"/>
        <v>9.1354123048661435E-3</v>
      </c>
      <c r="N833" s="118">
        <f t="shared" si="328"/>
        <v>9.2159998131657095E-2</v>
      </c>
      <c r="O833" s="118">
        <f t="shared" si="328"/>
        <v>0.22153374839300388</v>
      </c>
      <c r="P833" s="118">
        <f t="shared" si="328"/>
        <v>7.8895628353916614E-2</v>
      </c>
      <c r="Q833" s="118">
        <f t="shared" si="328"/>
        <v>2.9126237153218538E-2</v>
      </c>
      <c r="R833" s="118">
        <f t="shared" si="328"/>
        <v>6.8182386460638039E-3</v>
      </c>
      <c r="S833" s="118">
        <f t="shared" si="328"/>
        <v>2.4635895468511432E-5</v>
      </c>
      <c r="T833" s="118">
        <f t="shared" si="328"/>
        <v>8.212303833418759E-5</v>
      </c>
      <c r="U833" s="118"/>
      <c r="V833" s="118">
        <f>SUM(G833:T833)</f>
        <v>0.99999999999999978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9">IF(VLOOKUP($E836,$D$5:$AJ$945,3,)=0,0,(VLOOKUP($E836,$D$5:$AJ$945,G$1,)/VLOOKUP($E836,$D$5:$AJ$945,3,))*$F836)</f>
        <v>0.79905504220417012</v>
      </c>
      <c r="H836" s="117">
        <f t="shared" si="329"/>
        <v>0.15461242113583362</v>
      </c>
      <c r="I836" s="117">
        <f t="shared" si="329"/>
        <v>0</v>
      </c>
      <c r="J836" s="117">
        <f t="shared" si="329"/>
        <v>1.1002792033211648E-3</v>
      </c>
      <c r="K836" s="117">
        <f t="shared" si="329"/>
        <v>0</v>
      </c>
      <c r="L836" s="117">
        <f t="shared" si="329"/>
        <v>8.3550712522010209E-3</v>
      </c>
      <c r="M836" s="117">
        <f t="shared" si="329"/>
        <v>3.2099207786603966E-4</v>
      </c>
      <c r="N836" s="117">
        <f t="shared" si="329"/>
        <v>1.1466653417411127E-3</v>
      </c>
      <c r="O836" s="117">
        <f t="shared" si="329"/>
        <v>5.13958413693023E-4</v>
      </c>
      <c r="P836" s="117">
        <f t="shared" si="329"/>
        <v>0</v>
      </c>
      <c r="Q836" s="117">
        <f t="shared" si="329"/>
        <v>0</v>
      </c>
      <c r="R836" s="117">
        <f t="shared" si="329"/>
        <v>3.4734765091317808E-2</v>
      </c>
      <c r="S836" s="117">
        <f t="shared" si="329"/>
        <v>8.2464246079907413E-7</v>
      </c>
      <c r="T836" s="117">
        <f t="shared" si="329"/>
        <v>1.5998063739502041E-4</v>
      </c>
      <c r="U836" s="117"/>
      <c r="V836" s="117">
        <f t="shared" ref="V836:V841" si="330">SUM(G836:T836)</f>
        <v>0.99999999999999967</v>
      </c>
      <c r="W836" s="98" t="str">
        <f>IF(ABS(F836-V836)&lt;0.01,"ok","err")</f>
        <v>ok</v>
      </c>
      <c r="X836" s="102" t="str">
        <f t="shared" ref="X836:X841" si="331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0.7013044355841298</v>
      </c>
      <c r="H837" s="118">
        <f>Services!F12+Services!F14</f>
        <v>0.27471752752919298</v>
      </c>
      <c r="I837" s="118">
        <v>0</v>
      </c>
      <c r="J837" s="118">
        <f>Services!F16+Services!F18</f>
        <v>2.6016993089106434E-3</v>
      </c>
      <c r="K837" s="118">
        <v>0</v>
      </c>
      <c r="L837" s="118">
        <f>Services!F20</f>
        <v>1.8664619795691735E-2</v>
      </c>
      <c r="M837" s="118">
        <f>Services!F22</f>
        <v>0</v>
      </c>
      <c r="N837" s="118">
        <f>Services!F24</f>
        <v>2.7117177820747494E-3</v>
      </c>
      <c r="O837" s="118">
        <f>Services!F26</f>
        <v>0</v>
      </c>
      <c r="P837" s="118">
        <f>Services!F28</f>
        <v>0</v>
      </c>
      <c r="Q837" s="118">
        <f>Services!F30</f>
        <v>0</v>
      </c>
      <c r="R837" s="118">
        <f>Services!F32</f>
        <v>0</v>
      </c>
      <c r="S837" s="118">
        <f>Services!F34</f>
        <v>0</v>
      </c>
      <c r="T837" s="118">
        <f>Services!F36</f>
        <v>0</v>
      </c>
      <c r="U837" s="118"/>
      <c r="V837" s="117">
        <f t="shared" si="330"/>
        <v>1</v>
      </c>
      <c r="W837" s="98" t="str">
        <f>IF(ABS(F837-V837)&lt;0.01,"ok","err")</f>
        <v>ok</v>
      </c>
      <c r="X837" s="102" t="str">
        <f t="shared" si="331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0.62144936543786311</v>
      </c>
      <c r="H838" s="118">
        <f>Meters!$F$12+Meters!$F$14</f>
        <v>0.23162575775624267</v>
      </c>
      <c r="I838" s="118">
        <v>0</v>
      </c>
      <c r="J838" s="118">
        <f>Meters!$F$16+Meters!$F$18</f>
        <v>4.9131537808948618E-3</v>
      </c>
      <c r="K838" s="118">
        <v>0</v>
      </c>
      <c r="L838" s="118">
        <f>Meters!$F$20</f>
        <v>6.2782068314748418E-2</v>
      </c>
      <c r="M838" s="118">
        <f>Meters!$F$22</f>
        <v>1.3842125125717716E-2</v>
      </c>
      <c r="N838" s="118">
        <f>Meters!$F$24</f>
        <v>1.1643112116332852E-2</v>
      </c>
      <c r="O838" s="118">
        <f>Meters!$F$26</f>
        <v>3.075547924135584E-2</v>
      </c>
      <c r="P838" s="118">
        <f>Meters!$F$28</f>
        <v>2.0975591195930589E-2</v>
      </c>
      <c r="Q838" s="118">
        <f>Meters!$F$30</f>
        <v>8.877791331425005E-4</v>
      </c>
      <c r="R838" s="118">
        <f>Meters!$F$32</f>
        <v>0</v>
      </c>
      <c r="S838" s="118">
        <f>Meters!$F$34</f>
        <v>5.772143065494824E-6</v>
      </c>
      <c r="T838" s="118">
        <f>Meters!$F$36</f>
        <v>1.1197957547059959E-3</v>
      </c>
      <c r="U838" s="118">
        <v>0</v>
      </c>
      <c r="V838" s="117">
        <f t="shared" si="330"/>
        <v>1</v>
      </c>
      <c r="W838" s="98" t="str">
        <f>IF(ABS(F838-V838)&lt;0.01,"ok","err")</f>
        <v>ok</v>
      </c>
      <c r="X838" s="102" t="str">
        <f t="shared" si="331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2">IF(VLOOKUP($E839,$D$5:$AJ$945,3,)=0,0,(VLOOKUP($E839,$D$5:$AJ$945,G$1,)/VLOOKUP($E839,$D$5:$AJ$945,3,))*$F839)</f>
        <v>0</v>
      </c>
      <c r="H839" s="117">
        <f t="shared" si="332"/>
        <v>0</v>
      </c>
      <c r="I839" s="117">
        <f t="shared" si="332"/>
        <v>0</v>
      </c>
      <c r="J839" s="117">
        <f t="shared" si="332"/>
        <v>0</v>
      </c>
      <c r="K839" s="117">
        <f t="shared" si="332"/>
        <v>0</v>
      </c>
      <c r="L839" s="117">
        <f t="shared" si="332"/>
        <v>0</v>
      </c>
      <c r="M839" s="117">
        <f t="shared" si="332"/>
        <v>0</v>
      </c>
      <c r="N839" s="117">
        <f t="shared" si="332"/>
        <v>0</v>
      </c>
      <c r="O839" s="117">
        <f t="shared" si="332"/>
        <v>0</v>
      </c>
      <c r="P839" s="117">
        <f t="shared" si="332"/>
        <v>0</v>
      </c>
      <c r="Q839" s="117">
        <v>0</v>
      </c>
      <c r="R839" s="117">
        <v>1</v>
      </c>
      <c r="S839" s="117">
        <f>IF(VLOOKUP($E839,$D$5:$AJ$945,3,)=0,0,(VLOOKUP($E839,$D$5:$AJ$945,S$1,)/VLOOKUP($E839,$D$5:$AJ$945,3,))*$F839)</f>
        <v>0</v>
      </c>
      <c r="T839" s="117">
        <f>IF(VLOOKUP($E839,$D$5:$AJ$945,3,)=0,0,(VLOOKUP($E839,$D$5:$AJ$945,T$1,)/VLOOKUP($E839,$D$5:$AJ$945,3,))*$F839)</f>
        <v>0</v>
      </c>
      <c r="U839" s="117"/>
      <c r="V839" s="117">
        <f t="shared" si="330"/>
        <v>1</v>
      </c>
      <c r="W839" s="98" t="str">
        <f>IF(ABS(F839-V839)&lt;0.01,"ok","err")</f>
        <v>ok</v>
      </c>
      <c r="X839" s="102" t="str">
        <f t="shared" si="331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2"/>
        <v>0.64425471947915558</v>
      </c>
      <c r="H840" s="117">
        <f t="shared" si="332"/>
        <v>0.24931894987381312</v>
      </c>
      <c r="I840" s="117">
        <f t="shared" si="332"/>
        <v>0</v>
      </c>
      <c r="J840" s="117">
        <f t="shared" si="332"/>
        <v>8.8712295404463747E-3</v>
      </c>
      <c r="K840" s="117">
        <f t="shared" si="332"/>
        <v>0</v>
      </c>
      <c r="L840" s="117">
        <f t="shared" si="332"/>
        <v>3.3682248415371013E-2</v>
      </c>
      <c r="M840" s="117">
        <f t="shared" si="332"/>
        <v>1.2940326395423462E-3</v>
      </c>
      <c r="N840" s="117">
        <f t="shared" si="332"/>
        <v>2.3113068532866186E-2</v>
      </c>
      <c r="O840" s="117">
        <f t="shared" si="332"/>
        <v>1.0359741073792773E-2</v>
      </c>
      <c r="P840" s="117">
        <f t="shared" si="332"/>
        <v>8.9759489448024024E-4</v>
      </c>
      <c r="Q840" s="117">
        <f>IF(VLOOKUP($E840,$D$5:$AJ$945,3,)=0,0,(VLOOKUP($E840,$D$5:$AJ$945,Q$1,)/VLOOKUP($E840,$D$5:$AJ$945,3,))*$F840)</f>
        <v>7.4799574540020011E-5</v>
      </c>
      <c r="R840" s="117">
        <f>IF(VLOOKUP($E840,$D$5:$AJ$945,3,)=0,0,(VLOOKUP($E840,$D$5:$AJ$945,R$1,)/VLOOKUP($E840,$D$5:$AJ$945,3,))*$F840)</f>
        <v>2.8004960707783494E-2</v>
      </c>
      <c r="S840" s="117">
        <f>IF(VLOOKUP($E840,$D$5:$AJ$945,3,)=0,0,(VLOOKUP($E840,$D$5:$AJ$945,S$1,)/VLOOKUP($E840,$D$5:$AJ$945,3,))*$F840)</f>
        <v>0</v>
      </c>
      <c r="T840" s="117">
        <f>IF(VLOOKUP($E840,$D$5:$AJ$945,3,)=0,0,(VLOOKUP($E840,$D$5:$AJ$945,T$1,)/VLOOKUP($E840,$D$5:$AJ$945,3,))*$F840)</f>
        <v>1.2865526820883444E-4</v>
      </c>
      <c r="U840" s="117"/>
      <c r="V840" s="117">
        <f t="shared" si="330"/>
        <v>1</v>
      </c>
      <c r="W840" s="98" t="str">
        <f>IF(ABS(F840-V840)&lt;0.01,"ok","err")</f>
        <v>ok</v>
      </c>
      <c r="X840" s="102" t="str">
        <f t="shared" si="331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3">IF(VLOOKUP($E841,$D$5:$AJ$945,3,)=0,0,ROUND((VLOOKUP($E841,$D$5:$AJ$945,G$1,)/VLOOKUP($E841,$D$5:$AJ$945,3,))*$F841,10))</f>
        <v>0.7990107313</v>
      </c>
      <c r="H841" s="117">
        <f t="shared" si="333"/>
        <v>0.15460384720000001</v>
      </c>
      <c r="I841" s="117">
        <f t="shared" si="333"/>
        <v>0</v>
      </c>
      <c r="J841" s="117">
        <f t="shared" si="333"/>
        <v>1.1002182000000001E-3</v>
      </c>
      <c r="K841" s="117">
        <f t="shared" si="333"/>
        <v>0</v>
      </c>
      <c r="L841" s="117">
        <f t="shared" si="333"/>
        <v>8.3546078999999999E-3</v>
      </c>
      <c r="M841" s="117">
        <f t="shared" si="333"/>
        <v>3.2097430000000001E-4</v>
      </c>
      <c r="N841" s="117">
        <f t="shared" si="333"/>
        <v>1.1466018E-3</v>
      </c>
      <c r="O841" s="117">
        <f t="shared" si="333"/>
        <v>5.1392989999999997E-4</v>
      </c>
      <c r="P841" s="117">
        <f t="shared" si="333"/>
        <v>5.56603E-5</v>
      </c>
      <c r="Q841" s="117">
        <f t="shared" si="333"/>
        <v>1.8553E-6</v>
      </c>
      <c r="R841" s="117">
        <f t="shared" si="333"/>
        <v>3.4732014300000003E-2</v>
      </c>
      <c r="S841" s="117">
        <f t="shared" si="333"/>
        <v>0</v>
      </c>
      <c r="T841" s="117">
        <f t="shared" si="333"/>
        <v>1.5955949999999999E-4</v>
      </c>
      <c r="U841" s="117"/>
      <c r="V841" s="117">
        <f t="shared" si="330"/>
        <v>0.99999999999999989</v>
      </c>
      <c r="W841" s="98" t="str">
        <f>IF(ABS(F841-V841)&lt;0.000000001,"ok","err")</f>
        <v>ok</v>
      </c>
      <c r="X841" s="264" t="str">
        <f t="shared" si="331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Det'!D38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v>0</v>
      </c>
      <c r="J843" s="101">
        <f>'Billing Det'!D14+'Billing Det'!D16</f>
        <v>12037991</v>
      </c>
      <c r="K843" s="101">
        <v>0</v>
      </c>
      <c r="L843" s="101">
        <f>'Billing Det'!D18</f>
        <v>174459441</v>
      </c>
      <c r="M843" s="101">
        <f>'Billing Det'!D20</f>
        <v>13950651</v>
      </c>
      <c r="N843" s="101">
        <f>'Billing Det'!D22</f>
        <v>116879945</v>
      </c>
      <c r="O843" s="101">
        <f>'Billing Det'!D24</f>
        <v>251561897</v>
      </c>
      <c r="P843" s="101">
        <f>'Billing Det'!D28</f>
        <v>86711460</v>
      </c>
      <c r="Q843" s="101">
        <f>'Billing Det'!D30</f>
        <v>29892107</v>
      </c>
      <c r="R843" s="101">
        <f>'Billing Det'!D32</f>
        <v>26032396</v>
      </c>
      <c r="S843" s="101">
        <f>'Billing Det'!D34</f>
        <v>29470</v>
      </c>
      <c r="T843" s="101">
        <f>'Billing Det'!D36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2" t="str">
        <f>IF(W843="err",V843-F843,"")</f>
        <v/>
      </c>
    </row>
    <row r="844" spans="1:24" ht="12" customHeight="1" x14ac:dyDescent="0.25">
      <c r="A844" s="97" t="s">
        <v>1941</v>
      </c>
      <c r="F844" s="101">
        <v>18329917453.787018</v>
      </c>
      <c r="G844" s="101">
        <f>'Billing Det'!C8</f>
        <v>6091631440</v>
      </c>
      <c r="H844" s="101">
        <f>'Billing Det'!C10+'Billing Det'!C12</f>
        <v>1804682196.485518</v>
      </c>
      <c r="I844" s="101">
        <v>0</v>
      </c>
      <c r="J844" s="101">
        <f>'Billing Det'!C14+'Billing Det'!C16</f>
        <v>151861000</v>
      </c>
      <c r="K844" s="101">
        <v>0</v>
      </c>
      <c r="L844" s="101">
        <f>'Billing Det'!C18</f>
        <v>2146594132.2992384</v>
      </c>
      <c r="M844" s="101">
        <f>'Billing Det'!C20</f>
        <v>169814470.8207581</v>
      </c>
      <c r="N844" s="101">
        <f>'Billing Det'!C22</f>
        <v>1671130914.5630004</v>
      </c>
      <c r="O844" s="101">
        <f>'Billing Det'!C24</f>
        <v>4118000917.4033823</v>
      </c>
      <c r="P844" s="101">
        <f>'Billing Det'!C28</f>
        <v>1497714279.3066747</v>
      </c>
      <c r="Q844" s="101">
        <f>'Billing Det'!C30</f>
        <v>552917597.55256987</v>
      </c>
      <c r="R844" s="101">
        <f>'Billing Det'!C32</f>
        <v>123634652.94376437</v>
      </c>
      <c r="S844" s="101">
        <f>'Billing Det'!C34</f>
        <v>446721</v>
      </c>
      <c r="T844" s="101">
        <f>'Billing Det'!C36</f>
        <v>1489131.4121127534</v>
      </c>
      <c r="U844" s="101"/>
      <c r="V844" s="101">
        <f>SUM(G844:T844)</f>
        <v>18329917453.787018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1940</v>
      </c>
      <c r="D845" s="97" t="s">
        <v>110</v>
      </c>
      <c r="F845" s="116">
        <v>19414689070.637196</v>
      </c>
      <c r="G845" s="101">
        <f t="shared" ref="G845:L845" si="334">G844/0.93398</f>
        <v>6522228998.4796247</v>
      </c>
      <c r="H845" s="101">
        <f t="shared" si="334"/>
        <v>1932249294.9372768</v>
      </c>
      <c r="I845" s="101">
        <f t="shared" si="334"/>
        <v>0</v>
      </c>
      <c r="J845" s="101">
        <f t="shared" si="334"/>
        <v>162595558.79140881</v>
      </c>
      <c r="K845" s="101">
        <f t="shared" si="334"/>
        <v>0</v>
      </c>
      <c r="L845" s="101">
        <f t="shared" si="334"/>
        <v>2298329870.3390207</v>
      </c>
      <c r="M845" s="101">
        <f>M844/0.95745</f>
        <v>177361189.43104926</v>
      </c>
      <c r="N845" s="101">
        <f>N844/0.93398</f>
        <v>1789257708.4766273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19414689070.637196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8273298</v>
      </c>
      <c r="G848" s="101">
        <f>'Billing Det'!B8*12</f>
        <v>5167850</v>
      </c>
      <c r="H848" s="101">
        <f>('Billing Det'!B10+'Billing Det'!B12)*12</f>
        <v>999948</v>
      </c>
      <c r="I848" s="101">
        <v>0</v>
      </c>
      <c r="J848" s="101">
        <f>('Billing Det'!B14+'Billing Det'!B16)*12</f>
        <v>7118.0000000000009</v>
      </c>
      <c r="K848" s="101">
        <v>0</v>
      </c>
      <c r="L848" s="101">
        <f>'Billing Det'!B18*12</f>
        <v>54034</v>
      </c>
      <c r="M848" s="101">
        <f>'Billing Det'!B20*12</f>
        <v>2070</v>
      </c>
      <c r="N848" s="101">
        <f>'Billing Det'!B22*12</f>
        <v>7419</v>
      </c>
      <c r="O848" s="101">
        <f>'Billing Det'!B24*12</f>
        <v>3318</v>
      </c>
      <c r="P848" s="101">
        <f>'Billing Det'!B28*12</f>
        <v>360</v>
      </c>
      <c r="Q848" s="101">
        <f>'Billing Det'!B30*12</f>
        <v>12</v>
      </c>
      <c r="R848" s="101">
        <f>'Billing Det'!B32*12</f>
        <v>2021809</v>
      </c>
      <c r="S848" s="101">
        <f>'Billing Det'!B34*12</f>
        <v>48</v>
      </c>
      <c r="T848" s="101">
        <f>'Billing Det'!B36*12</f>
        <v>9312</v>
      </c>
      <c r="U848" s="101"/>
      <c r="V848" s="101">
        <f t="shared" ref="V848:V855" si="335">SUM(G848:T848)</f>
        <v>8273298</v>
      </c>
      <c r="W848" s="98" t="str">
        <f t="shared" ref="W848:W853" si="336">IF(ABS(F848-V848)&lt;0.01,"ok","err")</f>
        <v>ok</v>
      </c>
      <c r="X848" s="102" t="str">
        <f t="shared" ref="X848:X856" si="337">IF(W848="err",V848-F848,"")</f>
        <v/>
      </c>
    </row>
    <row r="849" spans="1:24" ht="12" customHeight="1" x14ac:dyDescent="0.25">
      <c r="A849" s="97" t="s">
        <v>514</v>
      </c>
      <c r="F849" s="265">
        <v>689442</v>
      </c>
      <c r="G849" s="101">
        <f>ROUND(+G848/12,0)</f>
        <v>430654</v>
      </c>
      <c r="H849" s="101">
        <f t="shared" ref="H849:T849" si="338">ROUND(+H848/12,0)</f>
        <v>83329</v>
      </c>
      <c r="I849" s="101">
        <f>ROUND(+I848/12,0)</f>
        <v>0</v>
      </c>
      <c r="J849" s="101">
        <f t="shared" si="338"/>
        <v>593</v>
      </c>
      <c r="K849" s="101">
        <f>ROUND(+K848/12,0)</f>
        <v>0</v>
      </c>
      <c r="L849" s="101">
        <f t="shared" si="338"/>
        <v>4503</v>
      </c>
      <c r="M849" s="101">
        <f t="shared" si="338"/>
        <v>173</v>
      </c>
      <c r="N849" s="101">
        <f t="shared" si="338"/>
        <v>618</v>
      </c>
      <c r="O849" s="101">
        <f t="shared" si="338"/>
        <v>277</v>
      </c>
      <c r="P849" s="101">
        <f t="shared" si="338"/>
        <v>30</v>
      </c>
      <c r="Q849" s="101">
        <f t="shared" si="338"/>
        <v>1</v>
      </c>
      <c r="R849" s="101">
        <f t="shared" si="338"/>
        <v>168484</v>
      </c>
      <c r="S849" s="101">
        <f t="shared" si="338"/>
        <v>4</v>
      </c>
      <c r="T849" s="101">
        <f t="shared" si="338"/>
        <v>776</v>
      </c>
      <c r="U849" s="101"/>
      <c r="V849" s="101">
        <f t="shared" si="335"/>
        <v>689442</v>
      </c>
      <c r="W849" s="98" t="str">
        <f t="shared" si="336"/>
        <v>ok</v>
      </c>
      <c r="X849" s="102" t="str">
        <f t="shared" si="337"/>
        <v/>
      </c>
    </row>
    <row r="850" spans="1:24" ht="12" customHeight="1" x14ac:dyDescent="0.25">
      <c r="A850" s="97" t="s">
        <v>515</v>
      </c>
      <c r="F850" s="101">
        <v>689442</v>
      </c>
      <c r="G850" s="101">
        <f t="shared" ref="G850:T850" si="339">G849</f>
        <v>430654</v>
      </c>
      <c r="H850" s="101">
        <f t="shared" si="339"/>
        <v>83329</v>
      </c>
      <c r="I850" s="101">
        <f>I849</f>
        <v>0</v>
      </c>
      <c r="J850" s="101">
        <f>J849</f>
        <v>593</v>
      </c>
      <c r="K850" s="101">
        <f>K849</f>
        <v>0</v>
      </c>
      <c r="L850" s="101">
        <f t="shared" si="339"/>
        <v>4503</v>
      </c>
      <c r="M850" s="101">
        <f t="shared" si="339"/>
        <v>173</v>
      </c>
      <c r="N850" s="101">
        <f t="shared" si="339"/>
        <v>618</v>
      </c>
      <c r="O850" s="101">
        <f t="shared" si="339"/>
        <v>277</v>
      </c>
      <c r="P850" s="101">
        <f>P849</f>
        <v>30</v>
      </c>
      <c r="Q850" s="101">
        <f t="shared" si="339"/>
        <v>1</v>
      </c>
      <c r="R850" s="101">
        <f t="shared" si="339"/>
        <v>168484</v>
      </c>
      <c r="S850" s="101">
        <f t="shared" si="339"/>
        <v>4</v>
      </c>
      <c r="T850" s="101">
        <f t="shared" si="339"/>
        <v>776</v>
      </c>
      <c r="U850" s="101"/>
      <c r="V850" s="101">
        <f t="shared" si="335"/>
        <v>689442</v>
      </c>
      <c r="W850" s="98" t="str">
        <f t="shared" si="336"/>
        <v>ok</v>
      </c>
      <c r="X850" s="102" t="str">
        <f t="shared" si="337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668453</v>
      </c>
      <c r="G851" s="101">
        <f>ROUND(G850,0)</f>
        <v>430654</v>
      </c>
      <c r="H851" s="101">
        <f>ROUND(H850*2,0)</f>
        <v>166658</v>
      </c>
      <c r="I851" s="101">
        <f>ROUND(I850*2,0)</f>
        <v>0</v>
      </c>
      <c r="J851" s="101">
        <f>ROUND(J850*10,0)</f>
        <v>5930</v>
      </c>
      <c r="K851" s="101">
        <f>ROUND(K850*10,0)</f>
        <v>0</v>
      </c>
      <c r="L851" s="101">
        <f>ROUND(L850*5,0)</f>
        <v>22515</v>
      </c>
      <c r="M851" s="101">
        <f>ROUND(M850*5,0)</f>
        <v>865</v>
      </c>
      <c r="N851" s="101">
        <f>ROUND(N850*25,0)</f>
        <v>15450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5"/>
        <v>668453</v>
      </c>
      <c r="W851" s="98" t="str">
        <f t="shared" si="336"/>
        <v>ok</v>
      </c>
      <c r="X851" s="102" t="str">
        <f t="shared" si="337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5"/>
        <v>114827799.3</v>
      </c>
      <c r="W852" s="98" t="str">
        <f t="shared" si="336"/>
        <v>ok</v>
      </c>
      <c r="X852" s="102" t="str">
        <f t="shared" si="337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689442</v>
      </c>
      <c r="G853" s="101">
        <f>G850</f>
        <v>430654</v>
      </c>
      <c r="H853" s="101">
        <f t="shared" ref="H853:T853" si="340">H850</f>
        <v>83329</v>
      </c>
      <c r="I853" s="101">
        <f>I850</f>
        <v>0</v>
      </c>
      <c r="J853" s="101">
        <f>J850</f>
        <v>593</v>
      </c>
      <c r="K853" s="101">
        <f>K850</f>
        <v>0</v>
      </c>
      <c r="L853" s="101">
        <f t="shared" si="340"/>
        <v>4503</v>
      </c>
      <c r="M853" s="101">
        <f t="shared" si="340"/>
        <v>173</v>
      </c>
      <c r="N853" s="101">
        <f t="shared" si="340"/>
        <v>618</v>
      </c>
      <c r="O853" s="101">
        <f>O850</f>
        <v>277</v>
      </c>
      <c r="P853" s="101">
        <f>P850</f>
        <v>30</v>
      </c>
      <c r="Q853" s="101">
        <f t="shared" si="340"/>
        <v>1</v>
      </c>
      <c r="R853" s="101">
        <f t="shared" si="340"/>
        <v>168484</v>
      </c>
      <c r="S853" s="101">
        <f t="shared" si="340"/>
        <v>4</v>
      </c>
      <c r="T853" s="101">
        <f t="shared" si="340"/>
        <v>776</v>
      </c>
      <c r="U853" s="101"/>
      <c r="V853" s="101">
        <f t="shared" si="335"/>
        <v>689442</v>
      </c>
      <c r="W853" s="98" t="str">
        <f t="shared" si="336"/>
        <v>ok</v>
      </c>
      <c r="X853" s="102" t="str">
        <f t="shared" si="337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538984</v>
      </c>
      <c r="G854" s="101">
        <f t="shared" ref="G854:Q854" si="341">G850</f>
        <v>430654</v>
      </c>
      <c r="H854" s="101">
        <f t="shared" si="341"/>
        <v>83329</v>
      </c>
      <c r="I854" s="101">
        <f>I850</f>
        <v>0</v>
      </c>
      <c r="J854" s="101">
        <f t="shared" si="341"/>
        <v>593</v>
      </c>
      <c r="K854" s="101">
        <f>K850</f>
        <v>0</v>
      </c>
      <c r="L854" s="101">
        <f t="shared" si="341"/>
        <v>4503</v>
      </c>
      <c r="M854" s="101">
        <f t="shared" si="341"/>
        <v>173</v>
      </c>
      <c r="N854" s="101">
        <f t="shared" si="341"/>
        <v>618</v>
      </c>
      <c r="O854" s="101">
        <f t="shared" si="341"/>
        <v>277</v>
      </c>
      <c r="P854" s="101">
        <f t="shared" si="341"/>
        <v>30</v>
      </c>
      <c r="Q854" s="101">
        <f t="shared" si="341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5"/>
        <v>538984</v>
      </c>
      <c r="W854" s="98" t="str">
        <f>IF(ABS(F854-V854)=0,"ok","err")</f>
        <v>ok</v>
      </c>
      <c r="X854" s="243" t="str">
        <f t="shared" si="337"/>
        <v/>
      </c>
    </row>
    <row r="855" spans="1:24" ht="12" customHeight="1" x14ac:dyDescent="0.25">
      <c r="A855" s="97" t="s">
        <v>791</v>
      </c>
      <c r="D855" s="97" t="s">
        <v>940</v>
      </c>
      <c r="F855" s="101">
        <v>533383.11111111124</v>
      </c>
      <c r="G855" s="101">
        <f>G850</f>
        <v>430654</v>
      </c>
      <c r="H855" s="101">
        <f>H854</f>
        <v>83329</v>
      </c>
      <c r="I855" s="101">
        <f>I854</f>
        <v>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5"/>
        <v>533383.11111111124</v>
      </c>
      <c r="W855" s="98" t="str">
        <f>IF(ABS(F855-V855)&lt;0.01,"ok","err")</f>
        <v>ok</v>
      </c>
      <c r="X855" s="102" t="str">
        <f t="shared" si="337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538954.11111111124</v>
      </c>
      <c r="G856" s="101">
        <f>G850</f>
        <v>430654</v>
      </c>
      <c r="H856" s="101">
        <f t="shared" ref="H856:O856" si="342">H850</f>
        <v>83329</v>
      </c>
      <c r="I856" s="101">
        <f>I850</f>
        <v>0</v>
      </c>
      <c r="J856" s="101">
        <f t="shared" si="342"/>
        <v>593</v>
      </c>
      <c r="K856" s="101">
        <f>K850</f>
        <v>0</v>
      </c>
      <c r="L856" s="101">
        <f t="shared" si="342"/>
        <v>4503</v>
      </c>
      <c r="M856" s="101">
        <f t="shared" si="342"/>
        <v>173</v>
      </c>
      <c r="N856" s="101">
        <f t="shared" si="342"/>
        <v>618</v>
      </c>
      <c r="O856" s="101">
        <f t="shared" si="342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538954.11111111124</v>
      </c>
      <c r="W856" s="98" t="str">
        <f>IF(ABS(F856-V856)&lt;0.01,"ok","err")</f>
        <v>ok</v>
      </c>
      <c r="X856" s="102" t="str">
        <f t="shared" si="337"/>
        <v/>
      </c>
    </row>
    <row r="857" spans="1:24" ht="12" customHeight="1" x14ac:dyDescent="0.25">
      <c r="A857" s="97" t="s">
        <v>2330</v>
      </c>
      <c r="D857" s="97" t="s">
        <v>2331</v>
      </c>
      <c r="F857" s="101">
        <v>538504.11111111124</v>
      </c>
      <c r="G857" s="101">
        <f>G855</f>
        <v>430654</v>
      </c>
      <c r="H857" s="101">
        <f t="shared" ref="H857:T857" si="343">H855</f>
        <v>83329</v>
      </c>
      <c r="I857" s="101">
        <f t="shared" si="343"/>
        <v>0</v>
      </c>
      <c r="J857" s="101">
        <f t="shared" si="343"/>
        <v>593</v>
      </c>
      <c r="K857" s="101">
        <f t="shared" si="343"/>
        <v>0</v>
      </c>
      <c r="L857" s="101">
        <f>L856</f>
        <v>4503</v>
      </c>
      <c r="M857" s="101">
        <f t="shared" si="343"/>
        <v>0</v>
      </c>
      <c r="N857" s="101">
        <f>N856</f>
        <v>618</v>
      </c>
      <c r="O857" s="101">
        <f t="shared" si="343"/>
        <v>0</v>
      </c>
      <c r="P857" s="101">
        <f t="shared" si="343"/>
        <v>0</v>
      </c>
      <c r="Q857" s="101">
        <f t="shared" si="343"/>
        <v>0</v>
      </c>
      <c r="R857" s="101">
        <f t="shared" si="343"/>
        <v>18720.444444444445</v>
      </c>
      <c r="S857" s="101">
        <f t="shared" si="343"/>
        <v>0.44444444444444442</v>
      </c>
      <c r="T857" s="101">
        <f t="shared" si="343"/>
        <v>86.222222222222229</v>
      </c>
      <c r="U857" s="101"/>
      <c r="V857" s="101">
        <f>SUM(G857:U857)</f>
        <v>538504.11111111124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8273298</v>
      </c>
      <c r="G860" s="265">
        <f t="shared" ref="G860:T860" si="344">G848</f>
        <v>5167850</v>
      </c>
      <c r="H860" s="265">
        <f t="shared" si="344"/>
        <v>999948</v>
      </c>
      <c r="I860" s="265">
        <f t="shared" si="344"/>
        <v>0</v>
      </c>
      <c r="J860" s="265">
        <f t="shared" si="344"/>
        <v>7118.0000000000009</v>
      </c>
      <c r="K860" s="265">
        <f t="shared" si="344"/>
        <v>0</v>
      </c>
      <c r="L860" s="265">
        <f t="shared" si="344"/>
        <v>54034</v>
      </c>
      <c r="M860" s="265">
        <f t="shared" si="344"/>
        <v>2070</v>
      </c>
      <c r="N860" s="265">
        <f t="shared" si="344"/>
        <v>7419</v>
      </c>
      <c r="O860" s="265">
        <f t="shared" si="344"/>
        <v>3318</v>
      </c>
      <c r="P860" s="265">
        <f t="shared" si="344"/>
        <v>360</v>
      </c>
      <c r="Q860" s="265">
        <f t="shared" si="344"/>
        <v>12</v>
      </c>
      <c r="R860" s="265">
        <f t="shared" si="344"/>
        <v>2021809</v>
      </c>
      <c r="S860" s="265">
        <f t="shared" si="344"/>
        <v>48</v>
      </c>
      <c r="T860" s="265">
        <f t="shared" si="344"/>
        <v>9312</v>
      </c>
      <c r="U860" s="101"/>
      <c r="V860" s="101">
        <f t="shared" ref="V860:V867" si="345">SUM(G860:T860)</f>
        <v>8273298</v>
      </c>
      <c r="W860" s="98" t="str">
        <f t="shared" ref="W860:W867" si="346">IF(ABS(F860-V860)&lt;0.01,"ok","err")</f>
        <v>ok</v>
      </c>
      <c r="X860" s="102" t="str">
        <f t="shared" ref="X860:X867" si="347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8">F849</f>
        <v>689442</v>
      </c>
      <c r="G861" s="265">
        <f t="shared" si="348"/>
        <v>430654</v>
      </c>
      <c r="H861" s="265">
        <f t="shared" si="348"/>
        <v>83329</v>
      </c>
      <c r="I861" s="265">
        <f t="shared" si="348"/>
        <v>0</v>
      </c>
      <c r="J861" s="265">
        <f t="shared" si="348"/>
        <v>593</v>
      </c>
      <c r="K861" s="265">
        <f t="shared" si="348"/>
        <v>0</v>
      </c>
      <c r="L861" s="265">
        <f t="shared" si="348"/>
        <v>4503</v>
      </c>
      <c r="M861" s="265">
        <f t="shared" si="348"/>
        <v>173</v>
      </c>
      <c r="N861" s="265">
        <f t="shared" si="348"/>
        <v>618</v>
      </c>
      <c r="O861" s="265">
        <f t="shared" si="348"/>
        <v>277</v>
      </c>
      <c r="P861" s="265">
        <f t="shared" si="348"/>
        <v>30</v>
      </c>
      <c r="Q861" s="265">
        <f t="shared" si="348"/>
        <v>1</v>
      </c>
      <c r="R861" s="265">
        <f t="shared" si="348"/>
        <v>168484</v>
      </c>
      <c r="S861" s="265">
        <f t="shared" si="348"/>
        <v>4</v>
      </c>
      <c r="T861" s="265">
        <f t="shared" si="348"/>
        <v>776</v>
      </c>
      <c r="U861" s="105"/>
      <c r="V861" s="101">
        <f t="shared" si="345"/>
        <v>689442</v>
      </c>
      <c r="W861" s="98" t="str">
        <f t="shared" si="346"/>
        <v>ok</v>
      </c>
      <c r="X861" s="102" t="str">
        <f t="shared" si="347"/>
        <v/>
      </c>
    </row>
    <row r="862" spans="1:24" ht="12" customHeight="1" x14ac:dyDescent="0.25">
      <c r="A862" s="97" t="s">
        <v>515</v>
      </c>
      <c r="F862" s="265">
        <f t="shared" si="348"/>
        <v>689442</v>
      </c>
      <c r="G862" s="265">
        <f t="shared" si="348"/>
        <v>430654</v>
      </c>
      <c r="H862" s="265">
        <f t="shared" si="348"/>
        <v>83329</v>
      </c>
      <c r="I862" s="265">
        <f t="shared" si="348"/>
        <v>0</v>
      </c>
      <c r="J862" s="265">
        <f t="shared" si="348"/>
        <v>593</v>
      </c>
      <c r="K862" s="265">
        <f t="shared" si="348"/>
        <v>0</v>
      </c>
      <c r="L862" s="265">
        <f t="shared" si="348"/>
        <v>4503</v>
      </c>
      <c r="M862" s="265">
        <f t="shared" si="348"/>
        <v>173</v>
      </c>
      <c r="N862" s="265">
        <f t="shared" si="348"/>
        <v>618</v>
      </c>
      <c r="O862" s="265">
        <f t="shared" si="348"/>
        <v>277</v>
      </c>
      <c r="P862" s="265">
        <f t="shared" si="348"/>
        <v>30</v>
      </c>
      <c r="Q862" s="265">
        <f t="shared" si="348"/>
        <v>1</v>
      </c>
      <c r="R862" s="265">
        <f t="shared" si="348"/>
        <v>168484</v>
      </c>
      <c r="S862" s="265">
        <f t="shared" si="348"/>
        <v>4</v>
      </c>
      <c r="T862" s="265">
        <f t="shared" si="348"/>
        <v>776</v>
      </c>
      <c r="U862" s="105"/>
      <c r="V862" s="101">
        <f t="shared" si="345"/>
        <v>689442</v>
      </c>
      <c r="W862" s="98" t="str">
        <f t="shared" si="346"/>
        <v>ok</v>
      </c>
      <c r="X862" s="106" t="str">
        <f t="shared" si="347"/>
        <v/>
      </c>
    </row>
    <row r="863" spans="1:24" ht="12" customHeight="1" x14ac:dyDescent="0.25">
      <c r="A863" s="97" t="s">
        <v>789</v>
      </c>
      <c r="F863" s="265">
        <f t="shared" si="348"/>
        <v>668453</v>
      </c>
      <c r="G863" s="265">
        <f t="shared" si="348"/>
        <v>430654</v>
      </c>
      <c r="H863" s="265">
        <f t="shared" si="348"/>
        <v>166658</v>
      </c>
      <c r="I863" s="265">
        <f t="shared" si="348"/>
        <v>0</v>
      </c>
      <c r="J863" s="265">
        <f t="shared" si="348"/>
        <v>5930</v>
      </c>
      <c r="K863" s="265">
        <f t="shared" si="348"/>
        <v>0</v>
      </c>
      <c r="L863" s="265">
        <f t="shared" si="348"/>
        <v>22515</v>
      </c>
      <c r="M863" s="265">
        <f t="shared" si="348"/>
        <v>865</v>
      </c>
      <c r="N863" s="265">
        <f t="shared" si="348"/>
        <v>15450</v>
      </c>
      <c r="O863" s="265">
        <f t="shared" si="348"/>
        <v>6925</v>
      </c>
      <c r="P863" s="265">
        <f t="shared" si="348"/>
        <v>600</v>
      </c>
      <c r="Q863" s="265">
        <f t="shared" si="348"/>
        <v>50</v>
      </c>
      <c r="R863" s="265">
        <f t="shared" si="348"/>
        <v>18720</v>
      </c>
      <c r="S863" s="265">
        <f t="shared" si="348"/>
        <v>0</v>
      </c>
      <c r="T863" s="265">
        <f t="shared" si="348"/>
        <v>86</v>
      </c>
      <c r="U863" s="105"/>
      <c r="V863" s="101">
        <f t="shared" si="345"/>
        <v>668453</v>
      </c>
      <c r="W863" s="98" t="str">
        <f t="shared" si="346"/>
        <v>ok</v>
      </c>
      <c r="X863" s="106" t="str">
        <f t="shared" si="347"/>
        <v/>
      </c>
    </row>
    <row r="864" spans="1:24" ht="12" customHeight="1" x14ac:dyDescent="0.25">
      <c r="A864" s="97" t="s">
        <v>405</v>
      </c>
      <c r="F864" s="265">
        <f t="shared" si="348"/>
        <v>114827799.3</v>
      </c>
      <c r="G864" s="265">
        <f t="shared" si="348"/>
        <v>0</v>
      </c>
      <c r="H864" s="265">
        <f t="shared" si="348"/>
        <v>0</v>
      </c>
      <c r="I864" s="265">
        <f t="shared" si="348"/>
        <v>0</v>
      </c>
      <c r="J864" s="265">
        <f t="shared" si="348"/>
        <v>0</v>
      </c>
      <c r="K864" s="265">
        <f t="shared" si="348"/>
        <v>0</v>
      </c>
      <c r="L864" s="265">
        <f t="shared" si="348"/>
        <v>0</v>
      </c>
      <c r="M864" s="265">
        <f t="shared" si="348"/>
        <v>0</v>
      </c>
      <c r="N864" s="265">
        <f t="shared" si="348"/>
        <v>0</v>
      </c>
      <c r="O864" s="265">
        <f t="shared" si="348"/>
        <v>0</v>
      </c>
      <c r="P864" s="265">
        <f t="shared" si="348"/>
        <v>0</v>
      </c>
      <c r="Q864" s="265">
        <f t="shared" si="348"/>
        <v>0</v>
      </c>
      <c r="R864" s="265">
        <f t="shared" si="348"/>
        <v>114827799.3</v>
      </c>
      <c r="S864" s="265">
        <f t="shared" si="348"/>
        <v>0</v>
      </c>
      <c r="T864" s="265">
        <f t="shared" si="348"/>
        <v>0</v>
      </c>
      <c r="U864" s="101"/>
      <c r="V864" s="101">
        <f t="shared" si="345"/>
        <v>114827799.3</v>
      </c>
      <c r="W864" s="98" t="str">
        <f t="shared" si="346"/>
        <v>ok</v>
      </c>
      <c r="X864" s="102" t="str">
        <f t="shared" si="347"/>
        <v/>
      </c>
    </row>
    <row r="865" spans="1:24" ht="12" customHeight="1" x14ac:dyDescent="0.25">
      <c r="A865" s="97" t="s">
        <v>884</v>
      </c>
      <c r="F865" s="265">
        <f t="shared" si="348"/>
        <v>689442</v>
      </c>
      <c r="G865" s="265">
        <f t="shared" si="348"/>
        <v>430654</v>
      </c>
      <c r="H865" s="265">
        <f t="shared" si="348"/>
        <v>83329</v>
      </c>
      <c r="I865" s="265">
        <f t="shared" si="348"/>
        <v>0</v>
      </c>
      <c r="J865" s="265">
        <f t="shared" si="348"/>
        <v>593</v>
      </c>
      <c r="K865" s="265">
        <f t="shared" si="348"/>
        <v>0</v>
      </c>
      <c r="L865" s="265">
        <f t="shared" si="348"/>
        <v>4503</v>
      </c>
      <c r="M865" s="265">
        <f t="shared" si="348"/>
        <v>173</v>
      </c>
      <c r="N865" s="265">
        <f t="shared" si="348"/>
        <v>618</v>
      </c>
      <c r="O865" s="265">
        <f t="shared" si="348"/>
        <v>277</v>
      </c>
      <c r="P865" s="265">
        <f t="shared" si="348"/>
        <v>30</v>
      </c>
      <c r="Q865" s="265">
        <f t="shared" si="348"/>
        <v>1</v>
      </c>
      <c r="R865" s="265">
        <f t="shared" si="348"/>
        <v>168484</v>
      </c>
      <c r="S865" s="265">
        <f t="shared" si="348"/>
        <v>4</v>
      </c>
      <c r="T865" s="265">
        <f t="shared" si="348"/>
        <v>776</v>
      </c>
      <c r="U865" s="105"/>
      <c r="V865" s="101">
        <f t="shared" si="345"/>
        <v>689442</v>
      </c>
      <c r="W865" s="98" t="str">
        <f t="shared" si="346"/>
        <v>ok</v>
      </c>
      <c r="X865" s="102" t="str">
        <f t="shared" si="347"/>
        <v/>
      </c>
    </row>
    <row r="866" spans="1:24" ht="12" customHeight="1" x14ac:dyDescent="0.25">
      <c r="A866" s="97" t="s">
        <v>790</v>
      </c>
      <c r="F866" s="265">
        <f t="shared" si="348"/>
        <v>538984</v>
      </c>
      <c r="G866" s="265">
        <f t="shared" si="348"/>
        <v>430654</v>
      </c>
      <c r="H866" s="265">
        <f t="shared" si="348"/>
        <v>83329</v>
      </c>
      <c r="I866" s="265">
        <f t="shared" si="348"/>
        <v>0</v>
      </c>
      <c r="J866" s="265">
        <f t="shared" si="348"/>
        <v>593</v>
      </c>
      <c r="K866" s="265">
        <f t="shared" si="348"/>
        <v>0</v>
      </c>
      <c r="L866" s="265">
        <f t="shared" si="348"/>
        <v>4503</v>
      </c>
      <c r="M866" s="265">
        <f t="shared" si="348"/>
        <v>173</v>
      </c>
      <c r="N866" s="265">
        <f t="shared" si="348"/>
        <v>618</v>
      </c>
      <c r="O866" s="265">
        <f t="shared" si="348"/>
        <v>277</v>
      </c>
      <c r="P866" s="265">
        <f t="shared" si="348"/>
        <v>30</v>
      </c>
      <c r="Q866" s="265">
        <f t="shared" si="348"/>
        <v>1</v>
      </c>
      <c r="R866" s="265">
        <f t="shared" si="348"/>
        <v>18720</v>
      </c>
      <c r="S866" s="265">
        <f t="shared" si="348"/>
        <v>0</v>
      </c>
      <c r="T866" s="265">
        <f t="shared" si="348"/>
        <v>86</v>
      </c>
      <c r="U866" s="105"/>
      <c r="V866" s="101">
        <f t="shared" si="345"/>
        <v>538984</v>
      </c>
      <c r="W866" s="98" t="str">
        <f t="shared" si="346"/>
        <v>ok</v>
      </c>
      <c r="X866" s="102" t="str">
        <f t="shared" si="347"/>
        <v/>
      </c>
    </row>
    <row r="867" spans="1:24" ht="12" customHeight="1" x14ac:dyDescent="0.25">
      <c r="A867" s="97" t="s">
        <v>791</v>
      </c>
      <c r="F867" s="265">
        <f t="shared" si="348"/>
        <v>533383.11111111124</v>
      </c>
      <c r="G867" s="265">
        <f t="shared" si="348"/>
        <v>430654</v>
      </c>
      <c r="H867" s="265">
        <f t="shared" si="348"/>
        <v>83329</v>
      </c>
      <c r="I867" s="265">
        <f t="shared" si="348"/>
        <v>0</v>
      </c>
      <c r="J867" s="265">
        <f t="shared" si="348"/>
        <v>593</v>
      </c>
      <c r="K867" s="265">
        <f t="shared" si="348"/>
        <v>0</v>
      </c>
      <c r="L867" s="265">
        <f t="shared" si="348"/>
        <v>0</v>
      </c>
      <c r="M867" s="265">
        <f t="shared" si="348"/>
        <v>0</v>
      </c>
      <c r="N867" s="265">
        <f t="shared" si="348"/>
        <v>0</v>
      </c>
      <c r="O867" s="265">
        <f t="shared" si="348"/>
        <v>0</v>
      </c>
      <c r="P867" s="265">
        <f t="shared" si="348"/>
        <v>0</v>
      </c>
      <c r="Q867" s="265">
        <f t="shared" si="348"/>
        <v>0</v>
      </c>
      <c r="R867" s="265">
        <f t="shared" si="348"/>
        <v>18720.444444444445</v>
      </c>
      <c r="S867" s="265">
        <f t="shared" si="348"/>
        <v>0.44444444444444442</v>
      </c>
      <c r="T867" s="265">
        <f t="shared" si="348"/>
        <v>86.222222222222229</v>
      </c>
      <c r="U867" s="101"/>
      <c r="V867" s="101">
        <f t="shared" si="345"/>
        <v>533383.11111111124</v>
      </c>
      <c r="W867" s="98" t="str">
        <f t="shared" si="346"/>
        <v>ok</v>
      </c>
      <c r="X867" s="102" t="str">
        <f t="shared" si="347"/>
        <v/>
      </c>
    </row>
    <row r="868" spans="1:24" ht="12" customHeight="1" x14ac:dyDescent="0.25">
      <c r="A868" s="97" t="s">
        <v>792</v>
      </c>
      <c r="F868" s="265">
        <f t="shared" si="348"/>
        <v>538954.11111111124</v>
      </c>
      <c r="G868" s="265">
        <f t="shared" si="348"/>
        <v>430654</v>
      </c>
      <c r="H868" s="265">
        <f t="shared" si="348"/>
        <v>83329</v>
      </c>
      <c r="I868" s="265">
        <f t="shared" si="348"/>
        <v>0</v>
      </c>
      <c r="J868" s="265">
        <f t="shared" si="348"/>
        <v>593</v>
      </c>
      <c r="K868" s="265">
        <f t="shared" si="348"/>
        <v>0</v>
      </c>
      <c r="L868" s="265">
        <f t="shared" si="348"/>
        <v>4503</v>
      </c>
      <c r="M868" s="265">
        <f t="shared" si="348"/>
        <v>173</v>
      </c>
      <c r="N868" s="265">
        <f t="shared" si="348"/>
        <v>618</v>
      </c>
      <c r="O868" s="265">
        <f t="shared" si="348"/>
        <v>277</v>
      </c>
      <c r="P868" s="265">
        <f t="shared" si="348"/>
        <v>0</v>
      </c>
      <c r="Q868" s="265">
        <f t="shared" si="348"/>
        <v>0</v>
      </c>
      <c r="R868" s="265">
        <f t="shared" si="348"/>
        <v>18720.444444444445</v>
      </c>
      <c r="S868" s="265">
        <f t="shared" si="348"/>
        <v>0.44444444444444442</v>
      </c>
      <c r="T868" s="265">
        <f t="shared" si="348"/>
        <v>86.222222222222229</v>
      </c>
      <c r="U868" s="101"/>
      <c r="V868" s="101">
        <f>SUM(G868:T868)</f>
        <v>538954.11111111124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2330</v>
      </c>
      <c r="F869" s="101">
        <f>F857</f>
        <v>538504.11111111124</v>
      </c>
      <c r="G869" s="101">
        <f t="shared" ref="G869:T869" si="349">G857</f>
        <v>430654</v>
      </c>
      <c r="H869" s="101">
        <f t="shared" si="349"/>
        <v>83329</v>
      </c>
      <c r="I869" s="101">
        <f t="shared" si="349"/>
        <v>0</v>
      </c>
      <c r="J869" s="101">
        <f t="shared" si="349"/>
        <v>593</v>
      </c>
      <c r="K869" s="101">
        <f t="shared" si="349"/>
        <v>0</v>
      </c>
      <c r="L869" s="101">
        <f t="shared" si="349"/>
        <v>4503</v>
      </c>
      <c r="M869" s="101">
        <f t="shared" si="349"/>
        <v>0</v>
      </c>
      <c r="N869" s="101">
        <f t="shared" si="349"/>
        <v>618</v>
      </c>
      <c r="O869" s="101">
        <f t="shared" si="349"/>
        <v>0</v>
      </c>
      <c r="P869" s="101">
        <f t="shared" si="349"/>
        <v>0</v>
      </c>
      <c r="Q869" s="101">
        <f t="shared" si="349"/>
        <v>0</v>
      </c>
      <c r="R869" s="101">
        <f t="shared" si="349"/>
        <v>18720.444444444445</v>
      </c>
      <c r="S869" s="101">
        <f t="shared" si="349"/>
        <v>0.44444444444444442</v>
      </c>
      <c r="T869" s="101">
        <f t="shared" si="349"/>
        <v>86.222222222222229</v>
      </c>
      <c r="U869" s="101"/>
      <c r="V869" s="101">
        <f>SUM(G869:U869)</f>
        <v>538504.11111111124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2428</v>
      </c>
      <c r="D872" s="97" t="s">
        <v>2425</v>
      </c>
      <c r="F872" s="101">
        <v>4686905.0191343417</v>
      </c>
      <c r="G872" s="101">
        <f>'Billing Det'!E8</f>
        <v>2051123.053201586</v>
      </c>
      <c r="H872" s="101">
        <f>'Billing Det'!E10</f>
        <v>499710.97063738306</v>
      </c>
      <c r="I872" s="101">
        <v>0</v>
      </c>
      <c r="J872" s="101">
        <f>'Billing Det'!E14</f>
        <v>52333.388582496336</v>
      </c>
      <c r="K872" s="101">
        <v>0</v>
      </c>
      <c r="L872" s="101">
        <f>'Billing Det'!E18</f>
        <v>466981.22960042412</v>
      </c>
      <c r="M872" s="101">
        <f>'Billing Det'!E20</f>
        <v>36098.457687557748</v>
      </c>
      <c r="N872" s="101">
        <f>'Billing Det'!E22</f>
        <v>328697.70162994531</v>
      </c>
      <c r="O872" s="101">
        <f>'Billing Det'!E24</f>
        <v>751868.84558161651</v>
      </c>
      <c r="P872" s="101">
        <f>'Billing Det'!E28</f>
        <v>294031.57298089442</v>
      </c>
      <c r="Q872" s="101">
        <f>'Billing Det'!E30</f>
        <v>168627.35312117345</v>
      </c>
      <c r="R872" s="101">
        <f>'Billing Det'!E32</f>
        <v>37037.047301538805</v>
      </c>
      <c r="S872" s="101">
        <f>'Billing Det'!E34</f>
        <v>155.13525415746221</v>
      </c>
      <c r="T872" s="101">
        <f>'Billing Det'!E36</f>
        <v>240.26355556795608</v>
      </c>
      <c r="U872" s="101"/>
      <c r="V872" s="101">
        <f t="shared" ref="V872:V877" si="350">SUM(G872:T872)</f>
        <v>4686905.0191343417</v>
      </c>
      <c r="W872" s="98" t="str">
        <f t="shared" ref="W872:W877" si="351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2427</v>
      </c>
      <c r="D873" s="97" t="s">
        <v>2429</v>
      </c>
      <c r="F873" s="101">
        <v>4224246.0930322735</v>
      </c>
      <c r="G873" s="101">
        <f>'Billing Det'!E8</f>
        <v>2051123.053201586</v>
      </c>
      <c r="H873" s="101">
        <f>'Billing Det'!E10+'Billing Det'!E12</f>
        <v>499710.97063738306</v>
      </c>
      <c r="I873" s="101">
        <v>0</v>
      </c>
      <c r="J873" s="101">
        <f>'Billing Det'!E14+'Billing Det'!E16</f>
        <v>52333.388582496336</v>
      </c>
      <c r="K873" s="101">
        <v>0</v>
      </c>
      <c r="L873" s="101">
        <f>'Billing Det'!E18</f>
        <v>466981.22960042412</v>
      </c>
      <c r="M873" s="101">
        <f>'Billing Det'!E20</f>
        <v>36098.457687557748</v>
      </c>
      <c r="N873" s="101">
        <f>'Billing Det'!E22</f>
        <v>328697.70162994531</v>
      </c>
      <c r="O873" s="101">
        <f>'Billing Det'!E24+'Billing Det'!E26</f>
        <v>751868.84558161651</v>
      </c>
      <c r="P873" s="101">
        <v>0</v>
      </c>
      <c r="Q873" s="101">
        <v>0</v>
      </c>
      <c r="R873" s="101">
        <f>'Billing Det'!E32</f>
        <v>37037.047301538805</v>
      </c>
      <c r="S873" s="101">
        <f>'Billing Det'!E34</f>
        <v>155.13525415746221</v>
      </c>
      <c r="T873" s="101">
        <f>'Billing Det'!E36</f>
        <v>240.26355556795608</v>
      </c>
      <c r="U873" s="101"/>
      <c r="V873" s="101">
        <f t="shared" si="350"/>
        <v>4224246.0930322735</v>
      </c>
      <c r="W873" s="98" t="str">
        <f t="shared" si="351"/>
        <v>ok</v>
      </c>
      <c r="X873" s="102" t="str">
        <f>IF(W873="err",V873-F873,"")</f>
        <v/>
      </c>
    </row>
    <row r="874" spans="1:24" ht="12" customHeight="1" x14ac:dyDescent="0.25">
      <c r="A874" s="97" t="s">
        <v>2426</v>
      </c>
      <c r="D874" s="97" t="s">
        <v>2332</v>
      </c>
      <c r="F874" s="101">
        <v>6160441.2084077764</v>
      </c>
      <c r="G874" s="101">
        <f>G875</f>
        <v>4304609.8439723067</v>
      </c>
      <c r="H874" s="101">
        <f>H875</f>
        <v>746971.4312416797</v>
      </c>
      <c r="I874" s="101">
        <f>I875</f>
        <v>0</v>
      </c>
      <c r="J874" s="101">
        <f>J875</f>
        <v>57026.216936198616</v>
      </c>
      <c r="K874" s="101">
        <f>K875</f>
        <v>0</v>
      </c>
      <c r="L874" s="101">
        <f>'Billing Det'!I18</f>
        <v>621881.65359877655</v>
      </c>
      <c r="M874" s="101">
        <v>0</v>
      </c>
      <c r="N874" s="101">
        <f>'Billing Det'!I22</f>
        <v>395414.9569991008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0"/>
        <v>6160441.2084077764</v>
      </c>
      <c r="W874" s="98" t="str">
        <f t="shared" si="351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v>5143144.5978098996</v>
      </c>
      <c r="G875" s="101">
        <f>'Billing Det'!I8</f>
        <v>4304609.8439723067</v>
      </c>
      <c r="H875" s="101">
        <f>'Billing Det'!I10+'Billing Det'!I12</f>
        <v>746971.4312416797</v>
      </c>
      <c r="I875" s="101">
        <v>0</v>
      </c>
      <c r="J875" s="101">
        <f>'Billing Det'!I14+'Billing Det'!I16</f>
        <v>57026.216936198616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Det'!I32</f>
        <v>34172.535127711366</v>
      </c>
      <c r="S875" s="101">
        <f>'Billing Det'!I34</f>
        <v>143.13681323138437</v>
      </c>
      <c r="T875" s="101">
        <f>'Billing Det'!I36</f>
        <v>221.43371877082163</v>
      </c>
      <c r="U875" s="101"/>
      <c r="V875" s="101">
        <f t="shared" si="350"/>
        <v>5143144.5978098996</v>
      </c>
      <c r="W875" s="98" t="str">
        <f t="shared" si="351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3580836.9697062937</v>
      </c>
      <c r="G876" s="101">
        <f>'Billing Det'!H8</f>
        <v>1461985.8675600674</v>
      </c>
      <c r="H876" s="101">
        <f>'Billing Det'!H10+'Billing Det'!H12</f>
        <v>393704.18183345284</v>
      </c>
      <c r="I876" s="101">
        <v>0</v>
      </c>
      <c r="J876" s="101">
        <f>'Billing Det'!H14+'Billing Det'!H16</f>
        <v>24095.46073589458</v>
      </c>
      <c r="K876" s="101">
        <v>0</v>
      </c>
      <c r="L876" s="101">
        <f>'Billing Det'!H18</f>
        <v>408665.04815701587</v>
      </c>
      <c r="M876" s="101">
        <f>'Billing Det'!H20</f>
        <v>29863.807891820055</v>
      </c>
      <c r="N876" s="101">
        <f>'Billing Det'!H22</f>
        <v>291986.14657000959</v>
      </c>
      <c r="O876" s="101">
        <f>'Billing Det'!H24+'Billing Det'!H26</f>
        <v>637992.48876148975</v>
      </c>
      <c r="P876" s="101">
        <f>'Billing Det'!H28</f>
        <v>226896.36310292233</v>
      </c>
      <c r="Q876" s="101">
        <f>'Billing Det'!H30</f>
        <v>105477.34137232017</v>
      </c>
      <c r="R876" s="101">
        <f>'Billing Det'!H32</f>
        <v>0</v>
      </c>
      <c r="S876" s="101">
        <f>'Billing Det'!H34</f>
        <v>0</v>
      </c>
      <c r="T876" s="101">
        <f>'Billing Det'!H36</f>
        <v>170.2637213014211</v>
      </c>
      <c r="U876" s="101"/>
      <c r="V876" s="101">
        <f t="shared" si="350"/>
        <v>3580836.9697062937</v>
      </c>
      <c r="W876" s="98" t="str">
        <f t="shared" si="351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v>3809382.3536371626</v>
      </c>
      <c r="G877" s="101">
        <f>'Billing Det'!G8</f>
        <v>1736721.2305075389</v>
      </c>
      <c r="H877" s="101">
        <f>'Billing Det'!G10+'Billing Det'!G12</f>
        <v>446957.3292942206</v>
      </c>
      <c r="I877" s="101">
        <v>0</v>
      </c>
      <c r="J877" s="101">
        <f>'Billing Det'!G14+'Billing Det'!G16</f>
        <v>45898.648536442292</v>
      </c>
      <c r="K877" s="101">
        <v>0</v>
      </c>
      <c r="L877" s="101">
        <f>'Billing Det'!G18</f>
        <v>403338.8331908831</v>
      </c>
      <c r="M877" s="101">
        <f>'Billing Det'!G20</f>
        <v>25411.817641778871</v>
      </c>
      <c r="N877" s="101">
        <f>'Billing Det'!G22</f>
        <v>270395.51178289962</v>
      </c>
      <c r="O877" s="101">
        <f>'Billing Det'!G24+'Billing Det'!G26</f>
        <v>577385.3554235308</v>
      </c>
      <c r="P877" s="101">
        <f>'Billing Det'!G28</f>
        <v>212909.89240199357</v>
      </c>
      <c r="Q877" s="101">
        <f>'Billing Det'!G30</f>
        <v>90162.676268678813</v>
      </c>
      <c r="R877" s="101">
        <f>'Billing Det'!G32</f>
        <v>0</v>
      </c>
      <c r="S877" s="101">
        <f>'Billing Det'!G34</f>
        <v>0</v>
      </c>
      <c r="T877" s="101">
        <f>'Billing Det'!G36</f>
        <v>201.05858919599709</v>
      </c>
      <c r="U877" s="101"/>
      <c r="V877" s="101">
        <f t="shared" si="350"/>
        <v>3809382.3536371626</v>
      </c>
      <c r="W877" s="98" t="str">
        <f t="shared" si="351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v>2210233.27</v>
      </c>
      <c r="G878" s="101">
        <f t="shared" ref="G878:T878" si="352">ROUND(G845/8784,2)</f>
        <v>742512.41</v>
      </c>
      <c r="H878" s="101">
        <f t="shared" si="352"/>
        <v>219973.74</v>
      </c>
      <c r="I878" s="101">
        <f t="shared" si="352"/>
        <v>0</v>
      </c>
      <c r="J878" s="101">
        <f t="shared" si="352"/>
        <v>18510.419999999998</v>
      </c>
      <c r="K878" s="101">
        <f t="shared" si="352"/>
        <v>0</v>
      </c>
      <c r="L878" s="101">
        <f t="shared" si="352"/>
        <v>261649.58</v>
      </c>
      <c r="M878" s="101">
        <f t="shared" si="352"/>
        <v>20191.39</v>
      </c>
      <c r="N878" s="101">
        <f t="shared" si="352"/>
        <v>203695.09</v>
      </c>
      <c r="O878" s="101">
        <f t="shared" si="352"/>
        <v>489641.26</v>
      </c>
      <c r="P878" s="101">
        <f t="shared" si="352"/>
        <v>174377.74</v>
      </c>
      <c r="Q878" s="101">
        <f t="shared" si="352"/>
        <v>64375.78</v>
      </c>
      <c r="R878" s="101">
        <f t="shared" si="352"/>
        <v>15069.9</v>
      </c>
      <c r="S878" s="101">
        <f t="shared" si="352"/>
        <v>54.45</v>
      </c>
      <c r="T878" s="101">
        <f t="shared" si="352"/>
        <v>181.51</v>
      </c>
      <c r="U878" s="101"/>
      <c r="V878" s="101">
        <f>ROUND(SUM(G878:T878),2)</f>
        <v>2210233.27</v>
      </c>
      <c r="W878" s="98" t="str">
        <f>IF(ABS(F878-V878)=0,"ok","err")</f>
        <v>ok</v>
      </c>
      <c r="X878" s="243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3809382.3536371626</v>
      </c>
      <c r="G881" s="101">
        <f>G877</f>
        <v>1736721.2305075389</v>
      </c>
      <c r="H881" s="101">
        <f t="shared" ref="H881:T881" si="353">H877</f>
        <v>446957.3292942206</v>
      </c>
      <c r="I881" s="101">
        <f>I877</f>
        <v>0</v>
      </c>
      <c r="J881" s="101">
        <f>J877</f>
        <v>45898.648536442292</v>
      </c>
      <c r="K881" s="101">
        <f>K877</f>
        <v>0</v>
      </c>
      <c r="L881" s="101">
        <f t="shared" si="353"/>
        <v>403338.8331908831</v>
      </c>
      <c r="M881" s="101">
        <f t="shared" si="353"/>
        <v>25411.817641778871</v>
      </c>
      <c r="N881" s="101">
        <f t="shared" si="353"/>
        <v>270395.51178289962</v>
      </c>
      <c r="O881" s="101">
        <f>O877</f>
        <v>577385.3554235308</v>
      </c>
      <c r="P881" s="101">
        <f>P877</f>
        <v>212909.89240199357</v>
      </c>
      <c r="Q881" s="101">
        <f t="shared" si="353"/>
        <v>90162.676268678813</v>
      </c>
      <c r="R881" s="101">
        <f t="shared" si="353"/>
        <v>0</v>
      </c>
      <c r="S881" s="101">
        <f t="shared" si="353"/>
        <v>0</v>
      </c>
      <c r="T881" s="101">
        <f t="shared" si="353"/>
        <v>201.05858919599709</v>
      </c>
      <c r="U881" s="101"/>
      <c r="V881" s="101">
        <f>SUM(G881:T881)</f>
        <v>3809382.3536371626</v>
      </c>
      <c r="W881" s="98" t="str">
        <f t="shared" ref="W881:W886" si="354">IF(ABS(F881-V881)&lt;0.01,"ok","err")</f>
        <v>ok</v>
      </c>
      <c r="X881" s="102" t="str">
        <f t="shared" ref="X881:X886" si="355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56">F181</f>
        <v>35951279.322969064</v>
      </c>
      <c r="G882" s="102">
        <f t="shared" si="356"/>
        <v>14716731.911886552</v>
      </c>
      <c r="H882" s="102">
        <f t="shared" si="356"/>
        <v>4084874.7236665585</v>
      </c>
      <c r="I882" s="102">
        <f t="shared" si="356"/>
        <v>0</v>
      </c>
      <c r="J882" s="102">
        <f t="shared" si="356"/>
        <v>307592.49725417118</v>
      </c>
      <c r="K882" s="102">
        <f t="shared" si="356"/>
        <v>0</v>
      </c>
      <c r="L882" s="102">
        <f t="shared" si="356"/>
        <v>4105951.5390434694</v>
      </c>
      <c r="M882" s="102">
        <f t="shared" si="356"/>
        <v>302341.41598513222</v>
      </c>
      <c r="N882" s="102">
        <f t="shared" si="356"/>
        <v>2998459.6975802719</v>
      </c>
      <c r="O882" s="102">
        <f t="shared" si="356"/>
        <v>6557848.4121061359</v>
      </c>
      <c r="P882" s="102">
        <f t="shared" si="356"/>
        <v>2280033.5799733186</v>
      </c>
      <c r="Q882" s="102">
        <f t="shared" si="356"/>
        <v>595607.45526868524</v>
      </c>
      <c r="R882" s="102">
        <f t="shared" si="356"/>
        <v>0</v>
      </c>
      <c r="S882" s="102">
        <f t="shared" si="356"/>
        <v>0</v>
      </c>
      <c r="T882" s="102">
        <f t="shared" si="356"/>
        <v>1838.0902047677359</v>
      </c>
      <c r="U882" s="102"/>
      <c r="V882" s="102">
        <f>F882</f>
        <v>35951279.322969064</v>
      </c>
      <c r="W882" s="98" t="str">
        <f t="shared" si="354"/>
        <v>ok</v>
      </c>
      <c r="X882" s="102" t="str">
        <f t="shared" si="355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4"/>
        <v>ok</v>
      </c>
      <c r="X883" s="102" t="str">
        <f t="shared" si="355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57">IF(VLOOKUP($E884,$D$5:$AJ$945,3,)=0,0,(VLOOKUP($E884,$D$5:$AJ$945,G$1,)/VLOOKUP($E884,$D$5:$AJ$945,3,))*$F884)</f>
        <v>16390413.003434133</v>
      </c>
      <c r="H884" s="100">
        <f t="shared" si="357"/>
        <v>4218187.1755568348</v>
      </c>
      <c r="I884" s="100">
        <f t="shared" si="357"/>
        <v>0</v>
      </c>
      <c r="J884" s="100">
        <f t="shared" si="357"/>
        <v>433171.30728683813</v>
      </c>
      <c r="K884" s="100">
        <f t="shared" si="357"/>
        <v>0</v>
      </c>
      <c r="L884" s="100">
        <f t="shared" si="357"/>
        <v>3806534.9465382174</v>
      </c>
      <c r="M884" s="100">
        <f t="shared" si="357"/>
        <v>239825.58570726315</v>
      </c>
      <c r="N884" s="100">
        <f t="shared" si="357"/>
        <v>2551874.2067208388</v>
      </c>
      <c r="O884" s="100">
        <f t="shared" si="357"/>
        <v>5449109.6620962257</v>
      </c>
      <c r="P884" s="100">
        <f t="shared" si="357"/>
        <v>2009350.1522783677</v>
      </c>
      <c r="Q884" s="100">
        <f t="shared" si="357"/>
        <v>850915.78059807699</v>
      </c>
      <c r="R884" s="100">
        <f t="shared" si="357"/>
        <v>0</v>
      </c>
      <c r="S884" s="100">
        <f t="shared" si="357"/>
        <v>0</v>
      </c>
      <c r="T884" s="100">
        <f t="shared" si="357"/>
        <v>1897.502752267925</v>
      </c>
      <c r="U884" s="100"/>
      <c r="V884" s="102">
        <f>SUM(G884:T884)</f>
        <v>35951279.322969064</v>
      </c>
      <c r="W884" s="98" t="str">
        <f t="shared" si="354"/>
        <v>ok</v>
      </c>
      <c r="X884" s="102" t="str">
        <f t="shared" si="355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58">F883+F884</f>
        <v>35951279.322969064</v>
      </c>
      <c r="G885" s="102">
        <f t="shared" si="358"/>
        <v>16390413.003434133</v>
      </c>
      <c r="H885" s="102">
        <f t="shared" si="358"/>
        <v>4218187.1755568348</v>
      </c>
      <c r="I885" s="102">
        <f>I883+I884</f>
        <v>0</v>
      </c>
      <c r="J885" s="102">
        <f>J883+J884</f>
        <v>433171.30728683813</v>
      </c>
      <c r="K885" s="102">
        <f>K883+K884</f>
        <v>0</v>
      </c>
      <c r="L885" s="102">
        <f t="shared" si="358"/>
        <v>3806534.9465382174</v>
      </c>
      <c r="M885" s="102">
        <f t="shared" si="358"/>
        <v>239825.58570726315</v>
      </c>
      <c r="N885" s="102">
        <f t="shared" si="358"/>
        <v>2551874.2067208388</v>
      </c>
      <c r="O885" s="102">
        <f t="shared" si="358"/>
        <v>5449109.6620962257</v>
      </c>
      <c r="P885" s="102">
        <f>P883+P884</f>
        <v>2009350.1522783677</v>
      </c>
      <c r="Q885" s="102">
        <f t="shared" si="358"/>
        <v>850915.78059807699</v>
      </c>
      <c r="R885" s="102">
        <f t="shared" si="358"/>
        <v>0</v>
      </c>
      <c r="S885" s="102">
        <f t="shared" si="358"/>
        <v>0</v>
      </c>
      <c r="T885" s="102">
        <f t="shared" si="358"/>
        <v>1897.502752267925</v>
      </c>
      <c r="U885" s="102"/>
      <c r="V885" s="102">
        <f>SUM(G885:T885)</f>
        <v>35951279.322969064</v>
      </c>
      <c r="W885" s="98" t="str">
        <f t="shared" si="354"/>
        <v>ok</v>
      </c>
      <c r="X885" s="102" t="str">
        <f t="shared" si="355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59">IF(VLOOKUP($E886,$D$5:$AJ$945,3,)=0,0,(VLOOKUP($E886,$D$5:$AJ$945,G$1,)/VLOOKUP($E886,$D$5:$AJ$945,3,))*$F886)</f>
        <v>0.45590625179678634</v>
      </c>
      <c r="H886" s="117">
        <f t="shared" si="359"/>
        <v>0.11733065568161463</v>
      </c>
      <c r="I886" s="117">
        <f t="shared" si="359"/>
        <v>0</v>
      </c>
      <c r="J886" s="117">
        <f t="shared" si="359"/>
        <v>1.2048842640492281E-2</v>
      </c>
      <c r="K886" s="117">
        <f t="shared" si="359"/>
        <v>0</v>
      </c>
      <c r="L886" s="117">
        <f t="shared" si="359"/>
        <v>0.10588037528072733</v>
      </c>
      <c r="M886" s="117">
        <f t="shared" si="359"/>
        <v>6.6708498340986707E-3</v>
      </c>
      <c r="N886" s="117">
        <f t="shared" si="359"/>
        <v>7.0981457538576695E-2</v>
      </c>
      <c r="O886" s="117">
        <f t="shared" si="359"/>
        <v>0.1515692838951303</v>
      </c>
      <c r="P886" s="117">
        <f t="shared" si="359"/>
        <v>5.5890922106758119E-2</v>
      </c>
      <c r="Q886" s="117">
        <f t="shared" si="359"/>
        <v>2.3668581386321677E-2</v>
      </c>
      <c r="R886" s="117">
        <f t="shared" si="359"/>
        <v>0</v>
      </c>
      <c r="S886" s="117">
        <f t="shared" si="359"/>
        <v>0</v>
      </c>
      <c r="T886" s="117">
        <f t="shared" si="359"/>
        <v>5.2779839493934821E-5</v>
      </c>
      <c r="U886" s="117"/>
      <c r="V886" s="117">
        <f>SUM(G886:T886)</f>
        <v>1.0000000000000002</v>
      </c>
      <c r="W886" s="98" t="str">
        <f t="shared" si="354"/>
        <v>ok</v>
      </c>
      <c r="X886" s="102" t="str">
        <f t="shared" si="355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3580836.9697062937</v>
      </c>
      <c r="G888" s="101">
        <f t="shared" ref="G888:T888" si="360">G876</f>
        <v>1461985.8675600674</v>
      </c>
      <c r="H888" s="101">
        <f t="shared" si="360"/>
        <v>393704.18183345284</v>
      </c>
      <c r="I888" s="101">
        <f>I876</f>
        <v>0</v>
      </c>
      <c r="J888" s="101">
        <f>J876</f>
        <v>24095.46073589458</v>
      </c>
      <c r="K888" s="101">
        <f>K876</f>
        <v>0</v>
      </c>
      <c r="L888" s="101">
        <f t="shared" si="360"/>
        <v>408665.04815701587</v>
      </c>
      <c r="M888" s="101">
        <f t="shared" si="360"/>
        <v>29863.807891820055</v>
      </c>
      <c r="N888" s="101">
        <f t="shared" si="360"/>
        <v>291986.14657000959</v>
      </c>
      <c r="O888" s="101">
        <f>O876</f>
        <v>637992.48876148975</v>
      </c>
      <c r="P888" s="101">
        <f>P876</f>
        <v>226896.36310292233</v>
      </c>
      <c r="Q888" s="101">
        <f t="shared" si="360"/>
        <v>105477.34137232017</v>
      </c>
      <c r="R888" s="101">
        <f t="shared" si="360"/>
        <v>0</v>
      </c>
      <c r="S888" s="101">
        <f t="shared" si="360"/>
        <v>0</v>
      </c>
      <c r="T888" s="101">
        <f t="shared" si="360"/>
        <v>170.2637213014211</v>
      </c>
      <c r="U888" s="101"/>
      <c r="V888" s="101">
        <f>SUM(G888:T888)</f>
        <v>3580836.9697062937</v>
      </c>
      <c r="W888" s="98" t="str">
        <f t="shared" ref="W888:W900" si="361">IF(ABS(F888-V888)&lt;0.01,"ok","err")</f>
        <v>ok</v>
      </c>
      <c r="X888" s="102" t="str">
        <f t="shared" ref="X888:X893" si="362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63">F182</f>
        <v>35933655.745627098</v>
      </c>
      <c r="G889" s="102">
        <f t="shared" si="363"/>
        <v>14709517.663382621</v>
      </c>
      <c r="H889" s="102">
        <f t="shared" si="363"/>
        <v>4082872.288510411</v>
      </c>
      <c r="I889" s="102">
        <f t="shared" si="363"/>
        <v>0</v>
      </c>
      <c r="J889" s="102">
        <f t="shared" si="363"/>
        <v>307441.71318564139</v>
      </c>
      <c r="K889" s="102">
        <f t="shared" si="363"/>
        <v>0</v>
      </c>
      <c r="L889" s="102">
        <f t="shared" si="363"/>
        <v>4103938.771879869</v>
      </c>
      <c r="M889" s="102">
        <f t="shared" si="363"/>
        <v>302193.20603464823</v>
      </c>
      <c r="N889" s="102">
        <f t="shared" si="363"/>
        <v>2996989.8309334596</v>
      </c>
      <c r="O889" s="102">
        <f t="shared" si="363"/>
        <v>6554633.7073483607</v>
      </c>
      <c r="P889" s="102">
        <f t="shared" si="363"/>
        <v>2278915.891009375</v>
      </c>
      <c r="Q889" s="102">
        <f t="shared" si="363"/>
        <v>595315.48418306466</v>
      </c>
      <c r="R889" s="102">
        <f t="shared" si="363"/>
        <v>0</v>
      </c>
      <c r="S889" s="102">
        <f t="shared" si="363"/>
        <v>0</v>
      </c>
      <c r="T889" s="102">
        <f t="shared" si="363"/>
        <v>1837.1891596451349</v>
      </c>
      <c r="V889" s="102">
        <f>F889</f>
        <v>35933655.745627098</v>
      </c>
      <c r="W889" s="98" t="str">
        <f t="shared" si="361"/>
        <v>ok</v>
      </c>
      <c r="X889" s="102" t="str">
        <f t="shared" si="362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1"/>
        <v>ok</v>
      </c>
      <c r="X890" s="102" t="str">
        <f t="shared" si="362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64">IF(VLOOKUP($E891,$D$5:$AJ$945,3,)=0,0,(VLOOKUP($E891,$D$5:$AJ$945,G$1,)/VLOOKUP($E891,$D$5:$AJ$945,3,))*$F891)</f>
        <v>14671010.524722213</v>
      </c>
      <c r="H891" s="101">
        <f t="shared" si="364"/>
        <v>3950816.7099764524</v>
      </c>
      <c r="I891" s="101">
        <f t="shared" si="364"/>
        <v>0</v>
      </c>
      <c r="J891" s="101">
        <f t="shared" si="364"/>
        <v>241797.6574864641</v>
      </c>
      <c r="K891" s="101">
        <f t="shared" si="364"/>
        <v>0</v>
      </c>
      <c r="L891" s="101">
        <f t="shared" si="364"/>
        <v>4100948.8228526646</v>
      </c>
      <c r="M891" s="101">
        <f t="shared" si="364"/>
        <v>299682.95153247996</v>
      </c>
      <c r="N891" s="101">
        <f t="shared" si="364"/>
        <v>2930077.454545361</v>
      </c>
      <c r="O891" s="101">
        <f t="shared" si="364"/>
        <v>6402246.9197561983</v>
      </c>
      <c r="P891" s="101">
        <f t="shared" si="364"/>
        <v>2276902.2635353203</v>
      </c>
      <c r="Q891" s="101">
        <f t="shared" si="364"/>
        <v>1058463.8468329434</v>
      </c>
      <c r="R891" s="101">
        <f t="shared" si="364"/>
        <v>0</v>
      </c>
      <c r="S891" s="101">
        <f t="shared" si="364"/>
        <v>0</v>
      </c>
      <c r="T891" s="101">
        <f t="shared" si="364"/>
        <v>1708.5943870034625</v>
      </c>
      <c r="U891" s="100"/>
      <c r="V891" s="102">
        <f>SUM(G891:T891)</f>
        <v>35933655.745627098</v>
      </c>
      <c r="W891" s="98" t="str">
        <f t="shared" si="361"/>
        <v>ok</v>
      </c>
      <c r="X891" s="102" t="str">
        <f t="shared" si="362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65">F890+F891</f>
        <v>35933655.745627098</v>
      </c>
      <c r="G892" s="102">
        <f t="shared" si="365"/>
        <v>14671010.524722213</v>
      </c>
      <c r="H892" s="102">
        <f t="shared" si="365"/>
        <v>3950816.7099764524</v>
      </c>
      <c r="I892" s="102">
        <f>I890+I891</f>
        <v>0</v>
      </c>
      <c r="J892" s="102">
        <f>J890+J891</f>
        <v>241797.6574864641</v>
      </c>
      <c r="K892" s="102">
        <f>K890+K891</f>
        <v>0</v>
      </c>
      <c r="L892" s="102">
        <f t="shared" si="365"/>
        <v>4100948.8228526646</v>
      </c>
      <c r="M892" s="102">
        <f t="shared" si="365"/>
        <v>299682.95153247996</v>
      </c>
      <c r="N892" s="102">
        <f t="shared" si="365"/>
        <v>2930077.454545361</v>
      </c>
      <c r="O892" s="102">
        <f t="shared" si="365"/>
        <v>6402246.9197561983</v>
      </c>
      <c r="P892" s="102">
        <f>P890+P891</f>
        <v>2276902.2635353203</v>
      </c>
      <c r="Q892" s="102">
        <f t="shared" si="365"/>
        <v>1058463.8468329434</v>
      </c>
      <c r="R892" s="102">
        <f t="shared" si="365"/>
        <v>0</v>
      </c>
      <c r="S892" s="102">
        <f t="shared" si="365"/>
        <v>0</v>
      </c>
      <c r="T892" s="102">
        <f t="shared" si="365"/>
        <v>1708.5943870034625</v>
      </c>
      <c r="U892" s="102"/>
      <c r="V892" s="102">
        <f>SUM(G892:T892)</f>
        <v>35933655.745627098</v>
      </c>
      <c r="W892" s="98" t="str">
        <f t="shared" si="361"/>
        <v>ok</v>
      </c>
      <c r="X892" s="102" t="str">
        <f t="shared" si="362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66">IF(VLOOKUP($E893,$D$5:$AJ$945,3,)=0,0,(VLOOKUP($E893,$D$5:$AJ$945,G$1,)/VLOOKUP($E893,$D$5:$AJ$945,3,))*$F893)</f>
        <v>0.40828048859202376</v>
      </c>
      <c r="H893" s="117">
        <f t="shared" si="366"/>
        <v>0.1099475304696</v>
      </c>
      <c r="I893" s="117">
        <f t="shared" si="366"/>
        <v>0</v>
      </c>
      <c r="J893" s="117">
        <f t="shared" si="366"/>
        <v>6.7290024482379411E-3</v>
      </c>
      <c r="K893" s="117">
        <f t="shared" si="366"/>
        <v>0</v>
      </c>
      <c r="L893" s="117">
        <f t="shared" si="366"/>
        <v>0.11412556662431221</v>
      </c>
      <c r="M893" s="117">
        <f t="shared" si="366"/>
        <v>8.339895992044993E-3</v>
      </c>
      <c r="N893" s="117">
        <f t="shared" si="366"/>
        <v>8.1541312559102283E-2</v>
      </c>
      <c r="O893" s="117">
        <f t="shared" si="366"/>
        <v>0.17816853829394499</v>
      </c>
      <c r="P893" s="117">
        <f t="shared" si="366"/>
        <v>6.3364058465228801E-2</v>
      </c>
      <c r="Q893" s="117">
        <f t="shared" si="366"/>
        <v>2.9456057973220602E-2</v>
      </c>
      <c r="R893" s="117">
        <f t="shared" si="366"/>
        <v>0</v>
      </c>
      <c r="S893" s="117">
        <f t="shared" si="366"/>
        <v>0</v>
      </c>
      <c r="T893" s="117">
        <f t="shared" si="366"/>
        <v>4.7548582284489322E-5</v>
      </c>
      <c r="U893" s="117"/>
      <c r="V893" s="117">
        <f>SUM(G893:T893)</f>
        <v>0.99999999999999989</v>
      </c>
      <c r="W893" s="98" t="str">
        <f t="shared" si="361"/>
        <v>ok</v>
      </c>
      <c r="X893" s="102" t="str">
        <f t="shared" si="362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2257</v>
      </c>
      <c r="D895" s="97" t="s">
        <v>2258</v>
      </c>
      <c r="F895" s="101">
        <f>F878</f>
        <v>2210233.27</v>
      </c>
      <c r="G895" s="101">
        <f t="shared" ref="G895:T895" si="367">G878</f>
        <v>742512.41</v>
      </c>
      <c r="H895" s="101">
        <f t="shared" si="367"/>
        <v>219973.74</v>
      </c>
      <c r="I895" s="101">
        <f>I878</f>
        <v>0</v>
      </c>
      <c r="J895" s="101">
        <f t="shared" si="367"/>
        <v>18510.419999999998</v>
      </c>
      <c r="K895" s="101">
        <f>K878</f>
        <v>0</v>
      </c>
      <c r="L895" s="101">
        <f t="shared" si="367"/>
        <v>261649.58</v>
      </c>
      <c r="M895" s="101">
        <f t="shared" si="367"/>
        <v>20191.39</v>
      </c>
      <c r="N895" s="101">
        <f t="shared" si="367"/>
        <v>203695.09</v>
      </c>
      <c r="O895" s="101">
        <f t="shared" si="367"/>
        <v>489641.26</v>
      </c>
      <c r="P895" s="101">
        <f t="shared" si="367"/>
        <v>174377.74</v>
      </c>
      <c r="Q895" s="101">
        <f t="shared" si="367"/>
        <v>64375.78</v>
      </c>
      <c r="R895" s="101">
        <f t="shared" si="367"/>
        <v>15069.9</v>
      </c>
      <c r="S895" s="101">
        <f t="shared" si="367"/>
        <v>54.45</v>
      </c>
      <c r="T895" s="101">
        <f t="shared" si="367"/>
        <v>181.51</v>
      </c>
      <c r="U895" s="101">
        <f>U876</f>
        <v>0</v>
      </c>
      <c r="V895" s="101">
        <f>V878</f>
        <v>2210233.27</v>
      </c>
      <c r="W895" s="98" t="str">
        <f t="shared" si="361"/>
        <v>ok</v>
      </c>
      <c r="X895" s="102"/>
    </row>
    <row r="896" spans="1:24" ht="12" customHeight="1" x14ac:dyDescent="0.25">
      <c r="A896" s="97" t="s">
        <v>2259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1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G897" s="97">
        <v>0</v>
      </c>
      <c r="H897" s="101">
        <v>0</v>
      </c>
      <c r="I897" s="101">
        <v>0</v>
      </c>
      <c r="J897" s="97">
        <v>0</v>
      </c>
      <c r="K897" s="97">
        <v>0</v>
      </c>
      <c r="L897" s="101">
        <v>0</v>
      </c>
      <c r="M897" s="101">
        <v>0</v>
      </c>
      <c r="N897" s="105">
        <v>0</v>
      </c>
      <c r="O897" s="101">
        <v>0</v>
      </c>
      <c r="P897" s="101">
        <v>0</v>
      </c>
      <c r="Q897" s="101">
        <v>0</v>
      </c>
      <c r="R897" s="101">
        <v>0</v>
      </c>
      <c r="S897" s="97">
        <v>0</v>
      </c>
      <c r="T897" s="97">
        <v>0</v>
      </c>
      <c r="V897" s="102">
        <f>F897</f>
        <v>0</v>
      </c>
      <c r="W897" s="98" t="str">
        <f t="shared" si="361"/>
        <v>ok</v>
      </c>
      <c r="X897" s="102"/>
    </row>
    <row r="898" spans="1:36" ht="12" customHeight="1" x14ac:dyDescent="0.25">
      <c r="A898" s="97" t="s">
        <v>2260</v>
      </c>
      <c r="E898" s="97" t="s">
        <v>2258</v>
      </c>
      <c r="F898" s="102">
        <f>F896-F897</f>
        <v>37625250.163491994</v>
      </c>
      <c r="G898" s="101">
        <f t="shared" ref="G898:T898" si="368">IF(VLOOKUP($E898,$D$5:$AJ$945,3,)=0,0,(VLOOKUP($E898,$D$5:$AJ$945,G$1,)/VLOOKUP($E898,$D$5:$AJ$945,3,))*$F898)</f>
        <v>12639939.66381084</v>
      </c>
      <c r="H898" s="101">
        <f t="shared" si="368"/>
        <v>3744657.683529913</v>
      </c>
      <c r="I898" s="101">
        <f t="shared" si="368"/>
        <v>0</v>
      </c>
      <c r="J898" s="101">
        <f t="shared" si="368"/>
        <v>315106.64172171539</v>
      </c>
      <c r="K898" s="101">
        <f t="shared" si="368"/>
        <v>0</v>
      </c>
      <c r="L898" s="101">
        <f t="shared" si="368"/>
        <v>4454113.9780565379</v>
      </c>
      <c r="M898" s="101">
        <f t="shared" si="368"/>
        <v>343722.13567241729</v>
      </c>
      <c r="N898" s="101">
        <f t="shared" si="368"/>
        <v>3467542.9161036094</v>
      </c>
      <c r="O898" s="101">
        <f t="shared" si="368"/>
        <v>8335262.6837742906</v>
      </c>
      <c r="P898" s="101">
        <f t="shared" si="368"/>
        <v>2968467.7085891319</v>
      </c>
      <c r="Q898" s="101">
        <f t="shared" si="368"/>
        <v>1095881.9866872807</v>
      </c>
      <c r="R898" s="101">
        <f t="shared" si="368"/>
        <v>256537.97050969556</v>
      </c>
      <c r="S898" s="101">
        <f t="shared" si="368"/>
        <v>926.91341642963289</v>
      </c>
      <c r="T898" s="101">
        <f t="shared" si="368"/>
        <v>3089.8816201311779</v>
      </c>
      <c r="U898" s="100"/>
      <c r="V898" s="102">
        <f>SUM(G898:T898)</f>
        <v>37625250.163491987</v>
      </c>
      <c r="W898" s="98" t="str">
        <f t="shared" si="361"/>
        <v>ok</v>
      </c>
      <c r="X898" s="102"/>
    </row>
    <row r="899" spans="1:36" ht="12" customHeight="1" x14ac:dyDescent="0.25">
      <c r="A899" s="97" t="s">
        <v>2261</v>
      </c>
      <c r="D899" s="97" t="s">
        <v>2262</v>
      </c>
      <c r="F899" s="102">
        <f t="shared" ref="F899:T899" si="369">F897+F898</f>
        <v>37625250.163491994</v>
      </c>
      <c r="G899" s="102">
        <f t="shared" si="369"/>
        <v>12639939.66381084</v>
      </c>
      <c r="H899" s="102">
        <f t="shared" si="369"/>
        <v>3744657.683529913</v>
      </c>
      <c r="I899" s="102">
        <f>I897+I898</f>
        <v>0</v>
      </c>
      <c r="J899" s="102">
        <f t="shared" si="369"/>
        <v>315106.64172171539</v>
      </c>
      <c r="K899" s="102">
        <f>K897+K898</f>
        <v>0</v>
      </c>
      <c r="L899" s="102">
        <f t="shared" si="369"/>
        <v>4454113.9780565379</v>
      </c>
      <c r="M899" s="102">
        <f t="shared" si="369"/>
        <v>343722.13567241729</v>
      </c>
      <c r="N899" s="102">
        <f t="shared" si="369"/>
        <v>3467542.9161036094</v>
      </c>
      <c r="O899" s="102">
        <f t="shared" si="369"/>
        <v>8335262.6837742906</v>
      </c>
      <c r="P899" s="102">
        <f t="shared" si="369"/>
        <v>2968467.7085891319</v>
      </c>
      <c r="Q899" s="102">
        <f>Q897+Q898</f>
        <v>1095881.9866872807</v>
      </c>
      <c r="R899" s="102">
        <f t="shared" si="369"/>
        <v>256537.97050969556</v>
      </c>
      <c r="S899" s="102">
        <f t="shared" si="369"/>
        <v>926.91341642963289</v>
      </c>
      <c r="T899" s="102">
        <f t="shared" si="369"/>
        <v>3089.8816201311779</v>
      </c>
      <c r="U899" s="102"/>
      <c r="V899" s="102">
        <f>SUM(G899:T899)</f>
        <v>37625250.163491987</v>
      </c>
      <c r="W899" s="98" t="str">
        <f t="shared" si="361"/>
        <v>ok</v>
      </c>
      <c r="X899" s="102"/>
    </row>
    <row r="900" spans="1:36" ht="12" customHeight="1" x14ac:dyDescent="0.25">
      <c r="A900" s="97" t="s">
        <v>2263</v>
      </c>
      <c r="D900" s="97" t="s">
        <v>2264</v>
      </c>
      <c r="E900" s="97" t="s">
        <v>2262</v>
      </c>
      <c r="F900" s="118">
        <v>1</v>
      </c>
      <c r="G900" s="117">
        <f t="shared" ref="G900:T900" si="370">IF(VLOOKUP($E900,$D$5:$AJ$945,3,)=0,0,(VLOOKUP($E900,$D$5:$AJ$945,G$1,)/VLOOKUP($E900,$D$5:$AJ$945,3,))*$F900)</f>
        <v>0.33594300659495546</v>
      </c>
      <c r="H900" s="117">
        <f t="shared" si="370"/>
        <v>9.9525123879797533E-2</v>
      </c>
      <c r="I900" s="117">
        <f t="shared" si="370"/>
        <v>0</v>
      </c>
      <c r="J900" s="117">
        <f t="shared" si="370"/>
        <v>8.3748716713507795E-3</v>
      </c>
      <c r="K900" s="117">
        <f t="shared" si="370"/>
        <v>0</v>
      </c>
      <c r="L900" s="117">
        <f t="shared" si="370"/>
        <v>0.11838097975966128</v>
      </c>
      <c r="M900" s="117">
        <f t="shared" si="370"/>
        <v>9.1354113043461693E-3</v>
      </c>
      <c r="N900" s="117">
        <f t="shared" si="370"/>
        <v>9.2159996306634184E-2</v>
      </c>
      <c r="O900" s="117">
        <f t="shared" si="370"/>
        <v>0.22153374788354355</v>
      </c>
      <c r="P900" s="117">
        <f t="shared" si="370"/>
        <v>7.8895627157037587E-2</v>
      </c>
      <c r="Q900" s="117">
        <f t="shared" si="370"/>
        <v>2.9126237883479154E-2</v>
      </c>
      <c r="R900" s="117">
        <f t="shared" si="370"/>
        <v>6.8182395969453484E-3</v>
      </c>
      <c r="S900" s="117">
        <f t="shared" si="370"/>
        <v>2.4635408732219474E-5</v>
      </c>
      <c r="T900" s="117">
        <f t="shared" si="370"/>
        <v>8.2122553516715451E-5</v>
      </c>
      <c r="U900" s="117"/>
      <c r="V900" s="117">
        <f>SUM(G900:T900)</f>
        <v>0.99999999999999989</v>
      </c>
      <c r="W900" s="98" t="str">
        <f t="shared" si="361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2431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0</v>
      </c>
      <c r="J903" s="101">
        <f>895056+1730605</f>
        <v>2625661</v>
      </c>
      <c r="K903" s="101">
        <v>0</v>
      </c>
      <c r="L903" s="101">
        <f>3221732+15733089</f>
        <v>18954821</v>
      </c>
      <c r="M903" s="101">
        <f>278001+1255783</f>
        <v>1533784</v>
      </c>
      <c r="N903" s="101">
        <f>8764109+3108014</f>
        <v>11872123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1">SUM(G903:T903)</f>
        <v>183699328</v>
      </c>
      <c r="W903" s="268" t="str">
        <f t="shared" ref="W903:W912" si="372">IF(ABS(F903-V903)&lt;0.01,"ok","err")</f>
        <v>ok</v>
      </c>
      <c r="X903" s="102" t="str">
        <f t="shared" ref="X903:X912" si="373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2327</v>
      </c>
      <c r="D904" s="97" t="s">
        <v>2328</v>
      </c>
      <c r="F904" s="101">
        <f t="shared" ref="F904:T904" si="374">F717+F718+F720</f>
        <v>0</v>
      </c>
      <c r="G904" s="101">
        <f t="shared" si="374"/>
        <v>0</v>
      </c>
      <c r="H904" s="101">
        <f t="shared" si="374"/>
        <v>0</v>
      </c>
      <c r="I904" s="101">
        <f t="shared" si="374"/>
        <v>0</v>
      </c>
      <c r="J904" s="101">
        <f t="shared" si="374"/>
        <v>0</v>
      </c>
      <c r="K904" s="101">
        <f t="shared" si="374"/>
        <v>0</v>
      </c>
      <c r="L904" s="101">
        <f t="shared" si="374"/>
        <v>0</v>
      </c>
      <c r="M904" s="101">
        <f t="shared" si="374"/>
        <v>0</v>
      </c>
      <c r="N904" s="101">
        <f t="shared" si="374"/>
        <v>0</v>
      </c>
      <c r="O904" s="101">
        <f t="shared" si="374"/>
        <v>0</v>
      </c>
      <c r="P904" s="101">
        <f t="shared" si="374"/>
        <v>0</v>
      </c>
      <c r="Q904" s="101">
        <f t="shared" si="374"/>
        <v>0</v>
      </c>
      <c r="R904" s="101">
        <f t="shared" si="374"/>
        <v>0</v>
      </c>
      <c r="S904" s="101">
        <f t="shared" si="374"/>
        <v>0</v>
      </c>
      <c r="T904" s="101">
        <f t="shared" si="374"/>
        <v>0</v>
      </c>
      <c r="U904" s="101">
        <v>0</v>
      </c>
      <c r="V904" s="101">
        <f t="shared" si="371"/>
        <v>0</v>
      </c>
      <c r="W904" s="268" t="str">
        <f t="shared" si="372"/>
        <v>ok</v>
      </c>
      <c r="X904" s="102" t="str">
        <f t="shared" si="373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75">F9+F10</f>
        <v>2787666237.791626</v>
      </c>
      <c r="G905" s="101">
        <f t="shared" si="375"/>
        <v>1141137045.8571105</v>
      </c>
      <c r="H905" s="101">
        <f t="shared" si="375"/>
        <v>316741645.0045048</v>
      </c>
      <c r="I905" s="101">
        <f t="shared" si="375"/>
        <v>0</v>
      </c>
      <c r="J905" s="101">
        <f t="shared" si="375"/>
        <v>23850756.794783566</v>
      </c>
      <c r="K905" s="101">
        <f t="shared" si="375"/>
        <v>0</v>
      </c>
      <c r="L905" s="101">
        <f t="shared" si="375"/>
        <v>318375943.63678867</v>
      </c>
      <c r="M905" s="101">
        <f t="shared" si="375"/>
        <v>23443587.363228798</v>
      </c>
      <c r="N905" s="101">
        <f t="shared" si="375"/>
        <v>232500901.82418305</v>
      </c>
      <c r="O905" s="101">
        <f t="shared" si="375"/>
        <v>508496302.64211524</v>
      </c>
      <c r="P905" s="101">
        <f t="shared" si="375"/>
        <v>176794059.95051754</v>
      </c>
      <c r="Q905" s="101">
        <f t="shared" si="375"/>
        <v>46183468.997408077</v>
      </c>
      <c r="R905" s="101">
        <f t="shared" si="375"/>
        <v>0</v>
      </c>
      <c r="S905" s="101">
        <f t="shared" si="375"/>
        <v>0</v>
      </c>
      <c r="T905" s="101">
        <f t="shared" si="375"/>
        <v>142525.72098520098</v>
      </c>
      <c r="U905" s="101"/>
      <c r="V905" s="101">
        <f t="shared" si="371"/>
        <v>2787666237.7916255</v>
      </c>
      <c r="W905" s="268" t="str">
        <f t="shared" si="372"/>
        <v>ok</v>
      </c>
      <c r="X905" s="102" t="str">
        <f t="shared" si="373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1"/>
        <v>0</v>
      </c>
      <c r="W906" s="268" t="str">
        <f t="shared" si="372"/>
        <v>ok</v>
      </c>
      <c r="X906" s="102" t="str">
        <f t="shared" si="373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1"/>
        <v>0</v>
      </c>
      <c r="W907" s="268" t="str">
        <f t="shared" si="372"/>
        <v>ok</v>
      </c>
      <c r="X907" s="102" t="str">
        <f t="shared" si="373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Det'!D38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v>0</v>
      </c>
      <c r="J908" s="101">
        <f>'Billing Det'!D14+'Billing Det'!D16</f>
        <v>12037991</v>
      </c>
      <c r="K908" s="101">
        <v>0</v>
      </c>
      <c r="L908" s="101">
        <f>'Billing Det'!D18</f>
        <v>174459441</v>
      </c>
      <c r="M908" s="101">
        <f>'Billing Det'!D20</f>
        <v>13950651</v>
      </c>
      <c r="N908" s="101">
        <f>'Billing Det'!D22</f>
        <v>116879945</v>
      </c>
      <c r="O908" s="101">
        <f>'Billing Det'!D24</f>
        <v>251561897</v>
      </c>
      <c r="P908" s="101">
        <f>'Billing Det'!D28</f>
        <v>86711460</v>
      </c>
      <c r="Q908" s="101">
        <f>'Billing Det'!D30</f>
        <v>29892107</v>
      </c>
      <c r="R908" s="101">
        <f>'Billing Det'!D32</f>
        <v>26032396</v>
      </c>
      <c r="S908" s="101">
        <f>'Billing Det'!D34</f>
        <v>29470</v>
      </c>
      <c r="T908" s="101">
        <f>'Billing Det'!D36</f>
        <v>156512</v>
      </c>
      <c r="U908" s="117"/>
      <c r="V908" s="101">
        <f t="shared" si="371"/>
        <v>1464489053</v>
      </c>
      <c r="W908" s="268" t="str">
        <f t="shared" si="372"/>
        <v>ok</v>
      </c>
      <c r="X908" s="102" t="str">
        <f t="shared" si="373"/>
        <v/>
      </c>
    </row>
    <row r="909" spans="1:36" ht="12" customHeight="1" x14ac:dyDescent="0.25">
      <c r="A909" s="97" t="s">
        <v>1932</v>
      </c>
      <c r="D909" s="97" t="s">
        <v>1931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72"/>
        <v>ok</v>
      </c>
      <c r="X909" s="243" t="str">
        <f t="shared" si="373"/>
        <v/>
      </c>
    </row>
    <row r="910" spans="1:36" ht="12" customHeight="1" x14ac:dyDescent="0.25">
      <c r="A910" s="97" t="s">
        <v>1515</v>
      </c>
      <c r="D910" s="97" t="s">
        <v>2230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1413.8370169684872</v>
      </c>
      <c r="M910" s="101">
        <f>(M860/($L$860+$M$860))*1468</f>
        <v>54.162983031512901</v>
      </c>
      <c r="N910" s="101">
        <f>(N860/($N$860+$O$860+$P$860))*1555</f>
        <v>1039.6093538794269</v>
      </c>
      <c r="O910" s="101">
        <f>(O860/($N$860+$O$860+$P$860))*1555</f>
        <v>464.94457961611243</v>
      </c>
      <c r="P910" s="101">
        <f>(P860/($N$860+$O$860+$P$860))*1555</f>
        <v>50.44606650446066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1937</v>
      </c>
      <c r="D911" s="97" t="s">
        <v>1936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72"/>
        <v>ok</v>
      </c>
      <c r="X911" s="102" t="str">
        <f t="shared" si="373"/>
        <v/>
      </c>
    </row>
    <row r="912" spans="1:36" ht="12" hidden="1" customHeight="1" x14ac:dyDescent="0.25">
      <c r="A912" s="97" t="s">
        <v>1939</v>
      </c>
      <c r="D912" s="97" t="s">
        <v>1938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72"/>
        <v>ok</v>
      </c>
      <c r="X912" s="102" t="str">
        <f t="shared" si="373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76">F231-F183</f>
        <v>293386691.80935371</v>
      </c>
      <c r="G914" s="106">
        <f t="shared" si="376"/>
        <v>155385687.98585722</v>
      </c>
      <c r="H914" s="106">
        <f t="shared" si="376"/>
        <v>45018384.587830327</v>
      </c>
      <c r="I914" s="106">
        <f t="shared" si="376"/>
        <v>0</v>
      </c>
      <c r="J914" s="106">
        <f t="shared" si="376"/>
        <v>2305091.5582667273</v>
      </c>
      <c r="K914" s="106">
        <f t="shared" si="376"/>
        <v>0</v>
      </c>
      <c r="L914" s="106">
        <f t="shared" si="376"/>
        <v>23279236.989949048</v>
      </c>
      <c r="M914" s="106">
        <f t="shared" si="376"/>
        <v>1800958.0109399622</v>
      </c>
      <c r="N914" s="106">
        <f t="shared" si="376"/>
        <v>16106037.475369833</v>
      </c>
      <c r="O914" s="106">
        <f t="shared" si="376"/>
        <v>32919501.273044854</v>
      </c>
      <c r="P914" s="106">
        <f t="shared" si="376"/>
        <v>10165015.247614801</v>
      </c>
      <c r="Q914" s="106">
        <f t="shared" si="376"/>
        <v>2563884.0405402891</v>
      </c>
      <c r="R914" s="106">
        <f t="shared" si="376"/>
        <v>3799557.6709488221</v>
      </c>
      <c r="S914" s="106">
        <f t="shared" si="376"/>
        <v>1136.4246854184239</v>
      </c>
      <c r="T914" s="106">
        <f t="shared" si="376"/>
        <v>42200.544306447744</v>
      </c>
      <c r="U914" s="106"/>
      <c r="V914" s="101">
        <f>SUM(G914:T914)</f>
        <v>293386691.80935377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77">IF(VLOOKUP($E918,$D$5:$AJ$959,3,)=0,0,(VLOOKUP($E918,$D$5:$AJ$959,G$1,)/VLOOKUP($E918,$D$5:$AJ$959,3,))*$F918)</f>
        <v>0</v>
      </c>
      <c r="H918" s="100">
        <f t="shared" si="377"/>
        <v>0</v>
      </c>
      <c r="I918" s="100">
        <f t="shared" si="377"/>
        <v>0</v>
      </c>
      <c r="J918" s="100">
        <f t="shared" si="377"/>
        <v>0</v>
      </c>
      <c r="K918" s="100">
        <f t="shared" si="377"/>
        <v>0</v>
      </c>
      <c r="L918" s="100">
        <f t="shared" si="377"/>
        <v>0</v>
      </c>
      <c r="M918" s="100">
        <f t="shared" si="377"/>
        <v>0</v>
      </c>
      <c r="N918" s="100">
        <f t="shared" si="377"/>
        <v>0</v>
      </c>
      <c r="O918" s="100">
        <f t="shared" si="377"/>
        <v>0</v>
      </c>
      <c r="P918" s="100">
        <f t="shared" si="377"/>
        <v>0</v>
      </c>
      <c r="Q918" s="100">
        <f t="shared" si="377"/>
        <v>0</v>
      </c>
      <c r="R918" s="100">
        <f t="shared" si="377"/>
        <v>0</v>
      </c>
      <c r="S918" s="100">
        <f t="shared" si="377"/>
        <v>0</v>
      </c>
      <c r="T918" s="100">
        <f t="shared" si="377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78">IF(VLOOKUP($E921,$D$5:$AJ$959,3,)=0,0,(VLOOKUP($E921,$D$5:$AJ$959,G$1,)/VLOOKUP($E921,$D$5:$AJ$959,3,))*$F921)</f>
        <v>0</v>
      </c>
      <c r="H921" s="100">
        <f t="shared" si="378"/>
        <v>0</v>
      </c>
      <c r="I921" s="100">
        <f t="shared" si="378"/>
        <v>0</v>
      </c>
      <c r="J921" s="100">
        <f t="shared" si="378"/>
        <v>0</v>
      </c>
      <c r="K921" s="100">
        <f t="shared" si="378"/>
        <v>0</v>
      </c>
      <c r="L921" s="100">
        <f t="shared" si="378"/>
        <v>0</v>
      </c>
      <c r="M921" s="100">
        <f t="shared" si="378"/>
        <v>0</v>
      </c>
      <c r="N921" s="100">
        <f t="shared" si="378"/>
        <v>0</v>
      </c>
      <c r="O921" s="100">
        <f t="shared" si="378"/>
        <v>0</v>
      </c>
      <c r="P921" s="100">
        <f t="shared" si="378"/>
        <v>0</v>
      </c>
      <c r="Q921" s="100">
        <f t="shared" si="378"/>
        <v>0</v>
      </c>
      <c r="R921" s="100">
        <f t="shared" si="378"/>
        <v>0</v>
      </c>
      <c r="S921" s="100">
        <f t="shared" si="378"/>
        <v>0</v>
      </c>
      <c r="T921" s="100">
        <f t="shared" si="378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78"/>
        <v>0</v>
      </c>
      <c r="H922" s="100">
        <f t="shared" si="378"/>
        <v>0</v>
      </c>
      <c r="I922" s="100">
        <f t="shared" si="378"/>
        <v>0</v>
      </c>
      <c r="J922" s="100">
        <f t="shared" si="378"/>
        <v>0</v>
      </c>
      <c r="K922" s="100">
        <f t="shared" si="378"/>
        <v>0</v>
      </c>
      <c r="L922" s="100">
        <f t="shared" si="378"/>
        <v>0</v>
      </c>
      <c r="M922" s="100">
        <f t="shared" si="378"/>
        <v>0</v>
      </c>
      <c r="N922" s="100">
        <f t="shared" si="378"/>
        <v>0</v>
      </c>
      <c r="O922" s="100">
        <f t="shared" si="378"/>
        <v>0</v>
      </c>
      <c r="P922" s="100">
        <f t="shared" si="378"/>
        <v>0</v>
      </c>
      <c r="Q922" s="100">
        <f t="shared" si="378"/>
        <v>0</v>
      </c>
      <c r="R922" s="100">
        <f t="shared" si="378"/>
        <v>0</v>
      </c>
      <c r="S922" s="100">
        <f t="shared" si="378"/>
        <v>0</v>
      </c>
      <c r="T922" s="100">
        <f t="shared" si="378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79">G921+G922</f>
        <v>0</v>
      </c>
      <c r="H923" s="100">
        <f t="shared" si="379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79"/>
        <v>0</v>
      </c>
      <c r="M923" s="100">
        <f t="shared" si="379"/>
        <v>0</v>
      </c>
      <c r="N923" s="100">
        <f t="shared" si="379"/>
        <v>0</v>
      </c>
      <c r="O923" s="100">
        <f t="shared" si="379"/>
        <v>0</v>
      </c>
      <c r="P923" s="100">
        <f>P921+P922</f>
        <v>0</v>
      </c>
      <c r="Q923" s="100">
        <f t="shared" si="379"/>
        <v>0</v>
      </c>
      <c r="R923" s="100">
        <f t="shared" si="379"/>
        <v>0</v>
      </c>
      <c r="S923" s="100">
        <f t="shared" si="379"/>
        <v>0</v>
      </c>
      <c r="T923" s="100">
        <f t="shared" si="379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80">G918-G923</f>
        <v>0</v>
      </c>
      <c r="H925" s="100">
        <f t="shared" si="380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0"/>
        <v>0</v>
      </c>
      <c r="M925" s="100">
        <f t="shared" si="380"/>
        <v>0</v>
      </c>
      <c r="N925" s="100">
        <f t="shared" si="380"/>
        <v>0</v>
      </c>
      <c r="O925" s="100">
        <f>O918-O923</f>
        <v>0</v>
      </c>
      <c r="P925" s="100">
        <f>P918-P923</f>
        <v>0</v>
      </c>
      <c r="Q925" s="100">
        <f t="shared" si="380"/>
        <v>0</v>
      </c>
      <c r="R925" s="100">
        <f t="shared" si="380"/>
        <v>0</v>
      </c>
      <c r="S925" s="100">
        <f t="shared" si="380"/>
        <v>0</v>
      </c>
      <c r="T925" s="100">
        <f t="shared" si="380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3">
      <c r="A930" s="393" t="s">
        <v>2454</v>
      </c>
      <c r="B930" s="394"/>
      <c r="C930" s="394"/>
      <c r="D930" s="394" t="s">
        <v>2455</v>
      </c>
      <c r="E930" s="394"/>
      <c r="F930" s="395">
        <f t="shared" ref="F930" si="381">SUM(G930:H930,J930,L930:T930)</f>
        <v>1</v>
      </c>
      <c r="G930" s="396">
        <v>0.40935210621236828</v>
      </c>
      <c r="H930" s="396">
        <v>0.11362251359596974</v>
      </c>
      <c r="I930" s="396"/>
      <c r="J930" s="396">
        <v>8.5558150654642239E-3</v>
      </c>
      <c r="K930" s="396"/>
      <c r="L930" s="396">
        <v>0.11420877410668946</v>
      </c>
      <c r="M930" s="396">
        <v>8.40975402485797E-3</v>
      </c>
      <c r="N930" s="396">
        <v>8.3403421353758986E-2</v>
      </c>
      <c r="O930" s="396">
        <v>0.18240931993528153</v>
      </c>
      <c r="P930" s="396">
        <v>6.3420095832768281E-2</v>
      </c>
      <c r="Q930" s="396">
        <v>1.6567072618418759E-2</v>
      </c>
      <c r="R930" s="396">
        <v>0</v>
      </c>
      <c r="S930" s="396">
        <v>0</v>
      </c>
      <c r="T930" s="396">
        <v>5.1127254422720664E-5</v>
      </c>
      <c r="U930" s="118"/>
      <c r="V930" s="101"/>
      <c r="W930" s="98"/>
      <c r="AA930" s="105"/>
      <c r="AB930" s="105"/>
      <c r="AC930" s="105"/>
      <c r="AD930" s="105"/>
      <c r="AE930" s="105"/>
      <c r="AF930" s="105"/>
    </row>
    <row r="931" spans="1:32" ht="12" customHeight="1" x14ac:dyDescent="0.25"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269"/>
      <c r="W931" s="98"/>
    </row>
    <row r="932" spans="1:32" ht="12" customHeight="1" x14ac:dyDescent="0.25">
      <c r="AA932" s="252"/>
      <c r="AB932" s="252"/>
      <c r="AC932" s="252"/>
      <c r="AD932" s="252"/>
      <c r="AE932" s="252"/>
      <c r="AF932" s="252"/>
    </row>
    <row r="933" spans="1:32" s="343" customFormat="1" ht="12" customHeight="1" x14ac:dyDescent="0.25">
      <c r="A933" s="342"/>
      <c r="F933" s="227"/>
      <c r="L933" s="112"/>
      <c r="M933" s="112"/>
      <c r="N933" s="112"/>
      <c r="O933" s="271"/>
      <c r="P933" s="112"/>
    </row>
    <row r="934" spans="1:32" s="343" customFormat="1" ht="12" customHeight="1" x14ac:dyDescent="0.25">
      <c r="A934" s="342"/>
      <c r="F934" s="227"/>
      <c r="L934" s="112"/>
      <c r="M934" s="112"/>
      <c r="N934" s="112"/>
      <c r="O934" s="112"/>
      <c r="P934" s="112"/>
    </row>
    <row r="935" spans="1:32" s="343" customFormat="1" ht="12" customHeight="1" x14ac:dyDescent="0.25">
      <c r="A935" s="342"/>
      <c r="F935" s="112"/>
      <c r="G935" s="255"/>
      <c r="H935" s="255"/>
      <c r="I935" s="255"/>
      <c r="J935" s="255"/>
      <c r="K935" s="255"/>
      <c r="L935" s="227"/>
      <c r="M935" s="227"/>
      <c r="N935" s="112"/>
      <c r="O935" s="227"/>
      <c r="P935" s="227"/>
      <c r="Q935" s="255"/>
      <c r="R935" s="255"/>
      <c r="S935" s="255"/>
      <c r="T935" s="255"/>
      <c r="U935" s="255"/>
      <c r="V935" s="255"/>
      <c r="W935" s="344"/>
    </row>
    <row r="936" spans="1:32" s="343" customFormat="1" ht="12" customHeight="1" x14ac:dyDescent="0.25">
      <c r="F936" s="228"/>
      <c r="G936" s="254"/>
      <c r="H936" s="254"/>
      <c r="I936" s="254"/>
      <c r="J936" s="254"/>
      <c r="K936" s="254"/>
      <c r="L936" s="228"/>
      <c r="M936" s="228"/>
      <c r="N936" s="228"/>
      <c r="O936" s="228"/>
      <c r="P936" s="228"/>
      <c r="Q936" s="254"/>
      <c r="R936" s="254"/>
      <c r="S936" s="254"/>
      <c r="T936" s="254"/>
      <c r="U936" s="254"/>
      <c r="V936" s="270"/>
      <c r="W936" s="344"/>
      <c r="X936" s="255"/>
    </row>
    <row r="937" spans="1:32" s="343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22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4"/>
      <c r="X937" s="255"/>
    </row>
    <row r="938" spans="1:32" s="343" customFormat="1" ht="12" customHeight="1" x14ac:dyDescent="0.25">
      <c r="F938" s="271"/>
      <c r="G938" s="270"/>
      <c r="H938" s="270"/>
      <c r="I938" s="270"/>
      <c r="J938" s="270"/>
      <c r="K938" s="270"/>
      <c r="L938" s="271"/>
      <c r="M938" s="271"/>
      <c r="N938" s="271"/>
      <c r="O938" s="271"/>
      <c r="P938" s="271"/>
      <c r="Q938" s="270"/>
      <c r="R938" s="270"/>
      <c r="S938" s="270"/>
      <c r="T938" s="270"/>
      <c r="U938" s="270"/>
      <c r="V938" s="270"/>
      <c r="W938" s="344"/>
      <c r="X938" s="255"/>
      <c r="Y938" s="255"/>
    </row>
    <row r="939" spans="1:32" s="343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4"/>
      <c r="X939" s="255"/>
      <c r="Y939" s="255"/>
    </row>
    <row r="940" spans="1:32" s="343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4"/>
      <c r="X940" s="255"/>
    </row>
    <row r="941" spans="1:32" s="343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4"/>
      <c r="X941" s="255"/>
    </row>
    <row r="942" spans="1:32" s="343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4"/>
      <c r="X942" s="255"/>
    </row>
    <row r="943" spans="1:32" s="343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4"/>
      <c r="X943" s="255"/>
    </row>
    <row r="944" spans="1:32" s="343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4"/>
      <c r="X944" s="255"/>
    </row>
    <row r="945" spans="1:24" s="343" customFormat="1" ht="12" customHeight="1" x14ac:dyDescent="0.25">
      <c r="F945" s="227"/>
      <c r="G945" s="255"/>
      <c r="H945" s="255"/>
      <c r="I945" s="255"/>
      <c r="J945" s="255"/>
      <c r="K945" s="255"/>
      <c r="L945" s="227"/>
      <c r="M945" s="227"/>
      <c r="N945" s="227"/>
      <c r="O945" s="227"/>
      <c r="P945" s="227"/>
      <c r="Q945" s="255"/>
      <c r="R945" s="255"/>
      <c r="S945" s="255"/>
      <c r="T945" s="255"/>
      <c r="U945" s="255"/>
      <c r="V945" s="255"/>
      <c r="W945" s="344"/>
      <c r="X945" s="255"/>
    </row>
    <row r="946" spans="1:24" s="343" customFormat="1" ht="12" customHeight="1" x14ac:dyDescent="0.25">
      <c r="F946" s="112"/>
      <c r="L946" s="112"/>
      <c r="M946" s="112"/>
      <c r="N946" s="112"/>
      <c r="O946" s="112"/>
      <c r="P946" s="112"/>
    </row>
    <row r="947" spans="1:24" s="343" customFormat="1" ht="12" customHeight="1" x14ac:dyDescent="0.25">
      <c r="A947" s="342"/>
      <c r="F947" s="112"/>
      <c r="L947" s="112"/>
      <c r="M947" s="112"/>
      <c r="N947" s="112"/>
      <c r="O947" s="112"/>
      <c r="P947" s="112"/>
    </row>
    <row r="948" spans="1:24" s="343" customFormat="1" ht="12" customHeight="1" x14ac:dyDescent="0.25">
      <c r="F948" s="227"/>
      <c r="G948" s="255"/>
      <c r="H948" s="255"/>
      <c r="I948" s="255"/>
      <c r="J948" s="255"/>
      <c r="K948" s="255"/>
      <c r="L948" s="227"/>
      <c r="M948" s="227"/>
      <c r="N948" s="227"/>
      <c r="O948" s="227"/>
      <c r="P948" s="227"/>
      <c r="Q948" s="255"/>
      <c r="R948" s="255"/>
      <c r="S948" s="255"/>
      <c r="T948" s="255"/>
      <c r="U948" s="255"/>
      <c r="V948" s="270"/>
      <c r="W948" s="344"/>
      <c r="X948" s="255"/>
    </row>
    <row r="949" spans="1:24" s="343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4"/>
      <c r="X949" s="255"/>
    </row>
    <row r="950" spans="1:24" s="343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4"/>
      <c r="X950" s="255"/>
    </row>
    <row r="951" spans="1:24" s="343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4"/>
      <c r="X951" s="255"/>
    </row>
    <row r="952" spans="1:24" s="343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4"/>
      <c r="X952" s="255"/>
    </row>
    <row r="953" spans="1:24" s="343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4"/>
      <c r="X953" s="255"/>
    </row>
    <row r="954" spans="1:24" s="343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4"/>
      <c r="X954" s="255"/>
    </row>
    <row r="955" spans="1:24" s="343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4"/>
      <c r="X955" s="255"/>
    </row>
    <row r="956" spans="1:24" s="343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4"/>
      <c r="X956" s="255"/>
    </row>
    <row r="957" spans="1:24" s="343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4"/>
      <c r="X957" s="255"/>
    </row>
    <row r="958" spans="1:24" s="343" customFormat="1" ht="12" customHeight="1" x14ac:dyDescent="0.25">
      <c r="E958" s="255"/>
      <c r="F958" s="271"/>
      <c r="G958" s="270"/>
      <c r="H958" s="270"/>
      <c r="I958" s="270"/>
      <c r="J958" s="270"/>
      <c r="K958" s="270"/>
      <c r="L958" s="271"/>
      <c r="M958" s="271"/>
      <c r="N958" s="271"/>
      <c r="O958" s="271"/>
      <c r="P958" s="271"/>
      <c r="Q958" s="270"/>
      <c r="R958" s="270"/>
      <c r="S958" s="270"/>
      <c r="T958" s="270"/>
      <c r="U958" s="270"/>
      <c r="V958" s="270"/>
      <c r="W958" s="344"/>
      <c r="X958" s="255"/>
    </row>
    <row r="959" spans="1:24" s="343" customFormat="1" ht="12" customHeight="1" x14ac:dyDescent="0.25">
      <c r="E959" s="345"/>
      <c r="F959" s="112"/>
      <c r="L959" s="112"/>
      <c r="M959" s="112"/>
      <c r="N959" s="112"/>
      <c r="O959" s="112"/>
      <c r="P959" s="112"/>
      <c r="V959" s="345"/>
    </row>
    <row r="960" spans="1:24" s="343" customFormat="1" ht="12" customHeight="1" x14ac:dyDescent="0.25">
      <c r="A960" s="342"/>
      <c r="F960" s="112"/>
      <c r="L960" s="112"/>
      <c r="M960" s="112"/>
      <c r="N960" s="112"/>
      <c r="O960" s="112"/>
      <c r="P960" s="112"/>
    </row>
    <row r="961" spans="1:24" s="343" customFormat="1" ht="12" customHeight="1" x14ac:dyDescent="0.25">
      <c r="F961" s="227"/>
      <c r="G961" s="255"/>
      <c r="H961" s="255"/>
      <c r="I961" s="255"/>
      <c r="J961" s="255"/>
      <c r="K961" s="255"/>
      <c r="L961" s="227"/>
      <c r="M961" s="227"/>
      <c r="N961" s="227"/>
      <c r="O961" s="227"/>
      <c r="P961" s="227"/>
      <c r="Q961" s="255"/>
      <c r="R961" s="255"/>
      <c r="S961" s="255"/>
      <c r="T961" s="255"/>
      <c r="V961" s="270"/>
      <c r="W961" s="344"/>
      <c r="X961" s="255"/>
    </row>
    <row r="962" spans="1:24" s="343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U962" s="255"/>
      <c r="V962" s="270"/>
      <c r="W962" s="344"/>
      <c r="X962" s="255"/>
    </row>
    <row r="963" spans="1:24" s="343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4"/>
      <c r="X963" s="255"/>
    </row>
    <row r="964" spans="1:24" s="343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4"/>
      <c r="X964" s="255"/>
    </row>
    <row r="965" spans="1:24" s="343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4"/>
      <c r="X965" s="255"/>
    </row>
    <row r="966" spans="1:24" s="343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4"/>
      <c r="X966" s="255"/>
    </row>
    <row r="967" spans="1:24" s="343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4"/>
      <c r="X967" s="255"/>
    </row>
    <row r="968" spans="1:24" s="343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4"/>
      <c r="X968" s="255"/>
    </row>
    <row r="969" spans="1:24" s="343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4"/>
      <c r="X969" s="255"/>
    </row>
    <row r="970" spans="1:24" s="343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55"/>
      <c r="W970" s="344"/>
      <c r="X970" s="255"/>
    </row>
    <row r="971" spans="1:24" s="343" customFormat="1" ht="12" customHeight="1" x14ac:dyDescent="0.25">
      <c r="F971" s="112"/>
      <c r="L971" s="112"/>
      <c r="M971" s="112"/>
      <c r="N971" s="112"/>
      <c r="O971" s="112"/>
      <c r="P971" s="112"/>
    </row>
    <row r="972" spans="1:24" s="343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3" customFormat="1" ht="12" customHeight="1" x14ac:dyDescent="0.25">
      <c r="A973" s="342"/>
      <c r="F973" s="112"/>
      <c r="L973" s="112"/>
      <c r="M973" s="112"/>
      <c r="N973" s="112"/>
      <c r="O973" s="112"/>
      <c r="P973" s="112"/>
    </row>
    <row r="974" spans="1:24" s="343" customFormat="1" ht="12" customHeight="1" x14ac:dyDescent="0.25">
      <c r="F974" s="112"/>
      <c r="G974" s="274"/>
      <c r="H974" s="274"/>
      <c r="I974" s="274"/>
      <c r="J974" s="274"/>
      <c r="K974" s="274"/>
      <c r="L974" s="346"/>
      <c r="M974" s="346"/>
      <c r="N974" s="346"/>
      <c r="O974" s="346"/>
      <c r="P974" s="346"/>
      <c r="Q974" s="274"/>
      <c r="R974" s="274"/>
      <c r="S974" s="274"/>
      <c r="T974" s="274"/>
      <c r="U974" s="274"/>
    </row>
    <row r="975" spans="1:24" s="343" customFormat="1" ht="12" customHeight="1" x14ac:dyDescent="0.25">
      <c r="F975" s="112"/>
      <c r="G975" s="274"/>
      <c r="H975" s="274"/>
      <c r="I975" s="274"/>
      <c r="J975" s="274"/>
      <c r="K975" s="274"/>
      <c r="L975" s="346"/>
      <c r="M975" s="346"/>
      <c r="N975" s="346"/>
      <c r="O975" s="346"/>
      <c r="P975" s="346"/>
      <c r="Q975" s="274"/>
      <c r="R975" s="274"/>
      <c r="S975" s="274"/>
      <c r="T975" s="274"/>
    </row>
    <row r="976" spans="1:24" s="343" customFormat="1" ht="12" customHeight="1" x14ac:dyDescent="0.25">
      <c r="F976" s="112"/>
      <c r="G976" s="274"/>
      <c r="H976" s="274"/>
      <c r="I976" s="274"/>
      <c r="J976" s="274"/>
      <c r="K976" s="274"/>
      <c r="L976" s="346"/>
      <c r="M976" s="346"/>
      <c r="N976" s="346"/>
      <c r="O976" s="346"/>
      <c r="P976" s="346"/>
      <c r="Q976" s="274"/>
      <c r="R976" s="274"/>
      <c r="S976" s="274"/>
      <c r="T976" s="274"/>
    </row>
    <row r="977" spans="1:21" s="343" customFormat="1" ht="12" customHeight="1" x14ac:dyDescent="0.25">
      <c r="F977" s="112"/>
      <c r="G977" s="274"/>
      <c r="H977" s="274"/>
      <c r="I977" s="274"/>
      <c r="J977" s="274"/>
      <c r="K977" s="274"/>
      <c r="L977" s="346"/>
      <c r="M977" s="346"/>
      <c r="N977" s="346"/>
      <c r="O977" s="346"/>
      <c r="P977" s="346"/>
      <c r="Q977" s="274"/>
      <c r="R977" s="274"/>
      <c r="S977" s="274"/>
      <c r="T977" s="274"/>
    </row>
    <row r="978" spans="1:21" s="343" customFormat="1" ht="12" customHeight="1" x14ac:dyDescent="0.25">
      <c r="F978" s="112"/>
      <c r="G978" s="274"/>
      <c r="H978" s="274"/>
      <c r="I978" s="274"/>
      <c r="J978" s="274"/>
      <c r="K978" s="274"/>
      <c r="L978" s="346"/>
      <c r="M978" s="346"/>
      <c r="N978" s="346"/>
      <c r="O978" s="346"/>
      <c r="P978" s="346"/>
      <c r="Q978" s="274"/>
      <c r="R978" s="274"/>
      <c r="S978" s="274"/>
      <c r="T978" s="274"/>
    </row>
    <row r="979" spans="1:21" s="343" customFormat="1" ht="12" customHeight="1" x14ac:dyDescent="0.25">
      <c r="F979" s="112"/>
      <c r="G979" s="274"/>
      <c r="H979" s="274"/>
      <c r="I979" s="274"/>
      <c r="J979" s="274"/>
      <c r="K979" s="274"/>
      <c r="L979" s="346"/>
      <c r="M979" s="346"/>
      <c r="N979" s="346"/>
      <c r="O979" s="346"/>
      <c r="P979" s="346"/>
      <c r="Q979" s="274"/>
      <c r="R979" s="274"/>
      <c r="S979" s="274"/>
      <c r="T979" s="274"/>
    </row>
    <row r="980" spans="1:21" s="343" customFormat="1" ht="12" customHeight="1" x14ac:dyDescent="0.25">
      <c r="F980" s="112"/>
      <c r="G980" s="274"/>
      <c r="H980" s="274"/>
      <c r="I980" s="274"/>
      <c r="J980" s="274"/>
      <c r="K980" s="274"/>
      <c r="L980" s="275"/>
      <c r="M980" s="275"/>
      <c r="N980" s="275"/>
      <c r="O980" s="275"/>
      <c r="P980" s="275"/>
      <c r="Q980" s="274"/>
      <c r="R980" s="274"/>
      <c r="S980" s="274"/>
      <c r="T980" s="274"/>
    </row>
    <row r="981" spans="1:21" s="343" customFormat="1" ht="12" customHeight="1" x14ac:dyDescent="0.25">
      <c r="F981" s="112"/>
      <c r="G981" s="274"/>
      <c r="H981" s="274"/>
      <c r="I981" s="274"/>
      <c r="J981" s="274"/>
      <c r="K981" s="274"/>
      <c r="L981" s="346"/>
      <c r="M981" s="346"/>
      <c r="N981" s="346"/>
      <c r="O981" s="346"/>
      <c r="P981" s="346"/>
      <c r="Q981" s="274"/>
      <c r="R981" s="274"/>
      <c r="S981" s="274"/>
      <c r="T981" s="274"/>
    </row>
    <row r="982" spans="1:21" s="343" customFormat="1" ht="12" customHeight="1" x14ac:dyDescent="0.25">
      <c r="F982" s="112"/>
      <c r="G982" s="276"/>
      <c r="H982" s="276"/>
      <c r="I982" s="276"/>
      <c r="J982" s="276"/>
      <c r="K982" s="276"/>
      <c r="L982" s="277"/>
      <c r="M982" s="277"/>
      <c r="N982" s="277"/>
      <c r="O982" s="277"/>
      <c r="P982" s="277"/>
      <c r="Q982" s="276"/>
      <c r="R982" s="276"/>
      <c r="S982" s="276"/>
      <c r="T982" s="276"/>
      <c r="U982" s="276"/>
    </row>
    <row r="983" spans="1:21" s="343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3" customFormat="1" ht="12" customHeight="1" x14ac:dyDescent="0.25">
      <c r="F984" s="112"/>
      <c r="L984" s="112"/>
      <c r="M984" s="112"/>
      <c r="N984" s="112"/>
      <c r="O984" s="112"/>
      <c r="P984" s="112"/>
    </row>
    <row r="985" spans="1:21" s="343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3" customFormat="1" ht="12" customHeight="1" x14ac:dyDescent="0.25">
      <c r="A986" s="342"/>
      <c r="F986" s="112"/>
      <c r="L986" s="112"/>
      <c r="M986" s="112"/>
      <c r="N986" s="112"/>
      <c r="O986" s="112"/>
      <c r="P986" s="112"/>
    </row>
    <row r="987" spans="1:21" s="343" customFormat="1" ht="12" customHeight="1" x14ac:dyDescent="0.25">
      <c r="F987" s="112"/>
      <c r="G987" s="274"/>
      <c r="H987" s="274"/>
      <c r="I987" s="274"/>
      <c r="J987" s="274"/>
      <c r="K987" s="274"/>
      <c r="L987" s="346"/>
      <c r="M987" s="346"/>
      <c r="N987" s="346"/>
      <c r="O987" s="346"/>
      <c r="P987" s="346"/>
      <c r="Q987" s="274"/>
      <c r="R987" s="274"/>
      <c r="S987" s="274"/>
      <c r="T987" s="274"/>
    </row>
    <row r="988" spans="1:21" s="343" customFormat="1" ht="12" customHeight="1" x14ac:dyDescent="0.25">
      <c r="F988" s="112"/>
      <c r="G988" s="274"/>
      <c r="H988" s="274"/>
      <c r="I988" s="274"/>
      <c r="J988" s="274"/>
      <c r="K988" s="274"/>
      <c r="L988" s="346"/>
      <c r="M988" s="346"/>
      <c r="N988" s="346"/>
      <c r="O988" s="346"/>
      <c r="P988" s="346"/>
      <c r="Q988" s="274"/>
      <c r="R988" s="274"/>
      <c r="S988" s="274"/>
      <c r="T988" s="274"/>
      <c r="U988" s="347"/>
    </row>
    <row r="989" spans="1:21" s="343" customFormat="1" ht="12" customHeight="1" x14ac:dyDescent="0.25">
      <c r="F989" s="112"/>
      <c r="G989" s="274"/>
      <c r="H989" s="274"/>
      <c r="I989" s="274"/>
      <c r="J989" s="274"/>
      <c r="K989" s="274"/>
      <c r="L989" s="346"/>
      <c r="M989" s="346"/>
      <c r="N989" s="346"/>
      <c r="O989" s="346"/>
      <c r="P989" s="346"/>
      <c r="Q989" s="274"/>
      <c r="R989" s="274"/>
      <c r="S989" s="274"/>
      <c r="T989" s="274"/>
      <c r="U989" s="347"/>
    </row>
    <row r="990" spans="1:21" s="343" customFormat="1" ht="12" customHeight="1" x14ac:dyDescent="0.25">
      <c r="F990" s="112"/>
      <c r="G990" s="274"/>
      <c r="H990" s="274"/>
      <c r="I990" s="274"/>
      <c r="J990" s="274"/>
      <c r="K990" s="274"/>
      <c r="L990" s="346"/>
      <c r="M990" s="346"/>
      <c r="N990" s="346"/>
      <c r="O990" s="346"/>
      <c r="P990" s="346"/>
      <c r="Q990" s="274"/>
      <c r="R990" s="274"/>
      <c r="S990" s="274"/>
      <c r="T990" s="274"/>
      <c r="U990" s="347"/>
    </row>
    <row r="991" spans="1:21" s="343" customFormat="1" ht="12" customHeight="1" x14ac:dyDescent="0.25">
      <c r="F991" s="112"/>
      <c r="G991" s="274"/>
      <c r="H991" s="274"/>
      <c r="I991" s="274"/>
      <c r="J991" s="274"/>
      <c r="K991" s="274"/>
      <c r="L991" s="346"/>
      <c r="M991" s="346"/>
      <c r="N991" s="346"/>
      <c r="O991" s="346"/>
      <c r="P991" s="346"/>
      <c r="Q991" s="274"/>
      <c r="R991" s="274"/>
      <c r="S991" s="274"/>
      <c r="T991" s="274"/>
    </row>
    <row r="992" spans="1:21" s="343" customFormat="1" ht="12" customHeight="1" x14ac:dyDescent="0.25">
      <c r="F992" s="112"/>
      <c r="G992" s="274"/>
      <c r="H992" s="274"/>
      <c r="I992" s="274"/>
      <c r="J992" s="274"/>
      <c r="K992" s="274"/>
      <c r="L992" s="346"/>
      <c r="M992" s="346"/>
      <c r="N992" s="346"/>
      <c r="O992" s="346"/>
      <c r="P992" s="346"/>
      <c r="Q992" s="274"/>
      <c r="R992" s="274"/>
      <c r="S992" s="274"/>
      <c r="T992" s="274"/>
    </row>
    <row r="993" spans="1:21" s="343" customFormat="1" ht="12" customHeight="1" x14ac:dyDescent="0.25">
      <c r="F993" s="112"/>
      <c r="G993" s="274"/>
      <c r="H993" s="274"/>
      <c r="I993" s="274"/>
      <c r="J993" s="274"/>
      <c r="K993" s="274"/>
      <c r="L993" s="275"/>
      <c r="M993" s="275"/>
      <c r="N993" s="275"/>
      <c r="O993" s="275"/>
      <c r="P993" s="275"/>
      <c r="Q993" s="274"/>
      <c r="R993" s="274"/>
      <c r="S993" s="274"/>
      <c r="T993" s="274"/>
    </row>
    <row r="994" spans="1:21" s="343" customFormat="1" ht="12" customHeight="1" x14ac:dyDescent="0.25">
      <c r="F994" s="112"/>
      <c r="G994" s="274"/>
      <c r="H994" s="274"/>
      <c r="I994" s="274"/>
      <c r="J994" s="274"/>
      <c r="K994" s="274"/>
      <c r="L994" s="346"/>
      <c r="M994" s="346"/>
      <c r="N994" s="346"/>
      <c r="O994" s="346"/>
      <c r="P994" s="346"/>
      <c r="Q994" s="274"/>
      <c r="R994" s="274"/>
      <c r="S994" s="274"/>
      <c r="T994" s="274"/>
    </row>
    <row r="995" spans="1:21" s="343" customFormat="1" ht="12" customHeight="1" x14ac:dyDescent="0.25">
      <c r="F995" s="112"/>
      <c r="G995" s="276"/>
      <c r="H995" s="276"/>
      <c r="I995" s="276"/>
      <c r="J995" s="276"/>
      <c r="K995" s="276"/>
      <c r="L995" s="277"/>
      <c r="M995" s="277"/>
      <c r="N995" s="277"/>
      <c r="O995" s="277"/>
      <c r="P995" s="277"/>
      <c r="Q995" s="276"/>
      <c r="R995" s="276"/>
      <c r="S995" s="276"/>
      <c r="T995" s="276"/>
    </row>
    <row r="996" spans="1:21" s="343" customFormat="1" ht="12" customHeight="1" x14ac:dyDescent="0.25">
      <c r="F996" s="112"/>
      <c r="L996" s="112"/>
      <c r="M996" s="112"/>
      <c r="N996" s="112"/>
      <c r="O996" s="112"/>
      <c r="P996" s="112"/>
    </row>
    <row r="997" spans="1:21" s="343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3" customFormat="1" ht="12" customHeight="1" x14ac:dyDescent="0.25">
      <c r="A998" s="342"/>
      <c r="F998" s="112"/>
      <c r="L998" s="112"/>
      <c r="M998" s="112"/>
      <c r="N998" s="112"/>
      <c r="O998" s="112"/>
      <c r="P998" s="112"/>
    </row>
    <row r="999" spans="1:21" s="343" customFormat="1" ht="12" customHeight="1" x14ac:dyDescent="0.25">
      <c r="A999" s="342"/>
      <c r="F999" s="112"/>
      <c r="L999" s="112"/>
      <c r="M999" s="112"/>
      <c r="N999" s="112"/>
      <c r="O999" s="112"/>
      <c r="P999" s="112"/>
    </row>
    <row r="1000" spans="1:21" s="343" customFormat="1" ht="12" customHeight="1" x14ac:dyDescent="0.25">
      <c r="A1000" s="342"/>
      <c r="F1000" s="112"/>
      <c r="L1000" s="112"/>
      <c r="M1000" s="112"/>
      <c r="N1000" s="112"/>
      <c r="O1000" s="112"/>
      <c r="P1000" s="112"/>
    </row>
    <row r="1001" spans="1:21" s="343" customFormat="1" ht="12" customHeight="1" x14ac:dyDescent="0.25">
      <c r="F1001" s="112"/>
      <c r="G1001" s="274"/>
      <c r="H1001" s="274"/>
      <c r="I1001" s="274"/>
      <c r="J1001" s="274"/>
      <c r="K1001" s="274"/>
      <c r="L1001" s="275"/>
      <c r="M1001" s="275"/>
      <c r="N1001" s="275"/>
      <c r="O1001" s="275"/>
      <c r="P1001" s="275"/>
      <c r="Q1001" s="274"/>
      <c r="R1001" s="274"/>
      <c r="S1001" s="274"/>
      <c r="T1001" s="274"/>
      <c r="U1001" s="274"/>
    </row>
    <row r="1002" spans="1:21" s="343" customFormat="1" ht="12" customHeight="1" x14ac:dyDescent="0.4">
      <c r="F1002" s="112"/>
      <c r="G1002" s="348"/>
      <c r="H1002" s="348"/>
      <c r="I1002" s="348"/>
      <c r="J1002" s="348"/>
      <c r="K1002" s="348"/>
      <c r="L1002" s="349"/>
      <c r="M1002" s="349"/>
      <c r="N1002" s="349"/>
      <c r="O1002" s="349"/>
      <c r="P1002" s="349"/>
      <c r="Q1002" s="348"/>
      <c r="R1002" s="348"/>
      <c r="S1002" s="348"/>
      <c r="T1002" s="348"/>
      <c r="U1002" s="274"/>
    </row>
    <row r="1003" spans="1:21" s="343" customFormat="1" ht="12" customHeight="1" x14ac:dyDescent="0.25">
      <c r="F1003" s="112"/>
      <c r="G1003" s="274"/>
      <c r="H1003" s="274"/>
      <c r="I1003" s="274"/>
      <c r="J1003" s="274"/>
      <c r="K1003" s="274"/>
      <c r="L1003" s="275"/>
      <c r="M1003" s="275"/>
      <c r="N1003" s="275"/>
      <c r="O1003" s="275"/>
      <c r="P1003" s="275"/>
      <c r="Q1003" s="274"/>
      <c r="R1003" s="274"/>
      <c r="S1003" s="274"/>
      <c r="T1003" s="274"/>
      <c r="U1003" s="274"/>
    </row>
    <row r="1004" spans="1:21" s="343" customFormat="1" ht="12" customHeight="1" x14ac:dyDescent="0.25">
      <c r="A1004" s="342"/>
      <c r="F1004" s="112"/>
      <c r="L1004" s="112"/>
      <c r="M1004" s="112"/>
      <c r="N1004" s="112"/>
      <c r="O1004" s="112"/>
      <c r="P1004" s="112"/>
    </row>
    <row r="1005" spans="1:21" s="343" customFormat="1" ht="12" customHeight="1" x14ac:dyDescent="0.25">
      <c r="A1005" s="342"/>
      <c r="F1005" s="112"/>
      <c r="L1005" s="112"/>
      <c r="M1005" s="112"/>
      <c r="N1005" s="112"/>
      <c r="O1005" s="112"/>
      <c r="P1005" s="112"/>
    </row>
    <row r="1006" spans="1:21" s="343" customFormat="1" ht="12" customHeight="1" x14ac:dyDescent="0.25">
      <c r="F1006" s="112"/>
      <c r="G1006" s="274"/>
      <c r="H1006" s="274"/>
      <c r="I1006" s="274"/>
      <c r="J1006" s="274"/>
      <c r="K1006" s="274"/>
      <c r="L1006" s="275"/>
      <c r="M1006" s="275"/>
      <c r="N1006" s="275"/>
      <c r="O1006" s="275"/>
      <c r="P1006" s="275"/>
      <c r="Q1006" s="274"/>
      <c r="R1006" s="274"/>
      <c r="S1006" s="274"/>
      <c r="T1006" s="274"/>
      <c r="U1006" s="274"/>
    </row>
    <row r="1007" spans="1:21" s="343" customFormat="1" ht="12" customHeight="1" x14ac:dyDescent="0.4">
      <c r="F1007" s="112"/>
      <c r="G1007" s="348"/>
      <c r="H1007" s="348"/>
      <c r="I1007" s="348"/>
      <c r="J1007" s="348"/>
      <c r="K1007" s="348"/>
      <c r="L1007" s="349"/>
      <c r="M1007" s="349"/>
      <c r="N1007" s="349"/>
      <c r="O1007" s="349"/>
      <c r="P1007" s="349"/>
      <c r="Q1007" s="348"/>
      <c r="R1007" s="348"/>
      <c r="S1007" s="348"/>
      <c r="T1007" s="348"/>
      <c r="U1007" s="274"/>
    </row>
    <row r="1008" spans="1:21" s="343" customFormat="1" ht="12" customHeight="1" x14ac:dyDescent="0.25">
      <c r="F1008" s="112"/>
      <c r="G1008" s="274"/>
      <c r="H1008" s="274"/>
      <c r="I1008" s="274"/>
      <c r="J1008" s="274"/>
      <c r="K1008" s="274"/>
      <c r="L1008" s="275"/>
      <c r="M1008" s="275"/>
      <c r="N1008" s="275"/>
      <c r="O1008" s="275"/>
      <c r="P1008" s="275"/>
      <c r="Q1008" s="274"/>
      <c r="R1008" s="274"/>
      <c r="S1008" s="274"/>
      <c r="T1008" s="274"/>
      <c r="U1008" s="274"/>
    </row>
    <row r="1009" spans="1:21" s="343" customFormat="1" ht="12" customHeight="1" x14ac:dyDescent="0.25">
      <c r="F1009" s="112"/>
      <c r="L1009" s="112"/>
      <c r="M1009" s="112"/>
      <c r="N1009" s="112"/>
      <c r="O1009" s="112"/>
      <c r="P1009" s="112"/>
    </row>
    <row r="1010" spans="1:21" s="343" customFormat="1" ht="12" customHeight="1" x14ac:dyDescent="0.25">
      <c r="A1010" s="342"/>
      <c r="F1010" s="112"/>
      <c r="L1010" s="112"/>
      <c r="M1010" s="112"/>
      <c r="N1010" s="112"/>
      <c r="O1010" s="112"/>
      <c r="P1010" s="112"/>
    </row>
    <row r="1011" spans="1:21" s="343" customFormat="1" ht="12" customHeight="1" x14ac:dyDescent="0.25">
      <c r="F1011" s="112"/>
      <c r="G1011" s="274"/>
      <c r="H1011" s="274"/>
      <c r="I1011" s="274"/>
      <c r="J1011" s="274"/>
      <c r="K1011" s="274"/>
      <c r="L1011" s="275"/>
      <c r="M1011" s="275"/>
      <c r="N1011" s="275"/>
      <c r="O1011" s="275"/>
      <c r="P1011" s="275"/>
      <c r="Q1011" s="274"/>
      <c r="R1011" s="274"/>
      <c r="S1011" s="274"/>
      <c r="T1011" s="274"/>
      <c r="U1011" s="274"/>
    </row>
    <row r="1012" spans="1:21" s="343" customFormat="1" ht="12" customHeight="1" x14ac:dyDescent="0.4">
      <c r="F1012" s="112"/>
      <c r="G1012" s="348"/>
      <c r="H1012" s="348"/>
      <c r="I1012" s="348"/>
      <c r="J1012" s="348"/>
      <c r="K1012" s="348"/>
      <c r="L1012" s="349"/>
      <c r="M1012" s="349"/>
      <c r="N1012" s="349"/>
      <c r="O1012" s="349"/>
      <c r="P1012" s="349"/>
      <c r="Q1012" s="348"/>
      <c r="R1012" s="348"/>
      <c r="S1012" s="348"/>
      <c r="T1012" s="348"/>
      <c r="U1012" s="274"/>
    </row>
    <row r="1013" spans="1:21" s="343" customFormat="1" ht="12" customHeight="1" x14ac:dyDescent="0.25">
      <c r="F1013" s="112"/>
      <c r="G1013" s="274"/>
      <c r="H1013" s="274"/>
      <c r="I1013" s="274"/>
      <c r="J1013" s="274"/>
      <c r="K1013" s="274"/>
      <c r="L1013" s="275"/>
      <c r="M1013" s="275"/>
      <c r="N1013" s="275"/>
      <c r="O1013" s="275"/>
      <c r="P1013" s="275"/>
      <c r="Q1013" s="274"/>
      <c r="R1013" s="274"/>
      <c r="S1013" s="274"/>
      <c r="T1013" s="274"/>
      <c r="U1013" s="274"/>
    </row>
    <row r="1014" spans="1:21" s="343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3" customFormat="1" ht="12" customHeight="1" x14ac:dyDescent="0.25">
      <c r="A1015" s="342"/>
      <c r="F1015" s="112"/>
      <c r="L1015" s="112"/>
      <c r="M1015" s="112"/>
      <c r="N1015" s="112"/>
      <c r="O1015" s="112"/>
      <c r="P1015" s="112"/>
    </row>
    <row r="1016" spans="1:21" s="343" customFormat="1" ht="12" customHeight="1" x14ac:dyDescent="0.25">
      <c r="F1016" s="112"/>
      <c r="G1016" s="274"/>
      <c r="H1016" s="274"/>
      <c r="I1016" s="274"/>
      <c r="J1016" s="274"/>
      <c r="K1016" s="274"/>
      <c r="L1016" s="275"/>
      <c r="M1016" s="275"/>
      <c r="N1016" s="275"/>
      <c r="O1016" s="275"/>
      <c r="P1016" s="275"/>
      <c r="Q1016" s="274"/>
      <c r="R1016" s="274"/>
      <c r="S1016" s="274"/>
      <c r="T1016" s="274"/>
      <c r="U1016" s="274"/>
    </row>
    <row r="1017" spans="1:21" s="343" customFormat="1" ht="12" customHeight="1" x14ac:dyDescent="0.4">
      <c r="F1017" s="112"/>
      <c r="G1017" s="348"/>
      <c r="H1017" s="348"/>
      <c r="I1017" s="348"/>
      <c r="J1017" s="348"/>
      <c r="K1017" s="348"/>
      <c r="L1017" s="349"/>
      <c r="M1017" s="349"/>
      <c r="N1017" s="349"/>
      <c r="O1017" s="349"/>
      <c r="P1017" s="349"/>
      <c r="Q1017" s="348"/>
      <c r="R1017" s="348"/>
      <c r="S1017" s="348"/>
      <c r="T1017" s="348"/>
      <c r="U1017" s="274"/>
    </row>
    <row r="1018" spans="1:21" s="343" customFormat="1" ht="12" customHeight="1" x14ac:dyDescent="0.25">
      <c r="F1018" s="112"/>
      <c r="G1018" s="274"/>
      <c r="H1018" s="274"/>
      <c r="I1018" s="274"/>
      <c r="J1018" s="274"/>
      <c r="K1018" s="274"/>
      <c r="L1018" s="275"/>
      <c r="M1018" s="275"/>
      <c r="N1018" s="275"/>
      <c r="O1018" s="275"/>
      <c r="P1018" s="275"/>
      <c r="Q1018" s="274"/>
      <c r="R1018" s="274"/>
      <c r="S1018" s="274"/>
      <c r="T1018" s="274"/>
      <c r="U1018" s="274"/>
    </row>
    <row r="1019" spans="1:21" s="343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3" customFormat="1" ht="12" customHeight="1" x14ac:dyDescent="0.25">
      <c r="A1020" s="342"/>
      <c r="F1020" s="112"/>
      <c r="L1020" s="112"/>
      <c r="M1020" s="112"/>
      <c r="N1020" s="112"/>
      <c r="O1020" s="112"/>
      <c r="P1020" s="112"/>
    </row>
    <row r="1021" spans="1:21" s="343" customFormat="1" ht="12" customHeight="1" x14ac:dyDescent="0.25">
      <c r="F1021" s="112"/>
      <c r="G1021" s="274"/>
      <c r="H1021" s="274"/>
      <c r="I1021" s="274"/>
      <c r="J1021" s="274"/>
      <c r="K1021" s="274"/>
      <c r="L1021" s="275"/>
      <c r="M1021" s="275"/>
      <c r="N1021" s="275"/>
      <c r="O1021" s="275"/>
      <c r="P1021" s="275"/>
      <c r="Q1021" s="274"/>
      <c r="R1021" s="274"/>
      <c r="S1021" s="274"/>
      <c r="T1021" s="274"/>
      <c r="U1021" s="274"/>
    </row>
    <row r="1022" spans="1:21" s="343" customFormat="1" ht="12" customHeight="1" x14ac:dyDescent="0.4">
      <c r="F1022" s="112"/>
      <c r="G1022" s="348"/>
      <c r="H1022" s="348"/>
      <c r="I1022" s="348"/>
      <c r="J1022" s="348"/>
      <c r="K1022" s="348"/>
      <c r="L1022" s="349"/>
      <c r="M1022" s="349"/>
      <c r="N1022" s="349"/>
      <c r="O1022" s="349"/>
      <c r="P1022" s="349"/>
      <c r="Q1022" s="348"/>
      <c r="R1022" s="348"/>
      <c r="S1022" s="348"/>
      <c r="T1022" s="348"/>
      <c r="U1022" s="274"/>
    </row>
    <row r="1023" spans="1:21" s="343" customFormat="1" ht="12" customHeight="1" x14ac:dyDescent="0.25">
      <c r="F1023" s="112"/>
      <c r="G1023" s="274"/>
      <c r="H1023" s="274"/>
      <c r="I1023" s="274"/>
      <c r="J1023" s="274"/>
      <c r="K1023" s="274"/>
      <c r="L1023" s="275"/>
      <c r="M1023" s="275"/>
      <c r="N1023" s="275"/>
      <c r="O1023" s="275"/>
      <c r="P1023" s="275"/>
      <c r="Q1023" s="274"/>
      <c r="R1023" s="274"/>
      <c r="S1023" s="274"/>
      <c r="T1023" s="274"/>
      <c r="U1023" s="274"/>
    </row>
    <row r="1024" spans="1:21" s="343" customFormat="1" ht="12" customHeight="1" x14ac:dyDescent="0.25">
      <c r="F1024" s="112"/>
      <c r="L1024" s="112"/>
      <c r="M1024" s="112"/>
      <c r="N1024" s="112"/>
      <c r="O1024" s="112"/>
      <c r="P1024" s="112"/>
    </row>
    <row r="1025" spans="1:21" s="343" customFormat="1" ht="12" customHeight="1" x14ac:dyDescent="0.25">
      <c r="A1025" s="342"/>
      <c r="F1025" s="112"/>
      <c r="L1025" s="112"/>
      <c r="M1025" s="112"/>
      <c r="N1025" s="112"/>
      <c r="O1025" s="112"/>
      <c r="P1025" s="112"/>
    </row>
    <row r="1026" spans="1:21" s="343" customFormat="1" ht="12" customHeight="1" x14ac:dyDescent="0.25">
      <c r="F1026" s="112"/>
      <c r="G1026" s="274"/>
      <c r="H1026" s="274"/>
      <c r="I1026" s="274"/>
      <c r="J1026" s="274"/>
      <c r="K1026" s="274"/>
      <c r="L1026" s="275"/>
      <c r="M1026" s="275"/>
      <c r="N1026" s="275"/>
      <c r="O1026" s="275"/>
      <c r="P1026" s="275"/>
      <c r="Q1026" s="274"/>
      <c r="R1026" s="274"/>
      <c r="S1026" s="274"/>
      <c r="T1026" s="274"/>
      <c r="U1026" s="274"/>
    </row>
    <row r="1027" spans="1:21" s="343" customFormat="1" ht="12" customHeight="1" x14ac:dyDescent="0.4">
      <c r="F1027" s="112"/>
      <c r="G1027" s="348"/>
      <c r="H1027" s="348"/>
      <c r="I1027" s="348"/>
      <c r="J1027" s="348"/>
      <c r="K1027" s="348"/>
      <c r="L1027" s="349"/>
      <c r="M1027" s="349"/>
      <c r="N1027" s="349"/>
      <c r="O1027" s="349"/>
      <c r="P1027" s="349"/>
      <c r="Q1027" s="348"/>
      <c r="R1027" s="348"/>
      <c r="S1027" s="348"/>
      <c r="T1027" s="348"/>
      <c r="U1027" s="274"/>
    </row>
    <row r="1028" spans="1:21" s="343" customFormat="1" ht="12" customHeight="1" x14ac:dyDescent="0.25">
      <c r="F1028" s="112"/>
      <c r="G1028" s="274"/>
      <c r="H1028" s="274"/>
      <c r="I1028" s="274"/>
      <c r="J1028" s="274"/>
      <c r="K1028" s="274"/>
      <c r="L1028" s="275"/>
      <c r="M1028" s="275"/>
      <c r="N1028" s="275"/>
      <c r="O1028" s="275"/>
      <c r="P1028" s="275"/>
      <c r="Q1028" s="274"/>
      <c r="R1028" s="274"/>
      <c r="S1028" s="274"/>
      <c r="T1028" s="274"/>
      <c r="U1028" s="274"/>
    </row>
    <row r="1029" spans="1:21" s="343" customFormat="1" ht="12" customHeight="1" x14ac:dyDescent="0.25">
      <c r="F1029" s="112"/>
      <c r="L1029" s="112"/>
      <c r="M1029" s="112"/>
      <c r="N1029" s="112"/>
      <c r="O1029" s="112"/>
      <c r="P1029" s="112"/>
    </row>
    <row r="1030" spans="1:21" s="343" customFormat="1" ht="12" customHeight="1" x14ac:dyDescent="0.25">
      <c r="A1030" s="342"/>
      <c r="F1030" s="112"/>
      <c r="L1030" s="112"/>
      <c r="M1030" s="112"/>
      <c r="N1030" s="112"/>
      <c r="O1030" s="112"/>
      <c r="P1030" s="112"/>
    </row>
    <row r="1031" spans="1:21" s="343" customFormat="1" ht="12" customHeight="1" x14ac:dyDescent="0.25">
      <c r="F1031" s="112"/>
      <c r="G1031" s="274"/>
      <c r="H1031" s="274"/>
      <c r="I1031" s="274"/>
      <c r="J1031" s="274"/>
      <c r="K1031" s="274"/>
      <c r="L1031" s="275"/>
      <c r="M1031" s="275"/>
      <c r="N1031" s="275"/>
      <c r="O1031" s="275"/>
      <c r="P1031" s="275"/>
      <c r="Q1031" s="274"/>
      <c r="R1031" s="274"/>
      <c r="S1031" s="274"/>
      <c r="T1031" s="274"/>
      <c r="U1031" s="274"/>
    </row>
    <row r="1032" spans="1:21" s="343" customFormat="1" ht="12" customHeight="1" x14ac:dyDescent="0.4">
      <c r="F1032" s="112"/>
      <c r="G1032" s="348"/>
      <c r="H1032" s="348"/>
      <c r="I1032" s="348"/>
      <c r="J1032" s="348"/>
      <c r="K1032" s="348"/>
      <c r="L1032" s="349"/>
      <c r="M1032" s="349"/>
      <c r="N1032" s="349"/>
      <c r="O1032" s="349"/>
      <c r="P1032" s="349"/>
      <c r="Q1032" s="348"/>
      <c r="R1032" s="348"/>
      <c r="S1032" s="348"/>
      <c r="T1032" s="348"/>
      <c r="U1032" s="274"/>
    </row>
    <row r="1033" spans="1:21" s="343" customFormat="1" ht="12" customHeight="1" x14ac:dyDescent="0.25">
      <c r="F1033" s="112"/>
      <c r="G1033" s="274"/>
      <c r="H1033" s="274"/>
      <c r="I1033" s="274"/>
      <c r="J1033" s="274"/>
      <c r="K1033" s="274"/>
      <c r="L1033" s="275"/>
      <c r="M1033" s="275"/>
      <c r="N1033" s="275"/>
      <c r="O1033" s="275"/>
      <c r="P1033" s="275"/>
      <c r="Q1033" s="274"/>
      <c r="R1033" s="274"/>
      <c r="S1033" s="274"/>
      <c r="T1033" s="274"/>
      <c r="U1033" s="274"/>
    </row>
    <row r="1034" spans="1:21" s="343" customFormat="1" ht="12" customHeight="1" x14ac:dyDescent="0.25">
      <c r="F1034" s="112"/>
      <c r="L1034" s="112"/>
      <c r="M1034" s="112"/>
      <c r="N1034" s="112"/>
      <c r="O1034" s="112"/>
      <c r="P1034" s="112"/>
    </row>
    <row r="1035" spans="1:21" s="343" customFormat="1" ht="12" customHeight="1" x14ac:dyDescent="0.25">
      <c r="A1035" s="342"/>
      <c r="F1035" s="112"/>
      <c r="L1035" s="112"/>
      <c r="M1035" s="112"/>
      <c r="N1035" s="112"/>
      <c r="O1035" s="112"/>
      <c r="P1035" s="112"/>
    </row>
    <row r="1036" spans="1:21" s="343" customFormat="1" ht="12" customHeight="1" x14ac:dyDescent="0.25">
      <c r="F1036" s="112"/>
      <c r="G1036" s="274"/>
      <c r="H1036" s="274"/>
      <c r="I1036" s="274"/>
      <c r="J1036" s="274"/>
      <c r="K1036" s="274"/>
      <c r="L1036" s="275"/>
      <c r="M1036" s="275"/>
      <c r="N1036" s="275"/>
      <c r="O1036" s="275"/>
      <c r="P1036" s="275"/>
      <c r="Q1036" s="274"/>
      <c r="R1036" s="274"/>
      <c r="S1036" s="274"/>
      <c r="T1036" s="274"/>
      <c r="U1036" s="274"/>
    </row>
    <row r="1037" spans="1:21" s="343" customFormat="1" ht="12" customHeight="1" x14ac:dyDescent="0.4">
      <c r="F1037" s="112"/>
      <c r="G1037" s="348"/>
      <c r="H1037" s="348"/>
      <c r="I1037" s="348"/>
      <c r="J1037" s="348"/>
      <c r="K1037" s="348"/>
      <c r="L1037" s="349"/>
      <c r="M1037" s="349"/>
      <c r="N1037" s="349"/>
      <c r="O1037" s="349"/>
      <c r="P1037" s="349"/>
      <c r="Q1037" s="348"/>
      <c r="R1037" s="348"/>
      <c r="S1037" s="348"/>
      <c r="T1037" s="348"/>
      <c r="U1037" s="348"/>
    </row>
    <row r="1038" spans="1:21" s="343" customFormat="1" ht="12" customHeight="1" x14ac:dyDescent="0.25">
      <c r="F1038" s="112"/>
      <c r="G1038" s="274"/>
      <c r="H1038" s="274"/>
      <c r="I1038" s="274"/>
      <c r="J1038" s="274"/>
      <c r="K1038" s="274"/>
      <c r="L1038" s="275"/>
      <c r="M1038" s="275"/>
      <c r="N1038" s="275"/>
      <c r="O1038" s="275"/>
      <c r="P1038" s="275"/>
      <c r="Q1038" s="274"/>
      <c r="R1038" s="274"/>
      <c r="S1038" s="274"/>
      <c r="T1038" s="274"/>
      <c r="U1038" s="274"/>
    </row>
    <row r="1039" spans="1:21" s="343" customFormat="1" ht="12" customHeight="1" x14ac:dyDescent="0.25">
      <c r="F1039" s="112"/>
      <c r="L1039" s="112"/>
      <c r="M1039" s="112"/>
      <c r="N1039" s="112"/>
      <c r="O1039" s="112"/>
      <c r="P1039" s="112"/>
    </row>
    <row r="1040" spans="1:21" s="343" customFormat="1" ht="12" customHeight="1" x14ac:dyDescent="0.25">
      <c r="A1040" s="342"/>
      <c r="F1040" s="112"/>
      <c r="L1040" s="112"/>
      <c r="M1040" s="112"/>
      <c r="N1040" s="112"/>
      <c r="O1040" s="112"/>
      <c r="P1040" s="112"/>
    </row>
    <row r="1041" spans="6:21" s="343" customFormat="1" ht="12" customHeight="1" x14ac:dyDescent="0.25">
      <c r="F1041" s="112"/>
      <c r="G1041" s="350"/>
      <c r="H1041" s="350"/>
      <c r="I1041" s="350"/>
      <c r="J1041" s="350"/>
      <c r="K1041" s="350"/>
      <c r="L1041" s="351"/>
      <c r="M1041" s="351"/>
      <c r="N1041" s="351"/>
      <c r="O1041" s="351"/>
      <c r="P1041" s="351"/>
      <c r="Q1041" s="350"/>
      <c r="R1041" s="350"/>
      <c r="S1041" s="350"/>
      <c r="T1041" s="350"/>
      <c r="U1041" s="350"/>
    </row>
    <row r="1042" spans="6:21" s="343" customFormat="1" ht="12" customHeight="1" x14ac:dyDescent="0.4">
      <c r="F1042" s="112"/>
      <c r="G1042" s="352"/>
      <c r="H1042" s="352"/>
      <c r="I1042" s="352"/>
      <c r="J1042" s="352"/>
      <c r="K1042" s="352"/>
      <c r="L1042" s="353"/>
      <c r="M1042" s="353"/>
      <c r="N1042" s="353"/>
      <c r="O1042" s="353"/>
      <c r="P1042" s="353"/>
      <c r="Q1042" s="352"/>
      <c r="R1042" s="352"/>
      <c r="S1042" s="352"/>
      <c r="T1042" s="352"/>
      <c r="U1042" s="352"/>
    </row>
    <row r="1043" spans="6:21" s="343" customFormat="1" ht="12" customHeight="1" x14ac:dyDescent="0.25">
      <c r="F1043" s="112"/>
      <c r="G1043" s="350"/>
      <c r="H1043" s="350"/>
      <c r="I1043" s="350"/>
      <c r="J1043" s="350"/>
      <c r="K1043" s="350"/>
      <c r="L1043" s="351"/>
      <c r="M1043" s="351"/>
      <c r="N1043" s="351"/>
      <c r="O1043" s="351"/>
      <c r="P1043" s="351"/>
      <c r="Q1043" s="350"/>
      <c r="R1043" s="350"/>
      <c r="S1043" s="350"/>
      <c r="T1043" s="350"/>
      <c r="U1043" s="350"/>
    </row>
    <row r="1044" spans="6:21" s="343" customFormat="1" ht="12" customHeight="1" x14ac:dyDescent="0.25">
      <c r="F1044" s="112"/>
      <c r="L1044" s="112"/>
      <c r="M1044" s="112"/>
      <c r="N1044" s="112"/>
      <c r="O1044" s="112"/>
      <c r="P1044" s="112"/>
    </row>
    <row r="1045" spans="6:21" s="343" customFormat="1" ht="12" customHeight="1" x14ac:dyDescent="0.25">
      <c r="F1045" s="112"/>
      <c r="L1045" s="112"/>
      <c r="M1045" s="112"/>
      <c r="N1045" s="112"/>
      <c r="O1045" s="112"/>
      <c r="P1045" s="112"/>
      <c r="Q1045" s="274"/>
    </row>
    <row r="1046" spans="6:21" s="343" customFormat="1" ht="12" customHeight="1" x14ac:dyDescent="0.25">
      <c r="F1046" s="112"/>
      <c r="G1046" s="276"/>
      <c r="L1046" s="112"/>
      <c r="M1046" s="112"/>
      <c r="N1046" s="112"/>
      <c r="O1046" s="354"/>
      <c r="P1046" s="277"/>
      <c r="Q1046" s="274"/>
      <c r="R1046" s="274"/>
      <c r="S1046" s="274"/>
      <c r="T1046" s="274"/>
    </row>
    <row r="1047" spans="6:21" s="343" customFormat="1" ht="12" customHeight="1" x14ac:dyDescent="0.25">
      <c r="F1047" s="112"/>
      <c r="G1047" s="276"/>
      <c r="L1047" s="112"/>
      <c r="M1047" s="112"/>
      <c r="N1047" s="112"/>
      <c r="O1047" s="354"/>
      <c r="P1047" s="277"/>
    </row>
    <row r="1048" spans="6:21" s="343" customFormat="1" ht="12" customHeight="1" x14ac:dyDescent="0.25">
      <c r="F1048" s="112"/>
      <c r="G1048" s="276"/>
      <c r="L1048" s="112"/>
      <c r="M1048" s="112"/>
      <c r="N1048" s="112"/>
      <c r="O1048" s="354"/>
      <c r="P1048" s="277"/>
    </row>
    <row r="1049" spans="6:21" s="343" customFormat="1" ht="12" customHeight="1" x14ac:dyDescent="0.25">
      <c r="F1049" s="112"/>
      <c r="G1049" s="355"/>
      <c r="L1049" s="112"/>
      <c r="M1049" s="112"/>
      <c r="N1049" s="112"/>
      <c r="O1049" s="112"/>
      <c r="P1049" s="354"/>
    </row>
    <row r="1050" spans="6:21" s="343" customFormat="1" ht="12" customHeight="1" x14ac:dyDescent="0.25">
      <c r="F1050" s="112"/>
      <c r="L1050" s="112"/>
      <c r="M1050" s="112"/>
      <c r="N1050" s="112"/>
      <c r="O1050" s="112"/>
      <c r="P1050" s="112"/>
    </row>
    <row r="1051" spans="6:21" s="343" customFormat="1" ht="12" customHeight="1" x14ac:dyDescent="0.25">
      <c r="F1051" s="112"/>
      <c r="G1051" s="356"/>
      <c r="L1051" s="112"/>
      <c r="M1051" s="112"/>
      <c r="N1051" s="112"/>
      <c r="O1051" s="112"/>
      <c r="P1051" s="236"/>
    </row>
    <row r="1052" spans="6:21" s="343" customFormat="1" ht="12" customHeight="1" x14ac:dyDescent="0.25">
      <c r="F1052" s="112"/>
      <c r="G1052" s="356"/>
      <c r="L1052" s="112"/>
      <c r="M1052" s="112"/>
      <c r="N1052" s="112"/>
      <c r="O1052" s="112"/>
      <c r="P1052" s="236"/>
    </row>
    <row r="1053" spans="6:21" s="343" customFormat="1" ht="12" customHeight="1" x14ac:dyDescent="0.25">
      <c r="F1053" s="112"/>
      <c r="G1053" s="356"/>
      <c r="L1053" s="112"/>
      <c r="M1053" s="112"/>
      <c r="N1053" s="112"/>
      <c r="O1053" s="112"/>
      <c r="P1053" s="236"/>
    </row>
    <row r="1054" spans="6:21" s="343" customFormat="1" ht="12" customHeight="1" x14ac:dyDescent="0.25">
      <c r="F1054" s="112"/>
      <c r="G1054" s="357"/>
      <c r="L1054" s="112"/>
      <c r="M1054" s="112"/>
      <c r="N1054" s="112"/>
      <c r="O1054" s="112"/>
      <c r="P1054" s="358"/>
    </row>
    <row r="1055" spans="6:21" s="343" customFormat="1" ht="12" customHeight="1" x14ac:dyDescent="0.25">
      <c r="F1055" s="112"/>
      <c r="L1055" s="112"/>
      <c r="M1055" s="112"/>
      <c r="N1055" s="112"/>
      <c r="O1055" s="112"/>
      <c r="P1055" s="112"/>
    </row>
    <row r="1056" spans="6:21" s="343" customFormat="1" ht="12" customHeight="1" x14ac:dyDescent="0.25">
      <c r="F1056" s="112"/>
      <c r="L1056" s="112"/>
      <c r="M1056" s="112"/>
      <c r="N1056" s="112"/>
      <c r="O1056" s="112"/>
      <c r="P1056" s="236"/>
    </row>
    <row r="1057" spans="6:32" s="343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3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3" customFormat="1" ht="12" customHeight="1" x14ac:dyDescent="0.25">
      <c r="F1059" s="112"/>
      <c r="L1059" s="112"/>
      <c r="M1059" s="112"/>
      <c r="N1059" s="112"/>
      <c r="O1059" s="112"/>
      <c r="P1059" s="358"/>
      <c r="AA1059" s="112"/>
      <c r="AB1059" s="112"/>
      <c r="AC1059" s="112"/>
      <c r="AD1059" s="112"/>
      <c r="AE1059" s="112"/>
      <c r="AF1059" s="112"/>
    </row>
    <row r="1060" spans="6:32" s="343" customFormat="1" ht="12" customHeight="1" x14ac:dyDescent="0.25">
      <c r="F1060" s="112"/>
      <c r="L1060" s="112"/>
      <c r="M1060" s="112"/>
      <c r="N1060" s="112"/>
      <c r="O1060" s="112"/>
      <c r="P1060" s="112"/>
      <c r="AA1060" s="112"/>
      <c r="AB1060" s="112"/>
      <c r="AC1060" s="112"/>
      <c r="AD1060" s="112"/>
      <c r="AE1060" s="112"/>
      <c r="AF1060" s="112"/>
    </row>
    <row r="1061" spans="6:32" s="112" customFormat="1" ht="12" customHeight="1" x14ac:dyDescent="0.25"/>
    <row r="1062" spans="6:32" s="112" customFormat="1" ht="12" customHeight="1" x14ac:dyDescent="0.25"/>
    <row r="1064" spans="6:32" ht="12" customHeight="1" x14ac:dyDescent="0.25">
      <c r="G1064" s="272"/>
      <c r="H1064" s="272"/>
      <c r="I1064" s="272"/>
      <c r="J1064" s="272"/>
      <c r="K1064" s="272"/>
      <c r="L1064" s="273"/>
      <c r="M1064" s="273"/>
      <c r="N1064" s="273"/>
      <c r="O1064" s="273"/>
      <c r="P1064" s="273"/>
      <c r="Q1064" s="272"/>
      <c r="R1064" s="272"/>
      <c r="S1064" s="272"/>
      <c r="T1064" s="272"/>
    </row>
  </sheetData>
  <autoFilter ref="D2:E1064"/>
  <phoneticPr fontId="0" type="noConversion"/>
  <conditionalFormatting sqref="X936:X945 X948:X956 X958 X961:X970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BIP METHODOLOGY&amp;RExhibit WSS-18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1" max="31" man="1"/>
    <brk id="996" max="31" man="1"/>
  </rowBreaks>
  <colBreaks count="1" manualBreakCount="1">
    <brk id="13" min="3" max="9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2"/>
  <sheetViews>
    <sheetView view="pageBreakPreview" topLeftCell="A22" zoomScaleNormal="100" zoomScaleSheetLayoutView="100" workbookViewId="0">
      <selection activeCell="A25" sqref="A25"/>
    </sheetView>
  </sheetViews>
  <sheetFormatPr defaultRowHeight="13.8" x14ac:dyDescent="0.25"/>
  <cols>
    <col min="1" max="1" width="48.109375" bestFit="1" customWidth="1"/>
    <col min="3" max="3" width="19" style="202" bestFit="1" customWidth="1"/>
    <col min="4" max="4" width="19.6640625" style="202" customWidth="1"/>
    <col min="5" max="5" width="18" style="202" customWidth="1"/>
    <col min="6" max="6" width="18.88671875" style="203" customWidth="1"/>
    <col min="7" max="7" width="14.109375" customWidth="1"/>
    <col min="8" max="10" width="16.5546875" style="2" customWidth="1"/>
    <col min="12" max="14" width="15.6640625" style="2" customWidth="1"/>
    <col min="15" max="15" width="15.6640625" customWidth="1"/>
  </cols>
  <sheetData>
    <row r="1" spans="1:15" ht="17.399999999999999" hidden="1" x14ac:dyDescent="0.3">
      <c r="A1" s="4" t="s">
        <v>1427</v>
      </c>
    </row>
    <row r="2" spans="1:15" hidden="1" x14ac:dyDescent="0.25">
      <c r="A2" s="3" t="s">
        <v>2232</v>
      </c>
      <c r="B2" s="27"/>
      <c r="C2" s="204"/>
      <c r="D2" s="204"/>
      <c r="E2" s="204"/>
      <c r="F2" s="204"/>
      <c r="H2" s="436"/>
      <c r="I2" s="436"/>
      <c r="J2" s="436"/>
      <c r="L2" s="436"/>
      <c r="M2" s="436"/>
      <c r="N2" s="436"/>
      <c r="O2" s="436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2233</v>
      </c>
      <c r="E4" s="207" t="s">
        <v>2234</v>
      </c>
      <c r="F4" s="208"/>
      <c r="G4" s="209"/>
      <c r="J4" s="203"/>
      <c r="O4" s="203"/>
    </row>
    <row r="5" spans="1:15" ht="14.4" hidden="1" thickBot="1" x14ac:dyDescent="0.3">
      <c r="A5" s="210"/>
      <c r="B5" s="211"/>
      <c r="C5" s="212" t="s">
        <v>458</v>
      </c>
      <c r="D5" s="212" t="s">
        <v>2235</v>
      </c>
      <c r="E5" s="212" t="s">
        <v>2236</v>
      </c>
      <c r="F5" s="213" t="s">
        <v>193</v>
      </c>
      <c r="G5" s="212" t="s">
        <v>2237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2238</v>
      </c>
      <c r="B7" s="205"/>
      <c r="C7" s="214">
        <f>'Allocation ProForma'!G668</f>
        <v>577558036.32237256</v>
      </c>
      <c r="D7" s="214">
        <f>'Allocation ProForma'!G681</f>
        <v>511761071.09090668</v>
      </c>
      <c r="E7" s="214">
        <f>C7-D7</f>
        <v>65796965.231465876</v>
      </c>
      <c r="F7" s="214">
        <f>'Allocation ProForma'!G685</f>
        <v>1716633054.3461716</v>
      </c>
      <c r="G7" s="215">
        <f>E7/F7</f>
        <v>3.8329079744142826E-2</v>
      </c>
      <c r="J7" s="203"/>
      <c r="O7" s="203"/>
    </row>
    <row r="8" spans="1:15" hidden="1" x14ac:dyDescent="0.25">
      <c r="A8" s="43" t="s">
        <v>2310</v>
      </c>
      <c r="B8" s="205"/>
      <c r="C8" s="2">
        <f>'Allocation ProForma'!H668</f>
        <v>199632188.59720656</v>
      </c>
      <c r="D8" s="2">
        <f>'Allocation ProForma'!H681</f>
        <v>160975707.94150111</v>
      </c>
      <c r="E8" s="2">
        <f>C8-D8</f>
        <v>38656480.655705452</v>
      </c>
      <c r="F8" s="2">
        <f>'Allocation ProForma'!H685</f>
        <v>441219651.03133303</v>
      </c>
      <c r="G8" s="215">
        <f>E8/F8</f>
        <v>8.7612780993202591E-2</v>
      </c>
      <c r="J8" s="203"/>
      <c r="O8" s="203"/>
    </row>
    <row r="9" spans="1:15" hidden="1" x14ac:dyDescent="0.25">
      <c r="A9" s="42" t="s">
        <v>2243</v>
      </c>
      <c r="B9" s="205"/>
      <c r="C9" s="5">
        <f>'Allocation ProForma'!J668</f>
        <v>11997673.987746205</v>
      </c>
      <c r="D9" s="5">
        <f>'Allocation ProForma'!J681</f>
        <v>10416804.556653442</v>
      </c>
      <c r="E9" s="5">
        <f>C9-D9</f>
        <v>1580869.4310927633</v>
      </c>
      <c r="F9" s="5">
        <f>'Allocation ProForma'!J685</f>
        <v>28182297.978403468</v>
      </c>
      <c r="G9" s="216">
        <f>E9/F9</f>
        <v>5.6094411900129933E-2</v>
      </c>
      <c r="J9" s="203"/>
      <c r="O9" s="203"/>
    </row>
    <row r="10" spans="1:15" hidden="1" x14ac:dyDescent="0.25">
      <c r="A10" s="42" t="s">
        <v>2240</v>
      </c>
      <c r="C10" s="2">
        <f>'Allocation ProForma'!L668</f>
        <v>173883934.54071742</v>
      </c>
      <c r="D10" s="2">
        <f>'Allocation ProForma'!L681</f>
        <v>142135131.60677165</v>
      </c>
      <c r="E10" s="5">
        <f>C10-D10</f>
        <v>31748802.933945775</v>
      </c>
      <c r="F10" s="2">
        <f>'Allocation ProForma'!L685</f>
        <v>347387075.53153688</v>
      </c>
      <c r="G10" s="215">
        <f>E10/F10</f>
        <v>9.1393161030435405E-2</v>
      </c>
    </row>
    <row r="11" spans="1:15" hidden="1" x14ac:dyDescent="0.25">
      <c r="A11" s="42" t="s">
        <v>2239</v>
      </c>
      <c r="C11" s="2">
        <f>'Allocation ProForma'!M668</f>
        <v>13909259.197503271</v>
      </c>
      <c r="D11" s="2">
        <f>'Allocation ProForma'!M681</f>
        <v>11125663.269262597</v>
      </c>
      <c r="E11" s="2">
        <f>C11-D11</f>
        <v>2783595.9282406736</v>
      </c>
      <c r="F11" s="2">
        <f>'Allocation ProForma'!M685</f>
        <v>25275870.378223237</v>
      </c>
      <c r="G11" s="215">
        <f>E11/F11</f>
        <v>0.11012858851495448</v>
      </c>
    </row>
    <row r="12" spans="1:15" hidden="1" x14ac:dyDescent="0.25">
      <c r="A12" s="42" t="s">
        <v>2254</v>
      </c>
      <c r="C12" s="2">
        <f>'Allocation ProForma'!N668</f>
        <v>116473231.72984052</v>
      </c>
      <c r="D12" s="2">
        <f>'Allocation ProForma'!N681</f>
        <v>100867010.7581795</v>
      </c>
      <c r="E12" s="2">
        <f t="shared" ref="E12:E19" si="0">C12-D12</f>
        <v>15606220.971661016</v>
      </c>
      <c r="F12" s="2">
        <f>'Allocation ProForma'!N685</f>
        <v>248673397.50148326</v>
      </c>
      <c r="G12" s="215">
        <f t="shared" ref="G12:G20" si="1">E12/F12</f>
        <v>6.2757903050598446E-2</v>
      </c>
    </row>
    <row r="13" spans="1:15" hidden="1" x14ac:dyDescent="0.25">
      <c r="A13" s="42" t="s">
        <v>2253</v>
      </c>
      <c r="B13" s="205"/>
      <c r="C13" s="2">
        <f>'Allocation ProForma'!O668</f>
        <v>250828327.75421491</v>
      </c>
      <c r="D13" s="2">
        <f>'Allocation ProForma'!O681</f>
        <v>224760229.39221784</v>
      </c>
      <c r="E13" s="2">
        <f t="shared" si="0"/>
        <v>26068098.361997068</v>
      </c>
      <c r="F13" s="2">
        <f>'Allocation ProForma'!O685</f>
        <v>533415050.36546725</v>
      </c>
      <c r="G13" s="215">
        <f t="shared" si="1"/>
        <v>4.8870196564826232E-2</v>
      </c>
    </row>
    <row r="14" spans="1:15" hidden="1" x14ac:dyDescent="0.25">
      <c r="A14" s="42" t="s">
        <v>2246</v>
      </c>
      <c r="B14" s="205"/>
      <c r="C14" s="2">
        <f>'Allocation ProForma'!P668</f>
        <v>86439484.209639043</v>
      </c>
      <c r="D14" s="2">
        <f>'Allocation ProForma'!P681</f>
        <v>77386478.95242697</v>
      </c>
      <c r="E14" s="2">
        <f t="shared" si="0"/>
        <v>9053005.2572120726</v>
      </c>
      <c r="F14" s="2">
        <f>'Allocation ProForma'!P685</f>
        <v>170797076.92138174</v>
      </c>
      <c r="G14" s="215">
        <f t="shared" si="1"/>
        <v>5.3004450780965003E-2</v>
      </c>
    </row>
    <row r="15" spans="1:15" hidden="1" x14ac:dyDescent="0.25">
      <c r="A15" s="43" t="s">
        <v>2247</v>
      </c>
      <c r="B15" s="205"/>
      <c r="C15" s="2">
        <f>'Allocation ProForma'!Q668</f>
        <v>29888103.763572749</v>
      </c>
      <c r="D15" s="2">
        <f>'Allocation ProForma'!Q681</f>
        <v>26385921.906142429</v>
      </c>
      <c r="E15" s="2">
        <f t="shared" si="0"/>
        <v>3502181.8574303202</v>
      </c>
      <c r="F15" s="2">
        <f>'Allocation ProForma'!Q685</f>
        <v>45005985.731704071</v>
      </c>
      <c r="G15" s="215">
        <f t="shared" si="1"/>
        <v>7.7815912716766453E-2</v>
      </c>
    </row>
    <row r="16" spans="1:15" hidden="1" x14ac:dyDescent="0.25">
      <c r="A16" s="43" t="s">
        <v>847</v>
      </c>
      <c r="B16" s="205"/>
      <c r="C16" s="218">
        <f>SUM(C17:C19)</f>
        <v>26352431.838061936</v>
      </c>
      <c r="D16" s="218">
        <f>SUM(D17:D19)</f>
        <v>18005664.662967511</v>
      </c>
      <c r="E16" s="218">
        <f>SUM(E17:E19)</f>
        <v>8346767.1750944275</v>
      </c>
      <c r="F16" s="218">
        <f>SUM(F17:F19)</f>
        <v>82490299.575312749</v>
      </c>
      <c r="G16" s="219">
        <f>E16/F16</f>
        <v>0.10118483285994033</v>
      </c>
    </row>
    <row r="17" spans="1:15" hidden="1" x14ac:dyDescent="0.25">
      <c r="A17" s="43" t="s">
        <v>2248</v>
      </c>
      <c r="B17" s="205"/>
      <c r="C17" s="5">
        <f>'Allocation ProForma'!R668</f>
        <v>26166186.181470577</v>
      </c>
      <c r="D17" s="5">
        <f>'Allocation ProForma'!R681</f>
        <v>17854042.977277666</v>
      </c>
      <c r="E17" s="5">
        <f t="shared" si="0"/>
        <v>8312143.2041929103</v>
      </c>
      <c r="F17" s="5">
        <f>'Allocation ProForma'!R685</f>
        <v>82196367.310438812</v>
      </c>
      <c r="G17" s="216">
        <f t="shared" si="1"/>
        <v>0.10112543262161029</v>
      </c>
    </row>
    <row r="18" spans="1:15" hidden="1" x14ac:dyDescent="0.25">
      <c r="A18" s="42" t="s">
        <v>2249</v>
      </c>
      <c r="B18" s="205"/>
      <c r="C18" s="2">
        <f>'Allocation ProForma'!S668</f>
        <v>29690.626642426691</v>
      </c>
      <c r="D18" s="2">
        <f>'Allocation ProForma'!S681</f>
        <v>22610.975639785425</v>
      </c>
      <c r="E18" s="5">
        <f t="shared" si="0"/>
        <v>7079.6510026412652</v>
      </c>
      <c r="F18" s="2">
        <f>'Allocation ProForma'!S685</f>
        <v>15193.548301309937</v>
      </c>
      <c r="G18" s="215">
        <f t="shared" si="1"/>
        <v>0.46596429367528858</v>
      </c>
    </row>
    <row r="19" spans="1:15" hidden="1" x14ac:dyDescent="0.25">
      <c r="A19" s="217" t="s">
        <v>2250</v>
      </c>
      <c r="B19" s="152"/>
      <c r="C19" s="218">
        <f>'Allocation ProForma'!T668</f>
        <v>156555.02994893212</v>
      </c>
      <c r="D19" s="218">
        <f>'Allocation ProForma'!T681</f>
        <v>129010.71005005603</v>
      </c>
      <c r="E19" s="218">
        <f t="shared" si="0"/>
        <v>27544.319898876085</v>
      </c>
      <c r="F19" s="218">
        <f>'Allocation ProForma'!T685</f>
        <v>278738.71657262801</v>
      </c>
      <c r="G19" s="219">
        <f t="shared" si="1"/>
        <v>9.8817703681645358E-2</v>
      </c>
    </row>
    <row r="20" spans="1:15" hidden="1" x14ac:dyDescent="0.25">
      <c r="C20" s="2">
        <f>SUM(C7:C16)</f>
        <v>1486962671.9408755</v>
      </c>
      <c r="D20" s="2">
        <f>SUM(D7:D16)</f>
        <v>1283819684.1370296</v>
      </c>
      <c r="E20" s="2">
        <f>SUM(E7:E16)</f>
        <v>203142987.80384547</v>
      </c>
      <c r="F20" s="2">
        <f>SUM(F7:F16)</f>
        <v>3639079759.3610182</v>
      </c>
      <c r="G20" s="215">
        <f t="shared" si="1"/>
        <v>5.5822625838658484E-2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7.399999999999999" x14ac:dyDescent="0.3">
      <c r="A22" s="4" t="s">
        <v>1427</v>
      </c>
      <c r="B22" s="205"/>
    </row>
    <row r="23" spans="1:15" x14ac:dyDescent="0.25">
      <c r="A23" s="3" t="s">
        <v>2241</v>
      </c>
    </row>
    <row r="25" spans="1:15" x14ac:dyDescent="0.25">
      <c r="A25" s="206"/>
      <c r="B25" s="205"/>
      <c r="D25" s="207" t="s">
        <v>2233</v>
      </c>
      <c r="E25" s="207" t="s">
        <v>2234</v>
      </c>
      <c r="F25" s="208"/>
      <c r="G25" s="209"/>
      <c r="H25" s="89"/>
      <c r="I25" s="193"/>
      <c r="J25" s="203"/>
      <c r="O25" s="203"/>
    </row>
    <row r="26" spans="1:15" ht="14.4" thickBot="1" x14ac:dyDescent="0.3">
      <c r="A26" s="210"/>
      <c r="B26" s="211"/>
      <c r="C26" s="212" t="s">
        <v>458</v>
      </c>
      <c r="D26" s="212" t="s">
        <v>2235</v>
      </c>
      <c r="E26" s="212" t="s">
        <v>2236</v>
      </c>
      <c r="F26" s="213" t="s">
        <v>193</v>
      </c>
      <c r="G26" s="212" t="s">
        <v>2237</v>
      </c>
      <c r="H26" s="333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2238</v>
      </c>
      <c r="B28" s="205"/>
      <c r="C28" s="214">
        <f>'Allocation ProForma'!G729</f>
        <v>576948070.88843322</v>
      </c>
      <c r="D28" s="214">
        <f>'Allocation ProForma'!G768</f>
        <v>511408192.39446807</v>
      </c>
      <c r="E28" s="214">
        <f t="shared" ref="E28:E40" si="2">C28-D28</f>
        <v>65539878.493965149</v>
      </c>
      <c r="F28" s="214">
        <f>'Allocation ProForma'!G776</f>
        <v>1716633054.3461716</v>
      </c>
      <c r="G28" s="215">
        <f t="shared" ref="G28:G41" si="3">E28/F28</f>
        <v>3.8179317547236601E-2</v>
      </c>
      <c r="H28" s="334"/>
      <c r="I28" s="334"/>
      <c r="J28" s="203"/>
      <c r="O28" s="203"/>
    </row>
    <row r="29" spans="1:15" x14ac:dyDescent="0.25">
      <c r="A29" s="43" t="s">
        <v>2340</v>
      </c>
      <c r="B29" s="205"/>
      <c r="C29" s="2">
        <f>'Allocation ProForma'!H729</f>
        <v>199263423.0355289</v>
      </c>
      <c r="D29" s="2">
        <f>'Allocation ProForma'!H768</f>
        <v>160822533.94149303</v>
      </c>
      <c r="E29" s="2">
        <f>C29-D29</f>
        <v>38440889.094035864</v>
      </c>
      <c r="F29" s="2">
        <f>'Allocation ProForma'!H776</f>
        <v>441219651.03133303</v>
      </c>
      <c r="G29" s="215">
        <f>E29/F29</f>
        <v>8.712415461138652E-2</v>
      </c>
      <c r="H29" s="193"/>
      <c r="I29" s="193"/>
      <c r="J29" s="203"/>
      <c r="O29" s="203"/>
    </row>
    <row r="30" spans="1:15" x14ac:dyDescent="0.25">
      <c r="A30" s="42" t="s">
        <v>2243</v>
      </c>
      <c r="B30" s="205"/>
      <c r="C30" s="5">
        <f>'Allocation ProForma'!J729</f>
        <v>11974301.202798663</v>
      </c>
      <c r="D30" s="5">
        <f>'Allocation ProForma'!J768</f>
        <v>10408632.142034343</v>
      </c>
      <c r="E30" s="5">
        <f>C30-D30</f>
        <v>1565669.0607643202</v>
      </c>
      <c r="F30" s="5">
        <f>'Allocation ProForma'!J776</f>
        <v>28182297.978403468</v>
      </c>
      <c r="G30" s="216">
        <f>E30/F30</f>
        <v>5.5555053103338727E-2</v>
      </c>
      <c r="H30" s="193"/>
      <c r="I30" s="193"/>
      <c r="J30" s="203"/>
      <c r="O30" s="203"/>
    </row>
    <row r="31" spans="1:15" x14ac:dyDescent="0.25">
      <c r="A31" s="42" t="s">
        <v>2240</v>
      </c>
      <c r="C31" s="2">
        <f>'Allocation ProForma'!L729</f>
        <v>173715204.85514408</v>
      </c>
      <c r="D31" s="2">
        <f>'Allocation ProForma'!L768</f>
        <v>142002254.38477203</v>
      </c>
      <c r="E31" s="5">
        <f t="shared" si="2"/>
        <v>31712950.470372051</v>
      </c>
      <c r="F31" s="2">
        <f>'Allocation ProForma'!L776</f>
        <v>347387075.53153688</v>
      </c>
      <c r="G31" s="215">
        <f t="shared" si="3"/>
        <v>9.1289954935278098E-2</v>
      </c>
      <c r="H31" s="334"/>
      <c r="I31" s="334"/>
    </row>
    <row r="32" spans="1:15" x14ac:dyDescent="0.25">
      <c r="A32" s="42" t="s">
        <v>2239</v>
      </c>
      <c r="C32" s="2">
        <f>'Allocation ProForma'!M729</f>
        <v>13895605.94844028</v>
      </c>
      <c r="D32" s="2">
        <f>'Allocation ProForma'!M768</f>
        <v>11114608.463303357</v>
      </c>
      <c r="E32" s="2">
        <f t="shared" si="2"/>
        <v>2780997.4851369224</v>
      </c>
      <c r="F32" s="2">
        <f>'Allocation ProForma'!M776</f>
        <v>25275870.378223237</v>
      </c>
      <c r="G32" s="215">
        <f t="shared" si="3"/>
        <v>0.11002578520630997</v>
      </c>
      <c r="H32" s="334"/>
      <c r="I32" s="334"/>
    </row>
    <row r="33" spans="1:15" x14ac:dyDescent="0.25">
      <c r="A33" s="42" t="s">
        <v>2254</v>
      </c>
      <c r="C33" s="2">
        <f>'Allocation ProForma'!N729</f>
        <v>116367549.93095262</v>
      </c>
      <c r="D33" s="2">
        <f>'Allocation ProForma'!N768</f>
        <v>100786485.0749246</v>
      </c>
      <c r="E33" s="2">
        <f t="shared" si="2"/>
        <v>15581064.85602802</v>
      </c>
      <c r="F33" s="2">
        <f>'Allocation ProForma'!N776</f>
        <v>248673397.50148326</v>
      </c>
      <c r="G33" s="215">
        <f t="shared" si="3"/>
        <v>6.2656741784915232E-2</v>
      </c>
      <c r="H33" s="334"/>
      <c r="I33" s="334"/>
    </row>
    <row r="34" spans="1:15" x14ac:dyDescent="0.25">
      <c r="A34" s="42" t="s">
        <v>2253</v>
      </c>
      <c r="B34" s="205"/>
      <c r="C34" s="2">
        <f>'Allocation ProForma'!O729</f>
        <v>250618049.03936678</v>
      </c>
      <c r="D34" s="2">
        <f>'Allocation ProForma'!O768</f>
        <v>224597404.36438584</v>
      </c>
      <c r="E34" s="2">
        <f t="shared" si="2"/>
        <v>26020644.674980938</v>
      </c>
      <c r="F34" s="2">
        <f>'Allocation ProForma'!O776</f>
        <v>533415050.36546725</v>
      </c>
      <c r="G34" s="215">
        <f t="shared" si="3"/>
        <v>4.8781234532383359E-2</v>
      </c>
      <c r="H34" s="334"/>
      <c r="I34" s="334"/>
    </row>
    <row r="35" spans="1:15" x14ac:dyDescent="0.25">
      <c r="A35" s="42" t="s">
        <v>2246</v>
      </c>
      <c r="B35" s="205"/>
      <c r="C35" s="2">
        <f>'Allocation ProForma'!P729</f>
        <v>86370870.077902898</v>
      </c>
      <c r="D35" s="2">
        <f>'Allocation ProForma'!P768</f>
        <v>77329833.437045261</v>
      </c>
      <c r="E35" s="2">
        <f t="shared" si="2"/>
        <v>9041036.6408576369</v>
      </c>
      <c r="F35" s="2">
        <f>'Allocation ProForma'!P776</f>
        <v>170797076.92138174</v>
      </c>
      <c r="G35" s="215">
        <f t="shared" si="3"/>
        <v>5.2934375715453522E-2</v>
      </c>
      <c r="H35" s="334"/>
      <c r="I35" s="334"/>
    </row>
    <row r="36" spans="1:15" x14ac:dyDescent="0.25">
      <c r="A36" s="43" t="s">
        <v>2247</v>
      </c>
      <c r="B36" s="205"/>
      <c r="C36" s="2">
        <f>'Allocation ProForma'!Q729</f>
        <v>29864384.899244361</v>
      </c>
      <c r="D36" s="2">
        <f>'Allocation ProForma'!Q768</f>
        <v>26365373.827251494</v>
      </c>
      <c r="E36" s="2">
        <f t="shared" si="2"/>
        <v>3499011.0719928667</v>
      </c>
      <c r="F36" s="2">
        <f>'Allocation ProForma'!Q776</f>
        <v>45005985.731704071</v>
      </c>
      <c r="G36" s="215">
        <f t="shared" si="3"/>
        <v>7.7745460189488066E-2</v>
      </c>
      <c r="H36" s="334"/>
      <c r="I36" s="334"/>
    </row>
    <row r="37" spans="1:15" hidden="1" x14ac:dyDescent="0.25">
      <c r="A37" s="43" t="s">
        <v>847</v>
      </c>
      <c r="B37" s="205"/>
      <c r="C37" s="218">
        <f>SUM(C38:C40)</f>
        <v>26309980.063063346</v>
      </c>
      <c r="D37" s="218">
        <f>SUM(D38:D40)</f>
        <v>17981583.106533404</v>
      </c>
      <c r="E37" s="218">
        <f>SUM(E38:E40)</f>
        <v>8328396.9565299386</v>
      </c>
      <c r="F37" s="218">
        <f>SUM(F38:F40)</f>
        <v>82490299.575312749</v>
      </c>
      <c r="G37" s="219">
        <f>E37/F37</f>
        <v>0.10096213735926855</v>
      </c>
      <c r="H37" s="334"/>
      <c r="I37" s="334"/>
    </row>
    <row r="38" spans="1:15" x14ac:dyDescent="0.25">
      <c r="A38" s="43" t="s">
        <v>2248</v>
      </c>
      <c r="B38" s="205"/>
      <c r="C38" s="2">
        <f>'Allocation ProForma'!R729</f>
        <v>26123992.44827177</v>
      </c>
      <c r="D38" s="2">
        <f>'Allocation ProForma'!R768</f>
        <v>17830107.087799683</v>
      </c>
      <c r="E38" s="2">
        <f t="shared" si="2"/>
        <v>8293885.3604720868</v>
      </c>
      <c r="F38" s="2">
        <f>'Allocation ProForma'!R776</f>
        <v>82196367.310438812</v>
      </c>
      <c r="G38" s="215">
        <f t="shared" si="3"/>
        <v>0.10090330791807117</v>
      </c>
      <c r="H38" s="334"/>
      <c r="I38" s="334"/>
    </row>
    <row r="39" spans="1:15" x14ac:dyDescent="0.25">
      <c r="A39" s="42" t="s">
        <v>2249</v>
      </c>
      <c r="B39" s="205"/>
      <c r="C39" s="5">
        <f>'Allocation ProForma'!S729</f>
        <v>29624.691924233273</v>
      </c>
      <c r="D39" s="5">
        <f>'Allocation ProForma'!S768</f>
        <v>22584.584980686261</v>
      </c>
      <c r="E39" s="5">
        <f t="shared" si="2"/>
        <v>7040.1069435470126</v>
      </c>
      <c r="F39" s="5">
        <f>'Allocation ProForma'!S776</f>
        <v>15193.548301309937</v>
      </c>
      <c r="G39" s="216">
        <f t="shared" si="3"/>
        <v>0.46336160611935778</v>
      </c>
      <c r="H39" s="193"/>
      <c r="I39" s="334"/>
    </row>
    <row r="40" spans="1:15" x14ac:dyDescent="0.25">
      <c r="A40" s="217" t="s">
        <v>2250</v>
      </c>
      <c r="B40" s="223"/>
      <c r="C40" s="218">
        <f>'Allocation ProForma'!T729</f>
        <v>156362.9228673428</v>
      </c>
      <c r="D40" s="218">
        <f>'Allocation ProForma'!T768</f>
        <v>128891.43375303769</v>
      </c>
      <c r="E40" s="218">
        <f t="shared" si="2"/>
        <v>27471.489114305106</v>
      </c>
      <c r="F40" s="218">
        <f>'Allocation ProForma'!T776</f>
        <v>278738.71657262801</v>
      </c>
      <c r="G40" s="219">
        <f t="shared" si="3"/>
        <v>9.8556416747894254E-2</v>
      </c>
      <c r="H40" s="193"/>
      <c r="I40" s="334"/>
    </row>
    <row r="41" spans="1:15" x14ac:dyDescent="0.25">
      <c r="C41" s="2">
        <f>SUM(C28:C37)</f>
        <v>1485327439.9408748</v>
      </c>
      <c r="D41" s="2">
        <f>SUM(D28:D37)</f>
        <v>1282816901.1362114</v>
      </c>
      <c r="E41" s="2">
        <f>SUM(E28:E37)</f>
        <v>202510538.80466372</v>
      </c>
      <c r="F41" s="2">
        <f>SUM(F28:F37)</f>
        <v>3639079759.3610182</v>
      </c>
      <c r="G41" s="215">
        <f t="shared" si="3"/>
        <v>5.56488321762484E-2</v>
      </c>
      <c r="H41" s="334"/>
      <c r="I41" s="334"/>
    </row>
    <row r="42" spans="1:15" x14ac:dyDescent="0.25">
      <c r="H42" s="193"/>
      <c r="I42" s="334"/>
    </row>
    <row r="43" spans="1:15" ht="17.399999999999999" x14ac:dyDescent="0.3">
      <c r="A43" s="337" t="s">
        <v>1427</v>
      </c>
      <c r="B43" s="125"/>
      <c r="I43" s="215"/>
    </row>
    <row r="44" spans="1:15" x14ac:dyDescent="0.25">
      <c r="A44" s="24" t="s">
        <v>2242</v>
      </c>
      <c r="B44" s="132"/>
    </row>
    <row r="45" spans="1:15" x14ac:dyDescent="0.25">
      <c r="A45" s="132"/>
      <c r="B45" s="132"/>
    </row>
    <row r="46" spans="1:15" x14ac:dyDescent="0.25">
      <c r="A46" s="206"/>
      <c r="B46" s="205"/>
      <c r="D46" s="207" t="s">
        <v>2233</v>
      </c>
      <c r="E46" s="207" t="s">
        <v>2234</v>
      </c>
      <c r="F46" s="208"/>
      <c r="G46" s="209"/>
      <c r="J46" s="203"/>
      <c r="O46" s="203"/>
    </row>
    <row r="47" spans="1:15" ht="14.4" thickBot="1" x14ac:dyDescent="0.3">
      <c r="A47" s="210"/>
      <c r="B47" s="211"/>
      <c r="C47" s="212" t="s">
        <v>458</v>
      </c>
      <c r="D47" s="212" t="s">
        <v>2235</v>
      </c>
      <c r="E47" s="212" t="s">
        <v>2236</v>
      </c>
      <c r="F47" s="213" t="s">
        <v>193</v>
      </c>
      <c r="G47" s="212" t="s">
        <v>2237</v>
      </c>
      <c r="J47" s="203"/>
      <c r="O47" s="203"/>
    </row>
    <row r="48" spans="1:15" x14ac:dyDescent="0.25">
      <c r="A48" s="206"/>
      <c r="B48" s="205"/>
      <c r="J48" s="203"/>
      <c r="O48" s="203"/>
    </row>
    <row r="49" spans="1:15" x14ac:dyDescent="0.25">
      <c r="A49" s="43" t="s">
        <v>2238</v>
      </c>
      <c r="B49" s="205"/>
      <c r="C49" s="214">
        <f>'Allocation ProForma'!G806</f>
        <v>617523138.22296762</v>
      </c>
      <c r="D49" s="214">
        <f>'Allocation ProForma'!G819</f>
        <v>527355368.83558035</v>
      </c>
      <c r="E49" s="214">
        <f t="shared" ref="E49:E61" si="4">C49-D49</f>
        <v>90167769.387387276</v>
      </c>
      <c r="F49" s="214">
        <f>'Allocation ProForma'!G823</f>
        <v>1716633054.3461716</v>
      </c>
      <c r="G49" s="215">
        <f t="shared" ref="G49:G62" si="5">E49/F49</f>
        <v>5.2525942663809548E-2</v>
      </c>
      <c r="J49" s="203"/>
      <c r="O49" s="203"/>
    </row>
    <row r="50" spans="1:15" x14ac:dyDescent="0.25">
      <c r="A50" s="43" t="s">
        <v>2340</v>
      </c>
      <c r="B50" s="205"/>
      <c r="C50" s="2">
        <f>'Allocation ProForma'!H806</f>
        <v>212346353.31928772</v>
      </c>
      <c r="D50" s="2">
        <f>'Allocation ProForma'!H819</f>
        <v>165937929.54179955</v>
      </c>
      <c r="E50" s="2">
        <f t="shared" si="4"/>
        <v>46408423.777488172</v>
      </c>
      <c r="F50" s="2">
        <f>'Allocation ProForma'!H823</f>
        <v>441219651.03133303</v>
      </c>
      <c r="G50" s="215">
        <f t="shared" si="5"/>
        <v>0.10518213245717947</v>
      </c>
      <c r="J50" s="203"/>
      <c r="O50" s="203"/>
    </row>
    <row r="51" spans="1:15" x14ac:dyDescent="0.25">
      <c r="A51" s="42" t="s">
        <v>2243</v>
      </c>
      <c r="B51" s="205"/>
      <c r="C51" s="5">
        <f>'Allocation ProForma'!J806</f>
        <v>12825796.309785364</v>
      </c>
      <c r="D51" s="5">
        <f>'Allocation ProForma'!J819</f>
        <v>10738904.099463774</v>
      </c>
      <c r="E51" s="5">
        <f t="shared" si="4"/>
        <v>2086892.2103215903</v>
      </c>
      <c r="F51" s="5">
        <f>'Allocation ProForma'!J823</f>
        <v>28182297.978403468</v>
      </c>
      <c r="G51" s="216">
        <f t="shared" si="5"/>
        <v>7.40497532146175E-2</v>
      </c>
      <c r="J51" s="203"/>
      <c r="O51" s="203"/>
    </row>
    <row r="52" spans="1:15" x14ac:dyDescent="0.25">
      <c r="A52" s="42" t="s">
        <v>2240</v>
      </c>
      <c r="C52" s="2">
        <f>'Allocation ProForma'!L806</f>
        <v>184185813.00296831</v>
      </c>
      <c r="D52" s="2">
        <f>'Allocation ProForma'!L819</f>
        <v>146065664.16927522</v>
      </c>
      <c r="E52" s="5">
        <f t="shared" si="4"/>
        <v>38120148.833693087</v>
      </c>
      <c r="F52" s="2">
        <f>'Allocation ProForma'!L823</f>
        <v>347387075.53153688</v>
      </c>
      <c r="G52" s="215">
        <f t="shared" si="5"/>
        <v>0.10973392943697015</v>
      </c>
    </row>
    <row r="53" spans="1:15" x14ac:dyDescent="0.25">
      <c r="A53" s="42" t="s">
        <v>2239</v>
      </c>
      <c r="C53" s="2">
        <f>'Allocation ProForma'!M806</f>
        <v>14674524.523551712</v>
      </c>
      <c r="D53" s="2">
        <f>'Allocation ProForma'!M819</f>
        <v>11416937.0265761</v>
      </c>
      <c r="E53" s="2">
        <f t="shared" si="4"/>
        <v>3257587.4969756119</v>
      </c>
      <c r="F53" s="2">
        <f>'Allocation ProForma'!M823</f>
        <v>25275870.378223237</v>
      </c>
      <c r="G53" s="215">
        <f t="shared" si="5"/>
        <v>0.12888131835737809</v>
      </c>
    </row>
    <row r="54" spans="1:15" x14ac:dyDescent="0.25">
      <c r="A54" s="42" t="s">
        <v>2244</v>
      </c>
      <c r="C54" s="2">
        <f>'Allocation ProForma'!N806</f>
        <v>123958148.31605642</v>
      </c>
      <c r="D54" s="2">
        <f>'Allocation ProForma'!N819</f>
        <v>103729523.35460177</v>
      </c>
      <c r="E54" s="2">
        <f t="shared" si="4"/>
        <v>20228624.961454645</v>
      </c>
      <c r="F54" s="2">
        <f>'Allocation ProForma'!N823</f>
        <v>248673397.50148326</v>
      </c>
      <c r="G54" s="215">
        <f t="shared" si="5"/>
        <v>8.1346155900467745E-2</v>
      </c>
    </row>
    <row r="55" spans="1:15" x14ac:dyDescent="0.25">
      <c r="A55" s="42" t="s">
        <v>2245</v>
      </c>
      <c r="B55" s="205"/>
      <c r="C55" s="2">
        <f>'Allocation ProForma'!O806</f>
        <v>269538444.721865</v>
      </c>
      <c r="D55" s="2">
        <f>'Allocation ProForma'!O819</f>
        <v>231927148.88503885</v>
      </c>
      <c r="E55" s="2">
        <f t="shared" si="4"/>
        <v>37611295.836826146</v>
      </c>
      <c r="F55" s="2">
        <f>'Allocation ProForma'!O823</f>
        <v>533415050.36546725</v>
      </c>
      <c r="G55" s="215">
        <f t="shared" si="5"/>
        <v>7.0510376134038419E-2</v>
      </c>
    </row>
    <row r="56" spans="1:15" x14ac:dyDescent="0.25">
      <c r="A56" s="42" t="s">
        <v>2246</v>
      </c>
      <c r="B56" s="205"/>
      <c r="C56" s="222">
        <f>'Allocation ProForma'!P806</f>
        <v>92944711.098683715</v>
      </c>
      <c r="D56" s="2">
        <f>'Allocation ProForma'!P819</f>
        <v>79876404.05343242</v>
      </c>
      <c r="E56" s="2">
        <f t="shared" si="4"/>
        <v>13068307.045251295</v>
      </c>
      <c r="F56" s="2">
        <f>'Allocation ProForma'!P823</f>
        <v>170797076.92138174</v>
      </c>
      <c r="G56" s="215">
        <f t="shared" si="5"/>
        <v>7.6513645788368292E-2</v>
      </c>
    </row>
    <row r="57" spans="1:15" x14ac:dyDescent="0.25">
      <c r="A57" s="43" t="s">
        <v>2247</v>
      </c>
      <c r="B57" s="205"/>
      <c r="C57" s="2">
        <f>'Allocation ProForma'!Q806</f>
        <v>32243340.838805415</v>
      </c>
      <c r="D57" s="2">
        <f>'Allocation ProForma'!Q819</f>
        <v>27286723.959582515</v>
      </c>
      <c r="E57" s="2">
        <f t="shared" si="4"/>
        <v>4956616.8792228997</v>
      </c>
      <c r="F57" s="2">
        <f>'Allocation ProForma'!Q823</f>
        <v>45005985.731704071</v>
      </c>
      <c r="G57" s="215">
        <f t="shared" si="5"/>
        <v>0.11013239236156214</v>
      </c>
    </row>
    <row r="58" spans="1:15" hidden="1" x14ac:dyDescent="0.25">
      <c r="A58" s="43" t="s">
        <v>847</v>
      </c>
      <c r="B58" s="205"/>
      <c r="C58" s="218">
        <f>SUM(C59:C61)</f>
        <v>28185087.586903822</v>
      </c>
      <c r="D58" s="218">
        <f>SUM(D59:D61)</f>
        <v>18797255.90057902</v>
      </c>
      <c r="E58" s="218">
        <f>SUM(E59:E61)</f>
        <v>9387831.6863248032</v>
      </c>
      <c r="F58" s="218">
        <f>SUM(F59:F61)</f>
        <v>82490299.575312749</v>
      </c>
      <c r="G58" s="219">
        <f t="shared" si="5"/>
        <v>0.11380528055609514</v>
      </c>
    </row>
    <row r="59" spans="1:15" x14ac:dyDescent="0.25">
      <c r="A59" s="43" t="s">
        <v>2248</v>
      </c>
      <c r="B59" s="205"/>
      <c r="C59" s="2">
        <f>'Allocation ProForma'!R806</f>
        <v>27990480.759353101</v>
      </c>
      <c r="D59" s="2">
        <f>'Allocation ProForma'!R819</f>
        <v>18642020.546411499</v>
      </c>
      <c r="E59" s="2">
        <f t="shared" si="4"/>
        <v>9348460.2129416019</v>
      </c>
      <c r="F59" s="2">
        <f>'Allocation ProForma'!R823</f>
        <v>82196367.310438812</v>
      </c>
      <c r="G59" s="215">
        <f t="shared" si="5"/>
        <v>0.1137332526829852</v>
      </c>
    </row>
    <row r="60" spans="1:15" x14ac:dyDescent="0.25">
      <c r="A60" s="42" t="s">
        <v>2249</v>
      </c>
      <c r="B60" s="205"/>
      <c r="C60" s="5">
        <f>'Allocation ProForma'!S806</f>
        <v>29624.691924233273</v>
      </c>
      <c r="D60" s="5">
        <f>'Allocation ProForma'!S819</f>
        <v>22590.717366254066</v>
      </c>
      <c r="E60" s="5">
        <f t="shared" si="4"/>
        <v>7033.974557979207</v>
      </c>
      <c r="F60" s="5">
        <f>'Allocation ProForma'!S823</f>
        <v>15193.548301309937</v>
      </c>
      <c r="G60" s="216">
        <f t="shared" si="5"/>
        <v>0.4629579883833167</v>
      </c>
    </row>
    <row r="61" spans="1:15" x14ac:dyDescent="0.25">
      <c r="A61" s="217" t="s">
        <v>2250</v>
      </c>
      <c r="B61" s="223"/>
      <c r="C61" s="218">
        <f>'Allocation ProForma'!T806</f>
        <v>164982.13562648781</v>
      </c>
      <c r="D61" s="218">
        <f>'Allocation ProForma'!T819</f>
        <v>132644.63680126623</v>
      </c>
      <c r="E61" s="218">
        <f t="shared" si="4"/>
        <v>32337.498825221584</v>
      </c>
      <c r="F61" s="218">
        <f>'Allocation ProForma'!T823</f>
        <v>278738.71657262801</v>
      </c>
      <c r="G61" s="219">
        <f t="shared" si="5"/>
        <v>0.11601366047330473</v>
      </c>
    </row>
    <row r="62" spans="1:15" x14ac:dyDescent="0.25">
      <c r="C62" s="2">
        <f>SUM(C49:C58)</f>
        <v>1588425357.9408751</v>
      </c>
      <c r="D62" s="2">
        <f>SUM(D49:D58)</f>
        <v>1323131859.8259294</v>
      </c>
      <c r="E62" s="2">
        <f>SUM(E49:E58)</f>
        <v>265293498.11494553</v>
      </c>
      <c r="F62" s="2">
        <f>SUM(F49:F58)</f>
        <v>3639079759.3610182</v>
      </c>
      <c r="G62" s="215">
        <f t="shared" si="5"/>
        <v>7.29012595650083E-2</v>
      </c>
    </row>
  </sheetData>
  <mergeCells count="2">
    <mergeCell ref="H2:J2"/>
    <mergeCell ref="L2:O2"/>
  </mergeCells>
  <pageMargins left="0.7" right="0.7" top="0.75" bottom="0.75" header="0.3" footer="0.3"/>
  <pageSetup scale="85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4"/>
  <sheetViews>
    <sheetView zoomScale="75" zoomScaleNormal="75" workbookViewId="0">
      <pane xSplit="1" topLeftCell="B1" activePane="topRight" state="frozen"/>
      <selection pane="topRight" activeCell="B8" sqref="B8"/>
    </sheetView>
  </sheetViews>
  <sheetFormatPr defaultColWidth="9.109375" defaultRowHeight="15" x14ac:dyDescent="0.25"/>
  <cols>
    <col min="1" max="1" width="61.33203125" style="6" bestFit="1" customWidth="1"/>
    <col min="2" max="2" width="18.44140625" style="10" customWidth="1"/>
    <col min="3" max="3" width="20.5546875" style="10" bestFit="1" customWidth="1"/>
    <col min="4" max="4" width="19.44140625" style="6" bestFit="1" customWidth="1"/>
    <col min="5" max="7" width="19.44140625" style="6" customWidth="1"/>
    <col min="8" max="8" width="20.44140625" style="6" bestFit="1" customWidth="1"/>
    <col min="9" max="10" width="18.44140625" style="6" bestFit="1" customWidth="1"/>
    <col min="11" max="11" width="18.5546875" style="6" bestFit="1" customWidth="1"/>
    <col min="12" max="13" width="18.44140625" style="6" bestFit="1" customWidth="1"/>
    <col min="14" max="14" width="19.88671875" style="6" bestFit="1" customWidth="1"/>
    <col min="15" max="15" width="16" style="6" bestFit="1" customWidth="1"/>
    <col min="16" max="16" width="14" style="6" bestFit="1" customWidth="1"/>
    <col min="17" max="17" width="19.5546875" style="6" customWidth="1"/>
    <col min="18" max="18" width="13.109375" style="6" bestFit="1" customWidth="1"/>
    <col min="19" max="19" width="14" style="6" bestFit="1" customWidth="1"/>
    <col min="20" max="20" width="12.5546875" style="6" customWidth="1"/>
    <col min="21" max="21" width="11.88671875" style="6" bestFit="1" customWidth="1"/>
    <col min="22" max="22" width="11.5546875" style="6" customWidth="1"/>
    <col min="23" max="16384" width="9.109375" style="6"/>
  </cols>
  <sheetData>
    <row r="1" spans="1:22" ht="17.399999999999999" x14ac:dyDescent="0.3">
      <c r="A1" s="8" t="s">
        <v>1812</v>
      </c>
    </row>
    <row r="2" spans="1:22" x14ac:dyDescent="0.25">
      <c r="A2" s="6" t="s">
        <v>967</v>
      </c>
    </row>
    <row r="3" spans="1:22" x14ac:dyDescent="0.25">
      <c r="B3" s="330" t="s">
        <v>2316</v>
      </c>
      <c r="H3" s="9"/>
      <c r="Q3" s="9"/>
    </row>
    <row r="4" spans="1:22" x14ac:dyDescent="0.25">
      <c r="A4" s="9"/>
      <c r="B4" s="330" t="s">
        <v>2317</v>
      </c>
      <c r="C4" s="186"/>
      <c r="D4" s="187"/>
      <c r="E4" s="185" t="s">
        <v>973</v>
      </c>
      <c r="F4" s="185"/>
      <c r="G4" s="185" t="s">
        <v>2215</v>
      </c>
      <c r="H4" s="185" t="s">
        <v>2216</v>
      </c>
      <c r="I4" s="185"/>
      <c r="N4" s="9"/>
      <c r="O4" s="9"/>
      <c r="P4" s="9"/>
      <c r="Q4" s="9"/>
      <c r="S4" s="9"/>
    </row>
    <row r="5" spans="1:22" x14ac:dyDescent="0.25">
      <c r="A5" s="9"/>
      <c r="B5" s="330" t="s">
        <v>2212</v>
      </c>
      <c r="C5" s="185"/>
      <c r="D5" s="188" t="s">
        <v>2213</v>
      </c>
      <c r="E5" s="185" t="s">
        <v>891</v>
      </c>
      <c r="F5" s="185" t="s">
        <v>914</v>
      </c>
      <c r="G5" s="185" t="s">
        <v>2217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6" thickBot="1" x14ac:dyDescent="0.3">
      <c r="A6" s="166"/>
      <c r="B6" s="331">
        <v>43281</v>
      </c>
      <c r="C6" s="22" t="s">
        <v>526</v>
      </c>
      <c r="D6" s="189" t="s">
        <v>2214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5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5">
      <c r="A8" s="25" t="s">
        <v>1550</v>
      </c>
      <c r="B8" s="168">
        <f>(5167850)/12</f>
        <v>430654.16666666669</v>
      </c>
      <c r="C8" s="19">
        <f>6091631440</f>
        <v>6091631440</v>
      </c>
      <c r="D8" s="19">
        <f>554516070+27119</f>
        <v>554543189</v>
      </c>
      <c r="E8" s="19">
        <v>2051123.053201586</v>
      </c>
      <c r="F8" s="19">
        <f>C8/8760</f>
        <v>695391.71689497714</v>
      </c>
      <c r="G8" s="19">
        <v>1736721.2305075389</v>
      </c>
      <c r="H8" s="19">
        <v>1461985.8675600674</v>
      </c>
      <c r="I8" s="19">
        <v>4304609.8439723067</v>
      </c>
      <c r="N8" s="26"/>
      <c r="O8" s="26"/>
      <c r="P8" s="26"/>
    </row>
    <row r="9" spans="1:22" s="16" customFormat="1" x14ac:dyDescent="0.25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5">
      <c r="A10" s="25" t="s">
        <v>2310</v>
      </c>
      <c r="B10" s="168">
        <f>763878/12</f>
        <v>63656.5</v>
      </c>
      <c r="C10" s="19">
        <v>763117080.75831282</v>
      </c>
      <c r="D10" s="19">
        <v>198233994</v>
      </c>
      <c r="E10" s="19">
        <v>499710.97063738306</v>
      </c>
      <c r="F10" s="19">
        <f>C10/8760</f>
        <v>87113.822004373607</v>
      </c>
      <c r="G10" s="19">
        <v>446957.3292942206</v>
      </c>
      <c r="H10" s="19">
        <v>393704.18183345284</v>
      </c>
      <c r="I10" s="19">
        <v>746971.4312416797</v>
      </c>
      <c r="N10" s="191"/>
      <c r="O10" s="26"/>
      <c r="P10" s="26"/>
    </row>
    <row r="11" spans="1:22" s="16" customFormat="1" x14ac:dyDescent="0.25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5">
      <c r="A12" s="25" t="s">
        <v>2312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5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5">
      <c r="A14" s="25" t="s">
        <v>2338</v>
      </c>
      <c r="B14" s="168">
        <f>4058/12</f>
        <v>338.16666666666669</v>
      </c>
      <c r="C14" s="19">
        <v>7122000</v>
      </c>
      <c r="D14" s="19">
        <f>12037991</f>
        <v>12037991</v>
      </c>
      <c r="E14" s="19">
        <v>52333.388582496336</v>
      </c>
      <c r="F14" s="19">
        <f>C14/8760</f>
        <v>813.01369863013701</v>
      </c>
      <c r="G14" s="19">
        <v>45898.648536442292</v>
      </c>
      <c r="H14" s="19">
        <v>24095.46073589458</v>
      </c>
      <c r="I14" s="19">
        <v>57026.216936198616</v>
      </c>
      <c r="P14" s="19"/>
    </row>
    <row r="15" spans="1:22" s="16" customFormat="1" x14ac:dyDescent="0.25">
      <c r="A15" s="25"/>
      <c r="B15" s="168"/>
      <c r="C15" s="19"/>
      <c r="D15" s="19"/>
      <c r="E15" s="19"/>
      <c r="F15" s="19"/>
      <c r="G15" s="19"/>
      <c r="H15" s="19"/>
      <c r="I15" s="19"/>
      <c r="P15" s="19"/>
    </row>
    <row r="16" spans="1:22" s="16" customFormat="1" x14ac:dyDescent="0.25">
      <c r="A16" s="25" t="s">
        <v>2314</v>
      </c>
      <c r="B16" s="168">
        <f>3060/12</f>
        <v>255</v>
      </c>
      <c r="C16" s="19">
        <v>144739000</v>
      </c>
      <c r="D16" s="19"/>
      <c r="E16" s="19"/>
      <c r="F16" s="19">
        <f>C16/8760</f>
        <v>16522.716894977169</v>
      </c>
      <c r="G16" s="19"/>
      <c r="H16" s="19"/>
      <c r="I16" s="19"/>
      <c r="P16" s="19"/>
    </row>
    <row r="17" spans="1:22" s="16" customFormat="1" x14ac:dyDescent="0.25">
      <c r="B17" s="168"/>
      <c r="C17" s="19"/>
      <c r="D17" s="19"/>
      <c r="E17" s="19"/>
      <c r="F17" s="19"/>
      <c r="G17" s="19"/>
      <c r="H17" s="19"/>
      <c r="I17" s="19"/>
      <c r="N17" s="19"/>
      <c r="O17" s="19"/>
      <c r="P17" s="169"/>
    </row>
    <row r="18" spans="1:22" s="16" customFormat="1" x14ac:dyDescent="0.25">
      <c r="A18" s="25" t="s">
        <v>2202</v>
      </c>
      <c r="B18" s="168">
        <f>54034/12</f>
        <v>4502.833333333333</v>
      </c>
      <c r="C18" s="19">
        <v>2146594132.2992384</v>
      </c>
      <c r="D18" s="19">
        <v>174459441</v>
      </c>
      <c r="E18" s="19">
        <v>466981.22960042412</v>
      </c>
      <c r="F18" s="19">
        <f>C18/8760</f>
        <v>245044.99227160256</v>
      </c>
      <c r="G18" s="19">
        <v>403338.8331908831</v>
      </c>
      <c r="H18" s="19">
        <v>408665.04815701587</v>
      </c>
      <c r="I18" s="19">
        <v>621881.65359877655</v>
      </c>
      <c r="N18" s="26"/>
      <c r="O18" s="26"/>
      <c r="P18" s="26"/>
    </row>
    <row r="19" spans="1:22" s="16" customFormat="1" x14ac:dyDescent="0.25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90"/>
      <c r="T19" s="181"/>
      <c r="V19" s="181"/>
    </row>
    <row r="20" spans="1:22" s="16" customFormat="1" x14ac:dyDescent="0.25">
      <c r="A20" s="201" t="s">
        <v>2203</v>
      </c>
      <c r="B20" s="168">
        <f>2070/12</f>
        <v>172.5</v>
      </c>
      <c r="C20" s="19">
        <v>169814470.8207581</v>
      </c>
      <c r="D20" s="19">
        <v>13950651</v>
      </c>
      <c r="E20" s="19">
        <v>36098.457687557748</v>
      </c>
      <c r="F20" s="19">
        <f>C20/8760</f>
        <v>19385.213564013484</v>
      </c>
      <c r="G20" s="19">
        <v>25411.817641778871</v>
      </c>
      <c r="H20" s="19">
        <v>29863.807891820055</v>
      </c>
      <c r="I20" s="19">
        <v>49365.492867243156</v>
      </c>
      <c r="N20" s="19"/>
      <c r="O20" s="19"/>
      <c r="P20" s="190"/>
      <c r="T20" s="181"/>
      <c r="V20" s="181"/>
    </row>
    <row r="21" spans="1:22" s="16" customFormat="1" x14ac:dyDescent="0.25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5">
      <c r="A22" s="25" t="s">
        <v>2204</v>
      </c>
      <c r="B22" s="168">
        <f>7419/12</f>
        <v>618.25</v>
      </c>
      <c r="C22" s="19">
        <v>1671130914.5630004</v>
      </c>
      <c r="D22" s="19">
        <f>116879945</f>
        <v>116879945</v>
      </c>
      <c r="E22" s="19">
        <v>328697.70162994531</v>
      </c>
      <c r="F22" s="19">
        <f>C22/8760</f>
        <v>190768.36924235165</v>
      </c>
      <c r="G22" s="19">
        <v>270395.51178289962</v>
      </c>
      <c r="H22" s="19">
        <v>291986.14657000959</v>
      </c>
      <c r="I22" s="19">
        <v>395414.9569991008</v>
      </c>
      <c r="N22" s="26"/>
      <c r="O22" s="26"/>
      <c r="P22" s="26"/>
    </row>
    <row r="23" spans="1:22" s="16" customFormat="1" x14ac:dyDescent="0.25">
      <c r="B23" s="19"/>
      <c r="C23" s="359"/>
      <c r="D23" s="19"/>
      <c r="E23" s="169"/>
      <c r="F23" s="169"/>
      <c r="G23" s="169"/>
      <c r="H23" s="169"/>
      <c r="I23" s="169"/>
    </row>
    <row r="24" spans="1:22" s="16" customFormat="1" x14ac:dyDescent="0.25">
      <c r="A24" s="201" t="s">
        <v>2315</v>
      </c>
      <c r="B24" s="168">
        <f>3318/12</f>
        <v>276.5</v>
      </c>
      <c r="C24" s="19">
        <v>4118000917.4033823</v>
      </c>
      <c r="D24" s="19">
        <v>251561897</v>
      </c>
      <c r="E24" s="19">
        <v>751868.84558161651</v>
      </c>
      <c r="F24" s="19">
        <f>C24/8760</f>
        <v>470091.42892732675</v>
      </c>
      <c r="G24" s="19">
        <v>577385.3554235308</v>
      </c>
      <c r="H24" s="19">
        <v>637992.48876148975</v>
      </c>
      <c r="I24" s="19">
        <v>909298.65605355671</v>
      </c>
      <c r="P24" s="19"/>
    </row>
    <row r="25" spans="1:22" s="16" customFormat="1" x14ac:dyDescent="0.25">
      <c r="B25" s="19"/>
      <c r="C25" s="19"/>
      <c r="D25" s="19"/>
      <c r="E25" s="169"/>
      <c r="F25" s="169"/>
      <c r="G25" s="169"/>
      <c r="H25" s="169"/>
      <c r="I25" s="169"/>
      <c r="N25" s="19"/>
      <c r="O25" s="19"/>
      <c r="P25" s="169"/>
    </row>
    <row r="26" spans="1:22" s="16" customFormat="1" x14ac:dyDescent="0.25">
      <c r="A26" s="25" t="s">
        <v>1883</v>
      </c>
      <c r="B26" s="168"/>
      <c r="C26" s="19"/>
      <c r="D26" s="19"/>
      <c r="E26" s="19"/>
      <c r="F26" s="19">
        <f>C26/8760</f>
        <v>0</v>
      </c>
      <c r="G26" s="19"/>
      <c r="H26" s="19"/>
      <c r="I26" s="19"/>
      <c r="N26" s="26"/>
      <c r="O26" s="26"/>
      <c r="P26" s="26"/>
    </row>
    <row r="27" spans="1:22" s="16" customFormat="1" x14ac:dyDescent="0.25">
      <c r="B27" s="19"/>
      <c r="C27" s="359"/>
      <c r="D27" s="19"/>
      <c r="E27" s="19"/>
      <c r="F27" s="19"/>
      <c r="G27" s="19"/>
      <c r="H27" s="19"/>
      <c r="I27" s="19"/>
      <c r="N27" s="26"/>
      <c r="O27" s="26"/>
      <c r="P27" s="26"/>
    </row>
    <row r="28" spans="1:22" s="16" customFormat="1" x14ac:dyDescent="0.25">
      <c r="A28" s="25" t="s">
        <v>1884</v>
      </c>
      <c r="B28" s="168">
        <f>360/12</f>
        <v>30</v>
      </c>
      <c r="C28" s="19">
        <v>1497714279.3066747</v>
      </c>
      <c r="D28" s="19">
        <v>86711460</v>
      </c>
      <c r="E28" s="19">
        <v>294031.57298089442</v>
      </c>
      <c r="F28" s="19">
        <f>C28/8760</f>
        <v>170971.94969254278</v>
      </c>
      <c r="G28" s="19">
        <v>212909.89240199357</v>
      </c>
      <c r="H28" s="19">
        <v>226896.36310292233</v>
      </c>
      <c r="I28" s="19">
        <v>342397.02524665621</v>
      </c>
      <c r="N28" s="26"/>
      <c r="O28" s="26"/>
      <c r="P28" s="26"/>
    </row>
    <row r="29" spans="1:22" s="16" customFormat="1" x14ac:dyDescent="0.25">
      <c r="B29" s="19"/>
      <c r="C29" s="175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5">
      <c r="A30" s="25" t="s">
        <v>2201</v>
      </c>
      <c r="B30" s="168">
        <f>12/12</f>
        <v>1</v>
      </c>
      <c r="C30" s="19">
        <v>552917597.55256987</v>
      </c>
      <c r="D30" s="19">
        <v>29892107</v>
      </c>
      <c r="E30" s="19">
        <v>168627.35312117345</v>
      </c>
      <c r="F30" s="19">
        <f>C30/8760</f>
        <v>63118.447209197475</v>
      </c>
      <c r="G30" s="19">
        <v>90162.676268678813</v>
      </c>
      <c r="H30" s="19">
        <v>105477.34137232017</v>
      </c>
      <c r="I30" s="19">
        <v>163859.80727012316</v>
      </c>
      <c r="N30" s="26"/>
      <c r="O30" s="26"/>
      <c r="P30" s="26"/>
    </row>
    <row r="31" spans="1:22" s="16" customFormat="1" x14ac:dyDescent="0.25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5">
      <c r="A32" s="25" t="s">
        <v>2220</v>
      </c>
      <c r="B32" s="168">
        <f>2021809/12</f>
        <v>168484.08333333334</v>
      </c>
      <c r="C32" s="19">
        <v>123634652.94376437</v>
      </c>
      <c r="D32" s="19">
        <f>26053380-20984</f>
        <v>26032396</v>
      </c>
      <c r="E32" s="169">
        <v>37037.047301538805</v>
      </c>
      <c r="F32" s="19">
        <f>C32/8760</f>
        <v>14113.544856594106</v>
      </c>
      <c r="G32" s="169">
        <v>0</v>
      </c>
      <c r="H32" s="169">
        <v>0</v>
      </c>
      <c r="I32" s="169">
        <v>34172.535127711366</v>
      </c>
      <c r="N32" s="26"/>
      <c r="O32" s="26"/>
      <c r="P32" s="26"/>
    </row>
    <row r="33" spans="1:24" s="16" customFormat="1" x14ac:dyDescent="0.25">
      <c r="A33" s="25"/>
      <c r="B33" s="168"/>
      <c r="C33" s="19"/>
      <c r="D33" s="19"/>
      <c r="E33" s="169"/>
      <c r="F33" s="19"/>
      <c r="G33" s="169"/>
      <c r="H33" s="169"/>
      <c r="I33" s="169"/>
      <c r="N33" s="26"/>
      <c r="O33" s="26"/>
      <c r="P33" s="26"/>
    </row>
    <row r="34" spans="1:24" s="16" customFormat="1" x14ac:dyDescent="0.25">
      <c r="A34" s="25" t="s">
        <v>2221</v>
      </c>
      <c r="B34" s="168">
        <f>48/12</f>
        <v>4</v>
      </c>
      <c r="C34" s="19">
        <f>446721</f>
        <v>446721</v>
      </c>
      <c r="D34" s="19">
        <v>29470</v>
      </c>
      <c r="E34" s="169">
        <v>155.13525415746221</v>
      </c>
      <c r="F34" s="19">
        <f>C34/8760</f>
        <v>50.99554794520548</v>
      </c>
      <c r="G34" s="169">
        <v>0</v>
      </c>
      <c r="H34" s="169">
        <v>0</v>
      </c>
      <c r="I34" s="169">
        <v>143.13681323138437</v>
      </c>
      <c r="N34" s="26"/>
      <c r="O34" s="26"/>
      <c r="P34" s="26"/>
    </row>
    <row r="35" spans="1:24" s="16" customFormat="1" x14ac:dyDescent="0.25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5">
      <c r="A36" s="25" t="s">
        <v>2222</v>
      </c>
      <c r="B36" s="168">
        <f>9312/12</f>
        <v>776</v>
      </c>
      <c r="C36" s="19">
        <v>1489131.4121127534</v>
      </c>
      <c r="D36" s="19">
        <v>156512</v>
      </c>
      <c r="E36" s="169">
        <v>240.26355556795608</v>
      </c>
      <c r="F36" s="19">
        <f>C36/8760</f>
        <v>169.99217033250611</v>
      </c>
      <c r="G36" s="169">
        <v>201.05858919599709</v>
      </c>
      <c r="H36" s="169">
        <v>170.2637213014211</v>
      </c>
      <c r="I36" s="169">
        <v>221.43371877082163</v>
      </c>
      <c r="N36" s="26"/>
      <c r="O36" s="26"/>
      <c r="P36" s="26"/>
    </row>
    <row r="37" spans="1:24" s="16" customFormat="1" x14ac:dyDescent="0.25">
      <c r="A37" s="192"/>
      <c r="B37" s="360"/>
      <c r="C37" s="361"/>
      <c r="D37" s="361"/>
      <c r="E37" s="361"/>
      <c r="F37" s="361"/>
      <c r="G37" s="361"/>
      <c r="H37" s="361"/>
      <c r="I37" s="361"/>
      <c r="N37" s="26"/>
      <c r="O37" s="26"/>
      <c r="P37" s="26"/>
      <c r="R37" s="184"/>
      <c r="S37" s="184"/>
      <c r="T37" s="184"/>
      <c r="U37" s="184"/>
      <c r="V37" s="184"/>
      <c r="W37" s="184"/>
      <c r="X37" s="184"/>
    </row>
    <row r="38" spans="1:24" s="16" customFormat="1" x14ac:dyDescent="0.25">
      <c r="B38" s="19">
        <f t="shared" ref="B38:I38" si="0">SUM(B8:B37)</f>
        <v>689441.5</v>
      </c>
      <c r="C38" s="19">
        <f t="shared" si="0"/>
        <v>18329917453.787022</v>
      </c>
      <c r="D38" s="175">
        <f t="shared" si="0"/>
        <v>1464489053</v>
      </c>
      <c r="E38" s="175">
        <f t="shared" si="0"/>
        <v>4686905.0191343417</v>
      </c>
      <c r="F38" s="175">
        <f t="shared" si="0"/>
        <v>2092456.330340984</v>
      </c>
      <c r="G38" s="175">
        <f t="shared" si="0"/>
        <v>3809382.3536371626</v>
      </c>
      <c r="H38" s="175">
        <f t="shared" si="0"/>
        <v>3580836.9697062937</v>
      </c>
      <c r="I38" s="175">
        <f t="shared" si="0"/>
        <v>7625362.1898453571</v>
      </c>
      <c r="N38" s="26"/>
      <c r="O38" s="26"/>
      <c r="P38" s="26"/>
      <c r="R38" s="184"/>
      <c r="S38" s="184"/>
      <c r="T38" s="184"/>
      <c r="U38" s="184"/>
      <c r="V38" s="184"/>
      <c r="W38" s="184"/>
      <c r="X38" s="184"/>
    </row>
    <row r="39" spans="1:24" s="16" customFormat="1" x14ac:dyDescent="0.25">
      <c r="B39" s="19"/>
      <c r="C39" s="19"/>
      <c r="D39" s="175"/>
      <c r="E39" s="175"/>
      <c r="F39" s="175"/>
      <c r="G39" s="175"/>
      <c r="H39" s="177"/>
      <c r="I39" s="175"/>
      <c r="J39" s="178"/>
      <c r="K39" s="179"/>
      <c r="L39" s="179"/>
      <c r="M39" s="175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5">
      <c r="B40" s="19"/>
      <c r="C40" s="19"/>
      <c r="D40" s="19"/>
      <c r="E40" s="19"/>
      <c r="F40" s="19"/>
      <c r="G40" s="19"/>
      <c r="H40" s="172"/>
      <c r="I40" s="19"/>
      <c r="J40" s="173"/>
      <c r="K40" s="19"/>
      <c r="L40" s="174"/>
      <c r="M40" s="19"/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5">
      <c r="B41" s="19"/>
      <c r="C41" s="19"/>
      <c r="D41" s="19"/>
      <c r="E41" s="19"/>
      <c r="F41" s="19"/>
      <c r="G41" s="19"/>
      <c r="H41" s="172"/>
      <c r="I41" s="19"/>
      <c r="J41" s="173"/>
      <c r="K41" s="19"/>
      <c r="L41" s="174"/>
      <c r="M41" s="19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x14ac:dyDescent="0.25">
      <c r="D42" s="10"/>
      <c r="E42" s="10"/>
      <c r="F42" s="10"/>
      <c r="G42" s="10"/>
      <c r="H42" s="10"/>
      <c r="I42" s="10"/>
      <c r="J42" s="14"/>
      <c r="K42" s="10"/>
      <c r="L42" s="11"/>
      <c r="M42" s="10"/>
      <c r="N42" s="12"/>
      <c r="O42" s="12"/>
      <c r="P42" s="12"/>
      <c r="R42" s="38"/>
      <c r="S42" s="38"/>
      <c r="T42" s="38"/>
      <c r="U42" s="38"/>
      <c r="V42" s="38"/>
      <c r="W42" s="38"/>
      <c r="X42" s="38"/>
    </row>
    <row r="43" spans="1:24" x14ac:dyDescent="0.25">
      <c r="D43" s="10"/>
      <c r="E43" s="10"/>
      <c r="F43" s="10"/>
      <c r="G43" s="10"/>
      <c r="H43" s="13"/>
      <c r="I43" s="10"/>
      <c r="J43" s="14"/>
      <c r="K43" s="10"/>
      <c r="L43" s="11"/>
      <c r="M43" s="10"/>
      <c r="N43" s="12"/>
      <c r="O43" s="12"/>
      <c r="P43" s="12"/>
      <c r="R43" s="38"/>
      <c r="S43" s="38"/>
      <c r="T43" s="38"/>
      <c r="U43" s="38"/>
      <c r="V43" s="38"/>
      <c r="W43" s="38"/>
      <c r="X43" s="38"/>
    </row>
    <row r="44" spans="1:24" x14ac:dyDescent="0.25">
      <c r="D44" s="10"/>
      <c r="E44" s="10"/>
      <c r="F44" s="10"/>
      <c r="G44" s="10"/>
      <c r="H44" s="13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5">
      <c r="C45" s="199"/>
      <c r="D45" s="200"/>
      <c r="E45" s="200"/>
      <c r="F45" s="200"/>
      <c r="G45" s="20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5">
      <c r="C46" s="198"/>
      <c r="D46" s="122"/>
      <c r="E46" s="122"/>
      <c r="F46" s="122"/>
      <c r="G46" s="122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5">
      <c r="C47" s="198"/>
      <c r="D47" s="41"/>
      <c r="E47" s="41"/>
      <c r="F47" s="41"/>
      <c r="G47" s="41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5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</row>
    <row r="49" spans="1:16" x14ac:dyDescent="0.25">
      <c r="C49" s="198"/>
      <c r="D49" s="122"/>
      <c r="E49" s="122"/>
      <c r="F49" s="122"/>
      <c r="G49" s="122"/>
      <c r="H49" s="13"/>
      <c r="I49" s="10"/>
      <c r="J49" s="14"/>
      <c r="K49" s="10"/>
      <c r="L49" s="11"/>
      <c r="M49" s="10"/>
      <c r="N49" s="12"/>
      <c r="O49" s="12"/>
      <c r="P49" s="12"/>
    </row>
    <row r="50" spans="1:16" x14ac:dyDescent="0.25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16" x14ac:dyDescent="0.25">
      <c r="A51" s="196"/>
      <c r="D51" s="10"/>
      <c r="E51" s="10"/>
      <c r="F51" s="10"/>
      <c r="G51" s="10"/>
      <c r="H51" s="13"/>
      <c r="I51" s="184"/>
      <c r="J51" s="183"/>
      <c r="K51" s="184"/>
      <c r="L51" s="183"/>
      <c r="M51" s="10"/>
      <c r="N51" s="12"/>
      <c r="O51" s="12"/>
      <c r="P51" s="12"/>
    </row>
    <row r="52" spans="1:16" x14ac:dyDescent="0.25">
      <c r="A52" s="197"/>
      <c r="D52" s="10"/>
      <c r="E52" s="10"/>
      <c r="F52" s="10"/>
      <c r="G52" s="10"/>
      <c r="H52" s="13"/>
      <c r="I52" s="184"/>
      <c r="J52" s="183"/>
      <c r="K52" s="184"/>
      <c r="L52" s="183"/>
      <c r="M52" s="10"/>
      <c r="N52" s="12"/>
      <c r="O52" s="12"/>
      <c r="P52" s="12"/>
    </row>
    <row r="53" spans="1:16" x14ac:dyDescent="0.25">
      <c r="C53" s="198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16" x14ac:dyDescent="0.25">
      <c r="C54" s="198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16" x14ac:dyDescent="0.25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16" x14ac:dyDescent="0.25">
      <c r="A56" s="196"/>
      <c r="D56" s="10"/>
      <c r="E56" s="10"/>
      <c r="F56" s="10"/>
      <c r="G56" s="10"/>
      <c r="H56" s="13"/>
      <c r="I56" s="184"/>
      <c r="J56" s="184"/>
      <c r="K56" s="184"/>
      <c r="L56" s="184"/>
      <c r="M56" s="10"/>
      <c r="N56" s="12"/>
      <c r="O56" s="12"/>
      <c r="P56" s="12"/>
    </row>
    <row r="57" spans="1:16" x14ac:dyDescent="0.25">
      <c r="D57" s="10"/>
      <c r="E57" s="10"/>
      <c r="F57" s="10"/>
      <c r="G57" s="10"/>
      <c r="H57" s="13"/>
      <c r="I57" s="184"/>
      <c r="J57" s="184"/>
      <c r="K57" s="184"/>
      <c r="L57" s="184"/>
      <c r="M57" s="10"/>
      <c r="N57" s="12"/>
      <c r="O57" s="12"/>
      <c r="P57" s="12"/>
    </row>
    <row r="58" spans="1:16" x14ac:dyDescent="0.25"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16" x14ac:dyDescent="0.25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16" x14ac:dyDescent="0.25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16" x14ac:dyDescent="0.25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16" x14ac:dyDescent="0.25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16" x14ac:dyDescent="0.25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16" x14ac:dyDescent="0.25">
      <c r="D64" s="10"/>
      <c r="E64" s="10"/>
      <c r="F64" s="10"/>
      <c r="G64" s="10"/>
      <c r="H64" s="13"/>
      <c r="I64" s="10"/>
      <c r="J64" s="14"/>
      <c r="K64" s="10"/>
      <c r="L64" s="11"/>
      <c r="M64" s="10"/>
      <c r="N64" s="12"/>
      <c r="O64" s="12"/>
      <c r="P64" s="12"/>
    </row>
    <row r="65" spans="1:22" x14ac:dyDescent="0.25">
      <c r="D65" s="10"/>
      <c r="E65" s="10"/>
      <c r="F65" s="10"/>
      <c r="G65" s="10"/>
      <c r="H65" s="13"/>
      <c r="I65" s="10"/>
      <c r="J65" s="14"/>
      <c r="K65" s="10"/>
      <c r="L65" s="11"/>
      <c r="M65" s="10"/>
      <c r="N65" s="12"/>
      <c r="O65" s="12"/>
      <c r="P65" s="12"/>
    </row>
    <row r="66" spans="1:22" x14ac:dyDescent="0.25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5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5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5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5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5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5">
      <c r="L72" s="11"/>
      <c r="M72" s="10"/>
      <c r="N72" s="12"/>
      <c r="O72" s="12"/>
      <c r="P72" s="12"/>
    </row>
    <row r="73" spans="1:22" x14ac:dyDescent="0.25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5">
      <c r="D74" s="10"/>
      <c r="E74" s="10"/>
      <c r="F74" s="10"/>
      <c r="G74" s="10"/>
      <c r="H74" s="13"/>
      <c r="I74" s="10"/>
      <c r="J74" s="14"/>
      <c r="K74" s="10"/>
      <c r="L74" s="11"/>
      <c r="M74" s="10"/>
      <c r="N74" s="12"/>
      <c r="O74" s="12"/>
      <c r="P74" s="12"/>
    </row>
    <row r="75" spans="1:22" s="16" customFormat="1" x14ac:dyDescent="0.25">
      <c r="A75" s="166"/>
      <c r="B75" s="167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U75" s="168"/>
      <c r="V75" s="168"/>
    </row>
    <row r="76" spans="1:22" s="16" customFormat="1" x14ac:dyDescent="0.25">
      <c r="A76" s="166"/>
      <c r="B76" s="167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1:22" s="16" customFormat="1" x14ac:dyDescent="0.25">
      <c r="A77" s="15"/>
      <c r="B77" s="18"/>
      <c r="C77" s="1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</row>
    <row r="78" spans="1:22" s="16" customFormat="1" x14ac:dyDescent="0.25">
      <c r="B78" s="19"/>
      <c r="C78" s="1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5">
      <c r="B79" s="19"/>
      <c r="C79" s="1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1"/>
    </row>
    <row r="80" spans="1:22" s="16" customFormat="1" x14ac:dyDescent="0.25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169"/>
    </row>
    <row r="81" spans="1:19" s="16" customFormat="1" x14ac:dyDescent="0.25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9" s="16" customFormat="1" x14ac:dyDescent="0.25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Q82" s="169"/>
      <c r="R82" s="169"/>
      <c r="S82" s="169"/>
    </row>
    <row r="83" spans="1:19" s="16" customFormat="1" x14ac:dyDescent="0.25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68"/>
      <c r="O83" s="169"/>
    </row>
    <row r="84" spans="1:19" s="16" customFormat="1" x14ac:dyDescent="0.25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169"/>
    </row>
    <row r="85" spans="1:19" s="16" customFormat="1" x14ac:dyDescent="0.25">
      <c r="A85" s="166"/>
      <c r="B85" s="167"/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1:19" s="16" customFormat="1" x14ac:dyDescent="0.25">
      <c r="A86" s="15"/>
      <c r="B86" s="18"/>
      <c r="C86" s="1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</row>
    <row r="87" spans="1:19" s="16" customFormat="1" x14ac:dyDescent="0.25">
      <c r="B87" s="19"/>
      <c r="C87" s="1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5">
      <c r="B88" s="19"/>
      <c r="C88" s="1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1"/>
    </row>
    <row r="89" spans="1:19" s="16" customFormat="1" x14ac:dyDescent="0.25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9"/>
      <c r="P89" s="169"/>
    </row>
    <row r="90" spans="1:19" s="16" customFormat="1" x14ac:dyDescent="0.25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</row>
    <row r="91" spans="1:19" s="16" customFormat="1" x14ac:dyDescent="0.25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Q91" s="169"/>
      <c r="R91" s="169"/>
    </row>
    <row r="92" spans="1:19" s="16" customFormat="1" x14ac:dyDescent="0.25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68"/>
      <c r="O92" s="169"/>
    </row>
    <row r="93" spans="1:19" s="16" customFormat="1" x14ac:dyDescent="0.25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P93" s="169"/>
    </row>
    <row r="94" spans="1:19" s="16" customFormat="1" x14ac:dyDescent="0.25">
      <c r="A94" s="166"/>
      <c r="B94" s="167"/>
      <c r="C94" s="167"/>
      <c r="D94" s="19"/>
      <c r="E94" s="19"/>
      <c r="F94" s="19"/>
      <c r="G94" s="19"/>
      <c r="H94" s="172"/>
      <c r="I94" s="19"/>
      <c r="J94" s="173"/>
      <c r="K94" s="19"/>
      <c r="L94" s="174"/>
      <c r="M94" s="19"/>
      <c r="P94" s="169"/>
    </row>
    <row r="95" spans="1:19" s="16" customFormat="1" x14ac:dyDescent="0.25">
      <c r="A95" s="15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68"/>
      <c r="O95" s="169"/>
      <c r="P95" s="169"/>
    </row>
    <row r="96" spans="1:19" s="16" customFormat="1" x14ac:dyDescent="0.25">
      <c r="B96" s="19"/>
      <c r="C96" s="1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9"/>
      <c r="P96" s="169"/>
    </row>
    <row r="97" spans="1:18" s="16" customFormat="1" x14ac:dyDescent="0.25">
      <c r="B97" s="19"/>
      <c r="C97" s="1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68"/>
      <c r="O97" s="19"/>
      <c r="P97" s="169"/>
    </row>
    <row r="98" spans="1:18" s="16" customFormat="1" x14ac:dyDescent="0.25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9"/>
      <c r="P98" s="169"/>
    </row>
    <row r="99" spans="1:18" s="16" customFormat="1" x14ac:dyDescent="0.25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9"/>
      <c r="P99" s="169"/>
    </row>
    <row r="100" spans="1:18" s="16" customFormat="1" x14ac:dyDescent="0.25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  <c r="Q100" s="169"/>
      <c r="R100" s="169"/>
    </row>
    <row r="101" spans="1:18" s="16" customFormat="1" x14ac:dyDescent="0.25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68"/>
      <c r="O101" s="169"/>
    </row>
    <row r="102" spans="1:18" s="16" customFormat="1" x14ac:dyDescent="0.25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</row>
    <row r="103" spans="1:18" s="16" customFormat="1" x14ac:dyDescent="0.25">
      <c r="A103" s="166"/>
      <c r="B103" s="167"/>
      <c r="C103" s="167"/>
      <c r="D103" s="176"/>
      <c r="E103" s="176"/>
      <c r="F103" s="176"/>
      <c r="G103" s="176"/>
      <c r="H103" s="177"/>
      <c r="I103" s="175"/>
      <c r="J103" s="178"/>
      <c r="K103" s="175"/>
      <c r="L103" s="179"/>
      <c r="M103" s="175"/>
      <c r="N103" s="26"/>
      <c r="O103" s="26"/>
      <c r="P103" s="26"/>
    </row>
    <row r="104" spans="1:18" s="16" customFormat="1" x14ac:dyDescent="0.25">
      <c r="A104" s="15"/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68"/>
      <c r="O104" s="169"/>
      <c r="P104" s="169"/>
    </row>
    <row r="105" spans="1:18" s="16" customFormat="1" x14ac:dyDescent="0.25">
      <c r="B105" s="19"/>
      <c r="C105" s="1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P105" s="169"/>
    </row>
    <row r="106" spans="1:18" s="16" customFormat="1" x14ac:dyDescent="0.25">
      <c r="B106" s="19"/>
      <c r="C106" s="19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68"/>
      <c r="P106" s="169"/>
    </row>
    <row r="107" spans="1:18" s="16" customFormat="1" x14ac:dyDescent="0.25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9"/>
      <c r="P107" s="169"/>
    </row>
    <row r="108" spans="1:18" s="16" customFormat="1" x14ac:dyDescent="0.25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P108" s="169"/>
    </row>
    <row r="109" spans="1:18" s="16" customFormat="1" x14ac:dyDescent="0.25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  <c r="Q109" s="169"/>
      <c r="R109" s="169"/>
    </row>
    <row r="110" spans="1:18" s="16" customFormat="1" x14ac:dyDescent="0.25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68"/>
      <c r="O110" s="169"/>
    </row>
    <row r="111" spans="1:18" s="16" customFormat="1" x14ac:dyDescent="0.25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</row>
    <row r="112" spans="1:18" s="16" customFormat="1" x14ac:dyDescent="0.25">
      <c r="A112" s="166"/>
      <c r="B112" s="167"/>
      <c r="C112" s="16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69"/>
    </row>
    <row r="113" spans="1:22" s="16" customFormat="1" x14ac:dyDescent="0.25">
      <c r="A113" s="15"/>
      <c r="B113" s="18"/>
      <c r="C113" s="18"/>
      <c r="D113" s="19"/>
      <c r="E113" s="19"/>
      <c r="F113" s="19"/>
      <c r="G113" s="19"/>
      <c r="H113" s="175"/>
      <c r="I113" s="19"/>
      <c r="J113" s="19"/>
      <c r="K113" s="19"/>
      <c r="L113" s="19"/>
      <c r="M113" s="19"/>
      <c r="N113" s="169"/>
      <c r="O113" s="169"/>
      <c r="P113" s="26"/>
      <c r="T113" s="181"/>
      <c r="V113" s="181"/>
    </row>
    <row r="114" spans="1:22" s="16" customFormat="1" x14ac:dyDescent="0.25">
      <c r="B114" s="19"/>
      <c r="C114" s="1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P114" s="26"/>
      <c r="T114" s="181"/>
      <c r="V114" s="181"/>
    </row>
    <row r="115" spans="1:22" s="16" customFormat="1" x14ac:dyDescent="0.25">
      <c r="B115" s="19"/>
      <c r="C115" s="19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68"/>
      <c r="P115" s="169"/>
      <c r="T115" s="181"/>
      <c r="V115" s="181"/>
    </row>
    <row r="116" spans="1:22" s="16" customFormat="1" x14ac:dyDescent="0.25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9"/>
      <c r="O116" s="169"/>
      <c r="P116" s="169"/>
      <c r="T116" s="181"/>
      <c r="V116" s="181"/>
    </row>
    <row r="117" spans="1:22" s="16" customFormat="1" x14ac:dyDescent="0.25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26"/>
      <c r="P117" s="26"/>
      <c r="T117" s="181"/>
      <c r="V117" s="181"/>
    </row>
    <row r="118" spans="1:22" s="16" customFormat="1" x14ac:dyDescent="0.25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26"/>
      <c r="Q118" s="169"/>
      <c r="R118" s="169"/>
      <c r="T118" s="181"/>
      <c r="V118" s="181"/>
    </row>
    <row r="119" spans="1:22" s="16" customFormat="1" x14ac:dyDescent="0.25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68"/>
      <c r="O119" s="169"/>
    </row>
    <row r="120" spans="1:22" s="16" customFormat="1" x14ac:dyDescent="0.25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9"/>
      <c r="P120" s="169"/>
    </row>
    <row r="121" spans="1:22" s="16" customFormat="1" x14ac:dyDescent="0.25">
      <c r="B121" s="19"/>
      <c r="C121" s="1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9"/>
    </row>
    <row r="122" spans="1:22" s="16" customFormat="1" x14ac:dyDescent="0.25">
      <c r="A122" s="15"/>
      <c r="B122" s="18"/>
      <c r="C122" s="18"/>
      <c r="D122" s="19"/>
      <c r="E122" s="19"/>
      <c r="F122" s="19"/>
      <c r="G122" s="19"/>
      <c r="H122" s="175"/>
      <c r="I122" s="19"/>
      <c r="J122" s="19"/>
      <c r="K122" s="19"/>
      <c r="L122" s="19"/>
      <c r="M122" s="19"/>
      <c r="N122" s="169"/>
      <c r="O122" s="169"/>
      <c r="P122" s="26"/>
      <c r="T122" s="181"/>
      <c r="V122" s="181"/>
    </row>
    <row r="123" spans="1:22" s="16" customFormat="1" x14ac:dyDescent="0.25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P123" s="26"/>
      <c r="T123" s="181"/>
      <c r="V123" s="181"/>
    </row>
    <row r="124" spans="1:22" s="16" customFormat="1" x14ac:dyDescent="0.25">
      <c r="B124" s="19"/>
      <c r="C124" s="19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68"/>
      <c r="P124" s="169"/>
      <c r="T124" s="181"/>
      <c r="V124" s="181"/>
    </row>
    <row r="125" spans="1:22" s="16" customFormat="1" x14ac:dyDescent="0.25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9"/>
      <c r="O125" s="169"/>
      <c r="P125" s="169"/>
      <c r="T125" s="181"/>
      <c r="V125" s="181"/>
    </row>
    <row r="126" spans="1:22" s="16" customFormat="1" x14ac:dyDescent="0.25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26"/>
      <c r="P126" s="26"/>
      <c r="T126" s="181"/>
      <c r="V126" s="181"/>
    </row>
    <row r="127" spans="1:22" s="16" customFormat="1" x14ac:dyDescent="0.25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26"/>
      <c r="Q127" s="169"/>
      <c r="R127" s="169"/>
      <c r="T127" s="181"/>
      <c r="V127" s="181"/>
    </row>
    <row r="128" spans="1:22" s="16" customFormat="1" x14ac:dyDescent="0.25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68"/>
      <c r="O128" s="169"/>
    </row>
    <row r="129" spans="1:22" s="16" customFormat="1" x14ac:dyDescent="0.25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9"/>
      <c r="P129" s="169"/>
    </row>
    <row r="130" spans="1:22" s="16" customFormat="1" x14ac:dyDescent="0.25">
      <c r="B130" s="19"/>
      <c r="C130" s="1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9"/>
    </row>
    <row r="131" spans="1:22" s="16" customFormat="1" x14ac:dyDescent="0.25">
      <c r="A131" s="15"/>
      <c r="B131" s="18"/>
      <c r="C131" s="1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9"/>
      <c r="O131" s="169"/>
      <c r="P131" s="26"/>
    </row>
    <row r="132" spans="1:22" s="16" customFormat="1" x14ac:dyDescent="0.25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9"/>
      <c r="O132" s="169"/>
      <c r="P132" s="26"/>
    </row>
    <row r="133" spans="1:22" s="16" customFormat="1" x14ac:dyDescent="0.25">
      <c r="B133" s="19"/>
      <c r="C133" s="19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69"/>
      <c r="P133" s="26"/>
    </row>
    <row r="134" spans="1:22" s="16" customFormat="1" x14ac:dyDescent="0.25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169"/>
    </row>
    <row r="135" spans="1:22" s="16" customFormat="1" x14ac:dyDescent="0.25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26"/>
      <c r="P135" s="26"/>
    </row>
    <row r="136" spans="1:22" s="16" customFormat="1" x14ac:dyDescent="0.25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Q136" s="169"/>
      <c r="R136" s="169"/>
    </row>
    <row r="137" spans="1:22" s="16" customFormat="1" x14ac:dyDescent="0.25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69"/>
      <c r="P137" s="169"/>
      <c r="Q137" s="169"/>
      <c r="R137" s="169"/>
    </row>
    <row r="138" spans="1:22" s="16" customFormat="1" x14ac:dyDescent="0.25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P138" s="169"/>
      <c r="Q138" s="169"/>
      <c r="R138" s="169"/>
    </row>
    <row r="139" spans="1:22" s="16" customFormat="1" x14ac:dyDescent="0.25">
      <c r="B139" s="19"/>
      <c r="C139" s="1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9"/>
      <c r="O139" s="169"/>
      <c r="P139" s="26"/>
      <c r="Q139" s="169"/>
      <c r="R139" s="169"/>
    </row>
    <row r="140" spans="1:22" s="16" customFormat="1" x14ac:dyDescent="0.25">
      <c r="A140" s="15"/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69"/>
      <c r="O140" s="19"/>
      <c r="P140" s="26"/>
      <c r="T140" s="181"/>
      <c r="V140" s="181"/>
    </row>
    <row r="141" spans="1:22" s="16" customFormat="1" x14ac:dyDescent="0.25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P141" s="26"/>
      <c r="T141" s="181"/>
      <c r="V141" s="181"/>
    </row>
    <row r="142" spans="1:22" s="16" customFormat="1" x14ac:dyDescent="0.25">
      <c r="B142" s="19"/>
      <c r="C142" s="19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68"/>
      <c r="P142" s="169"/>
      <c r="T142" s="181"/>
      <c r="V142" s="181"/>
    </row>
    <row r="143" spans="1:22" s="16" customFormat="1" x14ac:dyDescent="0.25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9"/>
      <c r="O143" s="169"/>
      <c r="P143" s="169"/>
      <c r="T143" s="181"/>
      <c r="V143" s="181"/>
    </row>
    <row r="144" spans="1:22" s="16" customFormat="1" x14ac:dyDescent="0.25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26"/>
      <c r="P144" s="26"/>
      <c r="T144" s="181"/>
      <c r="V144" s="181"/>
    </row>
    <row r="145" spans="1:22" s="16" customFormat="1" x14ac:dyDescent="0.25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26"/>
      <c r="Q145" s="169"/>
      <c r="R145" s="169"/>
      <c r="T145" s="181"/>
      <c r="V145" s="181"/>
    </row>
    <row r="146" spans="1:22" s="16" customFormat="1" x14ac:dyDescent="0.25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68"/>
      <c r="O146" s="169"/>
    </row>
    <row r="147" spans="1:22" s="16" customFormat="1" x14ac:dyDescent="0.25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9"/>
      <c r="P147" s="169"/>
    </row>
    <row r="148" spans="1:22" s="16" customFormat="1" x14ac:dyDescent="0.25">
      <c r="B148" s="19"/>
      <c r="C148" s="1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9"/>
      <c r="O148" s="169"/>
      <c r="P148" s="26"/>
      <c r="Q148" s="169"/>
      <c r="R148" s="169"/>
    </row>
    <row r="149" spans="1:22" s="16" customFormat="1" x14ac:dyDescent="0.25">
      <c r="A149" s="15"/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69"/>
      <c r="O149" s="26"/>
      <c r="P149" s="26"/>
      <c r="T149" s="181"/>
      <c r="V149" s="181"/>
    </row>
    <row r="150" spans="1:22" s="16" customFormat="1" x14ac:dyDescent="0.25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P150" s="26"/>
      <c r="T150" s="181"/>
      <c r="V150" s="181"/>
    </row>
    <row r="151" spans="1:22" s="16" customFormat="1" x14ac:dyDescent="0.25">
      <c r="B151" s="19"/>
      <c r="C151" s="19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68"/>
      <c r="P151" s="169"/>
      <c r="T151" s="181"/>
      <c r="V151" s="181"/>
    </row>
    <row r="152" spans="1:22" s="16" customFormat="1" x14ac:dyDescent="0.25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9"/>
      <c r="O152" s="169"/>
      <c r="P152" s="169"/>
      <c r="T152" s="181"/>
      <c r="V152" s="181"/>
    </row>
    <row r="153" spans="1:22" s="16" customFormat="1" x14ac:dyDescent="0.25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26"/>
      <c r="P153" s="26"/>
      <c r="T153" s="181"/>
      <c r="V153" s="181"/>
    </row>
    <row r="154" spans="1:22" s="16" customFormat="1" x14ac:dyDescent="0.25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26"/>
      <c r="Q154" s="169"/>
      <c r="R154" s="169"/>
      <c r="T154" s="181"/>
      <c r="V154" s="181"/>
    </row>
    <row r="155" spans="1:22" s="16" customFormat="1" x14ac:dyDescent="0.25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68"/>
      <c r="O155" s="169"/>
    </row>
    <row r="156" spans="1:22" s="16" customFormat="1" x14ac:dyDescent="0.25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9"/>
      <c r="P156" s="169"/>
    </row>
    <row r="157" spans="1:22" s="16" customFormat="1" x14ac:dyDescent="0.25">
      <c r="B157" s="19"/>
      <c r="C157" s="1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9"/>
    </row>
    <row r="158" spans="1:22" s="16" customFormat="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69"/>
      <c r="O158" s="26"/>
      <c r="P158" s="26"/>
      <c r="T158" s="181"/>
      <c r="V158" s="181"/>
    </row>
    <row r="159" spans="1:22" s="16" customFormat="1" x14ac:dyDescent="0.25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P159" s="26"/>
      <c r="T159" s="181"/>
      <c r="V159" s="181"/>
    </row>
    <row r="160" spans="1:22" s="16" customFormat="1" x14ac:dyDescent="0.25">
      <c r="B160" s="19"/>
      <c r="C160" s="19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68"/>
      <c r="P160" s="169"/>
      <c r="T160" s="181"/>
      <c r="V160" s="181"/>
    </row>
    <row r="161" spans="2:22" s="16" customFormat="1" x14ac:dyDescent="0.25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9"/>
      <c r="O161" s="169"/>
      <c r="P161" s="169"/>
      <c r="T161" s="181"/>
      <c r="V161" s="181"/>
    </row>
    <row r="162" spans="2:22" s="16" customFormat="1" x14ac:dyDescent="0.25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26"/>
      <c r="P162" s="26"/>
      <c r="T162" s="181"/>
      <c r="V162" s="181"/>
    </row>
    <row r="163" spans="2:22" s="16" customFormat="1" x14ac:dyDescent="0.25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26"/>
      <c r="Q163" s="169"/>
      <c r="R163" s="169"/>
      <c r="T163" s="181"/>
      <c r="V163" s="181"/>
    </row>
    <row r="164" spans="2:22" s="16" customFormat="1" x14ac:dyDescent="0.25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68"/>
      <c r="O164" s="169"/>
    </row>
    <row r="165" spans="2:22" s="16" customFormat="1" x14ac:dyDescent="0.25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9"/>
      <c r="P165" s="169"/>
    </row>
    <row r="166" spans="2:22" s="16" customFormat="1" x14ac:dyDescent="0.25">
      <c r="B166" s="19"/>
      <c r="C166" s="1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9"/>
    </row>
    <row r="167" spans="2:22" s="16" customFormat="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69"/>
      <c r="O167" s="26"/>
      <c r="P167" s="26"/>
      <c r="T167" s="181"/>
      <c r="V167" s="181"/>
    </row>
    <row r="168" spans="2:22" s="16" customFormat="1" x14ac:dyDescent="0.25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P168" s="26"/>
      <c r="T168" s="181"/>
      <c r="V168" s="181"/>
    </row>
    <row r="169" spans="2:22" s="16" customFormat="1" x14ac:dyDescent="0.25">
      <c r="B169" s="19"/>
      <c r="C169" s="19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68"/>
      <c r="P169" s="169"/>
      <c r="T169" s="181"/>
      <c r="V169" s="181"/>
    </row>
    <row r="170" spans="2:22" s="16" customFormat="1" x14ac:dyDescent="0.25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9"/>
      <c r="O170" s="169"/>
      <c r="P170" s="169"/>
      <c r="T170" s="181"/>
      <c r="V170" s="181"/>
    </row>
    <row r="171" spans="2:22" s="16" customFormat="1" x14ac:dyDescent="0.25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26"/>
      <c r="P171" s="26"/>
      <c r="T171" s="181"/>
      <c r="V171" s="181"/>
    </row>
    <row r="172" spans="2:22" s="16" customFormat="1" x14ac:dyDescent="0.25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26"/>
      <c r="Q172" s="169"/>
      <c r="R172" s="169"/>
      <c r="T172" s="181"/>
      <c r="V172" s="181"/>
    </row>
    <row r="173" spans="2:22" s="16" customFormat="1" x14ac:dyDescent="0.25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68"/>
      <c r="O173" s="169"/>
    </row>
    <row r="174" spans="2:22" s="16" customFormat="1" x14ac:dyDescent="0.25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9"/>
      <c r="P174" s="169"/>
    </row>
    <row r="175" spans="2:22" s="16" customFormat="1" x14ac:dyDescent="0.25">
      <c r="B175" s="19"/>
      <c r="C175" s="1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9"/>
    </row>
    <row r="176" spans="2:22" s="16" customFormat="1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69"/>
      <c r="O176" s="26"/>
      <c r="P176" s="26"/>
      <c r="T176" s="181"/>
      <c r="V176" s="181"/>
    </row>
    <row r="177" spans="2:22" s="16" customFormat="1" x14ac:dyDescent="0.25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P177" s="26"/>
      <c r="T177" s="181"/>
      <c r="V177" s="181"/>
    </row>
    <row r="178" spans="2:22" s="16" customFormat="1" x14ac:dyDescent="0.25">
      <c r="B178" s="19"/>
      <c r="C178" s="1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68"/>
      <c r="P178" s="169"/>
      <c r="T178" s="181"/>
      <c r="V178" s="181"/>
    </row>
    <row r="179" spans="2:22" s="16" customFormat="1" x14ac:dyDescent="0.25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9"/>
      <c r="O179" s="169"/>
      <c r="P179" s="169"/>
      <c r="T179" s="181"/>
      <c r="V179" s="181"/>
    </row>
    <row r="180" spans="2:22" s="16" customFormat="1" x14ac:dyDescent="0.25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26"/>
      <c r="P180" s="26"/>
      <c r="T180" s="181"/>
      <c r="V180" s="181"/>
    </row>
    <row r="181" spans="2:22" s="16" customFormat="1" x14ac:dyDescent="0.25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26"/>
      <c r="Q181" s="169"/>
      <c r="R181" s="169"/>
      <c r="T181" s="181"/>
      <c r="V181" s="181"/>
    </row>
    <row r="182" spans="2:22" s="16" customFormat="1" x14ac:dyDescent="0.25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68"/>
      <c r="O182" s="169"/>
    </row>
    <row r="183" spans="2:22" s="16" customFormat="1" x14ac:dyDescent="0.25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9"/>
      <c r="P183" s="169"/>
    </row>
    <row r="184" spans="2:22" s="16" customFormat="1" x14ac:dyDescent="0.25">
      <c r="B184" s="19"/>
      <c r="C184" s="1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9"/>
    </row>
    <row r="185" spans="2:22" s="16" customFormat="1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69"/>
      <c r="O185" s="26"/>
      <c r="P185" s="26"/>
    </row>
    <row r="186" spans="2:22" s="16" customFormat="1" x14ac:dyDescent="0.25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P186" s="26"/>
    </row>
    <row r="187" spans="2:22" s="16" customFormat="1" x14ac:dyDescent="0.25">
      <c r="B187" s="19"/>
      <c r="C187" s="19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68"/>
      <c r="P187" s="169"/>
    </row>
    <row r="188" spans="2:22" s="16" customFormat="1" x14ac:dyDescent="0.25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82"/>
      <c r="M188" s="168"/>
      <c r="N188" s="169"/>
      <c r="O188" s="169"/>
      <c r="P188" s="169"/>
    </row>
    <row r="189" spans="2:22" s="16" customFormat="1" x14ac:dyDescent="0.25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26"/>
      <c r="P189" s="26"/>
    </row>
    <row r="190" spans="2:22" s="16" customFormat="1" x14ac:dyDescent="0.25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9"/>
      <c r="O190" s="169"/>
      <c r="P190" s="26"/>
      <c r="Q190" s="169"/>
      <c r="R190" s="169"/>
    </row>
    <row r="191" spans="2:22" s="16" customFormat="1" x14ac:dyDescent="0.25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68"/>
      <c r="O191" s="169"/>
    </row>
    <row r="192" spans="2:22" s="16" customFormat="1" x14ac:dyDescent="0.25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9"/>
      <c r="P192" s="169"/>
    </row>
    <row r="193" spans="2:22" s="16" customFormat="1" x14ac:dyDescent="0.25">
      <c r="B193" s="19"/>
      <c r="C193" s="1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9"/>
    </row>
    <row r="194" spans="2:22" s="16" customFormat="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69"/>
      <c r="O194" s="26"/>
      <c r="P194" s="26"/>
      <c r="T194" s="181"/>
      <c r="V194" s="181"/>
    </row>
    <row r="195" spans="2:22" s="16" customFormat="1" x14ac:dyDescent="0.25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9"/>
      <c r="P195" s="26"/>
      <c r="T195" s="181"/>
      <c r="V195" s="181"/>
    </row>
    <row r="196" spans="2:22" s="16" customFormat="1" x14ac:dyDescent="0.25">
      <c r="B196" s="19"/>
      <c r="C196" s="19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68"/>
      <c r="P196" s="169"/>
      <c r="T196" s="181"/>
      <c r="V196" s="181"/>
    </row>
    <row r="197" spans="2:22" s="16" customFormat="1" x14ac:dyDescent="0.25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O197" s="169"/>
      <c r="P197" s="169"/>
      <c r="T197" s="181"/>
      <c r="V197" s="181"/>
    </row>
    <row r="198" spans="2:22" s="16" customFormat="1" x14ac:dyDescent="0.25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26"/>
      <c r="P198" s="26"/>
      <c r="T198" s="181"/>
      <c r="V198" s="181"/>
    </row>
    <row r="199" spans="2:22" s="16" customFormat="1" x14ac:dyDescent="0.25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26"/>
      <c r="Q199" s="169"/>
      <c r="R199" s="169"/>
      <c r="T199" s="181"/>
      <c r="V199" s="181"/>
    </row>
    <row r="200" spans="2:22" s="16" customFormat="1" x14ac:dyDescent="0.25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68"/>
      <c r="O200" s="169"/>
    </row>
    <row r="201" spans="2:22" s="16" customFormat="1" x14ac:dyDescent="0.25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9"/>
      <c r="P201" s="169"/>
    </row>
    <row r="202" spans="2:22" s="16" customFormat="1" x14ac:dyDescent="0.25">
      <c r="B202" s="19"/>
      <c r="C202" s="1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9"/>
    </row>
    <row r="203" spans="2:22" s="16" customFormat="1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69"/>
      <c r="O203" s="26"/>
      <c r="P203" s="26"/>
      <c r="T203" s="181"/>
      <c r="V203" s="181"/>
    </row>
    <row r="204" spans="2:22" s="16" customFormat="1" x14ac:dyDescent="0.25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P204" s="26"/>
      <c r="T204" s="181"/>
      <c r="V204" s="181"/>
    </row>
    <row r="205" spans="2:22" s="16" customFormat="1" x14ac:dyDescent="0.25">
      <c r="B205" s="19"/>
      <c r="C205" s="19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68"/>
      <c r="P205" s="169"/>
      <c r="T205" s="181"/>
      <c r="V205" s="181"/>
    </row>
    <row r="206" spans="2:22" s="16" customFormat="1" x14ac:dyDescent="0.25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9"/>
      <c r="O206" s="169"/>
      <c r="P206" s="169"/>
      <c r="T206" s="181"/>
      <c r="V206" s="181"/>
    </row>
    <row r="207" spans="2:22" s="16" customFormat="1" x14ac:dyDescent="0.25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26"/>
      <c r="P207" s="26"/>
      <c r="T207" s="181"/>
      <c r="V207" s="181"/>
    </row>
    <row r="208" spans="2:22" s="16" customFormat="1" x14ac:dyDescent="0.25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26"/>
      <c r="Q208" s="169"/>
      <c r="R208" s="169"/>
      <c r="T208" s="181"/>
      <c r="V208" s="181"/>
    </row>
    <row r="209" spans="1:22" s="16" customFormat="1" x14ac:dyDescent="0.25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68"/>
      <c r="O209" s="169"/>
    </row>
    <row r="210" spans="1:22" s="16" customFormat="1" x14ac:dyDescent="0.25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9"/>
      <c r="P210" s="169"/>
    </row>
    <row r="211" spans="1:22" s="16" customFormat="1" x14ac:dyDescent="0.25">
      <c r="B211" s="19"/>
      <c r="C211" s="19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9"/>
    </row>
    <row r="212" spans="1:22" s="16" customFormat="1" x14ac:dyDescent="0.25">
      <c r="A212" s="15"/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69"/>
      <c r="O212" s="26"/>
      <c r="P212" s="26"/>
      <c r="T212" s="181"/>
      <c r="V212" s="181"/>
    </row>
    <row r="213" spans="1:22" s="16" customFormat="1" x14ac:dyDescent="0.25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P213" s="26"/>
      <c r="T213" s="181"/>
      <c r="V213" s="181"/>
    </row>
    <row r="214" spans="1:22" s="16" customFormat="1" x14ac:dyDescent="0.25">
      <c r="B214" s="19"/>
      <c r="C214" s="19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68"/>
      <c r="P214" s="169"/>
      <c r="T214" s="181"/>
      <c r="V214" s="181"/>
    </row>
    <row r="215" spans="1:22" s="16" customFormat="1" x14ac:dyDescent="0.25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9"/>
      <c r="P215" s="169"/>
      <c r="T215" s="181"/>
      <c r="V215" s="181"/>
    </row>
    <row r="216" spans="1:22" s="16" customFormat="1" x14ac:dyDescent="0.25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26"/>
      <c r="P216" s="26"/>
      <c r="T216" s="181"/>
      <c r="V216" s="181"/>
    </row>
    <row r="217" spans="1:22" s="16" customFormat="1" x14ac:dyDescent="0.25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26"/>
      <c r="Q217" s="169"/>
      <c r="R217" s="169"/>
      <c r="T217" s="181"/>
      <c r="V217" s="181"/>
    </row>
    <row r="218" spans="1:22" s="16" customFormat="1" x14ac:dyDescent="0.25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69"/>
    </row>
    <row r="219" spans="1:22" s="16" customFormat="1" x14ac:dyDescent="0.25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9"/>
      <c r="P219" s="169"/>
    </row>
    <row r="220" spans="1:22" s="16" customFormat="1" x14ac:dyDescent="0.25">
      <c r="B220" s="19"/>
      <c r="C220" s="19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9"/>
    </row>
    <row r="221" spans="1:22" s="16" customFormat="1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69"/>
      <c r="O221" s="26"/>
      <c r="P221" s="26"/>
      <c r="T221" s="181"/>
      <c r="V221" s="181"/>
    </row>
    <row r="222" spans="1:22" s="16" customFormat="1" x14ac:dyDescent="0.25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P222" s="26"/>
      <c r="T222" s="181"/>
      <c r="V222" s="181"/>
    </row>
    <row r="223" spans="1:22" s="16" customFormat="1" x14ac:dyDescent="0.25">
      <c r="B223" s="19"/>
      <c r="C223" s="19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68"/>
      <c r="P223" s="169"/>
      <c r="T223" s="181"/>
      <c r="V223" s="181"/>
    </row>
    <row r="224" spans="1:22" s="16" customFormat="1" x14ac:dyDescent="0.25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9"/>
      <c r="O224" s="169"/>
      <c r="P224" s="169"/>
      <c r="T224" s="181"/>
      <c r="V224" s="181"/>
    </row>
    <row r="225" spans="2:22" s="16" customFormat="1" x14ac:dyDescent="0.25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26"/>
      <c r="P225" s="26"/>
      <c r="T225" s="181"/>
      <c r="V225" s="181"/>
    </row>
    <row r="226" spans="2:22" s="16" customFormat="1" x14ac:dyDescent="0.25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26"/>
      <c r="Q226" s="169"/>
      <c r="R226" s="169"/>
      <c r="T226" s="181"/>
      <c r="V226" s="181"/>
    </row>
    <row r="227" spans="2:22" s="16" customFormat="1" x14ac:dyDescent="0.25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69"/>
    </row>
    <row r="228" spans="2:22" s="16" customFormat="1" x14ac:dyDescent="0.25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9"/>
      <c r="P228" s="169"/>
    </row>
    <row r="229" spans="2:22" s="16" customFormat="1" x14ac:dyDescent="0.25">
      <c r="B229" s="19"/>
      <c r="C229" s="19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9"/>
    </row>
    <row r="230" spans="2:22" s="16" customFormat="1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69"/>
      <c r="O230" s="26"/>
      <c r="P230" s="26"/>
      <c r="T230" s="181"/>
      <c r="V230" s="181"/>
    </row>
    <row r="231" spans="2:22" s="16" customFormat="1" x14ac:dyDescent="0.25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P231" s="26"/>
      <c r="T231" s="181"/>
      <c r="V231" s="181"/>
    </row>
    <row r="232" spans="2:22" s="16" customFormat="1" x14ac:dyDescent="0.25">
      <c r="B232" s="19"/>
      <c r="C232" s="19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68"/>
      <c r="P232" s="169"/>
      <c r="T232" s="181"/>
      <c r="V232" s="181"/>
    </row>
    <row r="233" spans="2:22" s="16" customFormat="1" x14ac:dyDescent="0.25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9"/>
      <c r="O233" s="169"/>
      <c r="P233" s="169"/>
      <c r="T233" s="181"/>
      <c r="V233" s="181"/>
    </row>
    <row r="234" spans="2:22" s="16" customFormat="1" x14ac:dyDescent="0.25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26"/>
      <c r="P234" s="26"/>
      <c r="T234" s="181"/>
      <c r="V234" s="181"/>
    </row>
    <row r="235" spans="2:22" s="16" customFormat="1" x14ac:dyDescent="0.25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26"/>
      <c r="Q235" s="169"/>
      <c r="R235" s="169"/>
      <c r="T235" s="181"/>
      <c r="V235" s="181"/>
    </row>
    <row r="236" spans="2:22" s="16" customFormat="1" x14ac:dyDescent="0.25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69"/>
    </row>
    <row r="237" spans="2:22" s="16" customFormat="1" x14ac:dyDescent="0.25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9"/>
      <c r="P237" s="169"/>
    </row>
    <row r="238" spans="2:22" s="16" customFormat="1" x14ac:dyDescent="0.25">
      <c r="B238" s="19"/>
      <c r="C238" s="19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9"/>
    </row>
    <row r="239" spans="2:22" s="16" customFormat="1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69"/>
      <c r="O239" s="26"/>
      <c r="P239" s="26"/>
      <c r="T239" s="181"/>
      <c r="V239" s="181"/>
    </row>
    <row r="240" spans="2:22" s="16" customFormat="1" x14ac:dyDescent="0.25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P240" s="26"/>
      <c r="T240" s="181"/>
      <c r="V240" s="181"/>
    </row>
    <row r="241" spans="1:22" s="16" customFormat="1" x14ac:dyDescent="0.25">
      <c r="B241" s="19"/>
      <c r="C241" s="19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68"/>
      <c r="P241" s="169"/>
      <c r="T241" s="181"/>
      <c r="V241" s="181"/>
    </row>
    <row r="242" spans="1:22" s="16" customFormat="1" x14ac:dyDescent="0.25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9"/>
      <c r="O242" s="169"/>
      <c r="P242" s="169"/>
      <c r="T242" s="181"/>
      <c r="V242" s="181"/>
    </row>
    <row r="243" spans="1:22" s="16" customFormat="1" x14ac:dyDescent="0.25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26"/>
      <c r="P243" s="26"/>
      <c r="T243" s="181"/>
      <c r="V243" s="181"/>
    </row>
    <row r="244" spans="1:22" s="16" customFormat="1" x14ac:dyDescent="0.25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26"/>
      <c r="Q244" s="169"/>
      <c r="R244" s="169"/>
      <c r="T244" s="181"/>
      <c r="V244" s="181"/>
    </row>
    <row r="245" spans="1:22" s="16" customFormat="1" x14ac:dyDescent="0.25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69"/>
    </row>
    <row r="246" spans="1:22" s="16" customFormat="1" x14ac:dyDescent="0.25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9"/>
      <c r="P246" s="169"/>
    </row>
    <row r="247" spans="1:22" s="16" customFormat="1" x14ac:dyDescent="0.25">
      <c r="B247" s="19"/>
      <c r="C247" s="19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9"/>
    </row>
    <row r="248" spans="1:22" s="16" customFormat="1" x14ac:dyDescent="0.25">
      <c r="A248" s="15"/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69"/>
      <c r="O248" s="26"/>
      <c r="P248" s="26"/>
      <c r="T248" s="181"/>
      <c r="V248" s="181"/>
    </row>
    <row r="249" spans="1:22" s="16" customFormat="1" x14ac:dyDescent="0.25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P249" s="26"/>
      <c r="T249" s="181"/>
      <c r="V249" s="181"/>
    </row>
    <row r="250" spans="1:22" s="16" customFormat="1" x14ac:dyDescent="0.25">
      <c r="B250" s="19"/>
      <c r="C250" s="19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68"/>
      <c r="P250" s="169"/>
      <c r="T250" s="181"/>
      <c r="V250" s="181"/>
    </row>
    <row r="251" spans="1:22" s="16" customFormat="1" x14ac:dyDescent="0.25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9"/>
      <c r="O251" s="169"/>
      <c r="P251" s="169"/>
      <c r="T251" s="181"/>
      <c r="V251" s="181"/>
    </row>
    <row r="252" spans="1:22" s="16" customFormat="1" x14ac:dyDescent="0.25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26"/>
      <c r="P252" s="26"/>
      <c r="T252" s="181"/>
      <c r="V252" s="181"/>
    </row>
    <row r="253" spans="1:22" s="16" customFormat="1" x14ac:dyDescent="0.25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26"/>
      <c r="Q253" s="169"/>
      <c r="R253" s="169"/>
      <c r="T253" s="181"/>
      <c r="V253" s="181"/>
    </row>
    <row r="254" spans="1:22" s="16" customFormat="1" x14ac:dyDescent="0.25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69"/>
    </row>
    <row r="255" spans="1:22" s="16" customFormat="1" x14ac:dyDescent="0.25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9"/>
      <c r="P255" s="169"/>
    </row>
    <row r="256" spans="1:22" s="16" customFormat="1" x14ac:dyDescent="0.25">
      <c r="B256" s="19"/>
      <c r="C256" s="19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9"/>
    </row>
    <row r="257" spans="1:22" s="16" customFormat="1" x14ac:dyDescent="0.25">
      <c r="A257" s="15"/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69"/>
      <c r="O257" s="26"/>
      <c r="P257" s="26"/>
      <c r="T257" s="181"/>
      <c r="V257" s="181"/>
    </row>
    <row r="258" spans="1:22" s="16" customFormat="1" x14ac:dyDescent="0.25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P258" s="26"/>
      <c r="T258" s="181"/>
      <c r="V258" s="181"/>
    </row>
    <row r="259" spans="1:22" s="16" customFormat="1" x14ac:dyDescent="0.25">
      <c r="B259" s="19"/>
      <c r="C259" s="19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68"/>
      <c r="P259" s="169"/>
      <c r="T259" s="181"/>
      <c r="V259" s="181"/>
    </row>
    <row r="260" spans="1:22" s="16" customFormat="1" x14ac:dyDescent="0.25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9"/>
      <c r="O260" s="169"/>
      <c r="P260" s="169"/>
      <c r="T260" s="181"/>
      <c r="V260" s="181"/>
    </row>
    <row r="261" spans="1:22" s="16" customFormat="1" x14ac:dyDescent="0.25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26"/>
      <c r="P261" s="26"/>
      <c r="T261" s="181"/>
      <c r="V261" s="181"/>
    </row>
    <row r="262" spans="1:22" s="16" customFormat="1" x14ac:dyDescent="0.25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26"/>
      <c r="Q262" s="169"/>
      <c r="R262" s="169"/>
      <c r="T262" s="181"/>
      <c r="V262" s="181"/>
    </row>
    <row r="263" spans="1:22" s="16" customFormat="1" x14ac:dyDescent="0.25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69"/>
    </row>
    <row r="264" spans="1:22" s="16" customFormat="1" x14ac:dyDescent="0.25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9"/>
      <c r="P264" s="169"/>
    </row>
    <row r="265" spans="1:22" s="16" customFormat="1" x14ac:dyDescent="0.25">
      <c r="B265" s="19"/>
      <c r="C265" s="19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9"/>
    </row>
    <row r="266" spans="1:22" s="16" customFormat="1" x14ac:dyDescent="0.25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69"/>
      <c r="O266" s="26"/>
      <c r="P266" s="26"/>
      <c r="T266" s="181"/>
      <c r="V266" s="181"/>
    </row>
    <row r="267" spans="1:22" s="16" customFormat="1" x14ac:dyDescent="0.25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P267" s="26"/>
      <c r="T267" s="181"/>
      <c r="V267" s="181"/>
    </row>
    <row r="268" spans="1:22" s="16" customFormat="1" x14ac:dyDescent="0.25">
      <c r="B268" s="19"/>
      <c r="C268" s="19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68"/>
      <c r="P268" s="169"/>
      <c r="T268" s="181"/>
      <c r="V268" s="181"/>
    </row>
    <row r="269" spans="1:22" s="16" customFormat="1" x14ac:dyDescent="0.25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9"/>
      <c r="O269" s="169"/>
      <c r="P269" s="169"/>
      <c r="T269" s="181"/>
      <c r="V269" s="181"/>
    </row>
    <row r="270" spans="1:22" s="16" customFormat="1" x14ac:dyDescent="0.25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26"/>
      <c r="P270" s="26"/>
      <c r="T270" s="181"/>
      <c r="V270" s="181"/>
    </row>
    <row r="271" spans="1:22" s="16" customFormat="1" x14ac:dyDescent="0.25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26"/>
      <c r="Q271" s="169"/>
      <c r="R271" s="169"/>
      <c r="T271" s="181"/>
      <c r="V271" s="181"/>
    </row>
    <row r="272" spans="1:22" s="16" customFormat="1" x14ac:dyDescent="0.25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69"/>
    </row>
    <row r="273" spans="1:22" s="16" customFormat="1" x14ac:dyDescent="0.25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9"/>
      <c r="P273" s="169"/>
    </row>
    <row r="274" spans="1:22" s="16" customFormat="1" x14ac:dyDescent="0.25">
      <c r="B274" s="19"/>
      <c r="C274" s="19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9"/>
    </row>
    <row r="275" spans="1:22" s="16" customFormat="1" x14ac:dyDescent="0.25">
      <c r="A275" s="15"/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69"/>
      <c r="O275" s="26"/>
      <c r="P275" s="26"/>
      <c r="T275" s="181"/>
      <c r="V275" s="181"/>
    </row>
    <row r="276" spans="1:22" s="16" customFormat="1" x14ac:dyDescent="0.25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P276" s="26"/>
      <c r="T276" s="181"/>
      <c r="V276" s="181"/>
    </row>
    <row r="277" spans="1:22" s="16" customFormat="1" x14ac:dyDescent="0.25">
      <c r="B277" s="19"/>
      <c r="C277" s="19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68"/>
      <c r="P277" s="169"/>
      <c r="T277" s="181"/>
      <c r="V277" s="181"/>
    </row>
    <row r="278" spans="1:22" s="16" customFormat="1" x14ac:dyDescent="0.25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9"/>
      <c r="O278" s="169"/>
      <c r="P278" s="169"/>
      <c r="T278" s="181"/>
      <c r="V278" s="181"/>
    </row>
    <row r="279" spans="1:22" s="16" customFormat="1" x14ac:dyDescent="0.25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26"/>
      <c r="P279" s="26"/>
      <c r="T279" s="181"/>
      <c r="V279" s="181"/>
    </row>
    <row r="280" spans="1:22" s="16" customFormat="1" x14ac:dyDescent="0.25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26"/>
      <c r="Q280" s="169"/>
      <c r="R280" s="169"/>
      <c r="T280" s="181"/>
      <c r="V280" s="181"/>
    </row>
    <row r="281" spans="1:22" s="16" customFormat="1" x14ac:dyDescent="0.25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69"/>
    </row>
    <row r="282" spans="1:22" s="16" customFormat="1" x14ac:dyDescent="0.25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9"/>
      <c r="P282" s="169"/>
    </row>
    <row r="283" spans="1:22" s="16" customFormat="1" x14ac:dyDescent="0.25">
      <c r="B283" s="19"/>
      <c r="C283" s="19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9"/>
      <c r="P283" s="169"/>
    </row>
    <row r="284" spans="1:22" s="16" customFormat="1" x14ac:dyDescent="0.25">
      <c r="A284" s="15"/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69"/>
      <c r="O284" s="26"/>
      <c r="P284" s="26"/>
      <c r="T284" s="181"/>
      <c r="V284" s="181"/>
    </row>
    <row r="285" spans="1:22" s="16" customFormat="1" x14ac:dyDescent="0.25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P285" s="26"/>
      <c r="T285" s="181"/>
      <c r="V285" s="181"/>
    </row>
    <row r="286" spans="1:22" s="16" customFormat="1" x14ac:dyDescent="0.25">
      <c r="B286" s="19"/>
      <c r="C286" s="19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P286" s="169"/>
      <c r="T286" s="181"/>
      <c r="V286" s="181"/>
    </row>
    <row r="287" spans="1:22" s="16" customFormat="1" x14ac:dyDescent="0.25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9"/>
      <c r="O287" s="169"/>
      <c r="P287" s="169"/>
      <c r="T287" s="181"/>
      <c r="V287" s="181"/>
    </row>
    <row r="288" spans="1:22" s="16" customFormat="1" x14ac:dyDescent="0.25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26"/>
      <c r="P288" s="26"/>
      <c r="T288" s="181"/>
      <c r="V288" s="181"/>
    </row>
    <row r="289" spans="1:22" s="16" customFormat="1" x14ac:dyDescent="0.25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26"/>
      <c r="Q289" s="169"/>
      <c r="R289" s="169"/>
      <c r="T289" s="181"/>
      <c r="V289" s="181"/>
    </row>
    <row r="290" spans="1:22" s="16" customFormat="1" x14ac:dyDescent="0.25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69"/>
    </row>
    <row r="291" spans="1:22" s="16" customFormat="1" x14ac:dyDescent="0.25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9"/>
      <c r="P291" s="169"/>
    </row>
    <row r="292" spans="1:22" s="16" customFormat="1" x14ac:dyDescent="0.25">
      <c r="B292" s="19"/>
      <c r="C292" s="19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9"/>
    </row>
    <row r="293" spans="1:22" s="16" customFormat="1" x14ac:dyDescent="0.25">
      <c r="A293" s="15"/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69"/>
      <c r="O293" s="26"/>
      <c r="P293" s="26"/>
      <c r="T293" s="181"/>
      <c r="V293" s="181"/>
    </row>
    <row r="294" spans="1:22" s="16" customFormat="1" x14ac:dyDescent="0.25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P294" s="26"/>
      <c r="T294" s="181"/>
      <c r="V294" s="181"/>
    </row>
    <row r="295" spans="1:22" s="16" customFormat="1" x14ac:dyDescent="0.25">
      <c r="B295" s="19"/>
      <c r="C295" s="19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P295" s="169"/>
      <c r="T295" s="181"/>
      <c r="V295" s="181"/>
    </row>
    <row r="296" spans="1:22" s="16" customFormat="1" x14ac:dyDescent="0.25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9"/>
      <c r="O296" s="169"/>
      <c r="P296" s="169"/>
      <c r="T296" s="181"/>
      <c r="V296" s="181"/>
    </row>
    <row r="297" spans="1:22" s="16" customFormat="1" x14ac:dyDescent="0.25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26"/>
      <c r="P297" s="26"/>
      <c r="T297" s="181"/>
      <c r="V297" s="181"/>
    </row>
    <row r="298" spans="1:22" s="16" customFormat="1" x14ac:dyDescent="0.25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26"/>
      <c r="Q298" s="169"/>
      <c r="R298" s="169"/>
      <c r="T298" s="181"/>
      <c r="V298" s="181"/>
    </row>
    <row r="299" spans="1:22" s="16" customFormat="1" x14ac:dyDescent="0.25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69"/>
    </row>
    <row r="300" spans="1:22" s="16" customFormat="1" x14ac:dyDescent="0.25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9"/>
      <c r="P300" s="169"/>
    </row>
    <row r="301" spans="1:22" s="16" customFormat="1" x14ac:dyDescent="0.25">
      <c r="B301" s="19"/>
      <c r="C301" s="19"/>
      <c r="D301" s="168"/>
      <c r="E301" s="168"/>
      <c r="F301" s="168"/>
      <c r="G301" s="168"/>
      <c r="H301" s="168"/>
      <c r="I301" s="168"/>
      <c r="J301" s="168"/>
      <c r="K301" s="19"/>
      <c r="L301" s="19"/>
      <c r="M301" s="19"/>
      <c r="N301" s="168"/>
      <c r="O301" s="169"/>
    </row>
    <row r="302" spans="1:22" s="16" customFormat="1" x14ac:dyDescent="0.25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</row>
    <row r="303" spans="1:22" s="16" customFormat="1" x14ac:dyDescent="0.25">
      <c r="B303" s="19"/>
      <c r="C303" s="19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9"/>
    </row>
    <row r="304" spans="1:22" s="16" customFormat="1" x14ac:dyDescent="0.25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68"/>
      <c r="O305" s="19"/>
      <c r="P305" s="19"/>
    </row>
    <row r="306" spans="2:22" s="16" customFormat="1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2:22" s="16" customFormat="1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2:22" s="16" customFormat="1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5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80"/>
      <c r="P309" s="169"/>
    </row>
    <row r="310" spans="2:22" s="16" customFormat="1" x14ac:dyDescent="0.25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P310" s="169"/>
    </row>
    <row r="311" spans="2:22" s="16" customFormat="1" x14ac:dyDescent="0.25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69"/>
    </row>
    <row r="312" spans="2:22" s="16" customFormat="1" x14ac:dyDescent="0.25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69"/>
    </row>
    <row r="313" spans="2:22" s="16" customFormat="1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6"/>
      <c r="P313" s="26"/>
      <c r="T313" s="181"/>
      <c r="V313" s="181"/>
    </row>
    <row r="314" spans="2:22" ht="16.8" x14ac:dyDescent="0.4">
      <c r="D314" s="10"/>
      <c r="E314" s="10"/>
      <c r="F314" s="10"/>
      <c r="G314" s="10"/>
      <c r="H314" s="10"/>
      <c r="I314" s="10"/>
      <c r="J314" s="10"/>
      <c r="K314" s="10"/>
      <c r="L314" s="10"/>
      <c r="M314" s="17"/>
      <c r="N314" s="10"/>
      <c r="O314" s="10"/>
      <c r="P314" s="10"/>
    </row>
  </sheetData>
  <phoneticPr fontId="0" type="noConversion"/>
  <pageMargins left="0.75" right="0.75" top="1" bottom="1" header="0.5" footer="0.5"/>
  <pageSetup scale="35" orientation="landscape" horizontalDpi="4294967293" verticalDpi="200" r:id="rId1"/>
  <headerFooter alignWithMargins="0"/>
  <rowBreaks count="1" manualBreakCount="1">
    <brk id="11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3"/>
  <sheetViews>
    <sheetView view="pageBreakPreview" zoomScale="80" zoomScaleNormal="9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34.88671875" customWidth="1"/>
    <col min="3" max="3" width="19" hidden="1" customWidth="1"/>
    <col min="4" max="4" width="19.88671875" customWidth="1"/>
    <col min="5" max="9" width="19.5546875" customWidth="1"/>
    <col min="10" max="10" width="25" customWidth="1"/>
    <col min="11" max="11" width="18.6640625" customWidth="1"/>
    <col min="12" max="12" width="17.88671875" customWidth="1"/>
    <col min="15" max="15" width="13.5546875" bestFit="1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1811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6.2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79"/>
      <c r="B8" s="280"/>
      <c r="C8" s="281"/>
      <c r="D8" s="279"/>
      <c r="E8" s="437" t="s">
        <v>1907</v>
      </c>
      <c r="F8" s="438"/>
      <c r="G8" s="282" t="s">
        <v>459</v>
      </c>
      <c r="H8" s="437" t="s">
        <v>118</v>
      </c>
      <c r="I8" s="438"/>
      <c r="J8" s="282" t="s">
        <v>2453</v>
      </c>
      <c r="K8" s="281"/>
      <c r="L8" s="283"/>
      <c r="M8" s="28"/>
      <c r="N8" s="28"/>
    </row>
    <row r="9" spans="1:14" ht="15.6" x14ac:dyDescent="0.3">
      <c r="A9" s="284"/>
      <c r="B9" s="285"/>
      <c r="C9" s="286"/>
      <c r="D9" s="286"/>
      <c r="E9" s="281"/>
      <c r="F9" s="281"/>
      <c r="G9" s="281"/>
      <c r="H9" s="281"/>
      <c r="I9" s="281"/>
      <c r="J9" s="281"/>
      <c r="K9" s="286"/>
      <c r="L9" s="287"/>
      <c r="M9" s="28"/>
      <c r="N9" s="28"/>
    </row>
    <row r="10" spans="1:14" ht="15.6" x14ac:dyDescent="0.3">
      <c r="A10" s="284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"/>
      <c r="N10" s="28"/>
    </row>
    <row r="11" spans="1:14" ht="16.2" thickBot="1" x14ac:dyDescent="0.35">
      <c r="A11" s="288"/>
      <c r="B11" s="289" t="s">
        <v>105</v>
      </c>
      <c r="C11" s="290" t="s">
        <v>1165</v>
      </c>
      <c r="D11" s="290" t="s">
        <v>1913</v>
      </c>
      <c r="E11" s="290" t="s">
        <v>1908</v>
      </c>
      <c r="F11" s="290" t="s">
        <v>1909</v>
      </c>
      <c r="G11" s="290" t="s">
        <v>1908</v>
      </c>
      <c r="H11" s="290" t="s">
        <v>1908</v>
      </c>
      <c r="I11" s="290" t="s">
        <v>1910</v>
      </c>
      <c r="J11" s="290" t="s">
        <v>1910</v>
      </c>
      <c r="K11" s="291" t="s">
        <v>68</v>
      </c>
      <c r="L11" s="291" t="s">
        <v>1930</v>
      </c>
      <c r="M11" s="28"/>
      <c r="N11" s="28"/>
    </row>
    <row r="12" spans="1:14" ht="15.6" x14ac:dyDescent="0.3">
      <c r="A12" s="292"/>
      <c r="B12" s="293"/>
      <c r="C12" s="294"/>
      <c r="D12" s="295"/>
      <c r="E12" s="292"/>
      <c r="F12" s="296"/>
      <c r="G12" s="296"/>
      <c r="H12" s="296"/>
      <c r="I12" s="296"/>
      <c r="J12" s="296"/>
      <c r="K12" s="283"/>
      <c r="L12" s="287"/>
      <c r="M12" s="28"/>
      <c r="N12" s="28"/>
    </row>
    <row r="13" spans="1:14" ht="15.6" x14ac:dyDescent="0.3">
      <c r="A13" s="362" t="s">
        <v>1166</v>
      </c>
      <c r="B13" s="297" t="s">
        <v>193</v>
      </c>
      <c r="C13" s="298"/>
      <c r="D13" s="299">
        <f>'Allocation ProForma'!G174</f>
        <v>1716633054.3461716</v>
      </c>
      <c r="E13" s="300">
        <f>'Allocation ProForma'!G123+'Allocation ProForma'!G124+'Allocation ProForma'!G125</f>
        <v>846730482.19087505</v>
      </c>
      <c r="F13" s="301">
        <f>'Allocation ProForma'!G126</f>
        <v>24153447.932479028</v>
      </c>
      <c r="G13" s="301">
        <f>'Allocation ProForma'!G135</f>
        <v>212495723.55987161</v>
      </c>
      <c r="H13" s="301">
        <f>'Allocation ProForma'!G145+'Allocation ProForma'!G147+'Allocation ProForma'!G152+'Allocation ProForma'!G141</f>
        <v>232751278.46515507</v>
      </c>
      <c r="I13" s="301">
        <f>'Allocation ProForma'!G146+'Allocation ProForma'!G148+'Allocation ProForma'!G153+'Allocation ProForma'!G157+'Allocation ProForma'!G160+'Allocation ProForma'!G163</f>
        <v>396028994.09173536</v>
      </c>
      <c r="J13" s="301">
        <f>'Allocation ProForma'!G166+'Allocation ProForma'!G169</f>
        <v>4473128.1060556881</v>
      </c>
      <c r="K13" s="302">
        <f>SUM(E13:J13)</f>
        <v>1716633054.3461719</v>
      </c>
      <c r="L13" s="303" t="str">
        <f>IF(ABS(K13-D13)&lt;0.01,"ok","err")</f>
        <v>ok</v>
      </c>
      <c r="M13" s="28"/>
      <c r="N13" s="28"/>
    </row>
    <row r="14" spans="1:14" ht="15.6" x14ac:dyDescent="0.3">
      <c r="A14" s="362" t="s">
        <v>1323</v>
      </c>
      <c r="B14" s="297" t="s">
        <v>1888</v>
      </c>
      <c r="C14" s="298"/>
      <c r="D14" s="299">
        <f>'Allocation ProForma'!G773+'Allocation ProForma'!G774+'Allocation ProForma'!G775</f>
        <v>0</v>
      </c>
      <c r="E14" s="304">
        <f t="shared" ref="E14:J14" si="0">(E13/$D$13)*$D$14</f>
        <v>0</v>
      </c>
      <c r="F14" s="305">
        <f t="shared" si="0"/>
        <v>0</v>
      </c>
      <c r="G14" s="305">
        <f t="shared" si="0"/>
        <v>0</v>
      </c>
      <c r="H14" s="305">
        <f t="shared" si="0"/>
        <v>0</v>
      </c>
      <c r="I14" s="305">
        <f t="shared" si="0"/>
        <v>0</v>
      </c>
      <c r="J14" s="305">
        <f t="shared" si="0"/>
        <v>0</v>
      </c>
      <c r="K14" s="302">
        <f>SUM(E14:J14)</f>
        <v>0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1889</v>
      </c>
      <c r="B15" s="297" t="s">
        <v>1890</v>
      </c>
      <c r="C15" s="298"/>
      <c r="D15" s="306">
        <f>D13+D14</f>
        <v>1716633054.3461716</v>
      </c>
      <c r="E15" s="306">
        <f t="shared" ref="E15:K15" si="1">E13+E14</f>
        <v>846730482.19087505</v>
      </c>
      <c r="F15" s="307">
        <f t="shared" si="1"/>
        <v>24153447.932479028</v>
      </c>
      <c r="G15" s="307">
        <f t="shared" si="1"/>
        <v>212495723.55987161</v>
      </c>
      <c r="H15" s="307">
        <f t="shared" si="1"/>
        <v>232751278.46515507</v>
      </c>
      <c r="I15" s="307">
        <f t="shared" si="1"/>
        <v>396028994.09173536</v>
      </c>
      <c r="J15" s="307">
        <f t="shared" si="1"/>
        <v>4473128.1060556881</v>
      </c>
      <c r="K15" s="302">
        <f t="shared" si="1"/>
        <v>1716633054.3461719</v>
      </c>
      <c r="L15" s="303" t="str">
        <f>IF(ABS(K15-D15)&lt;0.01,"ok","err")</f>
        <v>ok</v>
      </c>
      <c r="M15" s="28"/>
      <c r="N15" s="28"/>
    </row>
    <row r="16" spans="1:14" ht="15.6" x14ac:dyDescent="0.3">
      <c r="A16" s="362"/>
      <c r="B16" s="297"/>
      <c r="C16" s="298"/>
      <c r="D16" s="308"/>
      <c r="E16" s="309"/>
      <c r="F16" s="224"/>
      <c r="G16" s="224"/>
      <c r="H16" s="224"/>
      <c r="I16" s="224"/>
      <c r="J16" s="224"/>
      <c r="K16" s="302"/>
      <c r="L16" s="310"/>
      <c r="M16" s="28"/>
      <c r="N16" s="28"/>
    </row>
    <row r="17" spans="1:14" ht="15.6" x14ac:dyDescent="0.3">
      <c r="A17" s="362" t="s">
        <v>1891</v>
      </c>
      <c r="B17" s="297" t="s">
        <v>441</v>
      </c>
      <c r="C17" s="298"/>
      <c r="D17" s="311">
        <f>'Allocation ProForma'!G825</f>
        <v>5.2525942663809548E-2</v>
      </c>
      <c r="E17" s="311">
        <f t="shared" ref="E17:J17" si="2">D17</f>
        <v>5.2525942663809548E-2</v>
      </c>
      <c r="F17" s="312">
        <f t="shared" si="2"/>
        <v>5.2525942663809548E-2</v>
      </c>
      <c r="G17" s="312">
        <f t="shared" si="2"/>
        <v>5.2525942663809548E-2</v>
      </c>
      <c r="H17" s="312">
        <f t="shared" si="2"/>
        <v>5.2525942663809548E-2</v>
      </c>
      <c r="I17" s="312">
        <f t="shared" si="2"/>
        <v>5.2525942663809548E-2</v>
      </c>
      <c r="J17" s="312">
        <f t="shared" si="2"/>
        <v>5.2525942663809548E-2</v>
      </c>
      <c r="K17" s="302"/>
      <c r="L17" s="303"/>
      <c r="M17" s="28"/>
      <c r="N17" s="28"/>
    </row>
    <row r="18" spans="1:14" ht="15.6" x14ac:dyDescent="0.3">
      <c r="A18" s="363"/>
      <c r="B18" s="297"/>
      <c r="C18" s="298"/>
      <c r="D18" s="308"/>
      <c r="E18" s="309"/>
      <c r="F18" s="224"/>
      <c r="G18" s="224"/>
      <c r="H18" s="224"/>
      <c r="I18" s="224"/>
      <c r="J18" s="224"/>
      <c r="K18" s="302"/>
      <c r="L18" s="310"/>
      <c r="M18" s="28"/>
      <c r="N18" s="28"/>
    </row>
    <row r="19" spans="1:14" ht="15.6" x14ac:dyDescent="0.3">
      <c r="A19" s="362" t="s">
        <v>1892</v>
      </c>
      <c r="B19" s="297" t="s">
        <v>1893</v>
      </c>
      <c r="C19" s="298"/>
      <c r="D19" s="306">
        <f>D17*D15</f>
        <v>90167769.387387276</v>
      </c>
      <c r="E19" s="306">
        <f t="shared" ref="E19:J19" si="3">E17*E15</f>
        <v>44475316.759257711</v>
      </c>
      <c r="F19" s="307">
        <f t="shared" si="3"/>
        <v>1268682.6212347026</v>
      </c>
      <c r="G19" s="307">
        <f t="shared" si="3"/>
        <v>11161538.192010541</v>
      </c>
      <c r="H19" s="307">
        <f t="shared" si="3"/>
        <v>12225480.307589104</v>
      </c>
      <c r="I19" s="307">
        <f t="shared" si="3"/>
        <v>20801796.236868661</v>
      </c>
      <c r="J19" s="307">
        <f t="shared" si="3"/>
        <v>234955.27042655606</v>
      </c>
      <c r="K19" s="302">
        <f>SUM(E19:J19)</f>
        <v>90167769.387387276</v>
      </c>
      <c r="L19" s="303" t="str">
        <f>IF(ABS(K19-D19)&lt;0.01,"ok","err")</f>
        <v>ok</v>
      </c>
      <c r="M19" s="28"/>
      <c r="N19" s="28"/>
    </row>
    <row r="20" spans="1:14" ht="15.6" x14ac:dyDescent="0.3">
      <c r="A20" s="363"/>
      <c r="B20" s="297"/>
      <c r="C20" s="298"/>
      <c r="D20" s="308"/>
      <c r="E20" s="309"/>
      <c r="F20" s="224"/>
      <c r="G20" s="224"/>
      <c r="H20" s="224"/>
      <c r="I20" s="224"/>
      <c r="J20" s="224"/>
      <c r="K20" s="302"/>
      <c r="L20" s="310"/>
      <c r="M20" s="28"/>
      <c r="N20" s="28"/>
    </row>
    <row r="21" spans="1:14" ht="15.6" x14ac:dyDescent="0.3">
      <c r="A21" s="362" t="s">
        <v>1324</v>
      </c>
      <c r="B21" s="297" t="s">
        <v>1894</v>
      </c>
      <c r="C21" s="298"/>
      <c r="D21" s="306">
        <f>'Allocation ProForma'!G705</f>
        <v>40550220.668183573</v>
      </c>
      <c r="E21" s="306">
        <f t="shared" ref="E21:J21" si="4">(E13/$D$13)*$D$21</f>
        <v>20001425.355516624</v>
      </c>
      <c r="F21" s="307">
        <f t="shared" si="4"/>
        <v>570551.54628404242</v>
      </c>
      <c r="G21" s="307">
        <f t="shared" si="4"/>
        <v>5019563.4178092079</v>
      </c>
      <c r="H21" s="307">
        <f t="shared" si="4"/>
        <v>5498039.1287867026</v>
      </c>
      <c r="I21" s="307">
        <f t="shared" si="4"/>
        <v>9354977.2100451514</v>
      </c>
      <c r="J21" s="307">
        <f t="shared" si="4"/>
        <v>105664.00974184803</v>
      </c>
      <c r="K21" s="302">
        <f>SUM(E21:J21)</f>
        <v>40550220.668183573</v>
      </c>
      <c r="L21" s="303" t="str">
        <f>IF(ABS(K21-D21)&lt;0.01,"ok","err")</f>
        <v>ok</v>
      </c>
      <c r="M21" s="28"/>
      <c r="N21" s="28"/>
    </row>
    <row r="22" spans="1:14" ht="15.6" x14ac:dyDescent="0.3">
      <c r="A22" s="363"/>
      <c r="B22" s="297"/>
      <c r="C22" s="298"/>
      <c r="D22" s="308"/>
      <c r="E22" s="309"/>
      <c r="F22" s="224"/>
      <c r="G22" s="224"/>
      <c r="H22" s="224"/>
      <c r="I22" s="224"/>
      <c r="J22" s="224"/>
      <c r="K22" s="302"/>
      <c r="L22" s="310"/>
      <c r="M22" s="28"/>
      <c r="N22" s="28"/>
    </row>
    <row r="23" spans="1:14" ht="15.6" x14ac:dyDescent="0.3">
      <c r="A23" s="362" t="s">
        <v>1325</v>
      </c>
      <c r="B23" s="297" t="s">
        <v>209</v>
      </c>
      <c r="C23" s="298"/>
      <c r="D23" s="306">
        <f>D19-D21</f>
        <v>49617548.719203703</v>
      </c>
      <c r="E23" s="306">
        <f t="shared" ref="E23:J23" si="5">E19-E21</f>
        <v>24473891.403741088</v>
      </c>
      <c r="F23" s="307">
        <f t="shared" si="5"/>
        <v>698131.07495066023</v>
      </c>
      <c r="G23" s="307">
        <f t="shared" si="5"/>
        <v>6141974.7742013326</v>
      </c>
      <c r="H23" s="307">
        <f t="shared" si="5"/>
        <v>6727441.1788024018</v>
      </c>
      <c r="I23" s="307">
        <f t="shared" si="5"/>
        <v>11446819.026823509</v>
      </c>
      <c r="J23" s="307">
        <f t="shared" si="5"/>
        <v>129291.26068470803</v>
      </c>
      <c r="K23" s="302">
        <f>SUM(E23:J23)</f>
        <v>49617548.719203703</v>
      </c>
      <c r="L23" s="303" t="str">
        <f>IF(ABS(K23-D23)&lt;0.01,"ok","err")</f>
        <v>ok</v>
      </c>
      <c r="M23" s="28"/>
      <c r="N23" s="28"/>
    </row>
    <row r="24" spans="1:14" ht="15.6" x14ac:dyDescent="0.3">
      <c r="A24" s="363"/>
      <c r="B24" s="297"/>
      <c r="C24" s="298"/>
      <c r="D24" s="308"/>
      <c r="E24" s="309"/>
      <c r="F24" s="224"/>
      <c r="G24" s="224"/>
      <c r="H24" s="224"/>
      <c r="I24" s="224"/>
      <c r="J24" s="224"/>
      <c r="K24" s="302"/>
      <c r="L24" s="310"/>
      <c r="M24" s="28"/>
      <c r="N24" s="28"/>
    </row>
    <row r="25" spans="1:14" ht="15.6" x14ac:dyDescent="0.3">
      <c r="A25" s="362" t="s">
        <v>1326</v>
      </c>
      <c r="B25" s="297" t="s">
        <v>553</v>
      </c>
      <c r="C25" s="298"/>
      <c r="D25" s="306">
        <f>'Allocation ProForma'!G740+'Allocation ProForma'!G817</f>
        <v>33798069.777585104</v>
      </c>
      <c r="E25" s="306">
        <f t="shared" ref="E25:J25" si="6">$D$25*(E23/$K$23)</f>
        <v>16670922.098022511</v>
      </c>
      <c r="F25" s="307">
        <f t="shared" si="6"/>
        <v>475547.12786427204</v>
      </c>
      <c r="G25" s="307">
        <f t="shared" si="6"/>
        <v>4183739.3694195305</v>
      </c>
      <c r="H25" s="307">
        <f t="shared" si="6"/>
        <v>4582542.5127815958</v>
      </c>
      <c r="I25" s="307">
        <f t="shared" si="6"/>
        <v>7797249.1222693911</v>
      </c>
      <c r="J25" s="307">
        <f t="shared" si="6"/>
        <v>88069.547227802614</v>
      </c>
      <c r="K25" s="302">
        <f>SUM(E25:J25)</f>
        <v>33798069.777585104</v>
      </c>
      <c r="L25" s="303" t="str">
        <f>IF(ABS(K25-D25)&lt;0.01,"ok","err")</f>
        <v>ok</v>
      </c>
      <c r="M25" s="28"/>
      <c r="N25" s="28"/>
    </row>
    <row r="26" spans="1:14" ht="15.6" x14ac:dyDescent="0.3">
      <c r="A26" s="363"/>
      <c r="B26" s="297"/>
      <c r="C26" s="298"/>
      <c r="D26" s="308"/>
      <c r="E26" s="309"/>
      <c r="F26" s="224"/>
      <c r="G26" s="224"/>
      <c r="H26" s="224"/>
      <c r="I26" s="224"/>
      <c r="J26" s="224"/>
      <c r="K26" s="302"/>
      <c r="L26" s="310"/>
      <c r="M26" s="28"/>
      <c r="N26" s="28"/>
    </row>
    <row r="27" spans="1:14" ht="15.6" x14ac:dyDescent="0.3">
      <c r="A27" s="362" t="s">
        <v>1327</v>
      </c>
      <c r="B27" s="297" t="s">
        <v>795</v>
      </c>
      <c r="C27" s="298"/>
      <c r="D27" s="306">
        <f>'Allocation ProForma'!G671</f>
        <v>370519405.17287457</v>
      </c>
      <c r="E27" s="306">
        <f>'Allocation ProForma'!G180+'Allocation ProForma'!G181+'Allocation ProForma'!G182</f>
        <v>44828224.976461872</v>
      </c>
      <c r="F27" s="307">
        <f>'Allocation ProForma'!G183</f>
        <v>215133717.18701735</v>
      </c>
      <c r="G27" s="307">
        <f>'Allocation ProForma'!G192</f>
        <v>18022516.312826082</v>
      </c>
      <c r="H27" s="307">
        <f>'Allocation ProForma'!G198+'Allocation ProForma'!G202+'Allocation ProForma'!G204+'Allocation ProForma'!G209</f>
        <v>17191520.814494956</v>
      </c>
      <c r="I27" s="307">
        <f>'Allocation ProForma'!G203+'Allocation ProForma'!G205+'Allocation ProForma'!G210+'Allocation ProForma'!G214+'Allocation ProForma'!G217</f>
        <v>38197035.280191563</v>
      </c>
      <c r="J27" s="307">
        <f>'Allocation ProForma'!G223+'Allocation ProForma'!G226</f>
        <v>37146390.601882696</v>
      </c>
      <c r="K27" s="302">
        <f>SUM(E27:J27)</f>
        <v>370519405.17287451</v>
      </c>
      <c r="L27" s="303" t="str">
        <f>IF(ABS(K27-D27)&lt;0.01,"ok","err")</f>
        <v>ok</v>
      </c>
      <c r="M27" s="28"/>
      <c r="N27" s="28"/>
    </row>
    <row r="28" spans="1:14" ht="15.6" x14ac:dyDescent="0.3">
      <c r="A28" s="362" t="s">
        <v>1895</v>
      </c>
      <c r="B28" s="297" t="s">
        <v>843</v>
      </c>
      <c r="C28" s="298"/>
      <c r="D28" s="306">
        <f>'Allocation ProForma'!G672</f>
        <v>105274952.74338102</v>
      </c>
      <c r="E28" s="306">
        <f>'Allocation ProForma'!G300</f>
        <v>62921521.293409944</v>
      </c>
      <c r="F28" s="307">
        <v>0</v>
      </c>
      <c r="G28" s="307">
        <f>'Allocation ProForma'!G306</f>
        <v>9848193.8048260771</v>
      </c>
      <c r="H28" s="307">
        <f>'Allocation ProForma'!G312+'Allocation ProForma'!G316+'Allocation ProForma'!G318+'Allocation ProForma'!G323</f>
        <v>12048806.959292324</v>
      </c>
      <c r="I28" s="307">
        <f>'Allocation ProForma'!G317+'Allocation ProForma'!G319+'Allocation ProForma'!G324+'Allocation ProForma'!G328+'Allocation ProForma'!G331</f>
        <v>20456430.685852647</v>
      </c>
      <c r="J28" s="307">
        <v>0</v>
      </c>
      <c r="K28" s="302">
        <f>SUM(E28:J28)</f>
        <v>105274952.74338099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1896</v>
      </c>
      <c r="B29" s="297" t="s">
        <v>428</v>
      </c>
      <c r="C29" s="298"/>
      <c r="D29" s="306">
        <f>'Allocation ProForma'!G674+'Allocation ProForma'!G675+'Allocation ProForma'!G676+'Allocation ProForma'!G673</f>
        <v>17813360.421731349</v>
      </c>
      <c r="E29" s="306">
        <f>'Allocation ProForma'!G414+'Allocation ProForma'!G471+'Allocation ProForma'!G357</f>
        <v>9375356.453090664</v>
      </c>
      <c r="F29" s="307">
        <f>'Allocation ProForma'!G529</f>
        <v>0</v>
      </c>
      <c r="G29" s="307">
        <f>'Allocation ProForma'!G420+'Allocation ProForma'!G477+'Allocation ProForma'!G363</f>
        <v>2079024.7752265115</v>
      </c>
      <c r="H29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2357100.5262608062</v>
      </c>
      <c r="I29" s="307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4001878.6671533668</v>
      </c>
      <c r="J29" s="307">
        <v>0</v>
      </c>
      <c r="K29" s="302">
        <f>SUM(E29:J29)</f>
        <v>17813360.421731349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1897</v>
      </c>
      <c r="B30" s="297" t="s">
        <v>1933</v>
      </c>
      <c r="C30" s="298"/>
      <c r="D30" s="306">
        <f>'Allocation ProForma'!G679</f>
        <v>0</v>
      </c>
      <c r="E30" s="306">
        <f>D30</f>
        <v>0</v>
      </c>
      <c r="F30" s="307"/>
      <c r="G30" s="307"/>
      <c r="H30" s="307"/>
      <c r="I30" s="307"/>
      <c r="J30" s="307"/>
      <c r="K30" s="302">
        <f>SUM(E30:J30)</f>
        <v>0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1898</v>
      </c>
      <c r="B31" s="297" t="s">
        <v>1915</v>
      </c>
      <c r="C31" s="298"/>
      <c r="D31" s="306">
        <f>'Allocation ProForma'!G745</f>
        <v>0</v>
      </c>
      <c r="E31" s="306">
        <f>D31</f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2">
        <f>SUM(E31:J31)</f>
        <v>0</v>
      </c>
      <c r="L31" s="303" t="str">
        <f t="shared" ref="L31:L38" si="7">IF(ABS(K31-D31)&lt;0.01,"ok","err")</f>
        <v>ok</v>
      </c>
      <c r="M31" s="28"/>
      <c r="N31" s="28"/>
    </row>
    <row r="32" spans="1:14" ht="15.6" x14ac:dyDescent="0.3">
      <c r="A32" s="362" t="s">
        <v>1900</v>
      </c>
      <c r="B32" s="297" t="s">
        <v>1914</v>
      </c>
      <c r="C32" s="298"/>
      <c r="D32" s="306">
        <v>0</v>
      </c>
      <c r="E32" s="306">
        <v>0</v>
      </c>
      <c r="F32" s="307">
        <f>D32</f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 t="shared" ref="K32:K38" si="8">SUM(E32:J32)</f>
        <v>0</v>
      </c>
      <c r="L32" s="303" t="str">
        <f t="shared" si="7"/>
        <v>ok</v>
      </c>
      <c r="M32" s="28"/>
      <c r="N32" s="28"/>
    </row>
    <row r="33" spans="1:14" ht="15.6" x14ac:dyDescent="0.3">
      <c r="A33" s="362" t="s">
        <v>1901</v>
      </c>
      <c r="B33" s="297" t="s">
        <v>1918</v>
      </c>
      <c r="C33" s="298"/>
      <c r="D33" s="306">
        <f>'Allocation ProForma'!G756+'Allocation ProForma'!G759</f>
        <v>0</v>
      </c>
      <c r="E33" s="306">
        <v>0</v>
      </c>
      <c r="F33" s="307">
        <v>0</v>
      </c>
      <c r="G33" s="307">
        <f>D33</f>
        <v>0</v>
      </c>
      <c r="H33" s="307">
        <v>0</v>
      </c>
      <c r="I33" s="307">
        <v>0</v>
      </c>
      <c r="J33" s="307">
        <v>0</v>
      </c>
      <c r="K33" s="302">
        <f t="shared" si="8"/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1903</v>
      </c>
      <c r="B34" s="297" t="s">
        <v>1916</v>
      </c>
      <c r="C34" s="298"/>
      <c r="D34" s="306">
        <v>0</v>
      </c>
      <c r="E34" s="306">
        <v>0</v>
      </c>
      <c r="F34" s="307">
        <v>0</v>
      </c>
      <c r="G34" s="307">
        <v>0</v>
      </c>
      <c r="H34" s="307">
        <f>(H13/($I$13+$H$13)*$D$34)</f>
        <v>0</v>
      </c>
      <c r="I34" s="307">
        <f>(I13/($I$13+$H$13)*$D$34)</f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4" t="s">
        <v>1905</v>
      </c>
      <c r="B35" s="297" t="s">
        <v>1917</v>
      </c>
      <c r="C35" s="298"/>
      <c r="D35" s="306">
        <f>SUM('Allocation ProForma'!G813:G815)-'Allocation ProForma'!G721</f>
        <v>559546.56329979352</v>
      </c>
      <c r="E35" s="306">
        <f t="shared" ref="E35:J35" si="9">(E13/($D$13)*$D$35)</f>
        <v>275996.74266527256</v>
      </c>
      <c r="F35" s="307">
        <f t="shared" si="9"/>
        <v>7872.9573266936222</v>
      </c>
      <c r="G35" s="307">
        <f t="shared" si="9"/>
        <v>69264.221338855699</v>
      </c>
      <c r="H35" s="307">
        <f t="shared" si="9"/>
        <v>75866.637683039677</v>
      </c>
      <c r="I35" s="307">
        <f t="shared" si="9"/>
        <v>129087.96207207259</v>
      </c>
      <c r="J35" s="307">
        <f t="shared" si="9"/>
        <v>1458.0422138594342</v>
      </c>
      <c r="K35" s="302">
        <f t="shared" si="8"/>
        <v>559546.56329979352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1919</v>
      </c>
      <c r="B36" s="297" t="s">
        <v>2444</v>
      </c>
      <c r="C36" s="381"/>
      <c r="D36" s="306">
        <f>-'Allocation ProForma'!G802-'Allocation ProForma'!G803</f>
        <v>-3575005.3345344309</v>
      </c>
      <c r="E36" s="382">
        <f>-'Allocation ProForma'!G802-'Allocation ProForma'!$G$803*(E13/'RS Unit Costs'!$D$13)</f>
        <v>-3565680.7784192618</v>
      </c>
      <c r="F36" s="383">
        <f>-'Allocation ProForma'!$G$803*(F13/'RS Unit Costs'!$D$13)</f>
        <v>-258.9027643213002</v>
      </c>
      <c r="G36" s="383">
        <f>-'Allocation ProForma'!$G$803*(G13/'RS Unit Costs'!$D$13)</f>
        <v>-2277.7588686262138</v>
      </c>
      <c r="H36" s="383">
        <f>-'Allocation ProForma'!$G$803*(H13/'RS Unit Costs'!$D$13)</f>
        <v>-2494.8798019397505</v>
      </c>
      <c r="I36" s="383">
        <f>-'Allocation ProForma'!$G$803*(I13/'RS Unit Costs'!$D$13)</f>
        <v>-4245.0668578815403</v>
      </c>
      <c r="J36" s="383">
        <f>-'Allocation ProForma'!$G$803*(J13/'RS Unit Costs'!$D$13)</f>
        <v>-47.947822400288494</v>
      </c>
      <c r="K36" s="302">
        <f>SUM(E36:J36)</f>
        <v>-3575005.3345344309</v>
      </c>
      <c r="L36" s="303" t="str">
        <f>IF(ABS(K36-D36)&lt;0.01,"ok","err")</f>
        <v>ok</v>
      </c>
      <c r="M36" s="28"/>
      <c r="N36" s="28"/>
    </row>
    <row r="37" spans="1:14" ht="15.6" x14ac:dyDescent="0.3">
      <c r="A37" s="362"/>
      <c r="B37" s="297"/>
      <c r="C37" s="28"/>
      <c r="D37" s="306"/>
      <c r="E37" s="306"/>
      <c r="F37" s="307"/>
      <c r="G37" s="307"/>
      <c r="H37" s="307"/>
      <c r="I37" s="307"/>
      <c r="J37" s="307"/>
      <c r="K37" s="302"/>
      <c r="L37" s="303"/>
      <c r="M37" s="28"/>
      <c r="N37" s="28"/>
    </row>
    <row r="38" spans="1:14" ht="15.6" x14ac:dyDescent="0.3">
      <c r="A38" s="362" t="s">
        <v>1920</v>
      </c>
      <c r="B38" s="297" t="s">
        <v>1924</v>
      </c>
      <c r="C38" s="298"/>
      <c r="D38" s="306">
        <f t="shared" ref="D38:J38" si="10">SUM(D31:D36)</f>
        <v>-3015458.7712346371</v>
      </c>
      <c r="E38" s="306">
        <f t="shared" si="10"/>
        <v>-3289684.0357539891</v>
      </c>
      <c r="F38" s="307">
        <f t="shared" si="10"/>
        <v>7614.0545623723219</v>
      </c>
      <c r="G38" s="307">
        <f t="shared" si="10"/>
        <v>66986.462470229482</v>
      </c>
      <c r="H38" s="307">
        <f t="shared" si="10"/>
        <v>73371.757881099926</v>
      </c>
      <c r="I38" s="307">
        <f t="shared" si="10"/>
        <v>124842.89521419106</v>
      </c>
      <c r="J38" s="307">
        <f t="shared" si="10"/>
        <v>1410.0943914591458</v>
      </c>
      <c r="K38" s="302">
        <f t="shared" si="8"/>
        <v>-3015458.7712346376</v>
      </c>
      <c r="L38" s="303" t="str">
        <f t="shared" si="7"/>
        <v>ok</v>
      </c>
      <c r="M38" s="28"/>
      <c r="N38" s="28"/>
    </row>
    <row r="39" spans="1:14" ht="15.6" x14ac:dyDescent="0.3">
      <c r="A39" s="363"/>
      <c r="B39" s="297"/>
      <c r="C39" s="298"/>
      <c r="D39" s="306"/>
      <c r="E39" s="309"/>
      <c r="F39" s="224"/>
      <c r="G39" s="224"/>
      <c r="H39" s="224"/>
      <c r="I39" s="224"/>
      <c r="J39" s="224"/>
      <c r="K39" s="287"/>
      <c r="L39" s="310"/>
      <c r="M39" s="28"/>
      <c r="N39" s="28"/>
    </row>
    <row r="40" spans="1:14" ht="15.6" x14ac:dyDescent="0.3">
      <c r="A40" s="362" t="s">
        <v>1921</v>
      </c>
      <c r="B40" s="297" t="s">
        <v>1899</v>
      </c>
      <c r="C40" s="313"/>
      <c r="D40" s="306">
        <f>SUM(D27:D30)+D21+D25+D38+D23</f>
        <v>614558098.73172474</v>
      </c>
      <c r="E40" s="306">
        <f t="shared" ref="E40:J40" si="11">SUM(E27:E30)+E21+E25+E38+E23</f>
        <v>174981657.54448873</v>
      </c>
      <c r="F40" s="307">
        <f t="shared" si="11"/>
        <v>216885560.9906787</v>
      </c>
      <c r="G40" s="307">
        <f t="shared" si="11"/>
        <v>45361998.916778967</v>
      </c>
      <c r="H40" s="307">
        <f t="shared" si="11"/>
        <v>48478822.878299892</v>
      </c>
      <c r="I40" s="307">
        <f t="shared" si="11"/>
        <v>91379232.887549818</v>
      </c>
      <c r="J40" s="307">
        <f t="shared" si="11"/>
        <v>37470825.51392851</v>
      </c>
      <c r="K40" s="302">
        <f>SUM(E40:J40)</f>
        <v>614558098.73172462</v>
      </c>
      <c r="L40" s="303" t="str">
        <f>IF(ABS(K40-D40)&lt;0.01,"ok","err")</f>
        <v>ok</v>
      </c>
      <c r="M40" s="28"/>
      <c r="N40" s="28"/>
    </row>
    <row r="41" spans="1:14" ht="15.6" x14ac:dyDescent="0.3">
      <c r="A41" s="363"/>
      <c r="B41" s="297"/>
      <c r="C41" s="298"/>
      <c r="D41" s="314"/>
      <c r="E41" s="309"/>
      <c r="F41" s="224"/>
      <c r="G41" s="224"/>
      <c r="H41" s="224"/>
      <c r="I41" s="224"/>
      <c r="J41" s="224"/>
      <c r="K41" s="287"/>
      <c r="L41" s="310"/>
      <c r="M41" s="28"/>
      <c r="N41" s="28"/>
    </row>
    <row r="42" spans="1:14" ht="15.6" x14ac:dyDescent="0.3">
      <c r="A42" s="362" t="s">
        <v>1922</v>
      </c>
      <c r="B42" s="297" t="s">
        <v>2432</v>
      </c>
      <c r="C42" s="298"/>
      <c r="D42" s="306">
        <f>-'Allocation ProForma'!G654</f>
        <v>7120997.5447985651</v>
      </c>
      <c r="E42" s="306">
        <f>D42</f>
        <v>7120997.5447985651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2">
        <f>SUM(E42:J42)</f>
        <v>7120997.5447985651</v>
      </c>
      <c r="L42" s="303" t="str">
        <f>IF(ABS(K42-D42)&lt;0.01,"ok","err")</f>
        <v>ok</v>
      </c>
      <c r="M42" s="28"/>
      <c r="N42" s="28"/>
    </row>
    <row r="43" spans="1:14" ht="15.6" x14ac:dyDescent="0.3">
      <c r="A43" s="362" t="s">
        <v>1923</v>
      </c>
      <c r="B43" s="297" t="s">
        <v>1925</v>
      </c>
      <c r="C43" s="298"/>
      <c r="D43" s="306">
        <f>-('Allocation ProForma'!G652+'Allocation ProForma'!G653)</f>
        <v>-2829615.4300200166</v>
      </c>
      <c r="E43" s="306">
        <v>0</v>
      </c>
      <c r="F43" s="307">
        <f>D43</f>
        <v>-2829615.4300200166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-2829615.4300200166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1927</v>
      </c>
      <c r="B44" s="297" t="s">
        <v>1926</v>
      </c>
      <c r="C44" s="298"/>
      <c r="D44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-27306229.437151052</v>
      </c>
      <c r="E44" s="306">
        <f t="shared" ref="E44:J44" si="12">(E13/($D$13)*$D$44)</f>
        <v>-13468817.205631563</v>
      </c>
      <c r="F44" s="307">
        <f t="shared" si="12"/>
        <v>-384205.34270427318</v>
      </c>
      <c r="G44" s="307">
        <f t="shared" si="12"/>
        <v>-3380138.2113950434</v>
      </c>
      <c r="H44" s="307">
        <f t="shared" si="12"/>
        <v>-3702340.3431902658</v>
      </c>
      <c r="I44" s="307">
        <f t="shared" si="12"/>
        <v>-6299574.9435524559</v>
      </c>
      <c r="J44" s="307">
        <f t="shared" si="12"/>
        <v>-71153.39067745475</v>
      </c>
      <c r="K44" s="302">
        <f>SUM(E44:J44)</f>
        <v>-27306229.437151056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1928</v>
      </c>
      <c r="B45" s="297" t="s">
        <v>1929</v>
      </c>
      <c r="C45" s="298"/>
      <c r="D45" s="306">
        <f>SUM(D42:D44)</f>
        <v>-23014847.322372504</v>
      </c>
      <c r="E45" s="306">
        <f t="shared" ref="E45:J45" si="13">SUM(E42:E44)</f>
        <v>-6347819.6608329983</v>
      </c>
      <c r="F45" s="307">
        <f t="shared" si="13"/>
        <v>-3213820.7727242899</v>
      </c>
      <c r="G45" s="307">
        <f t="shared" si="13"/>
        <v>-3380138.2113950434</v>
      </c>
      <c r="H45" s="307">
        <f t="shared" si="13"/>
        <v>-3702340.3431902658</v>
      </c>
      <c r="I45" s="307">
        <f t="shared" si="13"/>
        <v>-6299574.9435524559</v>
      </c>
      <c r="J45" s="307">
        <f t="shared" si="13"/>
        <v>-71153.39067745475</v>
      </c>
      <c r="K45" s="302">
        <f>SUM(E45:J45)</f>
        <v>-23014847.322372511</v>
      </c>
      <c r="L45" s="303" t="str">
        <f>IF(ABS(K45-D45)&lt;0.01,"ok","err")</f>
        <v>ok</v>
      </c>
      <c r="M45" s="28"/>
      <c r="N45" s="28"/>
    </row>
    <row r="46" spans="1:14" ht="15.6" x14ac:dyDescent="0.3">
      <c r="A46" s="363"/>
      <c r="B46" s="297"/>
      <c r="C46" s="28"/>
      <c r="D46" s="308"/>
      <c r="E46" s="309"/>
      <c r="F46" s="224"/>
      <c r="G46" s="224"/>
      <c r="H46" s="224"/>
      <c r="I46" s="224"/>
      <c r="J46" s="224"/>
      <c r="K46" s="287"/>
      <c r="L46" s="310"/>
      <c r="M46" s="28"/>
      <c r="N46" s="28"/>
    </row>
    <row r="47" spans="1:14" ht="15.6" x14ac:dyDescent="0.3">
      <c r="A47" s="362" t="s">
        <v>1934</v>
      </c>
      <c r="B47" s="297" t="s">
        <v>1902</v>
      </c>
      <c r="C47" s="315">
        <f>'Allocation ProForma'!G806-SUM('Allocation ProForma'!G652:G665)-'Allocation ProForma'!G721-'Allocation ProForma'!G802-'Allocation ProForma'!G803</f>
        <v>591543251</v>
      </c>
      <c r="D47" s="306">
        <f>D40+D45</f>
        <v>591543251.40935218</v>
      </c>
      <c r="E47" s="306">
        <f t="shared" ref="E47:J47" si="14">E40+E45</f>
        <v>168633837.88365573</v>
      </c>
      <c r="F47" s="307">
        <f t="shared" si="14"/>
        <v>213671740.2179544</v>
      </c>
      <c r="G47" s="307">
        <f t="shared" si="14"/>
        <v>41981860.705383927</v>
      </c>
      <c r="H47" s="307">
        <f t="shared" si="14"/>
        <v>44776482.535109624</v>
      </c>
      <c r="I47" s="307">
        <f t="shared" si="14"/>
        <v>85079657.943997368</v>
      </c>
      <c r="J47" s="307">
        <f t="shared" si="14"/>
        <v>37399672.123251058</v>
      </c>
      <c r="K47" s="302">
        <f>SUM(E47:J47)</f>
        <v>591543251.40935218</v>
      </c>
      <c r="L47" s="303" t="str">
        <f>IF(ABS(K47-D47)&lt;0.01,"ok","err")</f>
        <v>ok</v>
      </c>
      <c r="M47" s="28"/>
      <c r="N47" s="28"/>
    </row>
    <row r="48" spans="1:14" ht="15.6" x14ac:dyDescent="0.3">
      <c r="A48" s="363"/>
      <c r="B48" s="297"/>
      <c r="C48" s="298"/>
      <c r="D48" s="306"/>
      <c r="E48" s="309"/>
      <c r="F48" s="224"/>
      <c r="G48" s="224"/>
      <c r="H48" s="224"/>
      <c r="I48" s="224"/>
      <c r="J48" s="224"/>
      <c r="K48" s="287"/>
      <c r="L48" s="310"/>
      <c r="M48" s="28"/>
      <c r="N48" s="28"/>
    </row>
    <row r="49" spans="1:16" ht="15.6" x14ac:dyDescent="0.3">
      <c r="A49" s="362" t="s">
        <v>1935</v>
      </c>
      <c r="B49" s="297" t="s">
        <v>1904</v>
      </c>
      <c r="C49" s="298"/>
      <c r="D49" s="316"/>
      <c r="E49" s="317">
        <f>'Billing Det'!C8</f>
        <v>6091631440</v>
      </c>
      <c r="F49" s="318">
        <f>'Billing Det'!C8</f>
        <v>6091631440</v>
      </c>
      <c r="G49" s="318">
        <f>'Billing Det'!C8</f>
        <v>6091631440</v>
      </c>
      <c r="H49" s="318">
        <f>'Billing Det'!C8</f>
        <v>6091631440</v>
      </c>
      <c r="I49" s="318">
        <f>'Allocation ProForma'!G848</f>
        <v>5167850</v>
      </c>
      <c r="J49" s="318">
        <f>I49</f>
        <v>5167850</v>
      </c>
      <c r="K49" s="287"/>
      <c r="L49" s="310"/>
      <c r="M49" s="28"/>
      <c r="N49" s="28"/>
    </row>
    <row r="50" spans="1:16" ht="16.2" thickBot="1" x14ac:dyDescent="0.35">
      <c r="A50" s="363"/>
      <c r="B50" s="297"/>
      <c r="C50" s="298"/>
      <c r="D50" s="308"/>
      <c r="E50" s="309"/>
      <c r="F50" s="224"/>
      <c r="G50" s="224"/>
      <c r="H50" s="224"/>
      <c r="I50" s="224"/>
      <c r="J50" s="224"/>
      <c r="K50" s="287"/>
      <c r="L50" s="310"/>
      <c r="M50" s="28"/>
      <c r="N50" s="28"/>
      <c r="O50" s="1"/>
      <c r="P50" s="392"/>
    </row>
    <row r="51" spans="1:16" ht="16.2" thickBot="1" x14ac:dyDescent="0.35">
      <c r="A51" s="365" t="s">
        <v>2446</v>
      </c>
      <c r="B51" s="319" t="s">
        <v>1906</v>
      </c>
      <c r="C51" s="320"/>
      <c r="D51" s="321"/>
      <c r="E51" s="322">
        <f t="shared" ref="E51:J51" si="15">E47/E49</f>
        <v>2.7682869448788536E-2</v>
      </c>
      <c r="F51" s="323">
        <f t="shared" si="15"/>
        <v>3.5076275103398967E-2</v>
      </c>
      <c r="G51" s="323">
        <f t="shared" si="15"/>
        <v>6.8917269731249408E-3</v>
      </c>
      <c r="H51" s="323">
        <f t="shared" si="15"/>
        <v>7.3504910755253479E-3</v>
      </c>
      <c r="I51" s="324">
        <f>I47/I49</f>
        <v>16.463259952203988</v>
      </c>
      <c r="J51" s="324">
        <f t="shared" si="15"/>
        <v>7.2369887135367819</v>
      </c>
      <c r="K51" s="325">
        <f>I51+J51</f>
        <v>23.700248665740769</v>
      </c>
      <c r="L51" s="326"/>
      <c r="M51" s="28"/>
      <c r="N51" s="28"/>
      <c r="O51" s="1"/>
      <c r="P51" s="392"/>
    </row>
    <row r="52" spans="1:16" ht="16.2" thickBot="1" x14ac:dyDescent="0.35">
      <c r="A52" s="28"/>
      <c r="B52" s="28"/>
      <c r="C52" s="28"/>
      <c r="D52" s="28"/>
      <c r="E52" s="28"/>
      <c r="F52" s="28"/>
      <c r="G52" s="28"/>
      <c r="H52" s="28"/>
      <c r="I52" s="28"/>
      <c r="J52" s="389" t="s">
        <v>2433</v>
      </c>
      <c r="K52" s="391">
        <f>I51+J51</f>
        <v>23.700248665740769</v>
      </c>
      <c r="L52" s="28"/>
      <c r="M52" s="28"/>
      <c r="N52" s="28"/>
      <c r="O52" s="1"/>
      <c r="P52" s="392"/>
    </row>
    <row r="53" spans="1:16" ht="16.2" thickBot="1" x14ac:dyDescent="0.35">
      <c r="A53" s="28"/>
      <c r="B53" s="28"/>
      <c r="C53" s="28"/>
      <c r="D53" s="327"/>
      <c r="F53" s="28"/>
      <c r="I53" s="28"/>
      <c r="J53" s="389" t="s">
        <v>2439</v>
      </c>
      <c r="K53" s="390">
        <f>E51+G51+H51</f>
        <v>4.1925087497438826E-2</v>
      </c>
      <c r="L53" s="28"/>
      <c r="M53" s="28"/>
      <c r="N53" s="28"/>
      <c r="O53" s="1"/>
    </row>
    <row r="54" spans="1:16" ht="16.2" thickBot="1" x14ac:dyDescent="0.35">
      <c r="A54" s="28"/>
      <c r="B54" s="28"/>
      <c r="C54" s="28"/>
      <c r="D54" s="327"/>
      <c r="E54" s="28"/>
      <c r="F54" s="28"/>
      <c r="I54" s="28"/>
      <c r="J54" s="389" t="s">
        <v>2452</v>
      </c>
      <c r="K54" s="390">
        <f>K62</f>
        <v>6.77E-3</v>
      </c>
      <c r="L54" s="28"/>
      <c r="M54" s="28"/>
      <c r="N54" s="28"/>
    </row>
    <row r="55" spans="1:16" ht="16.2" thickBot="1" x14ac:dyDescent="0.35">
      <c r="A55" s="28"/>
      <c r="B55" s="28"/>
      <c r="C55" s="28"/>
      <c r="D55" s="327"/>
      <c r="E55" s="28"/>
      <c r="F55" s="28"/>
      <c r="I55" s="28"/>
      <c r="J55" s="389" t="s">
        <v>2451</v>
      </c>
      <c r="K55" s="390">
        <f>K53+K54</f>
        <v>4.8695087497438824E-2</v>
      </c>
      <c r="L55" s="28"/>
      <c r="M55" s="28"/>
      <c r="N55" s="28"/>
    </row>
    <row r="56" spans="1:16" ht="16.2" thickBot="1" x14ac:dyDescent="0.35">
      <c r="A56" s="28"/>
      <c r="B56" s="28"/>
      <c r="C56" s="28"/>
      <c r="D56" s="370"/>
      <c r="E56" s="28"/>
      <c r="F56" s="28"/>
      <c r="I56" s="28"/>
      <c r="J56" s="389" t="s">
        <v>2434</v>
      </c>
      <c r="K56" s="390">
        <f>F51</f>
        <v>3.5076275103398967E-2</v>
      </c>
      <c r="L56" s="28"/>
      <c r="M56" s="28"/>
      <c r="N56" s="28"/>
    </row>
    <row r="57" spans="1:16" ht="15.6" x14ac:dyDescent="0.3">
      <c r="A57" s="28"/>
      <c r="B57" s="28"/>
      <c r="C57" s="28"/>
      <c r="D57" s="335"/>
      <c r="E57" s="386"/>
      <c r="F57" s="28"/>
      <c r="G57" s="28"/>
      <c r="H57" s="28"/>
      <c r="I57" s="28"/>
      <c r="L57" s="28"/>
      <c r="M57" s="28"/>
      <c r="N57" s="28"/>
    </row>
    <row r="58" spans="1:16" ht="15.6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24"/>
      <c r="K58" s="372"/>
      <c r="L58" s="28"/>
      <c r="M58" s="28"/>
      <c r="N58" s="28"/>
    </row>
    <row r="59" spans="1:16" ht="15.6" x14ac:dyDescent="0.3">
      <c r="A59" s="28"/>
      <c r="B59" s="28"/>
      <c r="C59" s="28"/>
      <c r="D59" s="370"/>
      <c r="E59" s="387"/>
      <c r="F59" s="28"/>
      <c r="G59" s="386"/>
      <c r="H59" s="386"/>
      <c r="I59" s="28"/>
      <c r="J59" s="373" t="s">
        <v>2435</v>
      </c>
      <c r="K59" s="374">
        <v>22</v>
      </c>
      <c r="L59" s="28"/>
      <c r="M59" s="28"/>
      <c r="N59" s="28"/>
    </row>
    <row r="60" spans="1:16" ht="15.6" x14ac:dyDescent="0.3">
      <c r="A60" s="28"/>
      <c r="B60" s="28"/>
      <c r="C60" s="28"/>
      <c r="D60" s="327"/>
      <c r="E60" s="28"/>
      <c r="F60" s="28"/>
      <c r="G60" s="28"/>
      <c r="H60" s="28"/>
      <c r="I60" s="28"/>
      <c r="J60" s="373" t="s">
        <v>2436</v>
      </c>
      <c r="K60" s="375">
        <f>(K52-K59)*I49</f>
        <v>8786630.0672484357</v>
      </c>
      <c r="L60" s="28"/>
      <c r="M60" s="28"/>
      <c r="N60" s="28"/>
    </row>
    <row r="61" spans="1:16" ht="15.6" x14ac:dyDescent="0.3">
      <c r="A61" s="28"/>
      <c r="B61" s="28"/>
      <c r="C61" s="28"/>
      <c r="D61" s="28"/>
      <c r="E61" s="388"/>
      <c r="F61" s="28"/>
      <c r="G61" s="387"/>
      <c r="H61" s="387"/>
      <c r="I61" s="28"/>
      <c r="J61" s="373" t="s">
        <v>2437</v>
      </c>
      <c r="K61" s="376">
        <f>K60/H49</f>
        <v>1.4424099937419123E-3</v>
      </c>
      <c r="L61" s="28"/>
      <c r="M61" s="28"/>
      <c r="N61" s="28"/>
    </row>
    <row r="62" spans="1:16" ht="15.6" x14ac:dyDescent="0.3">
      <c r="G62" s="28"/>
      <c r="H62" s="28"/>
      <c r="J62" s="373" t="s">
        <v>2440</v>
      </c>
      <c r="K62" s="34">
        <v>6.77E-3</v>
      </c>
    </row>
    <row r="63" spans="1:16" ht="15.6" x14ac:dyDescent="0.3">
      <c r="G63" s="388"/>
      <c r="H63" s="388"/>
      <c r="J63" s="373" t="s">
        <v>2441</v>
      </c>
      <c r="K63" s="377">
        <f>K61+K62+K53</f>
        <v>5.0137497491180738E-2</v>
      </c>
      <c r="L63" s="380">
        <f>K63+K56</f>
        <v>8.5213772594579712E-2</v>
      </c>
    </row>
  </sheetData>
  <mergeCells count="6">
    <mergeCell ref="E8:F8"/>
    <mergeCell ref="H8:I8"/>
    <mergeCell ref="A1:N1"/>
    <mergeCell ref="A3:N3"/>
    <mergeCell ref="A4:N4"/>
    <mergeCell ref="A6:N6"/>
  </mergeCells>
  <pageMargins left="1" right="1" top="0.5" bottom="1" header="0.3" footer="0.3"/>
  <pageSetup scale="56" orientation="landscape" r:id="rId1"/>
  <headerFooter>
    <oddHeader>&amp;RExhibit WSS-2
Page 1 of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45.44140625" bestFit="1" customWidth="1"/>
    <col min="3" max="3" width="19" hidden="1" customWidth="1"/>
    <col min="4" max="4" width="23.6640625" customWidth="1"/>
    <col min="5" max="5" width="24.88671875" bestFit="1" customWidth="1"/>
    <col min="6" max="6" width="23.3320312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2341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2" thickBot="1" x14ac:dyDescent="0.35">
      <c r="A9" s="279"/>
      <c r="B9" s="280"/>
      <c r="C9" s="281"/>
      <c r="D9" s="279"/>
      <c r="E9" s="437" t="s">
        <v>1907</v>
      </c>
      <c r="F9" s="438"/>
      <c r="G9" s="282" t="s">
        <v>459</v>
      </c>
      <c r="H9" s="437" t="s">
        <v>118</v>
      </c>
      <c r="I9" s="438"/>
      <c r="J9" s="282" t="s">
        <v>1912</v>
      </c>
      <c r="K9" s="281"/>
      <c r="L9" s="283"/>
      <c r="M9" s="28"/>
      <c r="N9" s="28"/>
    </row>
    <row r="10" spans="1:14" ht="15.6" x14ac:dyDescent="0.3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6" x14ac:dyDescent="0.3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2" thickBot="1" x14ac:dyDescent="0.35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6" x14ac:dyDescent="0.3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6" x14ac:dyDescent="0.3">
      <c r="A14" s="362" t="s">
        <v>1166</v>
      </c>
      <c r="B14" s="297" t="s">
        <v>193</v>
      </c>
      <c r="C14" s="298"/>
      <c r="D14" s="299">
        <f>'Allocation ProForma'!H174</f>
        <v>441219651.03133303</v>
      </c>
      <c r="E14" s="300">
        <f>'Allocation ProForma'!H123+'Allocation ProForma'!H124+'Allocation ProForma'!H125</f>
        <v>235024186.42727846</v>
      </c>
      <c r="F14" s="301">
        <f>'Allocation ProForma'!H126</f>
        <v>7155603.2069275761</v>
      </c>
      <c r="G14" s="301">
        <f>'Allocation ProForma'!H135</f>
        <v>58981736.927331433</v>
      </c>
      <c r="H14" s="301">
        <f>'Allocation ProForma'!H145+'Allocation ProForma'!H147+'Allocation ProForma'!H152+'Allocation ProForma'!H141</f>
        <v>48766711.072551116</v>
      </c>
      <c r="I14" s="301">
        <f>'Allocation ProForma'!H146+'Allocation ProForma'!H148+'Allocation ProForma'!H153+'Allocation ProForma'!H157+'Allocation ProForma'!H160+'Allocation ProForma'!H163</f>
        <v>89560365.772239178</v>
      </c>
      <c r="J14" s="301">
        <f>'Allocation ProForma'!H166+'Allocation ProForma'!H169</f>
        <v>1731047.6250052918</v>
      </c>
      <c r="K14" s="302">
        <f>SUM(E14:J14)</f>
        <v>441219651.03133303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1323</v>
      </c>
      <c r="B15" s="297" t="s">
        <v>1888</v>
      </c>
      <c r="C15" s="298"/>
      <c r="D15" s="299">
        <f>'Allocation ProForma'!H773+'Allocation ProForma'!H774+'Allocation ProForma'!H775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6" x14ac:dyDescent="0.3">
      <c r="A16" s="362" t="s">
        <v>1889</v>
      </c>
      <c r="B16" s="297" t="s">
        <v>1890</v>
      </c>
      <c r="C16" s="298"/>
      <c r="D16" s="306">
        <f>D14+D15</f>
        <v>441219651.03133303</v>
      </c>
      <c r="E16" s="306">
        <f t="shared" ref="E16:K16" si="1">E14+E15</f>
        <v>235024186.42727846</v>
      </c>
      <c r="F16" s="307">
        <f t="shared" si="1"/>
        <v>7155603.2069275761</v>
      </c>
      <c r="G16" s="307">
        <f t="shared" si="1"/>
        <v>58981736.927331433</v>
      </c>
      <c r="H16" s="307">
        <f t="shared" si="1"/>
        <v>48766711.072551116</v>
      </c>
      <c r="I16" s="307">
        <f t="shared" si="1"/>
        <v>89560365.772239178</v>
      </c>
      <c r="J16" s="307">
        <f t="shared" si="1"/>
        <v>1731047.6250052918</v>
      </c>
      <c r="K16" s="302">
        <f t="shared" si="1"/>
        <v>441219651.03133303</v>
      </c>
      <c r="L16" s="303" t="str">
        <f>IF(ABS(K16-D16)&lt;0.01,"ok","err")</f>
        <v>ok</v>
      </c>
      <c r="M16" s="28"/>
      <c r="N16" s="28"/>
    </row>
    <row r="17" spans="1:14" ht="15.6" x14ac:dyDescent="0.3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6" x14ac:dyDescent="0.3">
      <c r="A18" s="362" t="s">
        <v>1891</v>
      </c>
      <c r="B18" s="297" t="s">
        <v>441</v>
      </c>
      <c r="C18" s="298"/>
      <c r="D18" s="311">
        <f>'Allocation ProForma'!H825</f>
        <v>0.10518213245717947</v>
      </c>
      <c r="E18" s="311">
        <f t="shared" ref="E18:J18" si="2">D18</f>
        <v>0.10518213245717947</v>
      </c>
      <c r="F18" s="312">
        <f t="shared" si="2"/>
        <v>0.10518213245717947</v>
      </c>
      <c r="G18" s="312">
        <f t="shared" si="2"/>
        <v>0.10518213245717947</v>
      </c>
      <c r="H18" s="312">
        <f t="shared" si="2"/>
        <v>0.10518213245717947</v>
      </c>
      <c r="I18" s="312">
        <f t="shared" si="2"/>
        <v>0.10518213245717947</v>
      </c>
      <c r="J18" s="312">
        <f t="shared" si="2"/>
        <v>0.10518213245717947</v>
      </c>
      <c r="K18" s="302"/>
      <c r="L18" s="303"/>
      <c r="M18" s="28"/>
      <c r="N18" s="28"/>
    </row>
    <row r="19" spans="1:14" ht="15.6" x14ac:dyDescent="0.3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6" x14ac:dyDescent="0.3">
      <c r="A20" s="362" t="s">
        <v>1892</v>
      </c>
      <c r="B20" s="297" t="s">
        <v>1893</v>
      </c>
      <c r="C20" s="298"/>
      <c r="D20" s="306">
        <f>D18*D16</f>
        <v>46408423.777488172</v>
      </c>
      <c r="E20" s="306">
        <f t="shared" ref="E20:J20" si="3">E18*E16</f>
        <v>24720345.107434846</v>
      </c>
      <c r="F20" s="307">
        <f t="shared" si="3"/>
        <v>752641.60432207456</v>
      </c>
      <c r="G20" s="307">
        <f t="shared" si="3"/>
        <v>6203824.8660450885</v>
      </c>
      <c r="H20" s="307">
        <f t="shared" si="3"/>
        <v>5129386.6635340722</v>
      </c>
      <c r="I20" s="307">
        <f t="shared" si="3"/>
        <v>9420150.2555691041</v>
      </c>
      <c r="J20" s="307">
        <f t="shared" si="3"/>
        <v>182075.28058299253</v>
      </c>
      <c r="K20" s="302">
        <f>SUM(E20:J20)</f>
        <v>46408423.777488187</v>
      </c>
      <c r="L20" s="303" t="str">
        <f>IF(ABS(K20-D20)&lt;0.01,"ok","err")</f>
        <v>ok</v>
      </c>
      <c r="M20" s="28"/>
      <c r="N20" s="28"/>
    </row>
    <row r="21" spans="1:14" ht="15.6" x14ac:dyDescent="0.3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6" x14ac:dyDescent="0.3">
      <c r="A22" s="362" t="s">
        <v>1324</v>
      </c>
      <c r="B22" s="297" t="s">
        <v>1894</v>
      </c>
      <c r="C22" s="298"/>
      <c r="D22" s="306">
        <f>'Allocation ProForma'!H705</f>
        <v>10418599.508402497</v>
      </c>
      <c r="E22" s="306">
        <f t="shared" ref="E22:J22" si="4">(E14/$D$14)*$D$22</f>
        <v>5549668.6683160719</v>
      </c>
      <c r="F22" s="307">
        <f t="shared" si="4"/>
        <v>168966.5541409096</v>
      </c>
      <c r="G22" s="307">
        <f t="shared" si="4"/>
        <v>1392746.4334814537</v>
      </c>
      <c r="H22" s="307">
        <f t="shared" si="4"/>
        <v>1151537.1784082358</v>
      </c>
      <c r="I22" s="307">
        <f t="shared" si="4"/>
        <v>2114805.1330577196</v>
      </c>
      <c r="J22" s="307">
        <f t="shared" si="4"/>
        <v>40875.540998106379</v>
      </c>
      <c r="K22" s="302">
        <f>SUM(E22:J22)</f>
        <v>10418599.508402497</v>
      </c>
      <c r="L22" s="303" t="str">
        <f>IF(ABS(K22-D22)&lt;0.01,"ok","err")</f>
        <v>ok</v>
      </c>
      <c r="M22" s="28"/>
      <c r="N22" s="28"/>
    </row>
    <row r="23" spans="1:14" ht="15.6" x14ac:dyDescent="0.3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6" x14ac:dyDescent="0.3">
      <c r="A24" s="362" t="s">
        <v>1325</v>
      </c>
      <c r="B24" s="297" t="s">
        <v>209</v>
      </c>
      <c r="C24" s="298"/>
      <c r="D24" s="306">
        <f>D20-D22</f>
        <v>35989824.269085675</v>
      </c>
      <c r="E24" s="306">
        <f t="shared" ref="E24:J24" si="5">E20-E22</f>
        <v>19170676.439118773</v>
      </c>
      <c r="F24" s="307">
        <f t="shared" si="5"/>
        <v>583675.05018116499</v>
      </c>
      <c r="G24" s="307">
        <f t="shared" si="5"/>
        <v>4811078.4325636346</v>
      </c>
      <c r="H24" s="307">
        <f t="shared" si="5"/>
        <v>3977849.4851258365</v>
      </c>
      <c r="I24" s="307">
        <f t="shared" si="5"/>
        <v>7305345.122511385</v>
      </c>
      <c r="J24" s="307">
        <f t="shared" si="5"/>
        <v>141199.73958488615</v>
      </c>
      <c r="K24" s="302">
        <f>SUM(E24:J24)</f>
        <v>35989824.269085675</v>
      </c>
      <c r="L24" s="303" t="str">
        <f>IF(ABS(K24-D24)&lt;0.01,"ok","err")</f>
        <v>ok</v>
      </c>
      <c r="M24" s="28"/>
      <c r="N24" s="28"/>
    </row>
    <row r="25" spans="1:14" ht="15.6" x14ac:dyDescent="0.3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6" x14ac:dyDescent="0.3">
      <c r="A26" s="362" t="s">
        <v>1326</v>
      </c>
      <c r="B26" s="297" t="s">
        <v>553</v>
      </c>
      <c r="C26" s="298"/>
      <c r="D26" s="306">
        <f>'Allocation ProForma'!H740+'Allocation ProForma'!H817</f>
        <v>25348538.203033146</v>
      </c>
      <c r="E26" s="306">
        <f t="shared" ref="E26:J26" si="6">$D$26*(E24/$K$24)</f>
        <v>13502389.466024898</v>
      </c>
      <c r="F26" s="307">
        <f t="shared" si="6"/>
        <v>411097.01445203595</v>
      </c>
      <c r="G26" s="307">
        <f t="shared" si="6"/>
        <v>3388563.5154485395</v>
      </c>
      <c r="H26" s="307">
        <f t="shared" si="6"/>
        <v>2801699.4160830243</v>
      </c>
      <c r="I26" s="307">
        <f t="shared" si="6"/>
        <v>5145338.2639432987</v>
      </c>
      <c r="J26" s="307">
        <f t="shared" si="6"/>
        <v>99450.527081352382</v>
      </c>
      <c r="K26" s="302">
        <f>SUM(E26:J26)</f>
        <v>25348538.203033149</v>
      </c>
      <c r="L26" s="303" t="str">
        <f>IF(ABS(K26-D26)&lt;0.01,"ok","err")</f>
        <v>ok</v>
      </c>
      <c r="M26" s="28"/>
      <c r="N26" s="28"/>
    </row>
    <row r="27" spans="1:14" ht="15.6" x14ac:dyDescent="0.3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6" x14ac:dyDescent="0.3">
      <c r="A28" s="362" t="s">
        <v>1327</v>
      </c>
      <c r="B28" s="297" t="s">
        <v>795</v>
      </c>
      <c r="C28" s="298"/>
      <c r="D28" s="306">
        <f>'Allocation ProForma'!H671</f>
        <v>108753033.19473302</v>
      </c>
      <c r="E28" s="306">
        <f>'Allocation ProForma'!H180+'Allocation ProForma'!H181+'Allocation ProForma'!H182</f>
        <v>12442822.510430101</v>
      </c>
      <c r="F28" s="307">
        <f>'Allocation ProForma'!H183</f>
        <v>63734648.606902696</v>
      </c>
      <c r="G28" s="307">
        <f>'Allocation ProForma'!H192</f>
        <v>5002450.3934647059</v>
      </c>
      <c r="H28" s="307">
        <f>'Allocation ProForma'!H198+'Allocation ProForma'!H202+'Allocation ProForma'!H204+'Allocation ProForma'!H209</f>
        <v>3700995.6023449316</v>
      </c>
      <c r="I28" s="307">
        <f>'Allocation ProForma'!H203+'Allocation ProForma'!H205+'Allocation ProForma'!H210+'Allocation ProForma'!H214+'Allocation ProForma'!H217</f>
        <v>9496902.6505564768</v>
      </c>
      <c r="J28" s="307">
        <f>'Allocation ProForma'!H223+'Allocation ProForma'!H226</f>
        <v>14375213.431034118</v>
      </c>
      <c r="K28" s="302">
        <f>SUM(E28:J28)</f>
        <v>108753033.19473302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1895</v>
      </c>
      <c r="B29" s="297" t="s">
        <v>843</v>
      </c>
      <c r="C29" s="298"/>
      <c r="D29" s="306">
        <f>'Allocation ProForma'!H672</f>
        <v>27341782.225615479</v>
      </c>
      <c r="E29" s="306">
        <f>'Allocation ProForma'!H300</f>
        <v>17464919.076123126</v>
      </c>
      <c r="F29" s="307">
        <v>0</v>
      </c>
      <c r="G29" s="307">
        <f>'Allocation ProForma'!H306</f>
        <v>2733530.6634628153</v>
      </c>
      <c r="H29" s="307">
        <f>'Allocation ProForma'!H312+'Allocation ProForma'!H316+'Allocation ProForma'!H318+'Allocation ProForma'!H323</f>
        <v>2523932.8587543275</v>
      </c>
      <c r="I29" s="307">
        <f>'Allocation ProForma'!H317+'Allocation ProForma'!H319+'Allocation ProForma'!H324+'Allocation ProForma'!H328+'Allocation ProForma'!H331</f>
        <v>4619399.6272752099</v>
      </c>
      <c r="J29" s="307">
        <v>0</v>
      </c>
      <c r="K29" s="302">
        <f>SUM(E29:J29)</f>
        <v>27341782.225615475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1896</v>
      </c>
      <c r="B30" s="297" t="s">
        <v>428</v>
      </c>
      <c r="C30" s="298"/>
      <c r="D30" s="306">
        <f>'Allocation ProForma'!H674+'Allocation ProForma'!H675+'Allocation ProForma'!H676+'Allocation ProForma'!H673</f>
        <v>4576800.4483009931</v>
      </c>
      <c r="E30" s="306">
        <f>'Allocation ProForma'!H414+'Allocation ProForma'!H471+'Allocation ProForma'!H357</f>
        <v>2602286.7597161294</v>
      </c>
      <c r="F30" s="307">
        <f>'Allocation ProForma'!H529</f>
        <v>0</v>
      </c>
      <c r="G30" s="307">
        <f>'Allocation ProForma'!H420+'Allocation ProForma'!H477+'Allocation ProForma'!H363</f>
        <v>577068.04778715689</v>
      </c>
      <c r="H30" s="307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493755.39750254125</v>
      </c>
      <c r="I30" s="307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903690.24329516606</v>
      </c>
      <c r="J30" s="307">
        <v>0</v>
      </c>
      <c r="K30" s="302">
        <f>SUM(E30:J30)</f>
        <v>4576800.4483009931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1897</v>
      </c>
      <c r="B31" s="297" t="s">
        <v>1933</v>
      </c>
      <c r="C31" s="298"/>
      <c r="D31" s="306">
        <f>'Allocation ProForma'!H679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6" x14ac:dyDescent="0.3">
      <c r="A32" s="362" t="s">
        <v>1898</v>
      </c>
      <c r="B32" s="297" t="s">
        <v>1915</v>
      </c>
      <c r="C32" s="298"/>
      <c r="D32" s="306">
        <f>'Allocation ProForma'!H745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6" x14ac:dyDescent="0.3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1901</v>
      </c>
      <c r="B34" s="297" t="s">
        <v>1918</v>
      </c>
      <c r="C34" s="298"/>
      <c r="D34" s="306">
        <f>'Allocation ProForma'!H756+'Allocation ProForma'!H759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1905</v>
      </c>
      <c r="B36" s="297" t="s">
        <v>1917</v>
      </c>
      <c r="C36" s="298"/>
      <c r="D36" s="306">
        <f>SUM('Allocation ProForma'!H813:H815)-'Allocation ProForma'!H721</f>
        <v>286541.14541702496</v>
      </c>
      <c r="E36" s="306">
        <f t="shared" ref="E36:J36" si="9">(E14/($D$14)*$D$36)</f>
        <v>152631.68678494415</v>
      </c>
      <c r="F36" s="307">
        <f t="shared" si="9"/>
        <v>4647.061240971695</v>
      </c>
      <c r="G36" s="307">
        <f t="shared" si="9"/>
        <v>38304.491693283606</v>
      </c>
      <c r="H36" s="307">
        <f t="shared" si="9"/>
        <v>31670.550521235913</v>
      </c>
      <c r="I36" s="307">
        <f t="shared" si="9"/>
        <v>58163.161437527866</v>
      </c>
      <c r="J36" s="307">
        <f t="shared" si="9"/>
        <v>1124.193739061755</v>
      </c>
      <c r="K36" s="302">
        <f t="shared" si="8"/>
        <v>286541.14541702502</v>
      </c>
      <c r="L36" s="303" t="str">
        <f t="shared" si="7"/>
        <v>ok</v>
      </c>
      <c r="M36" s="28"/>
      <c r="N36" s="28"/>
    </row>
    <row r="37" spans="1:14" ht="15.6" x14ac:dyDescent="0.3">
      <c r="A37" s="364" t="s">
        <v>1919</v>
      </c>
      <c r="B37" s="297" t="s">
        <v>2444</v>
      </c>
      <c r="C37" s="381"/>
      <c r="D37" s="306">
        <f>-'Allocation ProForma'!H802-'Allocation ProForma'!H803</f>
        <v>-988475.28375882795</v>
      </c>
      <c r="E37" s="306">
        <f>-'Allocation ProForma'!H802-'Allocation ProForma'!$H$803*(E14/$D$14)</f>
        <v>-987876.97099031601</v>
      </c>
      <c r="F37" s="383">
        <f>-'Allocation ProForma'!$H$803*(F14/$D$14)</f>
        <v>-20.763253805466473</v>
      </c>
      <c r="G37" s="383">
        <f>-'Allocation ProForma'!$H$803*(G14/$D$14)</f>
        <v>-171.14598703905352</v>
      </c>
      <c r="H37" s="383">
        <f>-'Allocation ProForma'!$H$803*(H14/$D$14)</f>
        <v>-141.50527495389102</v>
      </c>
      <c r="I37" s="383">
        <f>-'Allocation ProForma'!$H$803*(I14/$D$14)</f>
        <v>-259.87531053134813</v>
      </c>
      <c r="J37" s="383">
        <f>-'Allocation ProForma'!$H$803*(J14/$D$14)</f>
        <v>-5.0229421822241358</v>
      </c>
      <c r="K37" s="302">
        <f t="shared" si="8"/>
        <v>-988475.28375882807</v>
      </c>
      <c r="L37" s="303" t="str">
        <f t="shared" si="7"/>
        <v>ok</v>
      </c>
      <c r="M37" s="28"/>
      <c r="N37" s="28"/>
    </row>
    <row r="38" spans="1:14" ht="15.6" x14ac:dyDescent="0.3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6" x14ac:dyDescent="0.3">
      <c r="A39" s="362" t="s">
        <v>1920</v>
      </c>
      <c r="B39" s="297" t="s">
        <v>1924</v>
      </c>
      <c r="C39" s="298"/>
      <c r="D39" s="306">
        <f t="shared" ref="D39:J39" si="10">SUM(D32:D37)</f>
        <v>-701934.13834180299</v>
      </c>
      <c r="E39" s="306">
        <f t="shared" si="10"/>
        <v>-835245.28420537186</v>
      </c>
      <c r="F39" s="307">
        <f t="shared" si="10"/>
        <v>4626.2979871662283</v>
      </c>
      <c r="G39" s="307">
        <f t="shared" si="10"/>
        <v>38133.345706244552</v>
      </c>
      <c r="H39" s="307">
        <f t="shared" si="10"/>
        <v>31529.045246282021</v>
      </c>
      <c r="I39" s="307">
        <f t="shared" si="10"/>
        <v>57903.286126996514</v>
      </c>
      <c r="J39" s="307">
        <f t="shared" si="10"/>
        <v>1119.1707968795308</v>
      </c>
      <c r="K39" s="302">
        <f t="shared" si="8"/>
        <v>-701934.13834180299</v>
      </c>
      <c r="L39" s="303" t="str">
        <f t="shared" si="7"/>
        <v>ok</v>
      </c>
      <c r="M39" s="28"/>
      <c r="N39" s="28"/>
    </row>
    <row r="40" spans="1:14" ht="15.6" x14ac:dyDescent="0.3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6" x14ac:dyDescent="0.3">
      <c r="A41" s="362" t="s">
        <v>1921</v>
      </c>
      <c r="B41" s="297" t="s">
        <v>1899</v>
      </c>
      <c r="C41" s="313"/>
      <c r="D41" s="306">
        <f>SUM(D28:D31)+D22+D26+D39+D24</f>
        <v>211726643.71082899</v>
      </c>
      <c r="E41" s="306">
        <f t="shared" ref="E41:J41" si="11">SUM(E28:E31)+E22+E26+E39+E24</f>
        <v>69897517.635523736</v>
      </c>
      <c r="F41" s="307">
        <f t="shared" si="11"/>
        <v>64903013.523663968</v>
      </c>
      <c r="G41" s="307">
        <f t="shared" si="11"/>
        <v>17943570.831914552</v>
      </c>
      <c r="H41" s="307">
        <f t="shared" si="11"/>
        <v>14681298.98346518</v>
      </c>
      <c r="I41" s="307">
        <f t="shared" si="11"/>
        <v>29643384.326766253</v>
      </c>
      <c r="J41" s="307">
        <f t="shared" si="11"/>
        <v>14657858.409495341</v>
      </c>
      <c r="K41" s="302">
        <f>SUM(E41:J41)</f>
        <v>211726643.71082902</v>
      </c>
      <c r="L41" s="303" t="str">
        <f>IF(ABS(K41-D41)&lt;0.01,"ok","err")</f>
        <v>ok</v>
      </c>
      <c r="M41" s="28"/>
      <c r="N41" s="28"/>
    </row>
    <row r="42" spans="1:14" ht="15.6" x14ac:dyDescent="0.3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6" x14ac:dyDescent="0.3">
      <c r="A43" s="362" t="s">
        <v>1922</v>
      </c>
      <c r="B43" s="297" t="s">
        <v>2432</v>
      </c>
      <c r="C43" s="298"/>
      <c r="D43" s="306">
        <f>-'Allocation ProForma'!H654</f>
        <v>1976551.7950724438</v>
      </c>
      <c r="E43" s="306">
        <f>D43</f>
        <v>1976551.7950724438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1976551.7950724438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1923</v>
      </c>
      <c r="B44" s="297" t="s">
        <v>1925</v>
      </c>
      <c r="C44" s="298"/>
      <c r="D44" s="306">
        <f>-('Allocation ProForma'!H652+'Allocation ProForma'!H653)</f>
        <v>-838290.47107581364</v>
      </c>
      <c r="E44" s="306">
        <v>0</v>
      </c>
      <c r="F44" s="307">
        <f>D44</f>
        <v>-838290.47107581364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-838290.47107581364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1927</v>
      </c>
      <c r="B45" s="297" t="s">
        <v>1926</v>
      </c>
      <c r="C45" s="298"/>
      <c r="D45" s="306">
        <f>-('Allocation ProForma'!H655+'Allocation ProForma'!H656+'Allocation ProForma'!H657+'Allocation ProForma'!H658+'Allocation ProForma'!H661+'Allocation ProForma'!H662+'Allocation ProForma'!H663+'Allocation ProForma'!H664+'Allocation ProForma'!H665)</f>
        <v>-2536455.9212032538</v>
      </c>
      <c r="E45" s="306">
        <f t="shared" ref="E45:J45" si="12">(E14/($D$14)*$D$45)</f>
        <v>-1351092.3366536864</v>
      </c>
      <c r="F45" s="307">
        <f t="shared" si="12"/>
        <v>-41135.683965045195</v>
      </c>
      <c r="G45" s="307">
        <f t="shared" si="12"/>
        <v>-339070.51855575293</v>
      </c>
      <c r="H45" s="307">
        <f t="shared" si="12"/>
        <v>-280347.01711143058</v>
      </c>
      <c r="I45" s="307">
        <f t="shared" si="12"/>
        <v>-514859.02664836927</v>
      </c>
      <c r="J45" s="307">
        <f t="shared" si="12"/>
        <v>-9951.3382689695663</v>
      </c>
      <c r="K45" s="302">
        <f>SUM(E45:J45)</f>
        <v>-2536455.9212032543</v>
      </c>
      <c r="L45" s="303" t="str">
        <f>IF(ABS(K45-D45)&lt;0.01,"ok","err")</f>
        <v>ok</v>
      </c>
      <c r="M45" s="28"/>
      <c r="N45" s="28"/>
    </row>
    <row r="46" spans="1:14" ht="15.6" x14ac:dyDescent="0.3">
      <c r="A46" s="362" t="s">
        <v>1928</v>
      </c>
      <c r="B46" s="297" t="s">
        <v>1929</v>
      </c>
      <c r="C46" s="298"/>
      <c r="D46" s="306">
        <f>SUM(D43:D45)</f>
        <v>-1398194.5972066238</v>
      </c>
      <c r="E46" s="306">
        <f t="shared" ref="E46:J46" si="13">SUM(E43:E45)</f>
        <v>625459.45841875742</v>
      </c>
      <c r="F46" s="307">
        <f t="shared" si="13"/>
        <v>-879426.15504085878</v>
      </c>
      <c r="G46" s="307">
        <f t="shared" si="13"/>
        <v>-339070.51855575293</v>
      </c>
      <c r="H46" s="307">
        <f t="shared" si="13"/>
        <v>-280347.01711143058</v>
      </c>
      <c r="I46" s="307">
        <f t="shared" si="13"/>
        <v>-514859.02664836927</v>
      </c>
      <c r="J46" s="307">
        <f t="shared" si="13"/>
        <v>-9951.3382689695663</v>
      </c>
      <c r="K46" s="302">
        <f>SUM(E46:J46)</f>
        <v>-1398194.5972066238</v>
      </c>
      <c r="L46" s="303" t="str">
        <f>IF(ABS(K46-D46)&lt;0.01,"ok","err")</f>
        <v>ok</v>
      </c>
      <c r="M46" s="28"/>
      <c r="N46" s="28"/>
    </row>
    <row r="47" spans="1:14" ht="15.6" x14ac:dyDescent="0.3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6" x14ac:dyDescent="0.3">
      <c r="A48" s="362" t="s">
        <v>1934</v>
      </c>
      <c r="B48" s="297" t="s">
        <v>1902</v>
      </c>
      <c r="C48" s="315">
        <f>'Allocation ProForma'!H806-SUM('Allocation ProForma'!H652:H665)-'Allocation ProForma'!H721-'Allocation ProForma'!H802-'Allocation ProForma'!H803</f>
        <v>210328448.99999994</v>
      </c>
      <c r="D48" s="306">
        <f>D41+D46</f>
        <v>210328449.11362237</v>
      </c>
      <c r="E48" s="306">
        <f t="shared" ref="E48:J48" si="14">E41+E46</f>
        <v>70522977.093942493</v>
      </c>
      <c r="F48" s="307">
        <f t="shared" si="14"/>
        <v>64023587.368623108</v>
      </c>
      <c r="G48" s="307">
        <f t="shared" si="14"/>
        <v>17604500.313358799</v>
      </c>
      <c r="H48" s="307">
        <f t="shared" si="14"/>
        <v>14400951.96635375</v>
      </c>
      <c r="I48" s="307">
        <f t="shared" si="14"/>
        <v>29128525.300117884</v>
      </c>
      <c r="J48" s="307">
        <f t="shared" si="14"/>
        <v>14647907.071226371</v>
      </c>
      <c r="K48" s="302">
        <f>SUM(E48:J48)</f>
        <v>210328449.11362237</v>
      </c>
      <c r="L48" s="303" t="str">
        <f>IF(ABS(K48-D48)&lt;0.01,"ok","err")</f>
        <v>ok</v>
      </c>
      <c r="M48" s="28"/>
      <c r="N48" s="28"/>
    </row>
    <row r="49" spans="1:14" ht="15.6" x14ac:dyDescent="0.3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6" x14ac:dyDescent="0.3">
      <c r="A50" s="362" t="s">
        <v>1935</v>
      </c>
      <c r="B50" s="297" t="s">
        <v>1904</v>
      </c>
      <c r="C50" s="298"/>
      <c r="D50" s="316"/>
      <c r="E50" s="317">
        <f>'Billing Det'!C10+'Billing Det'!C12</f>
        <v>1804682196.485518</v>
      </c>
      <c r="F50" s="318">
        <f>$E$50</f>
        <v>1804682196.485518</v>
      </c>
      <c r="G50" s="318">
        <f>$E$50</f>
        <v>1804682196.485518</v>
      </c>
      <c r="H50" s="318">
        <f>$E$50</f>
        <v>1804682196.485518</v>
      </c>
      <c r="I50" s="318">
        <f>'Allocation ProForma'!H848</f>
        <v>999948</v>
      </c>
      <c r="J50" s="318">
        <f>I50</f>
        <v>999948</v>
      </c>
      <c r="K50" s="287"/>
      <c r="L50" s="310"/>
      <c r="M50" s="28"/>
      <c r="N50" s="28"/>
    </row>
    <row r="51" spans="1:14" ht="16.2" thickBot="1" x14ac:dyDescent="0.35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2" thickBot="1" x14ac:dyDescent="0.35">
      <c r="A52" s="365" t="s">
        <v>2446</v>
      </c>
      <c r="B52" s="319" t="s">
        <v>1906</v>
      </c>
      <c r="C52" s="320"/>
      <c r="D52" s="321"/>
      <c r="E52" s="322">
        <f t="shared" ref="E52:J52" si="15">E48/E50</f>
        <v>3.9077781800740681E-2</v>
      </c>
      <c r="F52" s="323">
        <f t="shared" si="15"/>
        <v>3.5476377776266756E-2</v>
      </c>
      <c r="G52" s="323">
        <f t="shared" si="15"/>
        <v>9.7549032996736111E-3</v>
      </c>
      <c r="H52" s="323">
        <f t="shared" si="15"/>
        <v>7.9797717262344112E-3</v>
      </c>
      <c r="I52" s="324">
        <f>I48/I50</f>
        <v>29.130040062201118</v>
      </c>
      <c r="J52" s="324">
        <f t="shared" si="15"/>
        <v>14.648668802004076</v>
      </c>
      <c r="K52" s="325">
        <f>I52+J52</f>
        <v>43.778708864205193</v>
      </c>
      <c r="L52" s="326"/>
      <c r="M52" s="28"/>
      <c r="N52" s="28"/>
    </row>
    <row r="53" spans="1:14" ht="15.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6" x14ac:dyDescent="0.3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43.778708864205193</v>
      </c>
      <c r="L54" s="28"/>
      <c r="M54" s="28"/>
      <c r="N54" s="28"/>
    </row>
    <row r="55" spans="1:14" ht="15.6" x14ac:dyDescent="0.3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5.6812456826648698E-2</v>
      </c>
      <c r="L55" s="28"/>
      <c r="M55" s="28"/>
      <c r="N55" s="28"/>
    </row>
    <row r="56" spans="1:14" ht="15.6" x14ac:dyDescent="0.3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3.5476377776266756E-2</v>
      </c>
      <c r="L56" s="28"/>
      <c r="M56" s="28"/>
      <c r="N56" s="28"/>
    </row>
    <row r="57" spans="1:14" ht="15.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6" x14ac:dyDescent="0.3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35.96</v>
      </c>
      <c r="L58" s="28"/>
      <c r="M58" s="28"/>
      <c r="N58" s="28"/>
    </row>
    <row r="59" spans="1:14" ht="15.6" x14ac:dyDescent="0.3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7818302.2913442533</v>
      </c>
      <c r="L59" s="28"/>
      <c r="M59" s="28"/>
      <c r="N59" s="28"/>
    </row>
    <row r="60" spans="1:14" ht="15.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4.3322321828019386E-3</v>
      </c>
      <c r="L60" s="28"/>
      <c r="M60" s="28"/>
      <c r="N60" s="28"/>
    </row>
    <row r="61" spans="1:14" ht="15.6" x14ac:dyDescent="0.3">
      <c r="J61" s="373" t="s">
        <v>2440</v>
      </c>
      <c r="K61" s="34">
        <v>1.023E-2</v>
      </c>
    </row>
    <row r="62" spans="1:14" ht="15.6" x14ac:dyDescent="0.3">
      <c r="J62" s="373" t="s">
        <v>2441</v>
      </c>
      <c r="K62" s="377">
        <f>K60+K61+K55</f>
        <v>7.137468900945064E-2</v>
      </c>
      <c r="L62" s="380">
        <f>K62+K56</f>
        <v>0.1068510667857174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3.8" x14ac:dyDescent="0.25"/>
  <cols>
    <col min="1" max="1" width="4.5546875" customWidth="1"/>
    <col min="2" max="2" width="45.44140625" bestFit="1" customWidth="1"/>
    <col min="3" max="3" width="19" hidden="1" customWidth="1"/>
    <col min="4" max="4" width="23.6640625" customWidth="1"/>
    <col min="5" max="5" width="24.88671875" bestFit="1" customWidth="1"/>
    <col min="6" max="6" width="23.3320312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 x14ac:dyDescent="0.3">
      <c r="A1" s="439" t="s">
        <v>1427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5.6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6" x14ac:dyDescent="0.3">
      <c r="A3" s="439" t="s">
        <v>1911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6" x14ac:dyDescent="0.3">
      <c r="A4" s="439" t="s">
        <v>2442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</row>
    <row r="5" spans="1:14" ht="15.6" x14ac:dyDescent="0.3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6" x14ac:dyDescent="0.3">
      <c r="A6" s="439" t="s">
        <v>2342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2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2" thickBot="1" x14ac:dyDescent="0.35">
      <c r="A9" s="279"/>
      <c r="B9" s="280"/>
      <c r="C9" s="281"/>
      <c r="D9" s="279"/>
      <c r="E9" s="437" t="s">
        <v>1907</v>
      </c>
      <c r="F9" s="438"/>
      <c r="G9" s="282" t="s">
        <v>459</v>
      </c>
      <c r="H9" s="437" t="s">
        <v>118</v>
      </c>
      <c r="I9" s="438"/>
      <c r="J9" s="282" t="s">
        <v>1912</v>
      </c>
      <c r="K9" s="281"/>
      <c r="L9" s="283"/>
      <c r="M9" s="28"/>
      <c r="N9" s="28"/>
    </row>
    <row r="10" spans="1:14" ht="15.6" x14ac:dyDescent="0.3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6" x14ac:dyDescent="0.3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2" thickBot="1" x14ac:dyDescent="0.35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6" x14ac:dyDescent="0.3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6" x14ac:dyDescent="0.3">
      <c r="A14" s="362" t="s">
        <v>1166</v>
      </c>
      <c r="B14" s="297" t="s">
        <v>193</v>
      </c>
      <c r="C14" s="298"/>
      <c r="D14" s="299">
        <f>'Allocation ProForma'!J174</f>
        <v>28182297.978403468</v>
      </c>
      <c r="E14" s="300">
        <f>'Allocation ProForma'!J123+'Allocation ProForma'!J124+'Allocation ProForma'!J125</f>
        <v>17697403.545685213</v>
      </c>
      <c r="F14" s="301">
        <f>'Allocation ProForma'!J126</f>
        <v>602132.08770131995</v>
      </c>
      <c r="G14" s="301">
        <f>'Allocation ProForma'!J135</f>
        <v>4441345.4465947459</v>
      </c>
      <c r="H14" s="301">
        <f>'Allocation ProForma'!J145+'Allocation ProForma'!J147+'Allocation ProForma'!J152+'Allocation ProForma'!J141</f>
        <v>4549455.5787447011</v>
      </c>
      <c r="I14" s="301">
        <f>'Allocation ProForma'!J146+'Allocation ProForma'!J148+'Allocation ProForma'!J153+'Allocation ProForma'!J157+'Allocation ProForma'!J160+'Allocation ProForma'!J163</f>
        <v>830367.44229817716</v>
      </c>
      <c r="J14" s="301">
        <f>'Allocation ProForma'!J166+'Allocation ProForma'!J169</f>
        <v>61593.877379312005</v>
      </c>
      <c r="K14" s="302">
        <f>SUM(E14:J14)</f>
        <v>28182297.978403471</v>
      </c>
      <c r="L14" s="303" t="str">
        <f>IF(ABS(K14-D14)&lt;0.01,"ok","err")</f>
        <v>ok</v>
      </c>
      <c r="M14" s="28"/>
      <c r="N14" s="28"/>
    </row>
    <row r="15" spans="1:14" ht="15.6" x14ac:dyDescent="0.3">
      <c r="A15" s="362" t="s">
        <v>1323</v>
      </c>
      <c r="B15" s="297" t="s">
        <v>1888</v>
      </c>
      <c r="C15" s="298"/>
      <c r="D15" s="299">
        <f>'Allocation ProForma'!J773+'Allocation ProForma'!J774+'Allocation ProForma'!J775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6" x14ac:dyDescent="0.3">
      <c r="A16" s="362" t="s">
        <v>1889</v>
      </c>
      <c r="B16" s="297" t="s">
        <v>1890</v>
      </c>
      <c r="C16" s="298"/>
      <c r="D16" s="306">
        <f>D14+D15</f>
        <v>28182297.978403468</v>
      </c>
      <c r="E16" s="306">
        <f t="shared" ref="E16:K16" si="1">E14+E15</f>
        <v>17697403.545685213</v>
      </c>
      <c r="F16" s="307">
        <f t="shared" si="1"/>
        <v>602132.08770131995</v>
      </c>
      <c r="G16" s="307">
        <f t="shared" si="1"/>
        <v>4441345.4465947459</v>
      </c>
      <c r="H16" s="307">
        <f t="shared" si="1"/>
        <v>4549455.5787447011</v>
      </c>
      <c r="I16" s="307">
        <f t="shared" si="1"/>
        <v>830367.44229817716</v>
      </c>
      <c r="J16" s="307">
        <f t="shared" si="1"/>
        <v>61593.877379312005</v>
      </c>
      <c r="K16" s="302">
        <f t="shared" si="1"/>
        <v>28182297.978403471</v>
      </c>
      <c r="L16" s="303" t="str">
        <f>IF(ABS(K16-D16)&lt;0.01,"ok","err")</f>
        <v>ok</v>
      </c>
      <c r="M16" s="28"/>
      <c r="N16" s="28"/>
    </row>
    <row r="17" spans="1:14" ht="15.6" x14ac:dyDescent="0.3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6" x14ac:dyDescent="0.3">
      <c r="A18" s="362" t="s">
        <v>1891</v>
      </c>
      <c r="B18" s="297" t="s">
        <v>441</v>
      </c>
      <c r="C18" s="298"/>
      <c r="D18" s="311">
        <f>'Allocation ProForma'!J825</f>
        <v>7.40497532146175E-2</v>
      </c>
      <c r="E18" s="311">
        <f t="shared" ref="E18:J18" si="2">D18</f>
        <v>7.40497532146175E-2</v>
      </c>
      <c r="F18" s="312">
        <f t="shared" si="2"/>
        <v>7.40497532146175E-2</v>
      </c>
      <c r="G18" s="312">
        <f t="shared" si="2"/>
        <v>7.40497532146175E-2</v>
      </c>
      <c r="H18" s="312">
        <f t="shared" si="2"/>
        <v>7.40497532146175E-2</v>
      </c>
      <c r="I18" s="312">
        <f t="shared" si="2"/>
        <v>7.40497532146175E-2</v>
      </c>
      <c r="J18" s="312">
        <f t="shared" si="2"/>
        <v>7.40497532146175E-2</v>
      </c>
      <c r="K18" s="302"/>
      <c r="L18" s="303"/>
      <c r="M18" s="28"/>
      <c r="N18" s="28"/>
    </row>
    <row r="19" spans="1:14" ht="15.6" x14ac:dyDescent="0.3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6" x14ac:dyDescent="0.3">
      <c r="A20" s="362" t="s">
        <v>1892</v>
      </c>
      <c r="B20" s="297" t="s">
        <v>1893</v>
      </c>
      <c r="C20" s="298"/>
      <c r="D20" s="306">
        <f>D18*D16</f>
        <v>2086892.2103215905</v>
      </c>
      <c r="E20" s="306">
        <f t="shared" ref="E20:J20" si="3">E18*E16</f>
        <v>1310488.3650974866</v>
      </c>
      <c r="F20" s="307">
        <f t="shared" si="3"/>
        <v>44587.732496885161</v>
      </c>
      <c r="G20" s="307">
        <f t="shared" si="3"/>
        <v>328880.53426120611</v>
      </c>
      <c r="H20" s="307">
        <f t="shared" si="3"/>
        <v>336886.06286690995</v>
      </c>
      <c r="I20" s="307">
        <f t="shared" si="3"/>
        <v>61488.504179633157</v>
      </c>
      <c r="J20" s="307">
        <f t="shared" si="3"/>
        <v>4561.0114194694652</v>
      </c>
      <c r="K20" s="302">
        <f>SUM(E20:J20)</f>
        <v>2086892.2103215905</v>
      </c>
      <c r="L20" s="303" t="str">
        <f>IF(ABS(K20-D20)&lt;0.01,"ok","err")</f>
        <v>ok</v>
      </c>
      <c r="M20" s="28"/>
      <c r="N20" s="28"/>
    </row>
    <row r="21" spans="1:14" ht="15.6" x14ac:dyDescent="0.3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6" x14ac:dyDescent="0.3">
      <c r="A22" s="362" t="s">
        <v>1324</v>
      </c>
      <c r="B22" s="297" t="s">
        <v>1894</v>
      </c>
      <c r="C22" s="298"/>
      <c r="D22" s="306">
        <f>'Allocation ProForma'!J705</f>
        <v>668776.93154093286</v>
      </c>
      <c r="E22" s="306">
        <f t="shared" ref="E22:J22" si="4">(E14/$D$14)*$D$22</f>
        <v>419966.29404013819</v>
      </c>
      <c r="F22" s="307">
        <f t="shared" si="4"/>
        <v>14288.82947387093</v>
      </c>
      <c r="G22" s="307">
        <f t="shared" si="4"/>
        <v>105394.86105650759</v>
      </c>
      <c r="H22" s="307">
        <f t="shared" si="4"/>
        <v>107960.35669150291</v>
      </c>
      <c r="I22" s="307">
        <f t="shared" si="4"/>
        <v>19704.943526508236</v>
      </c>
      <c r="J22" s="307">
        <f t="shared" si="4"/>
        <v>1461.6467524050472</v>
      </c>
      <c r="K22" s="302">
        <f>SUM(E22:J22)</f>
        <v>668776.93154093309</v>
      </c>
      <c r="L22" s="303" t="str">
        <f>IF(ABS(K22-D22)&lt;0.01,"ok","err")</f>
        <v>ok</v>
      </c>
      <c r="M22" s="28"/>
      <c r="N22" s="28"/>
    </row>
    <row r="23" spans="1:14" ht="15.6" x14ac:dyDescent="0.3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6" x14ac:dyDescent="0.3">
      <c r="A24" s="362" t="s">
        <v>1325</v>
      </c>
      <c r="B24" s="297" t="s">
        <v>209</v>
      </c>
      <c r="C24" s="298"/>
      <c r="D24" s="306">
        <f>D20-D22</f>
        <v>1418115.2787806578</v>
      </c>
      <c r="E24" s="306">
        <f t="shared" ref="E24:J24" si="5">E20-E22</f>
        <v>890522.07105734851</v>
      </c>
      <c r="F24" s="307">
        <f t="shared" si="5"/>
        <v>30298.903023014231</v>
      </c>
      <c r="G24" s="307">
        <f t="shared" si="5"/>
        <v>223485.67320469851</v>
      </c>
      <c r="H24" s="307">
        <f t="shared" si="5"/>
        <v>228925.70617540705</v>
      </c>
      <c r="I24" s="307">
        <f t="shared" si="5"/>
        <v>41783.560653124921</v>
      </c>
      <c r="J24" s="307">
        <f t="shared" si="5"/>
        <v>3099.364667064418</v>
      </c>
      <c r="K24" s="302">
        <f>SUM(E24:J24)</f>
        <v>1418115.2787806578</v>
      </c>
      <c r="L24" s="303" t="str">
        <f>IF(ABS(K24-D24)&lt;0.01,"ok","err")</f>
        <v>ok</v>
      </c>
      <c r="M24" s="28"/>
      <c r="N24" s="28"/>
    </row>
    <row r="25" spans="1:14" ht="15.6" x14ac:dyDescent="0.3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6" x14ac:dyDescent="0.3">
      <c r="A26" s="362" t="s">
        <v>1326</v>
      </c>
      <c r="B26" s="297" t="s">
        <v>553</v>
      </c>
      <c r="C26" s="298"/>
      <c r="D26" s="306">
        <f>'Allocation ProForma'!J740+'Allocation ProForma'!J817</f>
        <v>984143.51640911878</v>
      </c>
      <c r="E26" s="306">
        <f t="shared" ref="E26:J26" si="6">$D$26*(E24/$K$24)</f>
        <v>618004.42852845427</v>
      </c>
      <c r="F26" s="307">
        <f t="shared" si="6"/>
        <v>21026.83005435708</v>
      </c>
      <c r="G26" s="307">
        <f t="shared" si="6"/>
        <v>155094.56782938304</v>
      </c>
      <c r="H26" s="307">
        <f t="shared" si="6"/>
        <v>158869.84143180694</v>
      </c>
      <c r="I26" s="307">
        <f t="shared" si="6"/>
        <v>28996.951746135379</v>
      </c>
      <c r="J26" s="307">
        <f t="shared" si="6"/>
        <v>2150.8968189819047</v>
      </c>
      <c r="K26" s="302">
        <f>SUM(E26:J26)</f>
        <v>984143.51640911854</v>
      </c>
      <c r="L26" s="303" t="str">
        <f>IF(ABS(K26-D26)&lt;0.01,"ok","err")</f>
        <v>ok</v>
      </c>
      <c r="M26" s="28"/>
      <c r="N26" s="28"/>
    </row>
    <row r="27" spans="1:14" ht="15.6" x14ac:dyDescent="0.3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6" x14ac:dyDescent="0.3">
      <c r="A28" s="362" t="s">
        <v>1327</v>
      </c>
      <c r="B28" s="297" t="s">
        <v>795</v>
      </c>
      <c r="C28" s="298"/>
      <c r="D28" s="306">
        <f>'Allocation ProForma'!J671</f>
        <v>7668256.0483589973</v>
      </c>
      <c r="E28" s="306">
        <f>'Allocation ProForma'!J180+'Allocation ProForma'!J181+'Allocation ProForma'!J182</f>
        <v>936948.89263047767</v>
      </c>
      <c r="F28" s="307">
        <f>'Allocation ProForma'!J183</f>
        <v>5363164.4900922701</v>
      </c>
      <c r="G28" s="307">
        <f>'Allocation ProForma'!J192</f>
        <v>376686.26653372071</v>
      </c>
      <c r="H28" s="307">
        <f>'Allocation ProForma'!J198+'Allocation ProForma'!J202+'Allocation ProForma'!J204+'Allocation ProForma'!J209</f>
        <v>353353.21366632084</v>
      </c>
      <c r="I28" s="307">
        <f>'Allocation ProForma'!J203+'Allocation ProForma'!J205+'Allocation ProForma'!J210+'Allocation ProForma'!J214+'Allocation ProForma'!J217</f>
        <v>126606.49373204567</v>
      </c>
      <c r="J28" s="307">
        <f>'Allocation ProForma'!J223+'Allocation ProForma'!J226</f>
        <v>511496.69170416257</v>
      </c>
      <c r="K28" s="302">
        <f>SUM(E28:J28)</f>
        <v>7668256.0483589964</v>
      </c>
      <c r="L28" s="303" t="str">
        <f>IF(ABS(K28-D28)&lt;0.01,"ok","err")</f>
        <v>ok</v>
      </c>
      <c r="M28" s="28"/>
      <c r="N28" s="28"/>
    </row>
    <row r="29" spans="1:14" ht="15.6" x14ac:dyDescent="0.3">
      <c r="A29" s="362" t="s">
        <v>1895</v>
      </c>
      <c r="B29" s="297" t="s">
        <v>843</v>
      </c>
      <c r="C29" s="298"/>
      <c r="D29" s="306">
        <f>'Allocation ProForma'!J672</f>
        <v>1798932.0035182098</v>
      </c>
      <c r="E29" s="306">
        <f>'Allocation ProForma'!J300</f>
        <v>1315114.5228132675</v>
      </c>
      <c r="F29" s="307">
        <v>0</v>
      </c>
      <c r="G29" s="307">
        <f>'Allocation ProForma'!J306</f>
        <v>205835.81626725377</v>
      </c>
      <c r="H29" s="307">
        <f>'Allocation ProForma'!J312+'Allocation ProForma'!J316+'Allocation ProForma'!J318+'Allocation ProForma'!J323</f>
        <v>235411.8018848419</v>
      </c>
      <c r="I29" s="307">
        <f>'Allocation ProForma'!J317+'Allocation ProForma'!J319+'Allocation ProForma'!J324+'Allocation ProForma'!J328+'Allocation ProForma'!J331</f>
        <v>42569.862552846811</v>
      </c>
      <c r="J29" s="307">
        <v>0</v>
      </c>
      <c r="K29" s="302">
        <f>SUM(E29:J29)</f>
        <v>1798932.00351821</v>
      </c>
      <c r="L29" s="303" t="str">
        <f>IF(ABS(K29-D29)&lt;0.01,"ok","err")</f>
        <v>ok</v>
      </c>
      <c r="M29" s="28"/>
      <c r="N29" s="28"/>
    </row>
    <row r="30" spans="1:14" ht="15.6" x14ac:dyDescent="0.3">
      <c r="A30" s="362" t="s">
        <v>1896</v>
      </c>
      <c r="B30" s="297" t="s">
        <v>428</v>
      </c>
      <c r="C30" s="298"/>
      <c r="D30" s="306">
        <f>'Allocation ProForma'!J674+'Allocation ProForma'!J675+'Allocation ProForma'!J676+'Allocation ProForma'!J673</f>
        <v>293787.90859763359</v>
      </c>
      <c r="E30" s="306">
        <f>'Allocation ProForma'!J414+'Allocation ProForma'!J471+'Allocation ProForma'!J357</f>
        <v>195953.10435226175</v>
      </c>
      <c r="F30" s="307">
        <f>'Allocation ProForma'!J529</f>
        <v>0</v>
      </c>
      <c r="G30" s="307">
        <f>'Allocation ProForma'!J420+'Allocation ProForma'!J477+'Allocation ProForma'!J363</f>
        <v>43453.426093105845</v>
      </c>
      <c r="H30" s="307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46053.462719213196</v>
      </c>
      <c r="I30" s="307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8327.9154330528745</v>
      </c>
      <c r="J30" s="307">
        <v>0</v>
      </c>
      <c r="K30" s="302">
        <f>SUM(E30:J30)</f>
        <v>293787.90859763365</v>
      </c>
      <c r="L30" s="303" t="str">
        <f>IF(ABS(K30-D30)&lt;0.01,"ok","err")</f>
        <v>ok</v>
      </c>
      <c r="M30" s="28"/>
      <c r="N30" s="28"/>
    </row>
    <row r="31" spans="1:14" ht="15.6" x14ac:dyDescent="0.3">
      <c r="A31" s="362" t="s">
        <v>1897</v>
      </c>
      <c r="B31" s="297" t="s">
        <v>1933</v>
      </c>
      <c r="C31" s="298"/>
      <c r="D31" s="306">
        <f>'Allocation ProForma'!J679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6" x14ac:dyDescent="0.3">
      <c r="A32" s="362" t="s">
        <v>1898</v>
      </c>
      <c r="B32" s="297" t="s">
        <v>1915</v>
      </c>
      <c r="C32" s="298"/>
      <c r="D32" s="306">
        <f>'Allocation ProForma'!J745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6" x14ac:dyDescent="0.3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6" x14ac:dyDescent="0.3">
      <c r="A34" s="362" t="s">
        <v>1901</v>
      </c>
      <c r="B34" s="297" t="s">
        <v>1918</v>
      </c>
      <c r="C34" s="298"/>
      <c r="D34" s="306">
        <f>'Allocation ProForma'!J756+'Allocation ProForma'!J759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6" x14ac:dyDescent="0.3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6" x14ac:dyDescent="0.3">
      <c r="A36" s="364" t="s">
        <v>1905</v>
      </c>
      <c r="B36" s="297" t="s">
        <v>1917</v>
      </c>
      <c r="C36" s="298"/>
      <c r="D36" s="306">
        <f>SUM('Allocation ProForma'!J813:J815)-'Allocation ProForma'!J721</f>
        <v>17157.41608317065</v>
      </c>
      <c r="E36" s="306">
        <f t="shared" ref="E36:J36" si="9">(E14/($D$14)*$D$36)</f>
        <v>10774.200047767083</v>
      </c>
      <c r="F36" s="307">
        <f t="shared" si="9"/>
        <v>366.57872163712756</v>
      </c>
      <c r="G36" s="307">
        <f t="shared" si="9"/>
        <v>2703.8963201196798</v>
      </c>
      <c r="H36" s="307">
        <f t="shared" si="9"/>
        <v>2769.7138954474535</v>
      </c>
      <c r="I36" s="307">
        <f t="shared" si="9"/>
        <v>505.52867336601469</v>
      </c>
      <c r="J36" s="307">
        <f t="shared" si="9"/>
        <v>37.498424833293747</v>
      </c>
      <c r="K36" s="302">
        <f t="shared" si="8"/>
        <v>17157.416083170654</v>
      </c>
      <c r="L36" s="303" t="str">
        <f t="shared" si="7"/>
        <v>ok</v>
      </c>
      <c r="M36" s="28"/>
      <c r="N36" s="28"/>
    </row>
    <row r="37" spans="1:14" ht="15.6" x14ac:dyDescent="0.3">
      <c r="A37" s="364" t="s">
        <v>1919</v>
      </c>
      <c r="B37" s="297" t="s">
        <v>2444</v>
      </c>
      <c r="C37" s="381"/>
      <c r="D37" s="306">
        <f>-'Allocation ProForma'!J802-'Allocation ProForma'!J803</f>
        <v>-74344.106986702303</v>
      </c>
      <c r="E37" s="306">
        <f>-'Allocation ProForma'!J802-'Allocation ProForma'!$J$803*(E14/$D$14)</f>
        <v>-74341.139137680133</v>
      </c>
      <c r="F37" s="383">
        <f>-'Allocation ProForma'!$J$803*(F14/$D$14)</f>
        <v>-0.17043921034852072</v>
      </c>
      <c r="G37" s="383">
        <f>-'Allocation ProForma'!$J$803*(G14/$D$14)</f>
        <v>-1.2571650411331288</v>
      </c>
      <c r="H37" s="383">
        <f>-'Allocation ProForma'!$J$803*(H14/$D$14)</f>
        <v>-1.2877666415637847</v>
      </c>
      <c r="I37" s="383">
        <f>-'Allocation ProForma'!$J$803*(I14/$D$14)</f>
        <v>-0.23504339671501601</v>
      </c>
      <c r="J37" s="383">
        <f>-'Allocation ProForma'!$J$803*(J14/$D$14)</f>
        <v>-1.743473240715409E-2</v>
      </c>
      <c r="K37" s="302">
        <f t="shared" si="8"/>
        <v>-74344.106986702289</v>
      </c>
      <c r="L37" s="303" t="str">
        <f t="shared" si="7"/>
        <v>ok</v>
      </c>
      <c r="M37" s="28"/>
      <c r="N37" s="28"/>
    </row>
    <row r="38" spans="1:14" ht="15.6" x14ac:dyDescent="0.3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6" x14ac:dyDescent="0.3">
      <c r="A39" s="362" t="s">
        <v>1920</v>
      </c>
      <c r="B39" s="297" t="s">
        <v>1924</v>
      </c>
      <c r="C39" s="298"/>
      <c r="D39" s="306">
        <f t="shared" ref="D39:J39" si="10">SUM(D32:D37)</f>
        <v>-57186.690903531649</v>
      </c>
      <c r="E39" s="306">
        <f t="shared" si="10"/>
        <v>-63566.939089913052</v>
      </c>
      <c r="F39" s="307">
        <f t="shared" si="10"/>
        <v>366.40828242677901</v>
      </c>
      <c r="G39" s="307">
        <f t="shared" si="10"/>
        <v>2702.6391550785465</v>
      </c>
      <c r="H39" s="307">
        <f t="shared" si="10"/>
        <v>2768.4261288058897</v>
      </c>
      <c r="I39" s="307">
        <f t="shared" si="10"/>
        <v>505.29362996929967</v>
      </c>
      <c r="J39" s="307">
        <f t="shared" si="10"/>
        <v>37.480990100886594</v>
      </c>
      <c r="K39" s="302">
        <f t="shared" si="8"/>
        <v>-57186.690903531642</v>
      </c>
      <c r="L39" s="303" t="str">
        <f t="shared" si="7"/>
        <v>ok</v>
      </c>
      <c r="M39" s="28"/>
      <c r="N39" s="28"/>
    </row>
    <row r="40" spans="1:14" ht="15.6" x14ac:dyDescent="0.3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6" x14ac:dyDescent="0.3">
      <c r="A41" s="362" t="s">
        <v>1921</v>
      </c>
      <c r="B41" s="297" t="s">
        <v>1899</v>
      </c>
      <c r="C41" s="313"/>
      <c r="D41" s="306">
        <f>SUM(D28:D31)+D22+D26+D39+D24</f>
        <v>12774824.99630202</v>
      </c>
      <c r="E41" s="306">
        <f t="shared" ref="E41:J41" si="11">SUM(E28:E31)+E22+E26+E39+E24</f>
        <v>4312942.374332035</v>
      </c>
      <c r="F41" s="307">
        <f t="shared" si="11"/>
        <v>5429145.4609259386</v>
      </c>
      <c r="G41" s="307">
        <f t="shared" si="11"/>
        <v>1112653.250139748</v>
      </c>
      <c r="H41" s="307">
        <f t="shared" si="11"/>
        <v>1133342.8086978986</v>
      </c>
      <c r="I41" s="307">
        <f t="shared" si="11"/>
        <v>268495.02127368317</v>
      </c>
      <c r="J41" s="307">
        <f t="shared" si="11"/>
        <v>518246.0809327148</v>
      </c>
      <c r="K41" s="302">
        <f>SUM(E41:J41)</f>
        <v>12774824.996302018</v>
      </c>
      <c r="L41" s="303" t="str">
        <f>IF(ABS(K41-D41)&lt;0.01,"ok","err")</f>
        <v>ok</v>
      </c>
      <c r="M41" s="28"/>
      <c r="N41" s="28"/>
    </row>
    <row r="42" spans="1:14" ht="15.6" x14ac:dyDescent="0.3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6" x14ac:dyDescent="0.3">
      <c r="A43" s="362" t="s">
        <v>1922</v>
      </c>
      <c r="B43" s="297" t="s">
        <v>2432</v>
      </c>
      <c r="C43" s="298"/>
      <c r="D43" s="306">
        <f>-'Allocation ProForma'!J654</f>
        <v>148835.04237624098</v>
      </c>
      <c r="E43" s="306">
        <f>D43</f>
        <v>148835.04237624098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148835.04237624098</v>
      </c>
      <c r="L43" s="303" t="str">
        <f>IF(ABS(K43-D43)&lt;0.01,"ok","err")</f>
        <v>ok</v>
      </c>
      <c r="M43" s="28"/>
      <c r="N43" s="28"/>
    </row>
    <row r="44" spans="1:14" ht="15.6" x14ac:dyDescent="0.3">
      <c r="A44" s="362" t="s">
        <v>1923</v>
      </c>
      <c r="B44" s="297" t="s">
        <v>1925</v>
      </c>
      <c r="C44" s="298"/>
      <c r="D44" s="306">
        <f>-('Allocation ProForma'!J652+'Allocation ProForma'!J653)</f>
        <v>-70540.746440541348</v>
      </c>
      <c r="E44" s="306">
        <v>0</v>
      </c>
      <c r="F44" s="307">
        <f>D44</f>
        <v>-70540.746440541348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-70540.746440541348</v>
      </c>
      <c r="L44" s="303" t="str">
        <f>IF(ABS(K44-D44)&lt;0.01,"ok","err")</f>
        <v>ok</v>
      </c>
      <c r="M44" s="28"/>
      <c r="N44" s="28"/>
    </row>
    <row r="45" spans="1:14" ht="15.6" x14ac:dyDescent="0.3">
      <c r="A45" s="362" t="s">
        <v>1927</v>
      </c>
      <c r="B45" s="297" t="s">
        <v>1926</v>
      </c>
      <c r="C45" s="298"/>
      <c r="D45" s="306">
        <f>-('Allocation ProForma'!J655+'Allocation ProForma'!J656+'Allocation ProForma'!J657+'Allocation ProForma'!J658+'Allocation ProForma'!J661+'Allocation ProForma'!J662+'Allocation ProForma'!J663+'Allocation ProForma'!J664+'Allocation ProForma'!J665)</f>
        <v>-37977.283681907451</v>
      </c>
      <c r="E45" s="306">
        <f t="shared" ref="E45:J45" si="12">(E14/($D$14)*$D$45)</f>
        <v>-23848.279349069486</v>
      </c>
      <c r="F45" s="307">
        <f t="shared" si="12"/>
        <v>-811.40796702014154</v>
      </c>
      <c r="G45" s="307">
        <f t="shared" si="12"/>
        <v>-5984.9709943430171</v>
      </c>
      <c r="H45" s="307">
        <f t="shared" si="12"/>
        <v>-6130.6556777103433</v>
      </c>
      <c r="I45" s="307">
        <f t="shared" si="12"/>
        <v>-1118.968365906273</v>
      </c>
      <c r="J45" s="307">
        <f t="shared" si="12"/>
        <v>-83.001327858192937</v>
      </c>
      <c r="K45" s="302">
        <f>SUM(E45:J45)</f>
        <v>-37977.283681907451</v>
      </c>
      <c r="L45" s="303" t="str">
        <f>IF(ABS(K45-D45)&lt;0.01,"ok","err")</f>
        <v>ok</v>
      </c>
      <c r="M45" s="28"/>
      <c r="N45" s="28"/>
    </row>
    <row r="46" spans="1:14" ht="15.6" x14ac:dyDescent="0.3">
      <c r="A46" s="362" t="s">
        <v>1928</v>
      </c>
      <c r="B46" s="297" t="s">
        <v>1929</v>
      </c>
      <c r="C46" s="298"/>
      <c r="D46" s="306">
        <f>SUM(D43:D45)</f>
        <v>40317.012253792178</v>
      </c>
      <c r="E46" s="306">
        <f t="shared" ref="E46:J46" si="13">SUM(E43:E45)</f>
        <v>124986.76302717149</v>
      </c>
      <c r="F46" s="307">
        <f t="shared" si="13"/>
        <v>-71352.154407561495</v>
      </c>
      <c r="G46" s="307">
        <f t="shared" si="13"/>
        <v>-5984.9709943430171</v>
      </c>
      <c r="H46" s="307">
        <f t="shared" si="13"/>
        <v>-6130.6556777103433</v>
      </c>
      <c r="I46" s="307">
        <f t="shared" si="13"/>
        <v>-1118.968365906273</v>
      </c>
      <c r="J46" s="307">
        <f t="shared" si="13"/>
        <v>-83.001327858192937</v>
      </c>
      <c r="K46" s="302">
        <f>SUM(E46:J46)</f>
        <v>40317.012253792171</v>
      </c>
      <c r="L46" s="303" t="str">
        <f>IF(ABS(K46-D46)&lt;0.01,"ok","err")</f>
        <v>ok</v>
      </c>
      <c r="M46" s="28"/>
      <c r="N46" s="28"/>
    </row>
    <row r="47" spans="1:14" ht="15.6" x14ac:dyDescent="0.3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6" x14ac:dyDescent="0.3">
      <c r="A48" s="362" t="s">
        <v>1934</v>
      </c>
      <c r="B48" s="297" t="s">
        <v>1902</v>
      </c>
      <c r="C48" s="315">
        <f>'Allocation ProForma'!J806-SUM('Allocation ProForma'!J652:J665)-'Allocation ProForma'!J721-'Allocation ProForma'!J802-'Allocation ProForma'!J803</f>
        <v>12815141.999999998</v>
      </c>
      <c r="D48" s="306">
        <f>D41+D46</f>
        <v>12815142.008555813</v>
      </c>
      <c r="E48" s="306">
        <f t="shared" ref="E48:J48" si="14">E41+E46</f>
        <v>4437929.1373592066</v>
      </c>
      <c r="F48" s="307">
        <f t="shared" si="14"/>
        <v>5357793.3065183768</v>
      </c>
      <c r="G48" s="307">
        <f t="shared" si="14"/>
        <v>1106668.2791454049</v>
      </c>
      <c r="H48" s="307">
        <f t="shared" si="14"/>
        <v>1127212.1530201882</v>
      </c>
      <c r="I48" s="307">
        <f t="shared" si="14"/>
        <v>267376.0529077769</v>
      </c>
      <c r="J48" s="307">
        <f t="shared" si="14"/>
        <v>518163.07960485661</v>
      </c>
      <c r="K48" s="302">
        <f>SUM(E48:J48)</f>
        <v>12815142.008555809</v>
      </c>
      <c r="L48" s="303" t="str">
        <f>IF(ABS(K48-D48)&lt;0.01,"ok","err")</f>
        <v>ok</v>
      </c>
      <c r="M48" s="28"/>
      <c r="N48" s="28"/>
    </row>
    <row r="49" spans="1:14" ht="15.6" x14ac:dyDescent="0.3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6" x14ac:dyDescent="0.3">
      <c r="A50" s="362" t="s">
        <v>1935</v>
      </c>
      <c r="B50" s="297" t="s">
        <v>1904</v>
      </c>
      <c r="C50" s="298"/>
      <c r="D50" s="316"/>
      <c r="E50" s="317">
        <f>'Billing Det'!C14+'Billing Det'!C16</f>
        <v>151861000</v>
      </c>
      <c r="F50" s="318">
        <f>$E$50</f>
        <v>151861000</v>
      </c>
      <c r="G50" s="318">
        <f>$E$50</f>
        <v>151861000</v>
      </c>
      <c r="H50" s="318">
        <f>$E$50</f>
        <v>151861000</v>
      </c>
      <c r="I50" s="318">
        <f>'Allocation ProForma'!J848</f>
        <v>7118.0000000000009</v>
      </c>
      <c r="J50" s="318">
        <f>I50</f>
        <v>7118.0000000000009</v>
      </c>
      <c r="K50" s="287"/>
      <c r="L50" s="310"/>
      <c r="M50" s="28"/>
      <c r="N50" s="28"/>
    </row>
    <row r="51" spans="1:14" ht="16.2" thickBot="1" x14ac:dyDescent="0.35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2" thickBot="1" x14ac:dyDescent="0.35">
      <c r="A52" s="365" t="s">
        <v>2446</v>
      </c>
      <c r="B52" s="319" t="s">
        <v>1906</v>
      </c>
      <c r="C52" s="320"/>
      <c r="D52" s="321"/>
      <c r="E52" s="322">
        <f t="shared" ref="E52:J52" si="15">E48/E50</f>
        <v>2.9223626456820424E-2</v>
      </c>
      <c r="F52" s="323">
        <f t="shared" si="15"/>
        <v>3.5280903632389997E-2</v>
      </c>
      <c r="G52" s="323">
        <f t="shared" si="15"/>
        <v>7.2873764768136978E-3</v>
      </c>
      <c r="H52" s="323">
        <f t="shared" si="15"/>
        <v>7.4226572524887114E-3</v>
      </c>
      <c r="I52" s="324">
        <f>I48/I50</f>
        <v>37.563367927476378</v>
      </c>
      <c r="J52" s="324">
        <f t="shared" si="15"/>
        <v>72.796161787701109</v>
      </c>
      <c r="K52" s="325">
        <f>I52+J52</f>
        <v>110.35952971517749</v>
      </c>
      <c r="L52" s="326"/>
      <c r="M52" s="28"/>
      <c r="N52" s="28"/>
    </row>
    <row r="53" spans="1:14" ht="15.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6" x14ac:dyDescent="0.3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110.35952971517749</v>
      </c>
      <c r="L54" s="28"/>
      <c r="M54" s="28"/>
      <c r="N54" s="28"/>
    </row>
    <row r="55" spans="1:14" ht="15.6" x14ac:dyDescent="0.3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4.3933660186122832E-2</v>
      </c>
      <c r="L55" s="28"/>
      <c r="M55" s="28"/>
      <c r="N55" s="28"/>
    </row>
    <row r="56" spans="1:14" ht="15.6" x14ac:dyDescent="0.3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3.5280903632389997E-2</v>
      </c>
      <c r="L56" s="28"/>
      <c r="M56" s="28"/>
      <c r="N56" s="28"/>
    </row>
    <row r="57" spans="1:14" ht="15.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6" x14ac:dyDescent="0.3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108.65</v>
      </c>
      <c r="L58" s="28"/>
      <c r="M58" s="28"/>
      <c r="N58" s="28"/>
    </row>
    <row r="59" spans="1:14" ht="15.6" x14ac:dyDescent="0.3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12168.432512633315</v>
      </c>
      <c r="L59" s="28"/>
      <c r="M59" s="28"/>
      <c r="N59" s="28"/>
    </row>
    <row r="60" spans="1:14" ht="15.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8.0128752692484013E-5</v>
      </c>
      <c r="L60" s="28"/>
      <c r="M60" s="28"/>
      <c r="N60" s="28"/>
    </row>
    <row r="61" spans="1:14" ht="15.6" x14ac:dyDescent="0.3">
      <c r="J61" s="373" t="s">
        <v>2440</v>
      </c>
      <c r="K61" s="34">
        <v>5.8999999999999999E-3</v>
      </c>
    </row>
    <row r="62" spans="1:14" ht="15.6" x14ac:dyDescent="0.3">
      <c r="J62" s="373" t="s">
        <v>2441</v>
      </c>
      <c r="K62" s="377">
        <f>K60+K61+K55</f>
        <v>4.9913788938815318E-2</v>
      </c>
      <c r="L62" s="380">
        <f>K62+K56</f>
        <v>8.5194692571205322E-2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Jurisdictional Study</vt:lpstr>
      <vt:lpstr>Functional Assignment</vt:lpstr>
      <vt:lpstr>Summary SJB Exhibit</vt:lpstr>
      <vt:lpstr>Allocation ProForma</vt:lpstr>
      <vt:lpstr>Summary of Returns</vt:lpstr>
      <vt:lpstr>Billing Det</vt:lpstr>
      <vt:lpstr>RS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Meters</vt:lpstr>
      <vt:lpstr>Services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Meters!Print_Area</vt:lpstr>
      <vt:lpstr>'PSP Unit Costs'!Print_Area</vt:lpstr>
      <vt:lpstr>'PSS Unit Costs'!Print_Area</vt:lpstr>
      <vt:lpstr>'RS Unit Costs'!Print_Area</vt:lpstr>
      <vt:lpstr>'RTS Unit Costs'!Print_Area</vt:lpstr>
      <vt:lpstr>Services!Print_Area</vt:lpstr>
      <vt:lpstr>'Summary of Returns'!Print_Area</vt:lpstr>
      <vt:lpstr>'Summary SJB Exhibit'!Print_Area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  <vt:lpstr>'Summary SJB Exhibit'!Print_Titles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2017-03-28T15:01:36Z</dcterms:created>
  <dcterms:modified xsi:type="dcterms:W3CDTF">2017-04-27T11:33:41Z</dcterms:modified>
</cp:coreProperties>
</file>