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0" yWindow="0" windowWidth="25200" windowHeight="10788" activeTab="3"/>
  </bookViews>
  <sheets>
    <sheet name="Jurisdictional Study" sheetId="12" r:id="rId1"/>
    <sheet name="Functional Assignment" sheetId="1" r:id="rId2"/>
    <sheet name="Summary SJB Exhibit" sheetId="30" r:id="rId3"/>
    <sheet name="Allocation ProForma" sheetId="2" r:id="rId4"/>
    <sheet name="Summary of Returns" sheetId="23" r:id="rId5"/>
    <sheet name="Billing Det" sheetId="8" r:id="rId6"/>
    <sheet name="RS Unit Costs" sheetId="14" r:id="rId7"/>
    <sheet name="GS Unit Costs" sheetId="27" r:id="rId8"/>
    <sheet name="AES Unit Costs" sheetId="29" r:id="rId9"/>
    <sheet name="PSS Unit Costs" sheetId="17" r:id="rId10"/>
    <sheet name="PSP Unit Costs" sheetId="19" r:id="rId11"/>
    <sheet name="TODS Unit Costs" sheetId="20" r:id="rId12"/>
    <sheet name="TODP Unit Costs" sheetId="21" r:id="rId13"/>
    <sheet name="RTS Unit Costs" sheetId="25" r:id="rId14"/>
    <sheet name="FLS Unit Costs" sheetId="26" r:id="rId15"/>
    <sheet name="Meters" sheetId="6" r:id="rId16"/>
    <sheet name="Services" sheetId="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" localSheetId="8">[1]EGSplit!#REF!</definedName>
    <definedName name="\" localSheetId="14">[1]EGSplit!#REF!</definedName>
    <definedName name="\" localSheetId="7">[1]EGSplit!#REF!</definedName>
    <definedName name="\" localSheetId="10">[1]EGSplit!#REF!</definedName>
    <definedName name="\" localSheetId="9">[1]EGSplit!#REF!</definedName>
    <definedName name="\" localSheetId="13">[1]EGSplit!#REF!</definedName>
    <definedName name="\" localSheetId="2">[1]EGSplit!#REF!</definedName>
    <definedName name="\" localSheetId="12">[1]EGSplit!#REF!</definedName>
    <definedName name="\" localSheetId="11">[1]EGSplit!#REF!</definedName>
    <definedName name="\">[1]EGSplit!#REF!</definedName>
    <definedName name="\\" localSheetId="2" hidden="1">#REF!</definedName>
    <definedName name="\\" hidden="1">#REF!</definedName>
    <definedName name="\\\" localSheetId="2" hidden="1">#REF!</definedName>
    <definedName name="\\\" hidden="1">#REF!</definedName>
    <definedName name="\\\\" localSheetId="8" hidden="1">#REF!</definedName>
    <definedName name="\\\\" localSheetId="14" hidden="1">#REF!</definedName>
    <definedName name="\\\\" localSheetId="7" hidden="1">#REF!</definedName>
    <definedName name="\\\\" localSheetId="10" hidden="1">#REF!</definedName>
    <definedName name="\\\\" localSheetId="9" hidden="1">#REF!</definedName>
    <definedName name="\\\\" localSheetId="13" hidden="1">#REF!</definedName>
    <definedName name="\\\\" localSheetId="2" hidden="1">#REF!</definedName>
    <definedName name="\\\\" localSheetId="12" hidden="1">#REF!</definedName>
    <definedName name="\\\\" localSheetId="11" hidden="1">#REF!</definedName>
    <definedName name="\\\\" hidden="1">#REF!</definedName>
    <definedName name="\0" localSheetId="2">#REF!</definedName>
    <definedName name="\0">#REF!</definedName>
    <definedName name="\A" localSheetId="2">#REF!</definedName>
    <definedName name="\A">#REF!</definedName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M" localSheetId="2">#REF!</definedName>
    <definedName name="\M">#REF!</definedName>
    <definedName name="\P" localSheetId="8">[2]dbase!#REF!</definedName>
    <definedName name="\P" localSheetId="14">[2]dbase!#REF!</definedName>
    <definedName name="\P" localSheetId="7">[2]dbase!#REF!</definedName>
    <definedName name="\P" localSheetId="10">[2]dbase!#REF!</definedName>
    <definedName name="\P" localSheetId="9">[2]dbase!#REF!</definedName>
    <definedName name="\P" localSheetId="13">[2]dbase!#REF!</definedName>
    <definedName name="\P" localSheetId="2">[2]dbase!#REF!</definedName>
    <definedName name="\P" localSheetId="12">[2]dbase!#REF!</definedName>
    <definedName name="\P" localSheetId="11">[2]dbase!#REF!</definedName>
    <definedName name="\P">[2]dbase!#REF!</definedName>
    <definedName name="\R" localSheetId="8">#REF!</definedName>
    <definedName name="\R" localSheetId="14">#REF!</definedName>
    <definedName name="\R" localSheetId="7">#REF!</definedName>
    <definedName name="\R" localSheetId="10">#REF!</definedName>
    <definedName name="\R" localSheetId="9">#REF!</definedName>
    <definedName name="\R" localSheetId="13">#REF!</definedName>
    <definedName name="\R" localSheetId="2">#REF!</definedName>
    <definedName name="\R" localSheetId="12">#REF!</definedName>
    <definedName name="\R" localSheetId="11">#REF!</definedName>
    <definedName name="\R">#REF!</definedName>
    <definedName name="\S" localSheetId="8">[2]dbase!#REF!</definedName>
    <definedName name="\S" localSheetId="14">[2]dbase!#REF!</definedName>
    <definedName name="\S" localSheetId="7">[2]dbase!#REF!</definedName>
    <definedName name="\S" localSheetId="10">[2]dbase!#REF!</definedName>
    <definedName name="\S" localSheetId="9">[2]dbase!#REF!</definedName>
    <definedName name="\S" localSheetId="13">[2]dbase!#REF!</definedName>
    <definedName name="\S" localSheetId="2">[2]dbase!#REF!</definedName>
    <definedName name="\S" localSheetId="12">[2]dbase!#REF!</definedName>
    <definedName name="\S" localSheetId="11">[2]dbase!#REF!</definedName>
    <definedName name="\S">[2]dbase!#REF!</definedName>
    <definedName name="\T" localSheetId="2">#REF!</definedName>
    <definedName name="\T">#REF!</definedName>
    <definedName name="\Y" localSheetId="8">[3]d20!#REF!</definedName>
    <definedName name="\Y" localSheetId="14">[3]d20!#REF!</definedName>
    <definedName name="\Y" localSheetId="7">[3]d20!#REF!</definedName>
    <definedName name="\Y" localSheetId="10">[3]d20!#REF!</definedName>
    <definedName name="\Y" localSheetId="9">[3]d20!#REF!</definedName>
    <definedName name="\Y" localSheetId="13">[3]d20!#REF!</definedName>
    <definedName name="\Y" localSheetId="2">[3]d20!#REF!</definedName>
    <definedName name="\Y" localSheetId="12">[3]d20!#REF!</definedName>
    <definedName name="\Y" localSheetId="11">[3]d20!#REF!</definedName>
    <definedName name="\Y">[3]d20!#REF!</definedName>
    <definedName name="__123Graph_A" localSheetId="2" hidden="1">#REF!</definedName>
    <definedName name="__123Graph_A" hidden="1">#REF!</definedName>
    <definedName name="__123Graph_B" localSheetId="2" hidden="1">#REF!</definedName>
    <definedName name="__123Graph_B" hidden="1">#REF!</definedName>
    <definedName name="__123Graph_C" localSheetId="8" hidden="1">#REF!</definedName>
    <definedName name="__123Graph_C" localSheetId="14" hidden="1">#REF!</definedName>
    <definedName name="__123Graph_C" localSheetId="7" hidden="1">#REF!</definedName>
    <definedName name="__123Graph_C" localSheetId="10" hidden="1">#REF!</definedName>
    <definedName name="__123Graph_C" localSheetId="9" hidden="1">#REF!</definedName>
    <definedName name="__123Graph_C" localSheetId="13" hidden="1">#REF!</definedName>
    <definedName name="__123Graph_C" localSheetId="2" hidden="1">#REF!</definedName>
    <definedName name="__123Graph_C" localSheetId="12" hidden="1">#REF!</definedName>
    <definedName name="__123Graph_C" localSheetId="11" hidden="1">#REF!</definedName>
    <definedName name="__123Graph_C" hidden="1">#REF!</definedName>
    <definedName name="__123Graph_D" localSheetId="2" hidden="1">#REF!</definedName>
    <definedName name="__123Graph_D" hidden="1">#REF!</definedName>
    <definedName name="__123Graph_E" localSheetId="8" hidden="1">#REF!</definedName>
    <definedName name="__123Graph_E" localSheetId="14" hidden="1">#REF!</definedName>
    <definedName name="__123Graph_E" localSheetId="7" hidden="1">#REF!</definedName>
    <definedName name="__123Graph_E" localSheetId="10" hidden="1">#REF!</definedName>
    <definedName name="__123Graph_E" localSheetId="9" hidden="1">#REF!</definedName>
    <definedName name="__123Graph_E" localSheetId="13" hidden="1">#REF!</definedName>
    <definedName name="__123Graph_E" localSheetId="2" hidden="1">#REF!</definedName>
    <definedName name="__123Graph_E" localSheetId="12" hidden="1">#REF!</definedName>
    <definedName name="__123Graph_E" localSheetId="11" hidden="1">#REF!</definedName>
    <definedName name="__123Graph_E" hidden="1">#REF!</definedName>
    <definedName name="__123Graph_F" localSheetId="2" hidden="1">#REF!</definedName>
    <definedName name="__123Graph_F" hidden="1">#REF!</definedName>
    <definedName name="__123Graph_X" localSheetId="2" hidden="1">#REF!</definedName>
    <definedName name="__123Graph_X" hidden="1">#REF!</definedName>
    <definedName name="_10NON_UTILITY" localSheetId="2">#REF!</definedName>
    <definedName name="_10NON_UTILITY">#REF!</definedName>
    <definedName name="_12MonResults_KWH_Total">'[4]12MonResults'!$K$4:$K$1467</definedName>
    <definedName name="_12MonResults_Rate">'[4]12MonResults'!$C$4:$C$1467</definedName>
    <definedName name="_1GAS_FINANCING" localSheetId="2">#REF!</definedName>
    <definedName name="_1GAS_FINANCING">#REF!</definedName>
    <definedName name="_2NON_UTILITY" localSheetId="8">#REF!</definedName>
    <definedName name="_3NON_UTILITY" localSheetId="14">#REF!</definedName>
    <definedName name="_4NON_UTILITY" localSheetId="7">#REF!</definedName>
    <definedName name="_5NON_UTILITY" localSheetId="10">#REF!</definedName>
    <definedName name="_6NON_UTILITY" localSheetId="9">#REF!</definedName>
    <definedName name="_7NON_UTILITY" localSheetId="13">#REF!</definedName>
    <definedName name="_8NON_UTILITY" localSheetId="12">#REF!</definedName>
    <definedName name="_9NON_UTILITY" localSheetId="11">#REF!</definedName>
    <definedName name="_xlnm._FilterDatabase" localSheetId="3" hidden="1">'Allocation ProForma'!$D$2:$E$1064</definedName>
    <definedName name="_xlnm._FilterDatabase" localSheetId="1" hidden="1">'Functional Assignment'!$C$1:$C$664</definedName>
    <definedName name="_xlnm._FilterDatabase" localSheetId="2" hidden="1">'Summary SJB Exhibit'!$D$2:$E$136</definedName>
    <definedName name="_may1" localSheetId="2">#REF!</definedName>
    <definedName name="_may1">#REF!</definedName>
    <definedName name="_Order1" hidden="1">0</definedName>
    <definedName name="_Order2" hidden="1">0</definedName>
    <definedName name="_P" localSheetId="8">#REF!</definedName>
    <definedName name="_P" localSheetId="14">#REF!</definedName>
    <definedName name="_P" localSheetId="7">#REF!</definedName>
    <definedName name="_P" localSheetId="10">#REF!</definedName>
    <definedName name="_P" localSheetId="9">#REF!</definedName>
    <definedName name="_P" localSheetId="13">#REF!</definedName>
    <definedName name="_P" localSheetId="2">#REF!</definedName>
    <definedName name="_P" localSheetId="12">#REF!</definedName>
    <definedName name="_P" localSheetId="11">#REF!</definedName>
    <definedName name="_P">#REF!</definedName>
    <definedName name="_PG1" localSheetId="2">#REF!</definedName>
    <definedName name="_PG1">#REF!</definedName>
    <definedName name="_PG2" localSheetId="2">#REF!</definedName>
    <definedName name="_PG2">#REF!</definedName>
    <definedName name="A" localSheetId="2">#REF!</definedName>
    <definedName name="A">#REF!</definedName>
    <definedName name="ACTUAL">"'Vol_Revs'!R5C3:R5C14"</definedName>
    <definedName name="ADJSUTW3" localSheetId="2">#REF!</definedName>
    <definedName name="ADJSUTW3">#REF!</definedName>
    <definedName name="ADJUSRN" localSheetId="2">#REF!</definedName>
    <definedName name="ADJUSRN">#REF!</definedName>
    <definedName name="Adjust2" localSheetId="8">#REF!</definedName>
    <definedName name="Adjust2" localSheetId="14">#REF!</definedName>
    <definedName name="Adjust2" localSheetId="7">#REF!</definedName>
    <definedName name="Adjust2" localSheetId="10">#REF!</definedName>
    <definedName name="Adjust2" localSheetId="9">#REF!</definedName>
    <definedName name="Adjust2" localSheetId="13">#REF!</definedName>
    <definedName name="Adjust2" localSheetId="2">#REF!</definedName>
    <definedName name="Adjust2" localSheetId="12">#REF!</definedName>
    <definedName name="Adjust2" localSheetId="11">#REF!</definedName>
    <definedName name="Adjust2">#REF!</definedName>
    <definedName name="ADJUSTA" localSheetId="2">#REF!</definedName>
    <definedName name="ADJUSTA">#REF!</definedName>
    <definedName name="ADJUSTAA" localSheetId="2">#REF!</definedName>
    <definedName name="ADJUSTAA">#REF!</definedName>
    <definedName name="ADJUSTB" localSheetId="8">#REF!</definedName>
    <definedName name="ADJUSTB" localSheetId="14">#REF!</definedName>
    <definedName name="ADJUSTB" localSheetId="7">#REF!</definedName>
    <definedName name="ADJUSTB" localSheetId="10">#REF!</definedName>
    <definedName name="ADJUSTB" localSheetId="9">#REF!</definedName>
    <definedName name="ADJUSTB" localSheetId="13">#REF!</definedName>
    <definedName name="ADJUSTB" localSheetId="2">#REF!</definedName>
    <definedName name="ADJUSTB" localSheetId="12">#REF!</definedName>
    <definedName name="ADJUSTB" localSheetId="11">#REF!</definedName>
    <definedName name="ADJUSTB">#REF!</definedName>
    <definedName name="ADJUSTC" localSheetId="2">#REF!</definedName>
    <definedName name="ADJUSTC">#REF!</definedName>
    <definedName name="ADJUSTD1" localSheetId="2">#REF!</definedName>
    <definedName name="ADJUSTD1">#REF!</definedName>
    <definedName name="ADJUSTD2" localSheetId="2">#REF!</definedName>
    <definedName name="ADJUSTD2">#REF!</definedName>
    <definedName name="ADJUSTD3" localSheetId="2">#REF!</definedName>
    <definedName name="ADJUSTD3">#REF!</definedName>
    <definedName name="ADJUSTD4" localSheetId="2">#REF!</definedName>
    <definedName name="ADJUSTD4">#REF!</definedName>
    <definedName name="ADJUSTG1" localSheetId="2">#REF!</definedName>
    <definedName name="ADJUSTG1">#REF!</definedName>
    <definedName name="ADJUSTG2" localSheetId="2">#REF!</definedName>
    <definedName name="ADJUSTG2">#REF!</definedName>
    <definedName name="ADJUSTG3" localSheetId="2">#REF!</definedName>
    <definedName name="ADJUSTG3">#REF!</definedName>
    <definedName name="ADJUSTG4" localSheetId="2">#REF!</definedName>
    <definedName name="ADJUSTG4">#REF!</definedName>
    <definedName name="ADJUSTH" localSheetId="2">#REF!</definedName>
    <definedName name="ADJUSTH">#REF!</definedName>
    <definedName name="ADJUSTI" localSheetId="2">#REF!</definedName>
    <definedName name="ADJUSTI">#REF!</definedName>
    <definedName name="ADJUSTK" localSheetId="2">#REF!</definedName>
    <definedName name="ADJUSTK">#REF!</definedName>
    <definedName name="ADJUSTM" localSheetId="2">#REF!</definedName>
    <definedName name="ADJUSTM">#REF!</definedName>
    <definedName name="ADJUSTN" localSheetId="2">#REF!</definedName>
    <definedName name="ADJUSTN">#REF!</definedName>
    <definedName name="ADJUSTO" localSheetId="2">#REF!</definedName>
    <definedName name="ADJUSTO">#REF!</definedName>
    <definedName name="ADJUSTP" localSheetId="2">#REF!</definedName>
    <definedName name="ADJUSTP">#REF!</definedName>
    <definedName name="ADJUSTQ" localSheetId="2">#REF!</definedName>
    <definedName name="ADJUSTQ">#REF!</definedName>
    <definedName name="ADJUSTR" localSheetId="2">#REF!</definedName>
    <definedName name="ADJUSTR">#REF!</definedName>
    <definedName name="ADJUSTS" localSheetId="8">#REF!</definedName>
    <definedName name="ADJUSTS" localSheetId="14">#REF!</definedName>
    <definedName name="ADJUSTS" localSheetId="7">#REF!</definedName>
    <definedName name="ADJUSTS" localSheetId="10">#REF!</definedName>
    <definedName name="ADJUSTS" localSheetId="9">#REF!</definedName>
    <definedName name="ADJUSTS" localSheetId="13">#REF!</definedName>
    <definedName name="ADJUSTS" localSheetId="2">#REF!</definedName>
    <definedName name="ADJUSTS" localSheetId="12">#REF!</definedName>
    <definedName name="ADJUSTS" localSheetId="11">#REF!</definedName>
    <definedName name="ADJUSTS">#REF!</definedName>
    <definedName name="ADJUSTT" localSheetId="2">#REF!</definedName>
    <definedName name="ADJUSTT">#REF!</definedName>
    <definedName name="ADJUSTW1" localSheetId="2">#REF!</definedName>
    <definedName name="ADJUSTW1">#REF!</definedName>
    <definedName name="ADJUSTW2" localSheetId="2">#REF!</definedName>
    <definedName name="ADJUSTW2">#REF!</definedName>
    <definedName name="ADJUSTX" localSheetId="2">#REF!</definedName>
    <definedName name="ADJUSTX">#REF!</definedName>
    <definedName name="ADJUSTY" localSheetId="2">#REF!</definedName>
    <definedName name="ADJUSTY">#REF!</definedName>
    <definedName name="ALERT2" localSheetId="2">#REF!</definedName>
    <definedName name="ALERT2">#REF!</definedName>
    <definedName name="Annual_Sales_KU" localSheetId="8">'[5]LGE Sales'!#REF!</definedName>
    <definedName name="Annual_Sales_KU" localSheetId="14">'[5]LGE Sales'!#REF!</definedName>
    <definedName name="Annual_Sales_KU" localSheetId="7">'[5]LGE Sales'!#REF!</definedName>
    <definedName name="Annual_Sales_KU" localSheetId="10">'[5]LGE Sales'!#REF!</definedName>
    <definedName name="Annual_Sales_KU" localSheetId="9">'[5]LGE Sales'!#REF!</definedName>
    <definedName name="Annual_Sales_KU" localSheetId="13">'[5]LGE Sales'!#REF!</definedName>
    <definedName name="Annual_Sales_KU" localSheetId="2">'[5]LGE Sales'!#REF!</definedName>
    <definedName name="Annual_Sales_KU" localSheetId="12">'[5]LGE Sales'!#REF!</definedName>
    <definedName name="Annual_Sales_KU" localSheetId="11">'[5]LGE Sales'!#REF!</definedName>
    <definedName name="Annual_Sales_KU">'[5]LGE Sales'!#REF!</definedName>
    <definedName name="assets" localSheetId="2">#REF!</definedName>
    <definedName name="assets">#REF!</definedName>
    <definedName name="B" localSheetId="2">#REF!</definedName>
    <definedName name="B">#REF!</definedName>
    <definedName name="Billed_Revenues_Dollars" localSheetId="2">#REF!</definedName>
    <definedName name="Billed_Revenues_Dollars">#REF!</definedName>
    <definedName name="Billed_Sales__KWh" localSheetId="2">#REF!</definedName>
    <definedName name="Billed_Sales__KWh">#REF!</definedName>
    <definedName name="BudCol01">[6]BudgetDatabase!$J$5:$J$443</definedName>
    <definedName name="BudCol02">[6]BudgetDatabase!$K$5:$K$443</definedName>
    <definedName name="BudCol03">[6]BudgetDatabase!$L$5:$L$443</definedName>
    <definedName name="BudCol04">[6]BudgetDatabase!$M$5:$M$443</definedName>
    <definedName name="BudCol05">[6]BudgetDatabase!$N$5:$N$443</definedName>
    <definedName name="BudCol06">[6]BudgetDatabase!$O$5:$O$443</definedName>
    <definedName name="BudCol07">[6]BudgetDatabase!$P$5:$P$443</definedName>
    <definedName name="BudCol08">[6]BudgetDatabase!$Q$5:$Q$443</definedName>
    <definedName name="BudCol09">[6]BudgetDatabase!$R$5:$R$443</definedName>
    <definedName name="BudCol10">[6]BudgetDatabase!$S$5:$S$443</definedName>
    <definedName name="BudCol11">[6]BudgetDatabase!$T$5:$T$443</definedName>
    <definedName name="BudCol12">[6]BudgetDatabase!$U$5:$U$443</definedName>
    <definedName name="BudCol13">[6]BudgetDatabase!$V$5:$V$443</definedName>
    <definedName name="BudCol14">[6]BudgetDatabase!$W$5:$W$443</definedName>
    <definedName name="BudCol15">[6]BudgetDatabase!$X$5:$X$443</definedName>
    <definedName name="BudCol16">[6]BudgetDatabase!$Y$5:$Y$443</definedName>
    <definedName name="BudCol17">[6]BudgetDatabase!$Z$5:$Z$443</definedName>
    <definedName name="BudCol18">[6]BudgetDatabase!$AA$5:$AA$443</definedName>
    <definedName name="BudCol19">[6]BudgetDatabase!$AB$5:$AB$443</definedName>
    <definedName name="BudCol20">[6]BudgetDatabase!$AC$5:$AC$443</definedName>
    <definedName name="BudCol21">[6]BudgetDatabase!$AD$5:$AD$443</definedName>
    <definedName name="BudCol22">[6]BudgetDatabase!$AE$5:$AE$443</definedName>
    <definedName name="BudCol23">[6]BudgetDatabase!$AF$5:$AF$443</definedName>
    <definedName name="BudCol24">[6]BudgetDatabase!$AG$5:$AG$443</definedName>
    <definedName name="BudCol25">[6]BudgetDatabase!$AH$5:$AH$443</definedName>
    <definedName name="BudColTmp">[6]BudgetDatabase!$AJ$5:$AJ$443</definedName>
    <definedName name="C_" localSheetId="2">#REF!</definedName>
    <definedName name="C_">#REF!</definedName>
    <definedName name="Choices_Wrapper" localSheetId="2">'Summary SJB Exhibit'!Choices_Wrapper</definedName>
    <definedName name="Choices_Wrapper">[0]!Choices_Wrapper</definedName>
    <definedName name="CM" localSheetId="2">#REF!</definedName>
    <definedName name="CM">#REF!</definedName>
    <definedName name="Coal_Annual_KU" localSheetId="8">'[5]LGE Coal'!#REF!</definedName>
    <definedName name="Coal_Annual_KU" localSheetId="14">'[5]LGE Coal'!#REF!</definedName>
    <definedName name="Coal_Annual_KU" localSheetId="7">'[5]LGE Coal'!#REF!</definedName>
    <definedName name="Coal_Annual_KU" localSheetId="10">'[5]LGE Coal'!#REF!</definedName>
    <definedName name="Coal_Annual_KU" localSheetId="9">'[5]LGE Coal'!#REF!</definedName>
    <definedName name="Coal_Annual_KU" localSheetId="13">'[5]LGE Coal'!#REF!</definedName>
    <definedName name="Coal_Annual_KU" localSheetId="2">'[5]LGE Coal'!#REF!</definedName>
    <definedName name="Coal_Annual_KU" localSheetId="12">'[5]LGE Coal'!#REF!</definedName>
    <definedName name="Coal_Annual_KU" localSheetId="11">'[5]LGE Coal'!#REF!</definedName>
    <definedName name="Coal_Annual_KU">'[5]LGE Coal'!#REF!</definedName>
    <definedName name="coal_hide_ku_01" localSheetId="8">'[5]LGE Coal'!#REF!</definedName>
    <definedName name="coal_hide_ku_01" localSheetId="14">'[5]LGE Coal'!#REF!</definedName>
    <definedName name="coal_hide_ku_01" localSheetId="7">'[5]LGE Coal'!#REF!</definedName>
    <definedName name="coal_hide_ku_01" localSheetId="10">'[5]LGE Coal'!#REF!</definedName>
    <definedName name="coal_hide_ku_01" localSheetId="9">'[5]LGE Coal'!#REF!</definedName>
    <definedName name="coal_hide_ku_01" localSheetId="13">'[5]LGE Coal'!#REF!</definedName>
    <definedName name="coal_hide_ku_01" localSheetId="2">'[5]LGE Coal'!#REF!</definedName>
    <definedName name="coal_hide_ku_01" localSheetId="12">'[5]LGE Coal'!#REF!</definedName>
    <definedName name="coal_hide_ku_01" localSheetId="11">'[5]LGE Coal'!#REF!</definedName>
    <definedName name="coal_hide_ku_01">'[5]LGE Coal'!#REF!</definedName>
    <definedName name="coal_hide_lge_01" localSheetId="8">'[5]LGE Coal'!#REF!</definedName>
    <definedName name="coal_hide_lge_01" localSheetId="14">'[5]LGE Coal'!#REF!</definedName>
    <definedName name="coal_hide_lge_01" localSheetId="7">'[5]LGE Coal'!#REF!</definedName>
    <definedName name="coal_hide_lge_01" localSheetId="10">'[5]LGE Coal'!#REF!</definedName>
    <definedName name="coal_hide_lge_01" localSheetId="9">'[5]LGE Coal'!#REF!</definedName>
    <definedName name="coal_hide_lge_01" localSheetId="13">'[5]LGE Coal'!#REF!</definedName>
    <definedName name="coal_hide_lge_01" localSheetId="2">'[5]LGE Coal'!#REF!</definedName>
    <definedName name="coal_hide_lge_01" localSheetId="12">'[5]LGE Coal'!#REF!</definedName>
    <definedName name="coal_hide_lge_01" localSheetId="11">'[5]LGE Coal'!#REF!</definedName>
    <definedName name="coal_hide_lge_01">'[5]LGE Coal'!#REF!</definedName>
    <definedName name="coal_ku_01" localSheetId="8">'[5]LGE Coal'!#REF!</definedName>
    <definedName name="coal_ku_01" localSheetId="14">'[5]LGE Coal'!#REF!</definedName>
    <definedName name="coal_ku_01" localSheetId="7">'[5]LGE Coal'!#REF!</definedName>
    <definedName name="coal_ku_01" localSheetId="10">'[5]LGE Coal'!#REF!</definedName>
    <definedName name="coal_ku_01" localSheetId="9">'[5]LGE Coal'!#REF!</definedName>
    <definedName name="coal_ku_01" localSheetId="13">'[5]LGE Coal'!#REF!</definedName>
    <definedName name="coal_ku_01" localSheetId="2">'[5]LGE Coal'!#REF!</definedName>
    <definedName name="coal_ku_01" localSheetId="12">'[5]LGE Coal'!#REF!</definedName>
    <definedName name="coal_ku_01" localSheetId="11">'[5]LGE Coal'!#REF!</definedName>
    <definedName name="coal_ku_01">'[5]LGE Coal'!#REF!</definedName>
    <definedName name="ColumnAttributes1" localSheetId="2">#REF!</definedName>
    <definedName name="ColumnAttributes1">#REF!</definedName>
    <definedName name="ColumnHeadings1" localSheetId="2">#REF!</definedName>
    <definedName name="ColumnHeadings1">#REF!</definedName>
    <definedName name="Comp" localSheetId="2">'Summary SJB Exhibit'!Comp</definedName>
    <definedName name="Comp">[0]!Comp</definedName>
    <definedName name="ConsEarnings" localSheetId="2">#REF!</definedName>
    <definedName name="ConsEarnings">#REF!</definedName>
    <definedName name="CONSOLIDATED" localSheetId="2">#REF!</definedName>
    <definedName name="CONSOLIDATED">#REF!</definedName>
    <definedName name="CORPORATE" localSheetId="2">#REF!</definedName>
    <definedName name="CORPORATE">#REF!</definedName>
    <definedName name="counter" localSheetId="2">#REF!</definedName>
    <definedName name="counter">#REF!</definedName>
    <definedName name="CREDIT" localSheetId="2">#REF!</definedName>
    <definedName name="CREDIT">#REF!</definedName>
    <definedName name="CurReptgMo">[6]Input!$K$19</definedName>
    <definedName name="CurReptgYr">[6]Input!$K$21</definedName>
    <definedName name="D" localSheetId="2">#REF!</definedName>
    <definedName name="D">#REF!</definedName>
    <definedName name="data" localSheetId="2">#REF!</definedName>
    <definedName name="data">#REF!</definedName>
    <definedName name="data1" localSheetId="8">'[7]1'!#REF!</definedName>
    <definedName name="data1" localSheetId="14">'[7]1'!#REF!</definedName>
    <definedName name="data1" localSheetId="7">'[7]1'!#REF!</definedName>
    <definedName name="data1" localSheetId="10">'[7]1'!#REF!</definedName>
    <definedName name="data1" localSheetId="9">'[7]1'!#REF!</definedName>
    <definedName name="data1" localSheetId="13">'[7]1'!#REF!</definedName>
    <definedName name="data1" localSheetId="2">'[7]1'!#REF!</definedName>
    <definedName name="data1" localSheetId="12">'[7]1'!#REF!</definedName>
    <definedName name="data1" localSheetId="11">'[7]1'!#REF!</definedName>
    <definedName name="data1">'[7]1'!#REF!</definedName>
    <definedName name="DateTimeNow">[6]Input!$AE$12</definedName>
    <definedName name="DEBIT" localSheetId="2">#REF!</definedName>
    <definedName name="DEBIT">#REF!</definedName>
    <definedName name="Detail" localSheetId="2">#REF!</definedName>
    <definedName name="Detail">#REF!</definedName>
    <definedName name="ELEC_NET_OP_INC" localSheetId="8">#REF!</definedName>
    <definedName name="ELEC_NET_OP_INC" localSheetId="14">#REF!</definedName>
    <definedName name="ELEC_NET_OP_INC" localSheetId="7">#REF!</definedName>
    <definedName name="ELEC_NET_OP_INC" localSheetId="10">#REF!</definedName>
    <definedName name="ELEC_NET_OP_INC" localSheetId="9">#REF!</definedName>
    <definedName name="ELEC_NET_OP_INC" localSheetId="13">#REF!</definedName>
    <definedName name="ELEC_NET_OP_INC" localSheetId="2">#REF!</definedName>
    <definedName name="ELEC_NET_OP_INC" localSheetId="12">#REF!</definedName>
    <definedName name="ELEC_NET_OP_INC" localSheetId="11">#REF!</definedName>
    <definedName name="ELEC_NET_OP_INC">#REF!</definedName>
    <definedName name="ELIMS" localSheetId="2">#REF!</definedName>
    <definedName name="ELIMS">#REF!</definedName>
    <definedName name="EXHIB1A" localSheetId="8">'[8]#REF'!#REF!</definedName>
    <definedName name="EXHIB1A" localSheetId="14">'[8]#REF'!#REF!</definedName>
    <definedName name="EXHIB1A" localSheetId="7">'[8]#REF'!#REF!</definedName>
    <definedName name="EXHIB1A" localSheetId="10">'[8]#REF'!#REF!</definedName>
    <definedName name="EXHIB1A" localSheetId="9">'[8]#REF'!#REF!</definedName>
    <definedName name="EXHIB1A" localSheetId="13">'[8]#REF'!#REF!</definedName>
    <definedName name="EXHIB1A" localSheetId="2">'[8]#REF'!#REF!</definedName>
    <definedName name="EXHIB1A" localSheetId="12">'[8]#REF'!#REF!</definedName>
    <definedName name="EXHIB1A" localSheetId="11">'[8]#REF'!#REF!</definedName>
    <definedName name="EXHIB1A">'[8]#REF'!#REF!</definedName>
    <definedName name="EXHIB1B" localSheetId="2">#REF!</definedName>
    <definedName name="EXHIB1B">#REF!</definedName>
    <definedName name="EXHIB1C" localSheetId="8">#REF!</definedName>
    <definedName name="EXHIB1C" localSheetId="14">#REF!</definedName>
    <definedName name="EXHIB1C" localSheetId="7">#REF!</definedName>
    <definedName name="EXHIB1C" localSheetId="10">#REF!</definedName>
    <definedName name="EXHIB1C" localSheetId="9">#REF!</definedName>
    <definedName name="EXHIB1C" localSheetId="13">#REF!</definedName>
    <definedName name="EXHIB1C" localSheetId="2">#REF!</definedName>
    <definedName name="EXHIB1C" localSheetId="12">#REF!</definedName>
    <definedName name="EXHIB1C" localSheetId="11">#REF!</definedName>
    <definedName name="EXHIB1C">#REF!</definedName>
    <definedName name="EXHIB2B" localSheetId="8">'[9]Ex 2'!#REF!</definedName>
    <definedName name="EXHIB2B" localSheetId="14">'[9]Ex 2'!#REF!</definedName>
    <definedName name="EXHIB2B" localSheetId="7">'[9]Ex 2'!#REF!</definedName>
    <definedName name="EXHIB2B" localSheetId="10">'[9]Ex 2'!#REF!</definedName>
    <definedName name="EXHIB2B" localSheetId="9">'[9]Ex 2'!#REF!</definedName>
    <definedName name="EXHIB2B" localSheetId="13">'[9]Ex 2'!#REF!</definedName>
    <definedName name="EXHIB2B" localSheetId="2">'[9]Ex 2'!#REF!</definedName>
    <definedName name="EXHIB2B" localSheetId="12">'[9]Ex 2'!#REF!</definedName>
    <definedName name="EXHIB2B" localSheetId="11">'[9]Ex 2'!#REF!</definedName>
    <definedName name="EXHIB2B">'[9]Ex 2'!#REF!</definedName>
    <definedName name="EXHIB3" localSheetId="2">#REF!</definedName>
    <definedName name="EXHIB3">#REF!</definedName>
    <definedName name="EXHIB6" localSheetId="8">'[9]not used Ex 4'!#REF!</definedName>
    <definedName name="EXHIB6" localSheetId="14">'[9]not used Ex 4'!#REF!</definedName>
    <definedName name="EXHIB6" localSheetId="7">'[9]not used Ex 4'!#REF!</definedName>
    <definedName name="EXHIB6" localSheetId="10">'[9]not used Ex 4'!#REF!</definedName>
    <definedName name="EXHIB6" localSheetId="9">'[9]not used Ex 4'!#REF!</definedName>
    <definedName name="EXHIB6" localSheetId="13">'[9]not used Ex 4'!#REF!</definedName>
    <definedName name="EXHIB6" localSheetId="2">'[9]not used Ex 4'!#REF!</definedName>
    <definedName name="EXHIB6" localSheetId="12">'[9]not used Ex 4'!#REF!</definedName>
    <definedName name="EXHIB6" localSheetId="11">'[9]not used Ex 4'!#REF!</definedName>
    <definedName name="EXHIB6">'[9]not used Ex 4'!#REF!</definedName>
    <definedName name="F" localSheetId="2">#REF!</definedName>
    <definedName name="F">#REF!</definedName>
    <definedName name="Fac_2000" localSheetId="8">'[5]LGE Base Fuel &amp; FAC'!#REF!</definedName>
    <definedName name="Fac_2000" localSheetId="14">'[5]LGE Base Fuel &amp; FAC'!#REF!</definedName>
    <definedName name="Fac_2000" localSheetId="7">'[5]LGE Base Fuel &amp; FAC'!#REF!</definedName>
    <definedName name="Fac_2000" localSheetId="10">'[5]LGE Base Fuel &amp; FAC'!#REF!</definedName>
    <definedName name="Fac_2000" localSheetId="9">'[5]LGE Base Fuel &amp; FAC'!#REF!</definedName>
    <definedName name="Fac_2000" localSheetId="13">'[5]LGE Base Fuel &amp; FAC'!#REF!</definedName>
    <definedName name="Fac_2000" localSheetId="2">'[5]LGE Base Fuel &amp; FAC'!#REF!</definedName>
    <definedName name="Fac_2000" localSheetId="12">'[5]LGE Base Fuel &amp; FAC'!#REF!</definedName>
    <definedName name="Fac_2000" localSheetId="11">'[5]LGE Base Fuel &amp; FAC'!#REF!</definedName>
    <definedName name="Fac_2000">'[5]LGE Base Fuel &amp; FAC'!#REF!</definedName>
    <definedName name="fac_annual_ku" localSheetId="8">'[5]LGE Base Fuel &amp; FAC'!#REF!</definedName>
    <definedName name="fac_annual_ku" localSheetId="14">'[5]LGE Base Fuel &amp; FAC'!#REF!</definedName>
    <definedName name="fac_annual_ku" localSheetId="7">'[5]LGE Base Fuel &amp; FAC'!#REF!</definedName>
    <definedName name="fac_annual_ku" localSheetId="10">'[5]LGE Base Fuel &amp; FAC'!#REF!</definedName>
    <definedName name="fac_annual_ku" localSheetId="9">'[5]LGE Base Fuel &amp; FAC'!#REF!</definedName>
    <definedName name="fac_annual_ku" localSheetId="13">'[5]LGE Base Fuel &amp; FAC'!#REF!</definedName>
    <definedName name="fac_annual_ku" localSheetId="2">'[5]LGE Base Fuel &amp; FAC'!#REF!</definedName>
    <definedName name="fac_annual_ku" localSheetId="12">'[5]LGE Base Fuel &amp; FAC'!#REF!</definedName>
    <definedName name="fac_annual_ku" localSheetId="11">'[5]LGE Base Fuel &amp; FAC'!#REF!</definedName>
    <definedName name="fac_annual_ku">'[5]LGE Base Fuel &amp; FAC'!#REF!</definedName>
    <definedName name="fac_hide_ku_01" localSheetId="8">'[5]LGE Base Fuel &amp; FAC'!#REF!</definedName>
    <definedName name="fac_hide_ku_01" localSheetId="14">'[5]LGE Base Fuel &amp; FAC'!#REF!</definedName>
    <definedName name="fac_hide_ku_01" localSheetId="7">'[5]LGE Base Fuel &amp; FAC'!#REF!</definedName>
    <definedName name="fac_hide_ku_01" localSheetId="10">'[5]LGE Base Fuel &amp; FAC'!#REF!</definedName>
    <definedName name="fac_hide_ku_01" localSheetId="9">'[5]LGE Base Fuel &amp; FAC'!#REF!</definedName>
    <definedName name="fac_hide_ku_01" localSheetId="13">'[5]LGE Base Fuel &amp; FAC'!#REF!</definedName>
    <definedName name="fac_hide_ku_01" localSheetId="2">'[5]LGE Base Fuel &amp; FAC'!#REF!</definedName>
    <definedName name="fac_hide_ku_01" localSheetId="12">'[5]LGE Base Fuel &amp; FAC'!#REF!</definedName>
    <definedName name="fac_hide_ku_01" localSheetId="11">'[5]LGE Base Fuel &amp; FAC'!#REF!</definedName>
    <definedName name="fac_hide_ku_01">'[5]LGE Base Fuel &amp; FAC'!#REF!</definedName>
    <definedName name="fac_hide_lge_01" localSheetId="8">'[5]LGE Base Fuel &amp; FAC'!#REF!</definedName>
    <definedName name="fac_hide_lge_01" localSheetId="14">'[5]LGE Base Fuel &amp; FAC'!#REF!</definedName>
    <definedName name="fac_hide_lge_01" localSheetId="7">'[5]LGE Base Fuel &amp; FAC'!#REF!</definedName>
    <definedName name="fac_hide_lge_01" localSheetId="10">'[5]LGE Base Fuel &amp; FAC'!#REF!</definedName>
    <definedName name="fac_hide_lge_01" localSheetId="9">'[5]LGE Base Fuel &amp; FAC'!#REF!</definedName>
    <definedName name="fac_hide_lge_01" localSheetId="13">'[5]LGE Base Fuel &amp; FAC'!#REF!</definedName>
    <definedName name="fac_hide_lge_01" localSheetId="2">'[5]LGE Base Fuel &amp; FAC'!#REF!</definedName>
    <definedName name="fac_hide_lge_01" localSheetId="12">'[5]LGE Base Fuel &amp; FAC'!#REF!</definedName>
    <definedName name="fac_hide_lge_01" localSheetId="11">'[5]LGE Base Fuel &amp; FAC'!#REF!</definedName>
    <definedName name="fac_hide_lge_01">'[5]LGE Base Fuel &amp; FAC'!#REF!</definedName>
    <definedName name="fac_ku_01" localSheetId="8">'[5]LGE Base Fuel &amp; FAC'!#REF!</definedName>
    <definedName name="fac_ku_01" localSheetId="14">'[5]LGE Base Fuel &amp; FAC'!#REF!</definedName>
    <definedName name="fac_ku_01" localSheetId="7">'[5]LGE Base Fuel &amp; FAC'!#REF!</definedName>
    <definedName name="fac_ku_01" localSheetId="10">'[5]LGE Base Fuel &amp; FAC'!#REF!</definedName>
    <definedName name="fac_ku_01" localSheetId="9">'[5]LGE Base Fuel &amp; FAC'!#REF!</definedName>
    <definedName name="fac_ku_01" localSheetId="13">'[5]LGE Base Fuel &amp; FAC'!#REF!</definedName>
    <definedName name="fac_ku_01" localSheetId="2">'[5]LGE Base Fuel &amp; FAC'!#REF!</definedName>
    <definedName name="fac_ku_01" localSheetId="12">'[5]LGE Base Fuel &amp; FAC'!#REF!</definedName>
    <definedName name="fac_ku_01" localSheetId="11">'[5]LGE Base Fuel &amp; FAC'!#REF!</definedName>
    <definedName name="fac_ku_01">'[5]LGE Base Fuel &amp; FAC'!#REF!</definedName>
    <definedName name="FOOTER" localSheetId="8">#REF!</definedName>
    <definedName name="FOOTER" localSheetId="14">#REF!</definedName>
    <definedName name="FOOTER" localSheetId="7">#REF!</definedName>
    <definedName name="FOOTER" localSheetId="10">#REF!</definedName>
    <definedName name="FOOTER" localSheetId="9">#REF!</definedName>
    <definedName name="FOOTER" localSheetId="13">#REF!</definedName>
    <definedName name="FOOTER" localSheetId="2">#REF!</definedName>
    <definedName name="FOOTER" localSheetId="12">#REF!</definedName>
    <definedName name="FOOTER" localSheetId="11">#REF!</definedName>
    <definedName name="FOOTER">#REF!</definedName>
    <definedName name="FORECAST">"'IFPSReport'!R5C3:R5C14"</definedName>
    <definedName name="fuelcost" localSheetId="2">#REF!</definedName>
    <definedName name="fuelcost">#REF!</definedName>
    <definedName name="Gas_Annual_NetRev" localSheetId="2">#REF!</definedName>
    <definedName name="Gas_Annual_NetRev">#REF!</definedName>
    <definedName name="Gas_Annual_Revenue" localSheetId="2">#REF!</definedName>
    <definedName name="Gas_Annual_Revenue">#REF!</definedName>
    <definedName name="gas_data" localSheetId="8">#REF!</definedName>
    <definedName name="gas_data" localSheetId="14">#REF!</definedName>
    <definedName name="gas_data" localSheetId="7">#REF!</definedName>
    <definedName name="gas_data" localSheetId="10">#REF!</definedName>
    <definedName name="gas_data" localSheetId="9">#REF!</definedName>
    <definedName name="gas_data" localSheetId="13">#REF!</definedName>
    <definedName name="gas_data" localSheetId="2">#REF!</definedName>
    <definedName name="gas_data" localSheetId="12">#REF!</definedName>
    <definedName name="gas_data" localSheetId="11">#REF!</definedName>
    <definedName name="gas_data">#REF!</definedName>
    <definedName name="Gas_Monthly_NetRevenue" localSheetId="2">#REF!</definedName>
    <definedName name="Gas_Monthly_NetRevenue">#REF!</definedName>
    <definedName name="GAS_NET_OP_INC" localSheetId="8">#REF!</definedName>
    <definedName name="GAS_NET_OP_INC" localSheetId="14">#REF!</definedName>
    <definedName name="GAS_NET_OP_INC" localSheetId="7">#REF!</definedName>
    <definedName name="GAS_NET_OP_INC" localSheetId="10">#REF!</definedName>
    <definedName name="GAS_NET_OP_INC" localSheetId="9">#REF!</definedName>
    <definedName name="GAS_NET_OP_INC" localSheetId="13">#REF!</definedName>
    <definedName name="GAS_NET_OP_INC" localSheetId="2">#REF!</definedName>
    <definedName name="GAS_NET_OP_INC" localSheetId="12">#REF!</definedName>
    <definedName name="GAS_NET_OP_INC" localSheetId="11">#REF!</definedName>
    <definedName name="GAS_NET_OP_INC">#REF!</definedName>
    <definedName name="Gas_Sales_Revenues" localSheetId="2">#REF!</definedName>
    <definedName name="Gas_Sales_Revenues">#REF!</definedName>
    <definedName name="GenEx_Annual_KU" localSheetId="8">'[5]LGE Cost of Sales'!#REF!</definedName>
    <definedName name="GenEx_Annual_KU" localSheetId="14">'[5]LGE Cost of Sales'!#REF!</definedName>
    <definedName name="GenEx_Annual_KU" localSheetId="7">'[5]LGE Cost of Sales'!#REF!</definedName>
    <definedName name="GenEx_Annual_KU" localSheetId="10">'[5]LGE Cost of Sales'!#REF!</definedName>
    <definedName name="GenEx_Annual_KU" localSheetId="9">'[5]LGE Cost of Sales'!#REF!</definedName>
    <definedName name="GenEx_Annual_KU" localSheetId="13">'[5]LGE Cost of Sales'!#REF!</definedName>
    <definedName name="GenEx_Annual_KU" localSheetId="2">'[5]LGE Cost of Sales'!#REF!</definedName>
    <definedName name="GenEx_Annual_KU" localSheetId="12">'[5]LGE Cost of Sales'!#REF!</definedName>
    <definedName name="GenEx_Annual_KU" localSheetId="11">'[5]LGE Cost of Sales'!#REF!</definedName>
    <definedName name="GenEx_Annual_KU">'[5]LGE Cost of Sales'!#REF!</definedName>
    <definedName name="genex_hide_ku_01" localSheetId="8">'[5]LGE Cost of Sales'!#REF!</definedName>
    <definedName name="genex_hide_ku_01" localSheetId="14">'[5]LGE Cost of Sales'!#REF!</definedName>
    <definedName name="genex_hide_ku_01" localSheetId="7">'[5]LGE Cost of Sales'!#REF!</definedName>
    <definedName name="genex_hide_ku_01" localSheetId="10">'[5]LGE Cost of Sales'!#REF!</definedName>
    <definedName name="genex_hide_ku_01" localSheetId="9">'[5]LGE Cost of Sales'!#REF!</definedName>
    <definedName name="genex_hide_ku_01" localSheetId="13">'[5]LGE Cost of Sales'!#REF!</definedName>
    <definedName name="genex_hide_ku_01" localSheetId="2">'[5]LGE Cost of Sales'!#REF!</definedName>
    <definedName name="genex_hide_ku_01" localSheetId="12">'[5]LGE Cost of Sales'!#REF!</definedName>
    <definedName name="genex_hide_ku_01" localSheetId="11">'[5]LGE Cost of Sales'!#REF!</definedName>
    <definedName name="genex_hide_ku_01">'[5]LGE Cost of Sales'!#REF!</definedName>
    <definedName name="genex_hide_lge_01" localSheetId="8">'[5]LGE Cost of Sales'!#REF!</definedName>
    <definedName name="genex_hide_lge_01" localSheetId="14">'[5]LGE Cost of Sales'!#REF!</definedName>
    <definedName name="genex_hide_lge_01" localSheetId="7">'[5]LGE Cost of Sales'!#REF!</definedName>
    <definedName name="genex_hide_lge_01" localSheetId="10">'[5]LGE Cost of Sales'!#REF!</definedName>
    <definedName name="genex_hide_lge_01" localSheetId="9">'[5]LGE Cost of Sales'!#REF!</definedName>
    <definedName name="genex_hide_lge_01" localSheetId="13">'[5]LGE Cost of Sales'!#REF!</definedName>
    <definedName name="genex_hide_lge_01" localSheetId="2">'[5]LGE Cost of Sales'!#REF!</definedName>
    <definedName name="genex_hide_lge_01" localSheetId="12">'[5]LGE Cost of Sales'!#REF!</definedName>
    <definedName name="genex_hide_lge_01" localSheetId="11">'[5]LGE Cost of Sales'!#REF!</definedName>
    <definedName name="genex_hide_lge_01">'[5]LGE Cost of Sales'!#REF!</definedName>
    <definedName name="genex_ku_01" localSheetId="8">'[5]LGE Cost of Sales'!#REF!</definedName>
    <definedName name="genex_ku_01" localSheetId="14">'[5]LGE Cost of Sales'!#REF!</definedName>
    <definedName name="genex_ku_01" localSheetId="7">'[5]LGE Cost of Sales'!#REF!</definedName>
    <definedName name="genex_ku_01" localSheetId="10">'[5]LGE Cost of Sales'!#REF!</definedName>
    <definedName name="genex_ku_01" localSheetId="9">'[5]LGE Cost of Sales'!#REF!</definedName>
    <definedName name="genex_ku_01" localSheetId="13">'[5]LGE Cost of Sales'!#REF!</definedName>
    <definedName name="genex_ku_01" localSheetId="2">'[5]LGE Cost of Sales'!#REF!</definedName>
    <definedName name="genex_ku_01" localSheetId="12">'[5]LGE Cost of Sales'!#REF!</definedName>
    <definedName name="genex_ku_01" localSheetId="11">'[5]LGE Cost of Sales'!#REF!</definedName>
    <definedName name="genex_ku_01">'[5]LGE Cost of Sales'!#REF!</definedName>
    <definedName name="H" localSheetId="2">#REF!</definedName>
    <definedName name="H">#REF!</definedName>
    <definedName name="Home_KU" localSheetId="2">#REF!</definedName>
    <definedName name="Home_KU">#REF!</definedName>
    <definedName name="INPUT1" localSheetId="2">#REF!</definedName>
    <definedName name="INPUT1">#REF!</definedName>
    <definedName name="INPUT2" localSheetId="2">#REF!</definedName>
    <definedName name="INPUT2">#REF!</definedName>
    <definedName name="INPUTCOL" localSheetId="2">#REF!</definedName>
    <definedName name="INPUTCOL">#REF!</definedName>
    <definedName name="INPUTROW" localSheetId="2">#REF!</definedName>
    <definedName name="INPUTROW">#REF!</definedName>
    <definedName name="InputSec01">[6]Input!$M$30</definedName>
    <definedName name="InputSec02">[6]Input!$M$40:$M$75</definedName>
    <definedName name="InputSec03">[6]Input!$K$87:$Q$89</definedName>
    <definedName name="InputSec04">[6]Input!$O$100:$Q$100</definedName>
    <definedName name="InputSec05A">[6]Input!$O$110:$Q$110</definedName>
    <definedName name="InputSec05B">[6]Input!$O$116:$Q$122</definedName>
    <definedName name="InputSec06">[6]Input!$M$133:$O$142</definedName>
    <definedName name="InputSec07">[6]Input!$O$151:$O$181</definedName>
    <definedName name="InputSec08A">[6]Input!$O$259:$O$283</definedName>
    <definedName name="InputSec08B">[6]Input!$G$296:$Q$296</definedName>
    <definedName name="InputSec08C">[6]Input!$I$306:$K$306</definedName>
    <definedName name="InputSec09A">[6]Input!$K$316:$Q$318</definedName>
    <definedName name="InputSec09B">[6]Input!$K$328:$M$330</definedName>
    <definedName name="InputSec10A">[6]Input!$K$345:$O$349</definedName>
    <definedName name="InputSec10B">[6]Input!$K$355:$O$355</definedName>
    <definedName name="InputSec10C">[6]Input!$K$362:$O$364</definedName>
    <definedName name="InputSec10D">[6]Input!$K$370:$O$370</definedName>
    <definedName name="InputSec11">[6]Input!$M$383:$O$391</definedName>
    <definedName name="InputSec12A">[6]Input!$M$406:$M$418</definedName>
    <definedName name="InputSec12B">[6]Input!$M$424</definedName>
    <definedName name="InputSec13">[6]Input!$M$433:$O$433</definedName>
    <definedName name="KUELIMBAL" localSheetId="8">#REF!</definedName>
    <definedName name="KUELIMBAL" localSheetId="14">#REF!</definedName>
    <definedName name="KUELIMBAL" localSheetId="7">#REF!</definedName>
    <definedName name="KUELIMBAL" localSheetId="10">#REF!</definedName>
    <definedName name="KUELIMBAL" localSheetId="9">#REF!</definedName>
    <definedName name="KUELIMBAL" localSheetId="13">#REF!</definedName>
    <definedName name="KUELIMBAL" localSheetId="2">#REF!</definedName>
    <definedName name="KUELIMBAL" localSheetId="12">#REF!</definedName>
    <definedName name="KUELIMBAL" localSheetId="11">#REF!</definedName>
    <definedName name="KUELIMBAL">#REF!</definedName>
    <definedName name="KUELIMCASH" localSheetId="8">#REF!</definedName>
    <definedName name="KUELIMCASH" localSheetId="14">#REF!</definedName>
    <definedName name="KUELIMCASH" localSheetId="7">#REF!</definedName>
    <definedName name="KUELIMCASH" localSheetId="10">#REF!</definedName>
    <definedName name="KUELIMCASH" localSheetId="9">#REF!</definedName>
    <definedName name="KUELIMCASH" localSheetId="13">#REF!</definedName>
    <definedName name="KUELIMCASH" localSheetId="2">#REF!</definedName>
    <definedName name="KUELIMCASH" localSheetId="12">#REF!</definedName>
    <definedName name="KUELIMCASH" localSheetId="11">#REF!</definedName>
    <definedName name="KUELIMCASH">#REF!</definedName>
    <definedName name="KUPWRGENIS" localSheetId="2">#REF!</definedName>
    <definedName name="KUPWRGENIS">#REF!</definedName>
    <definedName name="KWHCol01">[6]KWHDistDatabase!$I$5:$I$425</definedName>
    <definedName name="KWHCol02">[6]KWHDistDatabase!$J$5:$J$425</definedName>
    <definedName name="KWHCol03">[6]KWHDistDatabase!$K$5:$K$425</definedName>
    <definedName name="KWHCol04">[6]KWHDistDatabase!$L$5:$L$425</definedName>
    <definedName name="KWHCol05">[6]KWHDistDatabase!$M$5:$M$425</definedName>
    <definedName name="KWHCol06">[6]KWHDistDatabase!$N$5:$N$425</definedName>
    <definedName name="KWHCol07">[6]KWHDistDatabase!$O$5:$O$425</definedName>
    <definedName name="KWHCol08">[6]KWHDistDatabase!$P$5:$P$425</definedName>
    <definedName name="KWHCol09">[6]KWHDistDatabase!$Q$5:$Q$425</definedName>
    <definedName name="KWHCol10">[6]KWHDistDatabase!$R$5:$R$425</definedName>
    <definedName name="KWHCol11">[6]KWHDistDatabase!$S$5:$S$425</definedName>
    <definedName name="KWHCol12">[6]KWHDistDatabase!$T$5:$T$425</definedName>
    <definedName name="KWHCol13">[6]KWHDistDatabase!$U$5:$U$425</definedName>
    <definedName name="KWHCol14">[6]KWHDistDatabase!$V$5:$V$425</definedName>
    <definedName name="KWHCol15">[6]KWHDistDatabase!$W$5:$W$425</definedName>
    <definedName name="KWHCol16">[6]KWHDistDatabase!$X$5:$X$425</definedName>
    <definedName name="KWHCol17">[6]KWHDistDatabase!$Y$5:$Y$425</definedName>
    <definedName name="KWHCol18">[6]KWHDistDatabase!$Z$5:$Z$425</definedName>
    <definedName name="KWHCol19">[6]KWHDistDatabase!$AA$5:$AA$425</definedName>
    <definedName name="KWHCol20">[6]KWHDistDatabase!$AB$5:$AB$425</definedName>
    <definedName name="KWHCol21">[6]KWHDistDatabase!$AC$5:$AC$425</definedName>
    <definedName name="KWHCol22">[6]KWHDistDatabase!$AD$5:$AD$425</definedName>
    <definedName name="KWHCol23">[6]KWHDistDatabase!$AE$5:$AE$425</definedName>
    <definedName name="KWHCol24">[6]KWHDistDatabase!$AF$5:$AF$425</definedName>
    <definedName name="KWHCol25">[6]KWHDistDatabase!$AG$5:$AG$425</definedName>
    <definedName name="KWHColTmp">[6]KWHDistDatabase!$AI$5:$AI$425</definedName>
    <definedName name="LEC" localSheetId="2">#REF!</definedName>
    <definedName name="LEC">#REF!</definedName>
    <definedName name="LECBAL" localSheetId="2">#REF!</definedName>
    <definedName name="LECBAL">#REF!</definedName>
    <definedName name="LECCASH" localSheetId="2">#REF!</definedName>
    <definedName name="LECCASH">#REF!</definedName>
    <definedName name="LES" localSheetId="2">#REF!</definedName>
    <definedName name="LES">#REF!</definedName>
    <definedName name="LGE" localSheetId="2">#REF!</definedName>
    <definedName name="LGE">#REF!</definedName>
    <definedName name="LNGCL" localSheetId="8">#REF!</definedName>
    <definedName name="LNGCL" localSheetId="14">#REF!</definedName>
    <definedName name="LNGCL" localSheetId="7">#REF!</definedName>
    <definedName name="LNGCL" localSheetId="10">#REF!</definedName>
    <definedName name="LNGCL" localSheetId="9">#REF!</definedName>
    <definedName name="LNGCL" localSheetId="13">#REF!</definedName>
    <definedName name="LNGCL" localSheetId="2">#REF!</definedName>
    <definedName name="LNGCL" localSheetId="12">#REF!</definedName>
    <definedName name="LNGCL" localSheetId="11">#REF!</definedName>
    <definedName name="LNGCL">#REF!</definedName>
    <definedName name="Losses_by_State" localSheetId="2">#REF!</definedName>
    <definedName name="Losses_by_State">#REF!</definedName>
    <definedName name="LOUPHONECOBAL" localSheetId="2">#REF!</definedName>
    <definedName name="LOUPHONECOBAL">#REF!</definedName>
    <definedName name="LOUPHONECOCASH" localSheetId="2">#REF!</definedName>
    <definedName name="LOUPHONECOCASH">#REF!</definedName>
    <definedName name="LOUPHONECOIS" localSheetId="2">#REF!</definedName>
    <definedName name="LOUPHONECOIS">#REF!</definedName>
    <definedName name="LPI" localSheetId="2">#REF!</definedName>
    <definedName name="LPI">#REF!</definedName>
    <definedName name="MAIN" localSheetId="2">#REF!</definedName>
    <definedName name="MAIN">#REF!</definedName>
    <definedName name="MESG1" localSheetId="2">#REF!</definedName>
    <definedName name="MESG1">#REF!</definedName>
    <definedName name="MESG2" localSheetId="2">#REF!</definedName>
    <definedName name="MESG2">#REF!</definedName>
    <definedName name="MONTH_NAME" localSheetId="2">#REF!</definedName>
    <definedName name="MONTH_NAME">#REF!</definedName>
    <definedName name="MONTHCOUNT" localSheetId="2">#REF!</definedName>
    <definedName name="MONTHCOUNT">#REF!</definedName>
    <definedName name="NATURAL" localSheetId="2">#REF!</definedName>
    <definedName name="NATURAL">#REF!</definedName>
    <definedName name="NET_OP_INC" localSheetId="8">#REF!</definedName>
    <definedName name="NET_OP_INC" localSheetId="14">#REF!</definedName>
    <definedName name="NET_OP_INC" localSheetId="7">#REF!</definedName>
    <definedName name="NET_OP_INC" localSheetId="10">#REF!</definedName>
    <definedName name="NET_OP_INC" localSheetId="9">#REF!</definedName>
    <definedName name="NET_OP_INC" localSheetId="13">#REF!</definedName>
    <definedName name="NET_OP_INC" localSheetId="2">#REF!</definedName>
    <definedName name="NET_OP_INC" localSheetId="12">#REF!</definedName>
    <definedName name="NET_OP_INC" localSheetId="11">#REF!</definedName>
    <definedName name="NET_OP_INC">#REF!</definedName>
    <definedName name="Net_Revenues" localSheetId="2">#REF!</definedName>
    <definedName name="Net_Revenues">#REF!</definedName>
    <definedName name="Net_Unbilled_KWh" localSheetId="2">#REF!</definedName>
    <definedName name="Net_Unbilled_KWh">#REF!</definedName>
    <definedName name="Net_Unbilled_Revenue_Dollars" localSheetId="2">#REF!</definedName>
    <definedName name="Net_Unbilled_Revenue_Dollars">#REF!</definedName>
    <definedName name="netrev_hide_ku_01" localSheetId="8">'[5]LGE Gross Margin-Inc.Stmt'!#REF!</definedName>
    <definedName name="netrev_hide_ku_01" localSheetId="14">'[5]LGE Gross Margin-Inc.Stmt'!#REF!</definedName>
    <definedName name="netrev_hide_ku_01" localSheetId="7">'[5]LGE Gross Margin-Inc.Stmt'!#REF!</definedName>
    <definedName name="netrev_hide_ku_01" localSheetId="10">'[5]LGE Gross Margin-Inc.Stmt'!#REF!</definedName>
    <definedName name="netrev_hide_ku_01" localSheetId="9">'[5]LGE Gross Margin-Inc.Stmt'!#REF!</definedName>
    <definedName name="netrev_hide_ku_01" localSheetId="13">'[5]LGE Gross Margin-Inc.Stmt'!#REF!</definedName>
    <definedName name="netrev_hide_ku_01" localSheetId="2">'[5]LGE Gross Margin-Inc.Stmt'!#REF!</definedName>
    <definedName name="netrev_hide_ku_01" localSheetId="12">'[5]LGE Gross Margin-Inc.Stmt'!#REF!</definedName>
    <definedName name="netrev_hide_ku_01" localSheetId="11">'[5]LGE Gross Margin-Inc.Stmt'!#REF!</definedName>
    <definedName name="netrev_hide_ku_01">'[5]LGE Gross Margin-Inc.Stmt'!#REF!</definedName>
    <definedName name="netrev_hide_lge_01" localSheetId="8">'[5]LGE Gross Margin-Inc.Stmt'!#REF!</definedName>
    <definedName name="netrev_hide_lge_01" localSheetId="14">'[5]LGE Gross Margin-Inc.Stmt'!#REF!</definedName>
    <definedName name="netrev_hide_lge_01" localSheetId="7">'[5]LGE Gross Margin-Inc.Stmt'!#REF!</definedName>
    <definedName name="netrev_hide_lge_01" localSheetId="10">'[5]LGE Gross Margin-Inc.Stmt'!#REF!</definedName>
    <definedName name="netrev_hide_lge_01" localSheetId="9">'[5]LGE Gross Margin-Inc.Stmt'!#REF!</definedName>
    <definedName name="netrev_hide_lge_01" localSheetId="13">'[5]LGE Gross Margin-Inc.Stmt'!#REF!</definedName>
    <definedName name="netrev_hide_lge_01" localSheetId="2">'[5]LGE Gross Margin-Inc.Stmt'!#REF!</definedName>
    <definedName name="netrev_hide_lge_01" localSheetId="12">'[5]LGE Gross Margin-Inc.Stmt'!#REF!</definedName>
    <definedName name="netrev_hide_lge_01" localSheetId="11">'[5]LGE Gross Margin-Inc.Stmt'!#REF!</definedName>
    <definedName name="netrev_hide_lge_01">'[5]LGE Gross Margin-Inc.Stmt'!#REF!</definedName>
    <definedName name="netrev_ku_01" localSheetId="8">'[5]LGE Gross Margin-Inc.Stmt'!#REF!</definedName>
    <definedName name="netrev_ku_01" localSheetId="14">'[5]LGE Gross Margin-Inc.Stmt'!#REF!</definedName>
    <definedName name="netrev_ku_01" localSheetId="7">'[5]LGE Gross Margin-Inc.Stmt'!#REF!</definedName>
    <definedName name="netrev_ku_01" localSheetId="10">'[5]LGE Gross Margin-Inc.Stmt'!#REF!</definedName>
    <definedName name="netrev_ku_01" localSheetId="9">'[5]LGE Gross Margin-Inc.Stmt'!#REF!</definedName>
    <definedName name="netrev_ku_01" localSheetId="13">'[5]LGE Gross Margin-Inc.Stmt'!#REF!</definedName>
    <definedName name="netrev_ku_01" localSheetId="2">'[5]LGE Gross Margin-Inc.Stmt'!#REF!</definedName>
    <definedName name="netrev_ku_01" localSheetId="12">'[5]LGE Gross Margin-Inc.Stmt'!#REF!</definedName>
    <definedName name="netrev_ku_01" localSheetId="11">'[5]LGE Gross Margin-Inc.Stmt'!#REF!</definedName>
    <definedName name="netrev_ku_01">'[5]LGE Gross Margin-Inc.Stmt'!#REF!</definedName>
    <definedName name="NetRevenue_Annual_KU" localSheetId="8">'[5]LGE Gross Margin-Inc.Stmt'!#REF!</definedName>
    <definedName name="NetRevenue_Annual_KU" localSheetId="14">'[5]LGE Gross Margin-Inc.Stmt'!#REF!</definedName>
    <definedName name="NetRevenue_Annual_KU" localSheetId="7">'[5]LGE Gross Margin-Inc.Stmt'!#REF!</definedName>
    <definedName name="NetRevenue_Annual_KU" localSheetId="10">'[5]LGE Gross Margin-Inc.Stmt'!#REF!</definedName>
    <definedName name="NetRevenue_Annual_KU" localSheetId="9">'[5]LGE Gross Margin-Inc.Stmt'!#REF!</definedName>
    <definedName name="NetRevenue_Annual_KU" localSheetId="13">'[5]LGE Gross Margin-Inc.Stmt'!#REF!</definedName>
    <definedName name="NetRevenue_Annual_KU" localSheetId="2">'[5]LGE Gross Margin-Inc.Stmt'!#REF!</definedName>
    <definedName name="NetRevenue_Annual_KU" localSheetId="12">'[5]LGE Gross Margin-Inc.Stmt'!#REF!</definedName>
    <definedName name="NetRevenue_Annual_KU" localSheetId="11">'[5]LGE Gross Margin-Inc.Stmt'!#REF!</definedName>
    <definedName name="NetRevenue_Annual_KU">'[5]LGE Gross Margin-Inc.Stmt'!#REF!</definedName>
    <definedName name="NetRevenues" localSheetId="2">#REF!</definedName>
    <definedName name="NetRevenues">#REF!</definedName>
    <definedName name="NextReptgMo">[6]Input!$AE$19</definedName>
    <definedName name="NextReptgYr">[6]Input!$AE$21</definedName>
    <definedName name="Operating_Revenue_Dollars" localSheetId="2">#REF!</definedName>
    <definedName name="Operating_Revenue_Dollars">#REF!</definedName>
    <definedName name="Operating_Sales__KWh" localSheetId="2">#REF!</definedName>
    <definedName name="Operating_Sales__KWh">#REF!</definedName>
    <definedName name="PAGE" localSheetId="2">#REF!</definedName>
    <definedName name="PAGE">#REF!</definedName>
    <definedName name="PAGE10" localSheetId="2">#REF!</definedName>
    <definedName name="PAGE10">#REF!</definedName>
    <definedName name="PAGE1B" localSheetId="8">[3]d20!#REF!</definedName>
    <definedName name="PAGE1B" localSheetId="14">[3]d20!#REF!</definedName>
    <definedName name="PAGE1B" localSheetId="7">[3]d20!#REF!</definedName>
    <definedName name="PAGE1B" localSheetId="10">[3]d20!#REF!</definedName>
    <definedName name="PAGE1B" localSheetId="9">[3]d20!#REF!</definedName>
    <definedName name="PAGE1B" localSheetId="13">[3]d20!#REF!</definedName>
    <definedName name="PAGE1B" localSheetId="2">[3]d20!#REF!</definedName>
    <definedName name="PAGE1B" localSheetId="12">[3]d20!#REF!</definedName>
    <definedName name="PAGE1B" localSheetId="11">[3]d20!#REF!</definedName>
    <definedName name="PAGE1B">[3]d20!#REF!</definedName>
    <definedName name="PAGE7" localSheetId="2">#REF!</definedName>
    <definedName name="PAGE7">#REF!</definedName>
    <definedName name="page8" localSheetId="2">#REF!</definedName>
    <definedName name="page8">#REF!</definedName>
    <definedName name="PAGE9" localSheetId="2">#REF!</definedName>
    <definedName name="PAGE9">#REF!</definedName>
    <definedName name="PgFERC_449" localSheetId="2">#REF!</definedName>
    <definedName name="PgFERC_449">#REF!</definedName>
    <definedName name="Plan" localSheetId="2">#REF!</definedName>
    <definedName name="Plan">#REF!</definedName>
    <definedName name="_xlnm.Print_Area" localSheetId="8">'AES Unit Costs'!$A$1:$K$62</definedName>
    <definedName name="_xlnm.Print_Area" localSheetId="3">'Allocation ProForma'!$F$4:$T$917</definedName>
    <definedName name="_xlnm.Print_Area" localSheetId="5">'Billing Det'!$A$1:$H$40</definedName>
    <definedName name="_xlnm.Print_Area" localSheetId="14">'FLS Unit Costs'!$A$1:$K$56</definedName>
    <definedName name="_xlnm.Print_Area" localSheetId="1">'Functional Assignment'!$F$5:$AJ$665</definedName>
    <definedName name="_xlnm.Print_Area" localSheetId="7">'GS Unit Costs'!$A$1:$K$62</definedName>
    <definedName name="_xlnm.Print_Area" localSheetId="0">'Jurisdictional Study'!$B$19:$Q$1432</definedName>
    <definedName name="_xlnm.Print_Area" localSheetId="15">Meters!$A$1:$H$62</definedName>
    <definedName name="_xlnm.Print_Area" localSheetId="10">'PSP Unit Costs'!$A$1:$K$56</definedName>
    <definedName name="_xlnm.Print_Area" localSheetId="9">'PSS Unit Costs'!$A$1:$K$56</definedName>
    <definedName name="_xlnm.Print_Area" localSheetId="6">'RS Unit Costs'!$A$1:$K$56</definedName>
    <definedName name="_xlnm.Print_Area" localSheetId="13">'RTS Unit Costs'!$A$1:$K$56</definedName>
    <definedName name="_xlnm.Print_Area" localSheetId="16">Services!$A$1:$D$59</definedName>
    <definedName name="_xlnm.Print_Area" localSheetId="4">'Summary of Returns'!$A$1:$G$62</definedName>
    <definedName name="_xlnm.Print_Area" localSheetId="2">'Summary SJB Exhibit'!$F$4:$T$136</definedName>
    <definedName name="_xlnm.Print_Area" localSheetId="12">'TODP Unit Costs'!$A$1:$K$56</definedName>
    <definedName name="_xlnm.Print_Area" localSheetId="11">'TODS Unit Costs'!$A$1:$K$56</definedName>
    <definedName name="_xlnm.Print_Titles" localSheetId="3">'Allocation ProForma'!$A:$E,'Allocation ProForma'!$1:$3</definedName>
    <definedName name="_xlnm.Print_Titles" localSheetId="5">'Billing Det'!$A:$A,'Billing Det'!$75:$76</definedName>
    <definedName name="_xlnm.Print_Titles" localSheetId="1">'Functional Assignment'!$A:$E,'Functional Assignment'!$1:$4</definedName>
    <definedName name="_xlnm.Print_Titles" localSheetId="0">'Jurisdictional Study'!$19:$22</definedName>
    <definedName name="_xlnm.Print_Titles" localSheetId="2">'Summary SJB Exhibit'!$A:$F,'Summary SJB Exhibit'!$1:$3</definedName>
    <definedName name="PRINT1" localSheetId="2">#REF!</definedName>
    <definedName name="PRINT1">#REF!</definedName>
    <definedName name="PWRGENBAL" localSheetId="2">#REF!</definedName>
    <definedName name="PWRGENBAL">#REF!</definedName>
    <definedName name="PWRGENCASH" localSheetId="2">#REF!</definedName>
    <definedName name="PWRGENCASH">#REF!</definedName>
    <definedName name="QtrbyMonth" localSheetId="2">#REF!</definedName>
    <definedName name="QtrbyMonth">#REF!</definedName>
    <definedName name="RangeRptgMo">[10]Main!$K$11</definedName>
    <definedName name="RangeRptgYr">[11]Main!$G$5</definedName>
    <definedName name="REPORT" localSheetId="2">#REF!</definedName>
    <definedName name="REPORT">#REF!</definedName>
    <definedName name="ReportTitle1" localSheetId="2">#REF!</definedName>
    <definedName name="ReportTitle1">#REF!</definedName>
    <definedName name="require_hide_ku_01" localSheetId="8">'[5]LGE Require &amp; Source'!#REF!</definedName>
    <definedName name="require_hide_ku_01" localSheetId="14">'[5]LGE Require &amp; Source'!#REF!</definedName>
    <definedName name="require_hide_ku_01" localSheetId="7">'[5]LGE Require &amp; Source'!#REF!</definedName>
    <definedName name="require_hide_ku_01" localSheetId="10">'[5]LGE Require &amp; Source'!#REF!</definedName>
    <definedName name="require_hide_ku_01" localSheetId="9">'[5]LGE Require &amp; Source'!#REF!</definedName>
    <definedName name="require_hide_ku_01" localSheetId="13">'[5]LGE Require &amp; Source'!#REF!</definedName>
    <definedName name="require_hide_ku_01" localSheetId="2">'[5]LGE Require &amp; Source'!#REF!</definedName>
    <definedName name="require_hide_ku_01" localSheetId="12">'[5]LGE Require &amp; Source'!#REF!</definedName>
    <definedName name="require_hide_ku_01" localSheetId="11">'[5]LGE Require &amp; Source'!#REF!</definedName>
    <definedName name="require_hide_ku_01">'[5]LGE Require &amp; Source'!#REF!</definedName>
    <definedName name="require_hide_lge_01" localSheetId="8">'[5]LGE Require &amp; Source'!#REF!</definedName>
    <definedName name="require_hide_lge_01" localSheetId="14">'[5]LGE Require &amp; Source'!#REF!</definedName>
    <definedName name="require_hide_lge_01" localSheetId="7">'[5]LGE Require &amp; Source'!#REF!</definedName>
    <definedName name="require_hide_lge_01" localSheetId="10">'[5]LGE Require &amp; Source'!#REF!</definedName>
    <definedName name="require_hide_lge_01" localSheetId="9">'[5]LGE Require &amp; Source'!#REF!</definedName>
    <definedName name="require_hide_lge_01" localSheetId="13">'[5]LGE Require &amp; Source'!#REF!</definedName>
    <definedName name="require_hide_lge_01" localSheetId="2">'[5]LGE Require &amp; Source'!#REF!</definedName>
    <definedName name="require_hide_lge_01" localSheetId="12">'[5]LGE Require &amp; Source'!#REF!</definedName>
    <definedName name="require_hide_lge_01" localSheetId="11">'[5]LGE Require &amp; Source'!#REF!</definedName>
    <definedName name="require_hide_lge_01">'[5]LGE Require &amp; Source'!#REF!</definedName>
    <definedName name="require_ku_01" localSheetId="8">'[5]LGE Require &amp; Source'!#REF!</definedName>
    <definedName name="require_ku_01" localSheetId="14">'[5]LGE Require &amp; Source'!#REF!</definedName>
    <definedName name="require_ku_01" localSheetId="7">'[5]LGE Require &amp; Source'!#REF!</definedName>
    <definedName name="require_ku_01" localSheetId="10">'[5]LGE Require &amp; Source'!#REF!</definedName>
    <definedName name="require_ku_01" localSheetId="9">'[5]LGE Require &amp; Source'!#REF!</definedName>
    <definedName name="require_ku_01" localSheetId="13">'[5]LGE Require &amp; Source'!#REF!</definedName>
    <definedName name="require_ku_01" localSheetId="2">'[5]LGE Require &amp; Source'!#REF!</definedName>
    <definedName name="require_ku_01" localSheetId="12">'[5]LGE Require &amp; Source'!#REF!</definedName>
    <definedName name="require_ku_01" localSheetId="11">'[5]LGE Require &amp; Source'!#REF!</definedName>
    <definedName name="require_ku_01">'[5]LGE Require &amp; Source'!#REF!</definedName>
    <definedName name="Requirements_Annual_KU" localSheetId="8">'[5]LGE Require &amp; Source'!#REF!</definedName>
    <definedName name="Requirements_Annual_KU" localSheetId="14">'[5]LGE Require &amp; Source'!#REF!</definedName>
    <definedName name="Requirements_Annual_KU" localSheetId="7">'[5]LGE Require &amp; Source'!#REF!</definedName>
    <definedName name="Requirements_Annual_KU" localSheetId="10">'[5]LGE Require &amp; Source'!#REF!</definedName>
    <definedName name="Requirements_Annual_KU" localSheetId="9">'[5]LGE Require &amp; Source'!#REF!</definedName>
    <definedName name="Requirements_Annual_KU" localSheetId="13">'[5]LGE Require &amp; Source'!#REF!</definedName>
    <definedName name="Requirements_Annual_KU" localSheetId="2">'[5]LGE Require &amp; Source'!#REF!</definedName>
    <definedName name="Requirements_Annual_KU" localSheetId="12">'[5]LGE Require &amp; Source'!#REF!</definedName>
    <definedName name="Requirements_Annual_KU" localSheetId="11">'[5]LGE Require &amp; Source'!#REF!</definedName>
    <definedName name="Requirements_Annual_KU">'[5]LGE Require &amp; Source'!#REF!</definedName>
    <definedName name="Requirements_Data" localSheetId="8">'[5]LGE Require &amp; Source'!#REF!</definedName>
    <definedName name="Requirements_Data" localSheetId="14">'[5]LGE Require &amp; Source'!#REF!</definedName>
    <definedName name="Requirements_Data" localSheetId="7">'[5]LGE Require &amp; Source'!#REF!</definedName>
    <definedName name="Requirements_Data" localSheetId="10">'[5]LGE Require &amp; Source'!#REF!</definedName>
    <definedName name="Requirements_Data" localSheetId="9">'[5]LGE Require &amp; Source'!#REF!</definedName>
    <definedName name="Requirements_Data" localSheetId="13">'[5]LGE Require &amp; Source'!#REF!</definedName>
    <definedName name="Requirements_Data" localSheetId="2">'[5]LGE Require &amp; Source'!#REF!</definedName>
    <definedName name="Requirements_Data" localSheetId="12">'[5]LGE Require &amp; Source'!#REF!</definedName>
    <definedName name="Requirements_Data" localSheetId="11">'[5]LGE Require &amp; Source'!#REF!</definedName>
    <definedName name="Requirements_Data">'[5]LGE Require &amp; Source'!#REF!</definedName>
    <definedName name="Requirements_KU" localSheetId="8">'[5]LGE Require &amp; Source'!#REF!</definedName>
    <definedName name="Requirements_KU" localSheetId="14">'[5]LGE Require &amp; Source'!#REF!</definedName>
    <definedName name="Requirements_KU" localSheetId="7">'[5]LGE Require &amp; Source'!#REF!</definedName>
    <definedName name="Requirements_KU" localSheetId="10">'[5]LGE Require &amp; Source'!#REF!</definedName>
    <definedName name="Requirements_KU" localSheetId="9">'[5]LGE Require &amp; Source'!#REF!</definedName>
    <definedName name="Requirements_KU" localSheetId="13">'[5]LGE Require &amp; Source'!#REF!</definedName>
    <definedName name="Requirements_KU" localSheetId="2">'[5]LGE Require &amp; Source'!#REF!</definedName>
    <definedName name="Requirements_KU" localSheetId="12">'[5]LGE Require &amp; Source'!#REF!</definedName>
    <definedName name="Requirements_KU" localSheetId="11">'[5]LGE Require &amp; Source'!#REF!</definedName>
    <definedName name="Requirements_KU">'[5]LGE Require &amp; Source'!#REF!</definedName>
    <definedName name="RevCol01" localSheetId="2">#REF!</definedName>
    <definedName name="RevCol01">#REF!</definedName>
    <definedName name="RevCol01A" localSheetId="2">#REF!</definedName>
    <definedName name="RevCol01A">#REF!</definedName>
    <definedName name="RevCol01B" localSheetId="8">#REF!</definedName>
    <definedName name="RevCol01B" localSheetId="14">#REF!</definedName>
    <definedName name="RevCol01B" localSheetId="7">#REF!</definedName>
    <definedName name="RevCol01B" localSheetId="10">#REF!</definedName>
    <definedName name="RevCol01B" localSheetId="9">#REF!</definedName>
    <definedName name="RevCol01B" localSheetId="13">#REF!</definedName>
    <definedName name="RevCol01B" localSheetId="2">#REF!</definedName>
    <definedName name="RevCol01B" localSheetId="12">#REF!</definedName>
    <definedName name="RevCol01B" localSheetId="11">#REF!</definedName>
    <definedName name="RevCol01B">#REF!</definedName>
    <definedName name="RevCol02" localSheetId="2">#REF!</definedName>
    <definedName name="RevCol02">#REF!</definedName>
    <definedName name="RevCol02A" localSheetId="2">#REF!</definedName>
    <definedName name="RevCol02A">#REF!</definedName>
    <definedName name="RevCol02B" localSheetId="8">#REF!</definedName>
    <definedName name="RevCol02B" localSheetId="14">#REF!</definedName>
    <definedName name="RevCol02B" localSheetId="7">#REF!</definedName>
    <definedName name="RevCol02B" localSheetId="10">#REF!</definedName>
    <definedName name="RevCol02B" localSheetId="9">#REF!</definedName>
    <definedName name="RevCol02B" localSheetId="13">#REF!</definedName>
    <definedName name="RevCol02B" localSheetId="2">#REF!</definedName>
    <definedName name="RevCol02B" localSheetId="12">#REF!</definedName>
    <definedName name="RevCol02B" localSheetId="11">#REF!</definedName>
    <definedName name="RevCol02B">#REF!</definedName>
    <definedName name="RevCol03" localSheetId="2">#REF!</definedName>
    <definedName name="RevCol03">#REF!</definedName>
    <definedName name="RevCol04" localSheetId="2">#REF!</definedName>
    <definedName name="RevCol04">#REF!</definedName>
    <definedName name="RevCol05" localSheetId="2">#REF!</definedName>
    <definedName name="RevCol05">#REF!</definedName>
    <definedName name="RevCol06" localSheetId="2">#REF!</definedName>
    <definedName name="RevCol06">#REF!</definedName>
    <definedName name="RevCol07" localSheetId="2">#REF!</definedName>
    <definedName name="RevCol07">#REF!</definedName>
    <definedName name="RevCol08" localSheetId="2">#REF!</definedName>
    <definedName name="RevCol08">#REF!</definedName>
    <definedName name="RevCol09" localSheetId="2">#REF!</definedName>
    <definedName name="RevCol09">#REF!</definedName>
    <definedName name="RevCol10" localSheetId="2">#REF!</definedName>
    <definedName name="RevCol10">#REF!</definedName>
    <definedName name="RevCol11" localSheetId="2">#REF!</definedName>
    <definedName name="RevCol11">#REF!</definedName>
    <definedName name="RevCol12" localSheetId="2">#REF!</definedName>
    <definedName name="RevCol12">#REF!</definedName>
    <definedName name="RevCol13" localSheetId="2">#REF!</definedName>
    <definedName name="RevCol13">#REF!</definedName>
    <definedName name="RevCol14" localSheetId="2">#REF!</definedName>
    <definedName name="RevCol14">#REF!</definedName>
    <definedName name="RevCol15" localSheetId="2">#REF!</definedName>
    <definedName name="RevCol15">#REF!</definedName>
    <definedName name="RevCol16" localSheetId="2">#REF!</definedName>
    <definedName name="RevCol16">#REF!</definedName>
    <definedName name="RevCol17" localSheetId="2">#REF!</definedName>
    <definedName name="RevCol17">#REF!</definedName>
    <definedName name="RevCol18" localSheetId="2">#REF!</definedName>
    <definedName name="RevCol18">#REF!</definedName>
    <definedName name="RevCol19" localSheetId="2">#REF!</definedName>
    <definedName name="RevCol19">#REF!</definedName>
    <definedName name="RevCol20" localSheetId="2">#REF!</definedName>
    <definedName name="RevCol20">#REF!</definedName>
    <definedName name="RevCol21" localSheetId="2">#REF!</definedName>
    <definedName name="RevCol21">#REF!</definedName>
    <definedName name="RevCol22" localSheetId="2">#REF!</definedName>
    <definedName name="RevCol22">#REF!</definedName>
    <definedName name="RevCol23" localSheetId="2">#REF!</definedName>
    <definedName name="RevCol23">#REF!</definedName>
    <definedName name="RevCol24" localSheetId="2">#REF!</definedName>
    <definedName name="RevCol24">#REF!</definedName>
    <definedName name="RevCol25" localSheetId="2">#REF!</definedName>
    <definedName name="RevCol25">#REF!</definedName>
    <definedName name="RevCol26" localSheetId="2">#REF!</definedName>
    <definedName name="RevCol26">#REF!</definedName>
    <definedName name="RevCol27" localSheetId="2">#REF!</definedName>
    <definedName name="RevCol27">#REF!</definedName>
    <definedName name="RevCol28" localSheetId="2">#REF!</definedName>
    <definedName name="RevCol28">#REF!</definedName>
    <definedName name="RevCol29" localSheetId="2">#REF!</definedName>
    <definedName name="RevCol29">#REF!</definedName>
    <definedName name="RevCol30" localSheetId="2">#REF!</definedName>
    <definedName name="RevCol30">#REF!</definedName>
    <definedName name="RevCol31" localSheetId="2">#REF!</definedName>
    <definedName name="RevCol31">#REF!</definedName>
    <definedName name="RevCol32" localSheetId="2">#REF!</definedName>
    <definedName name="RevCol32">#REF!</definedName>
    <definedName name="RevCol33" localSheetId="2">#REF!</definedName>
    <definedName name="RevCol33">#REF!</definedName>
    <definedName name="RevCol34" localSheetId="2">#REF!</definedName>
    <definedName name="RevCol34">#REF!</definedName>
    <definedName name="RevCol35" localSheetId="2">#REF!</definedName>
    <definedName name="RevCol35">#REF!</definedName>
    <definedName name="RevCol36" localSheetId="2">#REF!</definedName>
    <definedName name="RevCol36">#REF!</definedName>
    <definedName name="RevCol37" localSheetId="2">#REF!</definedName>
    <definedName name="RevCol37">#REF!</definedName>
    <definedName name="RevColTmp" localSheetId="8">#REF!</definedName>
    <definedName name="RevColTmp" localSheetId="14">#REF!</definedName>
    <definedName name="RevColTmp" localSheetId="7">#REF!</definedName>
    <definedName name="RevColTmp" localSheetId="10">#REF!</definedName>
    <definedName name="RevColTmp" localSheetId="9">#REF!</definedName>
    <definedName name="RevColTmp" localSheetId="13">#REF!</definedName>
    <definedName name="RevColTmp" localSheetId="2">#REF!</definedName>
    <definedName name="RevColTmp" localSheetId="12">#REF!</definedName>
    <definedName name="RevColTmp" localSheetId="11">#REF!</definedName>
    <definedName name="RevColTmp">#REF!</definedName>
    <definedName name="RevColTmpA" localSheetId="8">#REF!</definedName>
    <definedName name="RevColTmpA" localSheetId="14">#REF!</definedName>
    <definedName name="RevColTmpA" localSheetId="7">#REF!</definedName>
    <definedName name="RevColTmpA" localSheetId="10">#REF!</definedName>
    <definedName name="RevColTmpA" localSheetId="9">#REF!</definedName>
    <definedName name="RevColTmpA" localSheetId="13">#REF!</definedName>
    <definedName name="RevColTmpA" localSheetId="2">#REF!</definedName>
    <definedName name="RevColTmpA" localSheetId="12">#REF!</definedName>
    <definedName name="RevColTmpA" localSheetId="11">#REF!</definedName>
    <definedName name="RevColTmpA">#REF!</definedName>
    <definedName name="RevColTmpB" localSheetId="8">#REF!</definedName>
    <definedName name="RevColTmpB" localSheetId="14">#REF!</definedName>
    <definedName name="RevColTmpB" localSheetId="7">#REF!</definedName>
    <definedName name="RevColTmpB" localSheetId="10">#REF!</definedName>
    <definedName name="RevColTmpB" localSheetId="9">#REF!</definedName>
    <definedName name="RevColTmpB" localSheetId="13">#REF!</definedName>
    <definedName name="RevColTmpB" localSheetId="2">#REF!</definedName>
    <definedName name="RevColTmpB" localSheetId="12">#REF!</definedName>
    <definedName name="RevColTmpB" localSheetId="11">#REF!</definedName>
    <definedName name="RevColTmpB">#REF!</definedName>
    <definedName name="revenues_hide_ku_01" localSheetId="8">'[5]KU Other Electric Revenues'!#REF!</definedName>
    <definedName name="revenues_hide_ku_01" localSheetId="14">'[5]KU Other Electric Revenues'!#REF!</definedName>
    <definedName name="revenues_hide_ku_01" localSheetId="7">'[5]KU Other Electric Revenues'!#REF!</definedName>
    <definedName name="revenues_hide_ku_01" localSheetId="10">'[5]KU Other Electric Revenues'!#REF!</definedName>
    <definedName name="revenues_hide_ku_01" localSheetId="9">'[5]KU Other Electric Revenues'!#REF!</definedName>
    <definedName name="revenues_hide_ku_01" localSheetId="13">'[5]KU Other Electric Revenues'!#REF!</definedName>
    <definedName name="revenues_hide_ku_01" localSheetId="2">'[5]KU Other Electric Revenues'!#REF!</definedName>
    <definedName name="revenues_hide_ku_01" localSheetId="12">'[5]KU Other Electric Revenues'!#REF!</definedName>
    <definedName name="revenues_hide_ku_01" localSheetId="11">'[5]KU Other Electric Revenues'!#REF!</definedName>
    <definedName name="revenues_hide_ku_01">'[5]KU Other Electric Revenues'!#REF!</definedName>
    <definedName name="revenues_ku_01" localSheetId="8">'[5]KU Other Electric Revenues'!#REF!</definedName>
    <definedName name="revenues_ku_01" localSheetId="14">'[5]KU Other Electric Revenues'!#REF!</definedName>
    <definedName name="revenues_ku_01" localSheetId="7">'[5]KU Other Electric Revenues'!#REF!</definedName>
    <definedName name="revenues_ku_01" localSheetId="10">'[5]KU Other Electric Revenues'!#REF!</definedName>
    <definedName name="revenues_ku_01" localSheetId="9">'[5]KU Other Electric Revenues'!#REF!</definedName>
    <definedName name="revenues_ku_01" localSheetId="13">'[5]KU Other Electric Revenues'!#REF!</definedName>
    <definedName name="revenues_ku_01" localSheetId="2">'[5]KU Other Electric Revenues'!#REF!</definedName>
    <definedName name="revenues_ku_01" localSheetId="12">'[5]KU Other Electric Revenues'!#REF!</definedName>
    <definedName name="revenues_ku_01" localSheetId="11">'[5]KU Other Electric Revenues'!#REF!</definedName>
    <definedName name="revenues_ku_01">'[5]KU Other Electric Revenues'!#REF!</definedName>
    <definedName name="RowDetails1" localSheetId="2">#REF!</definedName>
    <definedName name="RowDetails1">#REF!</definedName>
    <definedName name="RPTCOL" localSheetId="2">#REF!</definedName>
    <definedName name="RPTCOL">#REF!</definedName>
    <definedName name="RPTROW" localSheetId="2">#REF!</definedName>
    <definedName name="RPTROW">#REF!</definedName>
    <definedName name="Sales" localSheetId="8">'[5]LGE Sales'!#REF!</definedName>
    <definedName name="Sales" localSheetId="14">'[5]LGE Sales'!#REF!</definedName>
    <definedName name="Sales" localSheetId="7">'[5]LGE Sales'!#REF!</definedName>
    <definedName name="Sales" localSheetId="10">'[5]LGE Sales'!#REF!</definedName>
    <definedName name="Sales" localSheetId="9">'[5]LGE Sales'!#REF!</definedName>
    <definedName name="Sales" localSheetId="13">'[5]LGE Sales'!#REF!</definedName>
    <definedName name="Sales" localSheetId="2">'[5]LGE Sales'!#REF!</definedName>
    <definedName name="Sales" localSheetId="12">'[5]LGE Sales'!#REF!</definedName>
    <definedName name="Sales" localSheetId="11">'[5]LGE Sales'!#REF!</definedName>
    <definedName name="Sales">'[5]LGE Sales'!#REF!</definedName>
    <definedName name="sales_hide_ku_01" localSheetId="8">'[5]LGE Sales'!#REF!</definedName>
    <definedName name="sales_hide_ku_01" localSheetId="14">'[5]LGE Sales'!#REF!</definedName>
    <definedName name="sales_hide_ku_01" localSheetId="7">'[5]LGE Sales'!#REF!</definedName>
    <definedName name="sales_hide_ku_01" localSheetId="10">'[5]LGE Sales'!#REF!</definedName>
    <definedName name="sales_hide_ku_01" localSheetId="9">'[5]LGE Sales'!#REF!</definedName>
    <definedName name="sales_hide_ku_01" localSheetId="13">'[5]LGE Sales'!#REF!</definedName>
    <definedName name="sales_hide_ku_01" localSheetId="2">'[5]LGE Sales'!#REF!</definedName>
    <definedName name="sales_hide_ku_01" localSheetId="12">'[5]LGE Sales'!#REF!</definedName>
    <definedName name="sales_hide_ku_01" localSheetId="11">'[5]LGE Sales'!#REF!</definedName>
    <definedName name="sales_hide_ku_01">'[5]LGE Sales'!#REF!</definedName>
    <definedName name="sales_ku_01" localSheetId="8">'[5]LGE Sales'!#REF!</definedName>
    <definedName name="sales_ku_01" localSheetId="14">'[5]LGE Sales'!#REF!</definedName>
    <definedName name="sales_ku_01" localSheetId="7">'[5]LGE Sales'!#REF!</definedName>
    <definedName name="sales_ku_01" localSheetId="10">'[5]LGE Sales'!#REF!</definedName>
    <definedName name="sales_ku_01" localSheetId="9">'[5]LGE Sales'!#REF!</definedName>
    <definedName name="sales_ku_01" localSheetId="13">'[5]LGE Sales'!#REF!</definedName>
    <definedName name="sales_ku_01" localSheetId="2">'[5]LGE Sales'!#REF!</definedName>
    <definedName name="sales_ku_01" localSheetId="12">'[5]LGE Sales'!#REF!</definedName>
    <definedName name="sales_ku_01" localSheetId="11">'[5]LGE Sales'!#REF!</definedName>
    <definedName name="sales_ku_01">'[5]LGE Sales'!#REF!</definedName>
    <definedName name="sales_title_ku" localSheetId="8">'[5]LGE Sales'!#REF!</definedName>
    <definedName name="sales_title_ku" localSheetId="14">'[5]LGE Sales'!#REF!</definedName>
    <definedName name="sales_title_ku" localSheetId="7">'[5]LGE Sales'!#REF!</definedName>
    <definedName name="sales_title_ku" localSheetId="10">'[5]LGE Sales'!#REF!</definedName>
    <definedName name="sales_title_ku" localSheetId="9">'[5]LGE Sales'!#REF!</definedName>
    <definedName name="sales_title_ku" localSheetId="13">'[5]LGE Sales'!#REF!</definedName>
    <definedName name="sales_title_ku" localSheetId="2">'[5]LGE Sales'!#REF!</definedName>
    <definedName name="sales_title_ku" localSheetId="12">'[5]LGE Sales'!#REF!</definedName>
    <definedName name="sales_title_ku" localSheetId="11">'[5]LGE Sales'!#REF!</definedName>
    <definedName name="sales_title_ku">'[5]LGE Sales'!#REF!</definedName>
    <definedName name="SCHEDZ" localSheetId="2">#REF!</definedName>
    <definedName name="SCHEDZ">#REF!</definedName>
    <definedName name="shoot" localSheetId="8">#REF!</definedName>
    <definedName name="shoot" localSheetId="14">#REF!</definedName>
    <definedName name="shoot" localSheetId="7">#REF!</definedName>
    <definedName name="shoot" localSheetId="10">#REF!</definedName>
    <definedName name="shoot" localSheetId="9">#REF!</definedName>
    <definedName name="shoot" localSheetId="13">#REF!</definedName>
    <definedName name="shoot" localSheetId="2">#REF!</definedName>
    <definedName name="shoot" localSheetId="12">#REF!</definedName>
    <definedName name="shoot" localSheetId="11">#REF!</definedName>
    <definedName name="shoot">#REF!</definedName>
    <definedName name="START" localSheetId="2">#REF!</definedName>
    <definedName name="START">#REF!</definedName>
    <definedName name="START2" localSheetId="2">#REF!</definedName>
    <definedName name="START2">#REF!</definedName>
    <definedName name="START3" localSheetId="2">#REF!</definedName>
    <definedName name="START3">#REF!</definedName>
    <definedName name="Support" localSheetId="2">#REF!</definedName>
    <definedName name="Support">#REF!</definedName>
    <definedName name="SUPPORT5" localSheetId="2">#REF!</definedName>
    <definedName name="SUPPORT5">#REF!</definedName>
    <definedName name="SUPPORT6" localSheetId="8">#REF!</definedName>
    <definedName name="SUPPORT6" localSheetId="14">#REF!</definedName>
    <definedName name="SUPPORT6" localSheetId="7">#REF!</definedName>
    <definedName name="SUPPORT6" localSheetId="10">#REF!</definedName>
    <definedName name="SUPPORT6" localSheetId="9">#REF!</definedName>
    <definedName name="SUPPORT6" localSheetId="13">#REF!</definedName>
    <definedName name="SUPPORT6" localSheetId="2">#REF!</definedName>
    <definedName name="SUPPORT6" localSheetId="12">#REF!</definedName>
    <definedName name="SUPPORT6" localSheetId="11">#REF!</definedName>
    <definedName name="SUPPORT6">#REF!</definedName>
    <definedName name="TAX_RATE" localSheetId="8">'[8]#REF'!#REF!</definedName>
    <definedName name="TAX_RATE" localSheetId="14">'[8]#REF'!#REF!</definedName>
    <definedName name="TAX_RATE" localSheetId="7">'[8]#REF'!#REF!</definedName>
    <definedName name="TAX_RATE" localSheetId="10">'[8]#REF'!#REF!</definedName>
    <definedName name="TAX_RATE" localSheetId="9">'[8]#REF'!#REF!</definedName>
    <definedName name="TAX_RATE" localSheetId="13">'[8]#REF'!#REF!</definedName>
    <definedName name="TAX_RATE" localSheetId="2">'[8]#REF'!#REF!</definedName>
    <definedName name="TAX_RATE" localSheetId="12">'[8]#REF'!#REF!</definedName>
    <definedName name="TAX_RATE" localSheetId="11">'[8]#REF'!#REF!</definedName>
    <definedName name="TAX_RATE">'[8]#REF'!#REF!</definedName>
    <definedName name="TempReptgMo">[6]Input!$AG$19</definedName>
    <definedName name="TempReptgYr">[6]Input!$AG$21</definedName>
    <definedName name="TenyrNIAC" localSheetId="2">#REF!</definedName>
    <definedName name="TenyrNIAC">#REF!</definedName>
    <definedName name="TenyrRev" localSheetId="2">#REF!</definedName>
    <definedName name="TenyrRev">#REF!</definedName>
    <definedName name="test" localSheetId="2">'Summary SJB Exhibit'!test</definedName>
    <definedName name="test">[0]!test</definedName>
    <definedName name="Title" localSheetId="2">#REF!</definedName>
    <definedName name="Title">#REF!</definedName>
    <definedName name="Title_Choice" localSheetId="2">#REF!</definedName>
    <definedName name="Title_Choice">#REF!</definedName>
    <definedName name="Titles" localSheetId="2">#REF!</definedName>
    <definedName name="Titles">#REF!</definedName>
    <definedName name="Titles_KU" localSheetId="2">#REF!</definedName>
    <definedName name="Titles_KU">#REF!</definedName>
    <definedName name="ttt" localSheetId="8">#REF!</definedName>
    <definedName name="ttt" localSheetId="14">#REF!</definedName>
    <definedName name="ttt" localSheetId="7">#REF!</definedName>
    <definedName name="ttt" localSheetId="10">#REF!</definedName>
    <definedName name="ttt" localSheetId="9">#REF!</definedName>
    <definedName name="ttt" localSheetId="13">#REF!</definedName>
    <definedName name="ttt" localSheetId="2">#REF!</definedName>
    <definedName name="ttt" localSheetId="12">#REF!</definedName>
    <definedName name="ttt" localSheetId="11">#REF!</definedName>
    <definedName name="ttt">#REF!</definedName>
    <definedName name="UpdateDate">[6]Input!$M$12</definedName>
    <definedName name="UpdateTime">[6]Input!$O$12</definedName>
    <definedName name="Variance" localSheetId="2">#REF!</definedName>
    <definedName name="Variance">#REF!</definedName>
    <definedName name="VIEW1" localSheetId="2">#REF!</definedName>
    <definedName name="VIEW1">#REF!</definedName>
    <definedName name="vol_rev_annual_ku" localSheetId="8">'[5]LGE Retail Margin'!#REF!</definedName>
    <definedName name="vol_rev_annual_ku" localSheetId="14">'[5]LGE Retail Margin'!#REF!</definedName>
    <definedName name="vol_rev_annual_ku" localSheetId="7">'[5]LGE Retail Margin'!#REF!</definedName>
    <definedName name="vol_rev_annual_ku" localSheetId="10">'[5]LGE Retail Margin'!#REF!</definedName>
    <definedName name="vol_rev_annual_ku" localSheetId="9">'[5]LGE Retail Margin'!#REF!</definedName>
    <definedName name="vol_rev_annual_ku" localSheetId="13">'[5]LGE Retail Margin'!#REF!</definedName>
    <definedName name="vol_rev_annual_ku" localSheetId="2">'[5]LGE Retail Margin'!#REF!</definedName>
    <definedName name="vol_rev_annual_ku" localSheetId="12">'[5]LGE Retail Margin'!#REF!</definedName>
    <definedName name="vol_rev_annual_ku" localSheetId="11">'[5]LGE Retail Margin'!#REF!</definedName>
    <definedName name="vol_rev_annual_ku">'[5]LGE Retail Margin'!#REF!</definedName>
    <definedName name="vol_rev_hide_ku_monthly" localSheetId="8">'[5]LGE Retail Margin'!#REF!</definedName>
    <definedName name="vol_rev_hide_ku_monthly" localSheetId="14">'[5]LGE Retail Margin'!#REF!</definedName>
    <definedName name="vol_rev_hide_ku_monthly" localSheetId="7">'[5]LGE Retail Margin'!#REF!</definedName>
    <definedName name="vol_rev_hide_ku_monthly" localSheetId="10">'[5]LGE Retail Margin'!#REF!</definedName>
    <definedName name="vol_rev_hide_ku_monthly" localSheetId="9">'[5]LGE Retail Margin'!#REF!</definedName>
    <definedName name="vol_rev_hide_ku_monthly" localSheetId="13">'[5]LGE Retail Margin'!#REF!</definedName>
    <definedName name="vol_rev_hide_ku_monthly" localSheetId="2">'[5]LGE Retail Margin'!#REF!</definedName>
    <definedName name="vol_rev_hide_ku_monthly" localSheetId="12">'[5]LGE Retail Margin'!#REF!</definedName>
    <definedName name="vol_rev_hide_ku_monthly" localSheetId="11">'[5]LGE Retail Margin'!#REF!</definedName>
    <definedName name="vol_rev_hide_ku_monthly">'[5]LGE Retail Margin'!#REF!</definedName>
    <definedName name="vol_rev_hide_lge_01" localSheetId="8">'[5]LGE Retail Margin'!#REF!</definedName>
    <definedName name="vol_rev_hide_lge_01" localSheetId="14">'[5]LGE Retail Margin'!#REF!</definedName>
    <definedName name="vol_rev_hide_lge_01" localSheetId="7">'[5]LGE Retail Margin'!#REF!</definedName>
    <definedName name="vol_rev_hide_lge_01" localSheetId="10">'[5]LGE Retail Margin'!#REF!</definedName>
    <definedName name="vol_rev_hide_lge_01" localSheetId="9">'[5]LGE Retail Margin'!#REF!</definedName>
    <definedName name="vol_rev_hide_lge_01" localSheetId="13">'[5]LGE Retail Margin'!#REF!</definedName>
    <definedName name="vol_rev_hide_lge_01" localSheetId="2">'[5]LGE Retail Margin'!#REF!</definedName>
    <definedName name="vol_rev_hide_lge_01" localSheetId="12">'[5]LGE Retail Margin'!#REF!</definedName>
    <definedName name="vol_rev_hide_lge_01" localSheetId="11">'[5]LGE Retail Margin'!#REF!</definedName>
    <definedName name="vol_rev_hide_lge_01">'[5]LGE Retail Margin'!#REF!</definedName>
    <definedName name="vol_rev_ku_monthly" localSheetId="8">'[5]LGE Retail Margin'!#REF!</definedName>
    <definedName name="vol_rev_ku_monthly" localSheetId="7">'[5]LGE Retail Margin'!#REF!</definedName>
    <definedName name="vol_rev_ku_monthly" localSheetId="10">'[5]LGE Retail Margin'!#REF!</definedName>
    <definedName name="vol_rev_ku_monthly" localSheetId="2">'[5]LGE Retail Margin'!#REF!</definedName>
    <definedName name="vol_rev_ku_monthly" localSheetId="11">'[5]LGE Retail Margin'!#REF!</definedName>
    <definedName name="vol_rev_ku_monthly">'[5]LGE Retail Margin'!#REF!</definedName>
    <definedName name="volrev_data" localSheetId="11">'[5]LGE Retail Margin'!#REF!</definedName>
    <definedName name="YTD" localSheetId="2">#REF!</definedName>
    <definedName name="YTD">#REF!</definedName>
  </definedNames>
  <calcPr calcId="152511"/>
</workbook>
</file>

<file path=xl/calcChain.xml><?xml version="1.0" encoding="utf-8"?>
<calcChain xmlns="http://schemas.openxmlformats.org/spreadsheetml/2006/main">
  <c r="F132" i="30" l="1"/>
  <c r="F131" i="30"/>
  <c r="F130" i="30"/>
  <c r="F119" i="30"/>
  <c r="F118" i="30"/>
  <c r="F117" i="30"/>
  <c r="F116" i="30"/>
  <c r="F115" i="30"/>
  <c r="F114" i="30"/>
  <c r="F113" i="30"/>
  <c r="F111" i="30"/>
  <c r="F110" i="30"/>
  <c r="F109" i="30"/>
  <c r="F108" i="30"/>
  <c r="F107" i="30"/>
  <c r="F106" i="30"/>
  <c r="F105" i="30"/>
  <c r="F104" i="30"/>
  <c r="F103" i="30"/>
  <c r="F102" i="30"/>
  <c r="T101" i="30"/>
  <c r="S101" i="30"/>
  <c r="R101" i="30"/>
  <c r="Q101" i="30"/>
  <c r="P101" i="30"/>
  <c r="O101" i="30"/>
  <c r="N101" i="30"/>
  <c r="M101" i="30"/>
  <c r="L101" i="30"/>
  <c r="K101" i="30"/>
  <c r="J101" i="30"/>
  <c r="I101" i="30"/>
  <c r="H101" i="30"/>
  <c r="G101" i="30"/>
  <c r="F101" i="30"/>
  <c r="T85" i="30"/>
  <c r="S85" i="30"/>
  <c r="R85" i="30"/>
  <c r="Q85" i="30"/>
  <c r="P85" i="30"/>
  <c r="O85" i="30"/>
  <c r="N85" i="30"/>
  <c r="M85" i="30"/>
  <c r="L85" i="30"/>
  <c r="K85" i="30"/>
  <c r="J85" i="30"/>
  <c r="I85" i="30"/>
  <c r="H85" i="30"/>
  <c r="G85" i="30"/>
  <c r="F85" i="30"/>
  <c r="F84" i="30"/>
  <c r="F83" i="30"/>
  <c r="F82" i="30"/>
  <c r="F81" i="30"/>
  <c r="F80" i="30"/>
  <c r="F79" i="30"/>
  <c r="F36" i="30"/>
  <c r="F35" i="30"/>
  <c r="F23" i="30"/>
  <c r="F21" i="30"/>
  <c r="F20" i="30"/>
  <c r="F19" i="30"/>
  <c r="F18" i="30"/>
  <c r="F17" i="30"/>
  <c r="F16" i="30"/>
  <c r="F15" i="30"/>
  <c r="F14" i="30"/>
  <c r="F13" i="30"/>
  <c r="F12" i="30"/>
  <c r="F10" i="30"/>
  <c r="F9" i="30"/>
  <c r="E1" i="30"/>
  <c r="F1" i="30" s="1"/>
  <c r="G1" i="30" s="1"/>
  <c r="H1" i="30" s="1"/>
  <c r="I1" i="30" s="1"/>
  <c r="J1" i="30" s="1"/>
  <c r="K1" i="30" s="1"/>
  <c r="L1" i="30" s="1"/>
  <c r="M1" i="30" s="1"/>
  <c r="N1" i="30" s="1"/>
  <c r="O1" i="30" s="1"/>
  <c r="P1" i="30" s="1"/>
  <c r="Q1" i="30" s="1"/>
  <c r="R1" i="30" s="1"/>
  <c r="S1" i="30" s="1"/>
  <c r="T1" i="30" s="1"/>
  <c r="U895" i="2" l="1"/>
  <c r="F895" i="2"/>
  <c r="K888" i="2"/>
  <c r="I888" i="2"/>
  <c r="F888" i="2"/>
  <c r="K881" i="2"/>
  <c r="I881" i="2"/>
  <c r="F881" i="2"/>
  <c r="F930" i="2" l="1"/>
  <c r="N481" i="1" l="1"/>
  <c r="R481" i="1"/>
  <c r="AE481" i="1"/>
  <c r="AG481" i="1"/>
  <c r="AI481" i="1"/>
  <c r="C8" i="8" l="1"/>
  <c r="B8" i="8" l="1"/>
  <c r="D10" i="6" s="1"/>
  <c r="K54" i="14" l="1"/>
  <c r="F50" i="19" l="1"/>
  <c r="G50" i="19"/>
  <c r="H50" i="19" s="1"/>
  <c r="F33" i="19"/>
  <c r="K33" i="19" s="1"/>
  <c r="L33" i="19" s="1"/>
  <c r="G50" i="17"/>
  <c r="H50" i="17" s="1"/>
  <c r="G801" i="2" l="1"/>
  <c r="F50" i="17"/>
  <c r="F33" i="17"/>
  <c r="K33" i="17" s="1"/>
  <c r="L33" i="17" s="1"/>
  <c r="F50" i="26" l="1"/>
  <c r="H50" i="26"/>
  <c r="F33" i="26"/>
  <c r="K33" i="26" s="1"/>
  <c r="L33" i="26" s="1"/>
  <c r="F50" i="25"/>
  <c r="H50" i="25"/>
  <c r="F33" i="25"/>
  <c r="F50" i="21"/>
  <c r="H50" i="21"/>
  <c r="F33" i="21"/>
  <c r="K33" i="21" s="1"/>
  <c r="L33" i="21" s="1"/>
  <c r="H50" i="20"/>
  <c r="F50" i="20"/>
  <c r="F33" i="20"/>
  <c r="K33" i="20" s="1"/>
  <c r="L33" i="20" s="1"/>
  <c r="E50" i="29"/>
  <c r="G50" i="29" s="1"/>
  <c r="F33" i="29"/>
  <c r="K33" i="29" s="1"/>
  <c r="L33" i="29" s="1"/>
  <c r="H50" i="29" l="1"/>
  <c r="F50" i="29"/>
  <c r="K33" i="25"/>
  <c r="L33" i="25" s="1"/>
  <c r="E50" i="27"/>
  <c r="F50" i="27" s="1"/>
  <c r="F33" i="27"/>
  <c r="K33" i="27" s="1"/>
  <c r="L33" i="27" s="1"/>
  <c r="G50" i="27" l="1"/>
  <c r="H50" i="27"/>
  <c r="F763" i="2"/>
  <c r="F120" i="30" s="1"/>
  <c r="D32" i="8"/>
  <c r="D22" i="8"/>
  <c r="D14" i="8"/>
  <c r="D8" i="8"/>
  <c r="F677" i="2" l="1"/>
  <c r="F34" i="30" s="1"/>
  <c r="F99" i="1"/>
  <c r="G910" i="2" l="1"/>
  <c r="T903" i="2" l="1"/>
  <c r="S903" i="2"/>
  <c r="R903" i="2"/>
  <c r="Q903" i="2"/>
  <c r="P903" i="2"/>
  <c r="O903" i="2"/>
  <c r="N903" i="2"/>
  <c r="M903" i="2"/>
  <c r="L903" i="2"/>
  <c r="J903" i="2"/>
  <c r="H903" i="2"/>
  <c r="G903" i="2"/>
  <c r="F721" i="2" l="1"/>
  <c r="F78" i="30" s="1"/>
  <c r="F755" i="2"/>
  <c r="F112" i="30" s="1"/>
  <c r="F121" i="30" s="1"/>
  <c r="F654" i="2" l="1"/>
  <c r="F11" i="30" s="1"/>
  <c r="B32" i="8"/>
  <c r="D32" i="6" s="1"/>
  <c r="B36" i="8"/>
  <c r="D36" i="6" s="1"/>
  <c r="C34" i="8"/>
  <c r="B34" i="8"/>
  <c r="D34" i="6" s="1"/>
  <c r="B28" i="8"/>
  <c r="D28" i="6" s="1"/>
  <c r="B24" i="8"/>
  <c r="D26" i="6" s="1"/>
  <c r="B22" i="8"/>
  <c r="D24" i="6" s="1"/>
  <c r="B20" i="8"/>
  <c r="D22" i="6" s="1"/>
  <c r="B18" i="8"/>
  <c r="D20" i="6" s="1"/>
  <c r="B16" i="8"/>
  <c r="D18" i="6" s="1"/>
  <c r="B14" i="8"/>
  <c r="D16" i="6" s="1"/>
  <c r="B12" i="8"/>
  <c r="D14" i="6" s="1"/>
  <c r="B10" i="8"/>
  <c r="D12" i="6" s="1"/>
  <c r="F113" i="1" l="1"/>
  <c r="F114" i="1"/>
  <c r="T872" i="2" l="1"/>
  <c r="S872" i="2"/>
  <c r="R872" i="2"/>
  <c r="Q872" i="2"/>
  <c r="P872" i="2"/>
  <c r="O872" i="2"/>
  <c r="N872" i="2"/>
  <c r="M872" i="2"/>
  <c r="L872" i="2"/>
  <c r="J872" i="2"/>
  <c r="H872" i="2"/>
  <c r="G872" i="2"/>
  <c r="F36" i="8"/>
  <c r="F32" i="8"/>
  <c r="F30" i="8"/>
  <c r="F28" i="8"/>
  <c r="F26" i="8"/>
  <c r="F24" i="8"/>
  <c r="F22" i="8"/>
  <c r="F20" i="8"/>
  <c r="F18" i="8"/>
  <c r="F16" i="8"/>
  <c r="F14" i="8"/>
  <c r="F12" i="8"/>
  <c r="F10" i="8"/>
  <c r="F8" i="8"/>
  <c r="I874" i="2" l="1"/>
  <c r="K874" i="2"/>
  <c r="L874" i="2"/>
  <c r="N874" i="2"/>
  <c r="V872" i="2" l="1"/>
  <c r="W872" i="2" s="1"/>
  <c r="X872" i="2" s="1"/>
  <c r="F583" i="1"/>
  <c r="F565" i="1"/>
  <c r="F292" i="1"/>
  <c r="F231" i="1"/>
  <c r="F220" i="1"/>
  <c r="F215" i="1"/>
  <c r="F164" i="1"/>
  <c r="F155" i="1"/>
  <c r="F153" i="1"/>
  <c r="F152" i="1"/>
  <c r="F126" i="1" l="1"/>
  <c r="F124" i="1"/>
  <c r="F71" i="1"/>
  <c r="F105" i="1"/>
  <c r="F104" i="1"/>
  <c r="F102" i="1"/>
  <c r="F101" i="1"/>
  <c r="F100" i="1"/>
  <c r="F57" i="1"/>
  <c r="F36" i="1"/>
  <c r="F37" i="1"/>
  <c r="F29" i="1"/>
  <c r="F24" i="1"/>
  <c r="F20" i="1"/>
  <c r="F16" i="1"/>
  <c r="Y612" i="1" l="1"/>
  <c r="X612" i="1"/>
  <c r="W612" i="1"/>
  <c r="V612" i="1"/>
  <c r="Y614" i="1"/>
  <c r="X614" i="1"/>
  <c r="W614" i="1"/>
  <c r="V614" i="1"/>
  <c r="F589" i="1" l="1"/>
  <c r="F585" i="1"/>
  <c r="F587" i="1"/>
  <c r="F579" i="1"/>
  <c r="F578" i="1"/>
  <c r="F572" i="1"/>
  <c r="F571" i="1"/>
  <c r="F569" i="1"/>
  <c r="F567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06" i="1"/>
  <c r="F505" i="1"/>
  <c r="F504" i="1"/>
  <c r="F503" i="1"/>
  <c r="F502" i="1"/>
  <c r="F500" i="1"/>
  <c r="F498" i="1"/>
  <c r="F497" i="1"/>
  <c r="F492" i="1"/>
  <c r="F491" i="1"/>
  <c r="F490" i="1"/>
  <c r="F489" i="1"/>
  <c r="F488" i="1"/>
  <c r="F477" i="1"/>
  <c r="F476" i="1"/>
  <c r="F475" i="1"/>
  <c r="F474" i="1"/>
  <c r="F473" i="1"/>
  <c r="F472" i="1"/>
  <c r="F471" i="1"/>
  <c r="F470" i="1"/>
  <c r="F469" i="1"/>
  <c r="F453" i="1"/>
  <c r="F452" i="1"/>
  <c r="F451" i="1"/>
  <c r="F449" i="1"/>
  <c r="F448" i="1"/>
  <c r="F447" i="1"/>
  <c r="F446" i="1"/>
  <c r="F445" i="1"/>
  <c r="F444" i="1"/>
  <c r="F443" i="1"/>
  <c r="F438" i="1"/>
  <c r="F437" i="1"/>
  <c r="F436" i="1"/>
  <c r="F435" i="1"/>
  <c r="F433" i="1"/>
  <c r="F432" i="1"/>
  <c r="F431" i="1"/>
  <c r="F430" i="1"/>
  <c r="F429" i="1"/>
  <c r="F638" i="1"/>
  <c r="F637" i="1"/>
  <c r="F639" i="1"/>
  <c r="F424" i="1"/>
  <c r="F423" i="1"/>
  <c r="F422" i="1"/>
  <c r="F413" i="1"/>
  <c r="F412" i="1"/>
  <c r="F411" i="1"/>
  <c r="F410" i="1"/>
  <c r="F405" i="1"/>
  <c r="F404" i="1"/>
  <c r="F403" i="1"/>
  <c r="F402" i="1"/>
  <c r="F401" i="1"/>
  <c r="F394" i="1"/>
  <c r="F393" i="1"/>
  <c r="F392" i="1"/>
  <c r="F391" i="1"/>
  <c r="F390" i="1"/>
  <c r="F384" i="1"/>
  <c r="F383" i="1"/>
  <c r="F380" i="1"/>
  <c r="F373" i="1"/>
  <c r="F372" i="1"/>
  <c r="F371" i="1"/>
  <c r="F370" i="1"/>
  <c r="F369" i="1"/>
  <c r="F363" i="1"/>
  <c r="F362" i="1"/>
  <c r="F361" i="1"/>
  <c r="F360" i="1"/>
  <c r="F359" i="1"/>
  <c r="F324" i="1"/>
  <c r="F323" i="1"/>
  <c r="F322" i="1"/>
  <c r="F321" i="1"/>
  <c r="F320" i="1"/>
  <c r="F319" i="1"/>
  <c r="F318" i="1"/>
  <c r="F317" i="1"/>
  <c r="F315" i="1"/>
  <c r="F316" i="1"/>
  <c r="F314" i="1"/>
  <c r="F313" i="1"/>
  <c r="F300" i="1"/>
  <c r="F299" i="1"/>
  <c r="F298" i="1"/>
  <c r="F297" i="1"/>
  <c r="F296" i="1"/>
  <c r="F294" i="1"/>
  <c r="F291" i="1"/>
  <c r="F286" i="1"/>
  <c r="F285" i="1"/>
  <c r="F284" i="1"/>
  <c r="F283" i="1"/>
  <c r="F282" i="1"/>
  <c r="F271" i="1"/>
  <c r="F270" i="1"/>
  <c r="F269" i="1"/>
  <c r="F268" i="1"/>
  <c r="F267" i="1"/>
  <c r="F266" i="1"/>
  <c r="F265" i="1"/>
  <c r="F264" i="1"/>
  <c r="F263" i="1"/>
  <c r="F256" i="1"/>
  <c r="F254" i="1"/>
  <c r="F253" i="1"/>
  <c r="F251" i="1"/>
  <c r="F250" i="1"/>
  <c r="F249" i="1"/>
  <c r="F248" i="1"/>
  <c r="F247" i="1"/>
  <c r="F246" i="1"/>
  <c r="F245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19" i="1"/>
  <c r="F206" i="1"/>
  <c r="F205" i="1"/>
  <c r="F204" i="1"/>
  <c r="F203" i="1"/>
  <c r="F198" i="1"/>
  <c r="F197" i="1"/>
  <c r="F196" i="1"/>
  <c r="F195" i="1"/>
  <c r="F194" i="1"/>
  <c r="F187" i="1"/>
  <c r="F186" i="1"/>
  <c r="F185" i="1"/>
  <c r="I187" i="1"/>
  <c r="F184" i="1"/>
  <c r="F183" i="1"/>
  <c r="F178" i="1"/>
  <c r="F177" i="1"/>
  <c r="AJ176" i="1"/>
  <c r="AH176" i="1"/>
  <c r="AF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Q176" i="1"/>
  <c r="P176" i="1"/>
  <c r="O176" i="1"/>
  <c r="M176" i="1"/>
  <c r="L176" i="1"/>
  <c r="K176" i="1"/>
  <c r="F176" i="1"/>
  <c r="J176" i="1" s="1"/>
  <c r="F175" i="1"/>
  <c r="F174" i="1"/>
  <c r="F173" i="1"/>
  <c r="F166" i="1"/>
  <c r="F165" i="1"/>
  <c r="F163" i="1"/>
  <c r="F162" i="1"/>
  <c r="H157" i="1"/>
  <c r="F156" i="1"/>
  <c r="AJ157" i="1"/>
  <c r="AH157" i="1"/>
  <c r="AF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Q157" i="1"/>
  <c r="P157" i="1"/>
  <c r="O157" i="1"/>
  <c r="M157" i="1"/>
  <c r="L157" i="1"/>
  <c r="K157" i="1"/>
  <c r="I157" i="1"/>
  <c r="F151" i="1"/>
  <c r="F62" i="1"/>
  <c r="F61" i="1"/>
  <c r="F43" i="1"/>
  <c r="F154" i="1" l="1"/>
  <c r="F568" i="1"/>
  <c r="F570" i="1"/>
  <c r="J157" i="1"/>
  <c r="AK157" i="1" s="1"/>
  <c r="AL157" i="1" s="1"/>
  <c r="F326" i="1"/>
  <c r="F628" i="1"/>
  <c r="H176" i="1"/>
  <c r="I176" i="1"/>
  <c r="U811" i="2"/>
  <c r="U813" i="2"/>
  <c r="J877" i="2"/>
  <c r="J881" i="2" s="1"/>
  <c r="J876" i="2"/>
  <c r="J888" i="2" s="1"/>
  <c r="J875" i="2"/>
  <c r="J874" i="2" s="1"/>
  <c r="J873" i="2"/>
  <c r="J844" i="2"/>
  <c r="J845" i="2" s="1"/>
  <c r="J878" i="2" s="1"/>
  <c r="J895" i="2" s="1"/>
  <c r="H877" i="2"/>
  <c r="H881" i="2" s="1"/>
  <c r="H876" i="2"/>
  <c r="H888" i="2" s="1"/>
  <c r="H875" i="2"/>
  <c r="H874" i="2" s="1"/>
  <c r="H873" i="2"/>
  <c r="H844" i="2"/>
  <c r="H845" i="2" s="1"/>
  <c r="H878" i="2" s="1"/>
  <c r="H895" i="2" s="1"/>
  <c r="F817" i="2"/>
  <c r="F869" i="2"/>
  <c r="M857" i="2"/>
  <c r="M869" i="2" s="1"/>
  <c r="O857" i="2"/>
  <c r="O869" i="2" s="1"/>
  <c r="P857" i="2"/>
  <c r="P869" i="2" s="1"/>
  <c r="Q857" i="2"/>
  <c r="Q869" i="2" s="1"/>
  <c r="T843" i="2"/>
  <c r="R908" i="2"/>
  <c r="O908" i="2"/>
  <c r="N908" i="2"/>
  <c r="M843" i="2"/>
  <c r="J843" i="2"/>
  <c r="H843" i="2"/>
  <c r="J65" i="7"/>
  <c r="K10" i="7" s="1"/>
  <c r="C34" i="6"/>
  <c r="C36" i="6"/>
  <c r="E10" i="6"/>
  <c r="E12" i="6"/>
  <c r="D16" i="7"/>
  <c r="E16" i="7" s="1"/>
  <c r="L848" i="2"/>
  <c r="I50" i="17" s="1"/>
  <c r="J50" i="17" s="1"/>
  <c r="M848" i="2"/>
  <c r="I50" i="19" s="1"/>
  <c r="J50" i="19" s="1"/>
  <c r="E22" i="6"/>
  <c r="O848" i="2"/>
  <c r="I50" i="21" s="1"/>
  <c r="J50" i="21" s="1"/>
  <c r="B30" i="8"/>
  <c r="D30" i="6" s="1"/>
  <c r="F34" i="8"/>
  <c r="F38" i="8" s="1"/>
  <c r="E38" i="8"/>
  <c r="G38" i="8"/>
  <c r="H38" i="8"/>
  <c r="I38" i="8"/>
  <c r="F32" i="14"/>
  <c r="K32" i="14" s="1"/>
  <c r="L32" i="14" s="1"/>
  <c r="E1" i="2"/>
  <c r="F1" i="2" s="1"/>
  <c r="G1" i="2" s="1"/>
  <c r="F918" i="2"/>
  <c r="F665" i="2"/>
  <c r="F22" i="30" s="1"/>
  <c r="L904" i="2"/>
  <c r="M904" i="2"/>
  <c r="O904" i="2"/>
  <c r="V718" i="2"/>
  <c r="W718" i="2" s="1"/>
  <c r="X718" i="2" s="1"/>
  <c r="V719" i="2"/>
  <c r="W719" i="2" s="1"/>
  <c r="X719" i="2" s="1"/>
  <c r="V720" i="2"/>
  <c r="W720" i="2" s="1"/>
  <c r="X720" i="2" s="1"/>
  <c r="G725" i="2"/>
  <c r="G82" i="30" s="1"/>
  <c r="H725" i="2"/>
  <c r="H82" i="30" s="1"/>
  <c r="I725" i="2"/>
  <c r="I82" i="30" s="1"/>
  <c r="J725" i="2"/>
  <c r="J82" i="30" s="1"/>
  <c r="K725" i="2"/>
  <c r="K82" i="30" s="1"/>
  <c r="L725" i="2"/>
  <c r="L82" i="30" s="1"/>
  <c r="M725" i="2"/>
  <c r="M82" i="30" s="1"/>
  <c r="N725" i="2"/>
  <c r="N82" i="30" s="1"/>
  <c r="O725" i="2"/>
  <c r="O82" i="30" s="1"/>
  <c r="P725" i="2"/>
  <c r="P82" i="30" s="1"/>
  <c r="Q725" i="2"/>
  <c r="Q82" i="30" s="1"/>
  <c r="R725" i="2"/>
  <c r="R82" i="30" s="1"/>
  <c r="S725" i="2"/>
  <c r="S82" i="30" s="1"/>
  <c r="T725" i="2"/>
  <c r="T82" i="30" s="1"/>
  <c r="G726" i="2"/>
  <c r="G83" i="30" s="1"/>
  <c r="H726" i="2"/>
  <c r="H83" i="30" s="1"/>
  <c r="I726" i="2"/>
  <c r="I83" i="30" s="1"/>
  <c r="J726" i="2"/>
  <c r="J83" i="30" s="1"/>
  <c r="K726" i="2"/>
  <c r="K83" i="30" s="1"/>
  <c r="L726" i="2"/>
  <c r="L83" i="30" s="1"/>
  <c r="M726" i="2"/>
  <c r="M83" i="30" s="1"/>
  <c r="N726" i="2"/>
  <c r="N83" i="30" s="1"/>
  <c r="O726" i="2"/>
  <c r="O83" i="30" s="1"/>
  <c r="P726" i="2"/>
  <c r="P83" i="30" s="1"/>
  <c r="Q726" i="2"/>
  <c r="Q83" i="30" s="1"/>
  <c r="R726" i="2"/>
  <c r="R83" i="30" s="1"/>
  <c r="S726" i="2"/>
  <c r="S83" i="30" s="1"/>
  <c r="T726" i="2"/>
  <c r="T83" i="30" s="1"/>
  <c r="U729" i="2"/>
  <c r="U800" i="2" s="1"/>
  <c r="G749" i="2"/>
  <c r="G106" i="30" s="1"/>
  <c r="H749" i="2"/>
  <c r="H106" i="30" s="1"/>
  <c r="I749" i="2"/>
  <c r="I106" i="30" s="1"/>
  <c r="J749" i="2"/>
  <c r="J106" i="30" s="1"/>
  <c r="K749" i="2"/>
  <c r="K106" i="30" s="1"/>
  <c r="L749" i="2"/>
  <c r="L106" i="30" s="1"/>
  <c r="M749" i="2"/>
  <c r="M106" i="30" s="1"/>
  <c r="N749" i="2"/>
  <c r="N106" i="30" s="1"/>
  <c r="O749" i="2"/>
  <c r="O106" i="30" s="1"/>
  <c r="P749" i="2"/>
  <c r="P106" i="30" s="1"/>
  <c r="Q749" i="2"/>
  <c r="Q106" i="30" s="1"/>
  <c r="R749" i="2"/>
  <c r="R106" i="30" s="1"/>
  <c r="S749" i="2"/>
  <c r="S106" i="30" s="1"/>
  <c r="T749" i="2"/>
  <c r="T106" i="30" s="1"/>
  <c r="U776" i="2"/>
  <c r="U823" i="2" s="1"/>
  <c r="V804" i="2"/>
  <c r="W804" i="2" s="1"/>
  <c r="U817" i="2"/>
  <c r="L843" i="2"/>
  <c r="Q843" i="2"/>
  <c r="R843" i="2"/>
  <c r="K845" i="2"/>
  <c r="K878" i="2" s="1"/>
  <c r="K895" i="2" s="1"/>
  <c r="L844" i="2"/>
  <c r="L845" i="2" s="1"/>
  <c r="L878" i="2" s="1"/>
  <c r="L895" i="2" s="1"/>
  <c r="M844" i="2"/>
  <c r="M845" i="2" s="1"/>
  <c r="M878" i="2" s="1"/>
  <c r="M895" i="2" s="1"/>
  <c r="N844" i="2"/>
  <c r="N845" i="2" s="1"/>
  <c r="N878" i="2" s="1"/>
  <c r="N895" i="2" s="1"/>
  <c r="O844" i="2"/>
  <c r="O845" i="2" s="1"/>
  <c r="O878" i="2" s="1"/>
  <c r="O895" i="2" s="1"/>
  <c r="P844" i="2"/>
  <c r="P845" i="2" s="1"/>
  <c r="P878" i="2" s="1"/>
  <c r="P895" i="2" s="1"/>
  <c r="Q844" i="2"/>
  <c r="Q845" i="2" s="1"/>
  <c r="Q878" i="2" s="1"/>
  <c r="Q895" i="2" s="1"/>
  <c r="R844" i="2"/>
  <c r="R845" i="2" s="1"/>
  <c r="R878" i="2" s="1"/>
  <c r="R895" i="2" s="1"/>
  <c r="T844" i="2"/>
  <c r="T845" i="2" s="1"/>
  <c r="T878" i="2" s="1"/>
  <c r="T895" i="2" s="1"/>
  <c r="I845" i="2"/>
  <c r="I878" i="2" s="1"/>
  <c r="I895" i="2" s="1"/>
  <c r="G848" i="2"/>
  <c r="I49" i="14" s="1"/>
  <c r="J49" i="14" s="1"/>
  <c r="I849" i="2"/>
  <c r="I861" i="2" s="1"/>
  <c r="K849" i="2"/>
  <c r="K850" i="2" s="1"/>
  <c r="K853" i="2" s="1"/>
  <c r="K865" i="2" s="1"/>
  <c r="F860" i="2"/>
  <c r="F861" i="2"/>
  <c r="F862" i="2"/>
  <c r="F863" i="2"/>
  <c r="G864" i="2"/>
  <c r="H864" i="2"/>
  <c r="I864" i="2"/>
  <c r="J864" i="2"/>
  <c r="K864" i="2"/>
  <c r="L864" i="2"/>
  <c r="M864" i="2"/>
  <c r="N864" i="2"/>
  <c r="O864" i="2"/>
  <c r="P864" i="2"/>
  <c r="Q864" i="2"/>
  <c r="S864" i="2"/>
  <c r="T864" i="2"/>
  <c r="F865" i="2"/>
  <c r="F866" i="2"/>
  <c r="F867" i="2"/>
  <c r="M867" i="2"/>
  <c r="O867" i="2"/>
  <c r="P867" i="2"/>
  <c r="Q867" i="2"/>
  <c r="F868" i="2"/>
  <c r="P868" i="2"/>
  <c r="Q868" i="2"/>
  <c r="G873" i="2"/>
  <c r="L873" i="2"/>
  <c r="M873" i="2"/>
  <c r="N873" i="2"/>
  <c r="O873" i="2"/>
  <c r="R873" i="2"/>
  <c r="S873" i="2"/>
  <c r="T873" i="2"/>
  <c r="G875" i="2"/>
  <c r="G874" i="2" s="1"/>
  <c r="R875" i="2"/>
  <c r="R874" i="2" s="1"/>
  <c r="S875" i="2"/>
  <c r="S874" i="2" s="1"/>
  <c r="T875" i="2"/>
  <c r="T874" i="2" s="1"/>
  <c r="G876" i="2"/>
  <c r="G888" i="2" s="1"/>
  <c r="L876" i="2"/>
  <c r="L888" i="2" s="1"/>
  <c r="M876" i="2"/>
  <c r="M888" i="2" s="1"/>
  <c r="N876" i="2"/>
  <c r="N888" i="2" s="1"/>
  <c r="O876" i="2"/>
  <c r="O888" i="2" s="1"/>
  <c r="P876" i="2"/>
  <c r="P888" i="2" s="1"/>
  <c r="Q876" i="2"/>
  <c r="Q888" i="2" s="1"/>
  <c r="R876" i="2"/>
  <c r="R888" i="2" s="1"/>
  <c r="S876" i="2"/>
  <c r="S888" i="2" s="1"/>
  <c r="T876" i="2"/>
  <c r="T888" i="2" s="1"/>
  <c r="G877" i="2"/>
  <c r="G881" i="2" s="1"/>
  <c r="L877" i="2"/>
  <c r="L881" i="2" s="1"/>
  <c r="M877" i="2"/>
  <c r="M881" i="2" s="1"/>
  <c r="N877" i="2"/>
  <c r="N881" i="2" s="1"/>
  <c r="O877" i="2"/>
  <c r="O881" i="2" s="1"/>
  <c r="P877" i="2"/>
  <c r="P881" i="2" s="1"/>
  <c r="Q877" i="2"/>
  <c r="Q881" i="2" s="1"/>
  <c r="R877" i="2"/>
  <c r="R881" i="2" s="1"/>
  <c r="S877" i="2"/>
  <c r="S881" i="2" s="1"/>
  <c r="T877" i="2"/>
  <c r="T881" i="2" s="1"/>
  <c r="V883" i="2"/>
  <c r="W883" i="2" s="1"/>
  <c r="X883" i="2" s="1"/>
  <c r="V890" i="2"/>
  <c r="W890" i="2" s="1"/>
  <c r="X890" i="2" s="1"/>
  <c r="V897" i="2"/>
  <c r="W897" i="2" s="1"/>
  <c r="F904" i="2"/>
  <c r="G904" i="2"/>
  <c r="H904" i="2"/>
  <c r="I904" i="2"/>
  <c r="J904" i="2"/>
  <c r="K904" i="2"/>
  <c r="N904" i="2"/>
  <c r="P904" i="2"/>
  <c r="Q904" i="2"/>
  <c r="R904" i="2"/>
  <c r="S904" i="2"/>
  <c r="T904" i="2"/>
  <c r="V906" i="2"/>
  <c r="W906" i="2" s="1"/>
  <c r="X906" i="2" s="1"/>
  <c r="V907" i="2"/>
  <c r="W907" i="2" s="1"/>
  <c r="X907" i="2" s="1"/>
  <c r="L908" i="2"/>
  <c r="M908" i="2"/>
  <c r="Q908" i="2"/>
  <c r="T908" i="2"/>
  <c r="V911" i="2"/>
  <c r="W911" i="2" s="1"/>
  <c r="X911" i="2" s="1"/>
  <c r="V912" i="2"/>
  <c r="W912" i="2" s="1"/>
  <c r="X912" i="2" s="1"/>
  <c r="F922" i="2"/>
  <c r="F923" i="2" s="1"/>
  <c r="F741" i="2"/>
  <c r="H678" i="2"/>
  <c r="H35" i="30" s="1"/>
  <c r="I678" i="2"/>
  <c r="I35" i="30" s="1"/>
  <c r="I741" i="2"/>
  <c r="I98" i="30" s="1"/>
  <c r="L678" i="2"/>
  <c r="L35" i="30" s="1"/>
  <c r="M678" i="2"/>
  <c r="M35" i="30" s="1"/>
  <c r="P678" i="2"/>
  <c r="P35" i="30" s="1"/>
  <c r="T678" i="2"/>
  <c r="T35" i="30" s="1"/>
  <c r="F8" i="1"/>
  <c r="F9" i="1"/>
  <c r="F10" i="1"/>
  <c r="G12" i="1"/>
  <c r="I16" i="1"/>
  <c r="H16" i="1"/>
  <c r="K16" i="1"/>
  <c r="L16" i="1"/>
  <c r="M16" i="1"/>
  <c r="O16" i="1"/>
  <c r="P16" i="1"/>
  <c r="Q16" i="1"/>
  <c r="S16" i="1"/>
  <c r="T16" i="1"/>
  <c r="U16" i="1"/>
  <c r="V16" i="1"/>
  <c r="W16" i="1"/>
  <c r="X16" i="1"/>
  <c r="Y16" i="1"/>
  <c r="Z16" i="1"/>
  <c r="AA16" i="1"/>
  <c r="AB16" i="1"/>
  <c r="AC16" i="1"/>
  <c r="AD16" i="1"/>
  <c r="AF16" i="1"/>
  <c r="AH16" i="1"/>
  <c r="AJ16" i="1"/>
  <c r="K20" i="1"/>
  <c r="L20" i="1"/>
  <c r="M20" i="1"/>
  <c r="O20" i="1"/>
  <c r="P20" i="1"/>
  <c r="Q20" i="1"/>
  <c r="S20" i="1"/>
  <c r="T20" i="1"/>
  <c r="U20" i="1"/>
  <c r="V20" i="1"/>
  <c r="W20" i="1"/>
  <c r="X20" i="1"/>
  <c r="Y20" i="1"/>
  <c r="Z20" i="1"/>
  <c r="AA20" i="1"/>
  <c r="AB20" i="1"/>
  <c r="AC20" i="1"/>
  <c r="AD20" i="1"/>
  <c r="AF20" i="1"/>
  <c r="AH20" i="1"/>
  <c r="AJ20" i="1"/>
  <c r="H24" i="1"/>
  <c r="K24" i="1"/>
  <c r="L24" i="1"/>
  <c r="M24" i="1"/>
  <c r="O24" i="1"/>
  <c r="P24" i="1"/>
  <c r="Q24" i="1"/>
  <c r="S24" i="1"/>
  <c r="T24" i="1"/>
  <c r="U24" i="1"/>
  <c r="V24" i="1"/>
  <c r="W24" i="1"/>
  <c r="X24" i="1"/>
  <c r="Y24" i="1"/>
  <c r="Z24" i="1"/>
  <c r="AA24" i="1"/>
  <c r="AB24" i="1"/>
  <c r="AC24" i="1"/>
  <c r="AD24" i="1"/>
  <c r="AF24" i="1"/>
  <c r="AH24" i="1"/>
  <c r="AJ24" i="1"/>
  <c r="H29" i="1"/>
  <c r="I29" i="1"/>
  <c r="J29" i="1"/>
  <c r="K29" i="1"/>
  <c r="L29" i="1"/>
  <c r="M29" i="1"/>
  <c r="S29" i="1"/>
  <c r="T29" i="1"/>
  <c r="U29" i="1"/>
  <c r="V29" i="1"/>
  <c r="W29" i="1"/>
  <c r="X29" i="1"/>
  <c r="Y29" i="1"/>
  <c r="Z29" i="1"/>
  <c r="AA29" i="1"/>
  <c r="AB29" i="1"/>
  <c r="AC29" i="1"/>
  <c r="AD29" i="1"/>
  <c r="AF29" i="1"/>
  <c r="AH29" i="1"/>
  <c r="AJ29" i="1"/>
  <c r="F30" i="1"/>
  <c r="H30" i="1"/>
  <c r="I30" i="1"/>
  <c r="J30" i="1"/>
  <c r="K30" i="1"/>
  <c r="L30" i="1"/>
  <c r="M30" i="1"/>
  <c r="S30" i="1"/>
  <c r="T30" i="1"/>
  <c r="U30" i="1"/>
  <c r="V30" i="1"/>
  <c r="W30" i="1"/>
  <c r="X30" i="1"/>
  <c r="Y30" i="1"/>
  <c r="Z30" i="1"/>
  <c r="AA30" i="1"/>
  <c r="AB30" i="1"/>
  <c r="AC30" i="1"/>
  <c r="AD30" i="1"/>
  <c r="AF30" i="1"/>
  <c r="AH30" i="1"/>
  <c r="AJ30" i="1"/>
  <c r="F35" i="1"/>
  <c r="T35" i="1" s="1"/>
  <c r="H35" i="1"/>
  <c r="H470" i="1" s="1"/>
  <c r="I35" i="1"/>
  <c r="I246" i="1" s="1"/>
  <c r="J35" i="1"/>
  <c r="K35" i="1"/>
  <c r="K471" i="1" s="1"/>
  <c r="L35" i="1"/>
  <c r="L264" i="1" s="1"/>
  <c r="M35" i="1"/>
  <c r="M264" i="1" s="1"/>
  <c r="O35" i="1"/>
  <c r="O471" i="1" s="1"/>
  <c r="P35" i="1"/>
  <c r="P470" i="1" s="1"/>
  <c r="Q35" i="1"/>
  <c r="Q444" i="1" s="1"/>
  <c r="S35" i="1"/>
  <c r="S246" i="1" s="1"/>
  <c r="U35" i="1"/>
  <c r="V35" i="1"/>
  <c r="V247" i="1" s="1"/>
  <c r="W35" i="1"/>
  <c r="X35" i="1"/>
  <c r="X264" i="1" s="1"/>
  <c r="Y35" i="1"/>
  <c r="Y246" i="1" s="1"/>
  <c r="Z35" i="1"/>
  <c r="Z444" i="1" s="1"/>
  <c r="AA35" i="1"/>
  <c r="AA444" i="1" s="1"/>
  <c r="AB35" i="1"/>
  <c r="AB246" i="1" s="1"/>
  <c r="AC35" i="1"/>
  <c r="AD35" i="1"/>
  <c r="AD445" i="1" s="1"/>
  <c r="AF35" i="1"/>
  <c r="AF264" i="1" s="1"/>
  <c r="AH35" i="1"/>
  <c r="AH264" i="1" s="1"/>
  <c r="AJ35" i="1"/>
  <c r="AJ246" i="1" s="1"/>
  <c r="H36" i="1"/>
  <c r="I36" i="1"/>
  <c r="I266" i="1" s="1"/>
  <c r="J36" i="1"/>
  <c r="K36" i="1"/>
  <c r="L36" i="1"/>
  <c r="M36" i="1"/>
  <c r="M446" i="1" s="1"/>
  <c r="O36" i="1"/>
  <c r="O248" i="1" s="1"/>
  <c r="P36" i="1"/>
  <c r="P472" i="1" s="1"/>
  <c r="Q36" i="1"/>
  <c r="S36" i="1"/>
  <c r="T36" i="1"/>
  <c r="U36" i="1"/>
  <c r="U446" i="1" s="1"/>
  <c r="Z36" i="1"/>
  <c r="Z446" i="1" s="1"/>
  <c r="AA36" i="1"/>
  <c r="AA266" i="1" s="1"/>
  <c r="AB36" i="1"/>
  <c r="AB472" i="1" s="1"/>
  <c r="AC36" i="1"/>
  <c r="AC266" i="1" s="1"/>
  <c r="AD36" i="1"/>
  <c r="AF36" i="1"/>
  <c r="AH36" i="1"/>
  <c r="AH472" i="1" s="1"/>
  <c r="AJ36" i="1"/>
  <c r="AJ472" i="1" s="1"/>
  <c r="H37" i="1"/>
  <c r="H267" i="1" s="1"/>
  <c r="I37" i="1"/>
  <c r="I267" i="1" s="1"/>
  <c r="J37" i="1"/>
  <c r="J473" i="1" s="1"/>
  <c r="K37" i="1"/>
  <c r="L37" i="1"/>
  <c r="L473" i="1" s="1"/>
  <c r="M37" i="1"/>
  <c r="O37" i="1"/>
  <c r="P37" i="1"/>
  <c r="P447" i="1" s="1"/>
  <c r="Q37" i="1"/>
  <c r="Q249" i="1" s="1"/>
  <c r="S37" i="1"/>
  <c r="S249" i="1" s="1"/>
  <c r="T37" i="1"/>
  <c r="T267" i="1" s="1"/>
  <c r="U37" i="1"/>
  <c r="Z37" i="1"/>
  <c r="Z249" i="1" s="1"/>
  <c r="AA37" i="1"/>
  <c r="AB37" i="1"/>
  <c r="AB267" i="1" s="1"/>
  <c r="AC37" i="1"/>
  <c r="AD37" i="1"/>
  <c r="AD249" i="1" s="1"/>
  <c r="AF37" i="1"/>
  <c r="AF267" i="1" s="1"/>
  <c r="AH37" i="1"/>
  <c r="AH473" i="1" s="1"/>
  <c r="AJ37" i="1"/>
  <c r="F38" i="1"/>
  <c r="AA38" i="1" s="1"/>
  <c r="H38" i="1"/>
  <c r="H268" i="1" s="1"/>
  <c r="I38" i="1"/>
  <c r="I268" i="1" s="1"/>
  <c r="J38" i="1"/>
  <c r="J268" i="1" s="1"/>
  <c r="K38" i="1"/>
  <c r="K268" i="1" s="1"/>
  <c r="L38" i="1"/>
  <c r="L268" i="1" s="1"/>
  <c r="M38" i="1"/>
  <c r="M268" i="1" s="1"/>
  <c r="O38" i="1"/>
  <c r="P38" i="1"/>
  <c r="P268" i="1" s="1"/>
  <c r="Q38" i="1"/>
  <c r="Q268" i="1" s="1"/>
  <c r="S38" i="1"/>
  <c r="S474" i="1" s="1"/>
  <c r="T38" i="1"/>
  <c r="T268" i="1" s="1"/>
  <c r="U38" i="1"/>
  <c r="U268" i="1" s="1"/>
  <c r="V38" i="1"/>
  <c r="W38" i="1"/>
  <c r="X38" i="1"/>
  <c r="X268" i="1" s="1"/>
  <c r="Y38" i="1"/>
  <c r="AB38" i="1"/>
  <c r="AC38" i="1"/>
  <c r="AC268" i="1" s="1"/>
  <c r="AD38" i="1"/>
  <c r="AD268" i="1" s="1"/>
  <c r="AF38" i="1"/>
  <c r="AF268" i="1" s="1"/>
  <c r="AH38" i="1"/>
  <c r="AH268" i="1" s="1"/>
  <c r="AJ38" i="1"/>
  <c r="AJ474" i="1" s="1"/>
  <c r="F39" i="1"/>
  <c r="Z39" i="1" s="1"/>
  <c r="H39" i="1"/>
  <c r="I39" i="1"/>
  <c r="J39" i="1"/>
  <c r="K39" i="1"/>
  <c r="L39" i="1"/>
  <c r="M39" i="1"/>
  <c r="O39" i="1"/>
  <c r="P39" i="1"/>
  <c r="Q39" i="1"/>
  <c r="S39" i="1"/>
  <c r="T39" i="1"/>
  <c r="U39" i="1"/>
  <c r="V39" i="1"/>
  <c r="W39" i="1"/>
  <c r="X39" i="1"/>
  <c r="Y39" i="1"/>
  <c r="AB39" i="1"/>
  <c r="AC39" i="1"/>
  <c r="AD39" i="1"/>
  <c r="AF39" i="1"/>
  <c r="AH39" i="1"/>
  <c r="AJ39" i="1"/>
  <c r="F40" i="1"/>
  <c r="AB40" i="1" s="1"/>
  <c r="H40" i="1"/>
  <c r="I40" i="1"/>
  <c r="J40" i="1"/>
  <c r="K40" i="1"/>
  <c r="L40" i="1"/>
  <c r="M40" i="1"/>
  <c r="O40" i="1"/>
  <c r="P40" i="1"/>
  <c r="Q40" i="1"/>
  <c r="S40" i="1"/>
  <c r="T40" i="1"/>
  <c r="U40" i="1"/>
  <c r="V40" i="1"/>
  <c r="W40" i="1"/>
  <c r="X40" i="1"/>
  <c r="Y40" i="1"/>
  <c r="Z40" i="1"/>
  <c r="AA40" i="1"/>
  <c r="AC40" i="1"/>
  <c r="AD40" i="1"/>
  <c r="AF40" i="1"/>
  <c r="AH40" i="1"/>
  <c r="AJ40" i="1"/>
  <c r="F41" i="1"/>
  <c r="AC41" i="1" s="1"/>
  <c r="H41" i="1"/>
  <c r="H476" i="1" s="1"/>
  <c r="I41" i="1"/>
  <c r="J41" i="1"/>
  <c r="J476" i="1" s="1"/>
  <c r="K41" i="1"/>
  <c r="K476" i="1" s="1"/>
  <c r="L41" i="1"/>
  <c r="L251" i="1" s="1"/>
  <c r="M41" i="1"/>
  <c r="M251" i="1" s="1"/>
  <c r="O41" i="1"/>
  <c r="O270" i="1" s="1"/>
  <c r="P41" i="1"/>
  <c r="P449" i="1" s="1"/>
  <c r="Q41" i="1"/>
  <c r="Q251" i="1" s="1"/>
  <c r="S41" i="1"/>
  <c r="S270" i="1" s="1"/>
  <c r="T41" i="1"/>
  <c r="T270" i="1" s="1"/>
  <c r="U41" i="1"/>
  <c r="V41" i="1"/>
  <c r="V476" i="1" s="1"/>
  <c r="W41" i="1"/>
  <c r="X41" i="1"/>
  <c r="X476" i="1" s="1"/>
  <c r="Y41" i="1"/>
  <c r="Y476" i="1" s="1"/>
  <c r="Z41" i="1"/>
  <c r="Z449" i="1" s="1"/>
  <c r="AA41" i="1"/>
  <c r="AB41" i="1"/>
  <c r="AB476" i="1" s="1"/>
  <c r="AD41" i="1"/>
  <c r="AD476" i="1" s="1"/>
  <c r="AF41" i="1"/>
  <c r="AH41" i="1"/>
  <c r="AH270" i="1" s="1"/>
  <c r="AJ41" i="1"/>
  <c r="AJ270" i="1" s="1"/>
  <c r="F42" i="1"/>
  <c r="AD42" i="1" s="1"/>
  <c r="H42" i="1"/>
  <c r="I42" i="1"/>
  <c r="J42" i="1"/>
  <c r="J253" i="1" s="1"/>
  <c r="K42" i="1"/>
  <c r="K448" i="1" s="1"/>
  <c r="L42" i="1"/>
  <c r="L451" i="1" s="1"/>
  <c r="M42" i="1"/>
  <c r="M253" i="1" s="1"/>
  <c r="O42" i="1"/>
  <c r="O253" i="1" s="1"/>
  <c r="P42" i="1"/>
  <c r="P451" i="1" s="1"/>
  <c r="Q42" i="1"/>
  <c r="S42" i="1"/>
  <c r="S451" i="1" s="1"/>
  <c r="T42" i="1"/>
  <c r="T451" i="1" s="1"/>
  <c r="U42" i="1"/>
  <c r="U253" i="1" s="1"/>
  <c r="V42" i="1"/>
  <c r="V253" i="1" s="1"/>
  <c r="W42" i="1"/>
  <c r="W451" i="1" s="1"/>
  <c r="X42" i="1"/>
  <c r="X451" i="1" s="1"/>
  <c r="Y42" i="1"/>
  <c r="Z42" i="1"/>
  <c r="AA42" i="1"/>
  <c r="AA253" i="1" s="1"/>
  <c r="AB42" i="1"/>
  <c r="AB448" i="1" s="1"/>
  <c r="AC42" i="1"/>
  <c r="AC448" i="1" s="1"/>
  <c r="AF42" i="1"/>
  <c r="AF253" i="1" s="1"/>
  <c r="AH42" i="1"/>
  <c r="AH253" i="1" s="1"/>
  <c r="AJ42" i="1"/>
  <c r="AJ253" i="1" s="1"/>
  <c r="AD43" i="1"/>
  <c r="H43" i="1"/>
  <c r="H250" i="1" s="1"/>
  <c r="I43" i="1"/>
  <c r="I250" i="1" s="1"/>
  <c r="J43" i="1"/>
  <c r="J250" i="1" s="1"/>
  <c r="K43" i="1"/>
  <c r="K250" i="1" s="1"/>
  <c r="L43" i="1"/>
  <c r="L475" i="1" s="1"/>
  <c r="M43" i="1"/>
  <c r="M250" i="1" s="1"/>
  <c r="O43" i="1"/>
  <c r="O475" i="1" s="1"/>
  <c r="P43" i="1"/>
  <c r="P269" i="1" s="1"/>
  <c r="Q43" i="1"/>
  <c r="S43" i="1"/>
  <c r="S475" i="1" s="1"/>
  <c r="T43" i="1"/>
  <c r="T269" i="1" s="1"/>
  <c r="U43" i="1"/>
  <c r="U475" i="1" s="1"/>
  <c r="V43" i="1"/>
  <c r="V269" i="1" s="1"/>
  <c r="W43" i="1"/>
  <c r="W269" i="1" s="1"/>
  <c r="X43" i="1"/>
  <c r="X269" i="1" s="1"/>
  <c r="Y43" i="1"/>
  <c r="Z43" i="1"/>
  <c r="AA43" i="1"/>
  <c r="AA250" i="1" s="1"/>
  <c r="AB43" i="1"/>
  <c r="AB475" i="1" s="1"/>
  <c r="AC43" i="1"/>
  <c r="AF43" i="1"/>
  <c r="AF250" i="1" s="1"/>
  <c r="AH43" i="1"/>
  <c r="AH269" i="1" s="1"/>
  <c r="AJ43" i="1"/>
  <c r="AJ269" i="1" s="1"/>
  <c r="K71" i="1"/>
  <c r="L71" i="1"/>
  <c r="M71" i="1"/>
  <c r="O71" i="1"/>
  <c r="P71" i="1"/>
  <c r="Q71" i="1"/>
  <c r="S71" i="1"/>
  <c r="T71" i="1"/>
  <c r="U71" i="1"/>
  <c r="V71" i="1"/>
  <c r="W71" i="1"/>
  <c r="X71" i="1"/>
  <c r="Y71" i="1"/>
  <c r="Z71" i="1"/>
  <c r="AA71" i="1"/>
  <c r="AB71" i="1"/>
  <c r="AC71" i="1"/>
  <c r="AD71" i="1"/>
  <c r="AF71" i="1"/>
  <c r="AH71" i="1"/>
  <c r="AJ71" i="1"/>
  <c r="F72" i="1"/>
  <c r="H72" i="1"/>
  <c r="I72" i="1"/>
  <c r="J72" i="1"/>
  <c r="K72" i="1"/>
  <c r="L72" i="1"/>
  <c r="M72" i="1"/>
  <c r="S72" i="1"/>
  <c r="T72" i="1"/>
  <c r="U72" i="1"/>
  <c r="V72" i="1"/>
  <c r="W72" i="1"/>
  <c r="X72" i="1"/>
  <c r="Y72" i="1"/>
  <c r="Z72" i="1"/>
  <c r="AA72" i="1"/>
  <c r="AB72" i="1"/>
  <c r="AC72" i="1"/>
  <c r="AD72" i="1"/>
  <c r="AF72" i="1"/>
  <c r="AH72" i="1"/>
  <c r="AJ72" i="1"/>
  <c r="F73" i="1"/>
  <c r="F74" i="1"/>
  <c r="H75" i="1"/>
  <c r="I75" i="1"/>
  <c r="J75" i="1"/>
  <c r="K75" i="1"/>
  <c r="L75" i="1"/>
  <c r="M75" i="1"/>
  <c r="O75" i="1"/>
  <c r="P75" i="1"/>
  <c r="Q75" i="1"/>
  <c r="S75" i="1"/>
  <c r="T75" i="1"/>
  <c r="U75" i="1"/>
  <c r="Z75" i="1"/>
  <c r="AA75" i="1"/>
  <c r="AB75" i="1"/>
  <c r="AC75" i="1"/>
  <c r="AD75" i="1"/>
  <c r="AF75" i="1"/>
  <c r="AH75" i="1"/>
  <c r="AJ75" i="1"/>
  <c r="K99" i="1"/>
  <c r="L99" i="1"/>
  <c r="M99" i="1"/>
  <c r="O99" i="1"/>
  <c r="P99" i="1"/>
  <c r="Q99" i="1"/>
  <c r="S99" i="1"/>
  <c r="T99" i="1"/>
  <c r="U99" i="1"/>
  <c r="V99" i="1"/>
  <c r="W99" i="1"/>
  <c r="X99" i="1"/>
  <c r="Y99" i="1"/>
  <c r="Z99" i="1"/>
  <c r="AA99" i="1"/>
  <c r="AB99" i="1"/>
  <c r="AC99" i="1"/>
  <c r="AD99" i="1"/>
  <c r="AF99" i="1"/>
  <c r="AH99" i="1"/>
  <c r="AJ99" i="1"/>
  <c r="K100" i="1"/>
  <c r="L100" i="1"/>
  <c r="M100" i="1"/>
  <c r="O100" i="1"/>
  <c r="P100" i="1"/>
  <c r="Q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F100" i="1"/>
  <c r="AH100" i="1"/>
  <c r="AJ100" i="1"/>
  <c r="K101" i="1"/>
  <c r="L101" i="1"/>
  <c r="M101" i="1"/>
  <c r="O101" i="1"/>
  <c r="P101" i="1"/>
  <c r="Q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F101" i="1"/>
  <c r="AH101" i="1"/>
  <c r="AJ101" i="1"/>
  <c r="F103" i="1"/>
  <c r="F106" i="1"/>
  <c r="F115" i="1"/>
  <c r="H119" i="1"/>
  <c r="I119" i="1"/>
  <c r="J119" i="1"/>
  <c r="K119" i="1"/>
  <c r="L119" i="1"/>
  <c r="M119" i="1"/>
  <c r="O119" i="1"/>
  <c r="P119" i="1"/>
  <c r="Q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F119" i="1"/>
  <c r="AH119" i="1"/>
  <c r="AJ119" i="1"/>
  <c r="I124" i="1"/>
  <c r="K124" i="1"/>
  <c r="L124" i="1"/>
  <c r="M124" i="1"/>
  <c r="O124" i="1"/>
  <c r="P124" i="1"/>
  <c r="Q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F124" i="1"/>
  <c r="AH124" i="1"/>
  <c r="AJ124" i="1"/>
  <c r="F125" i="1"/>
  <c r="H125" i="1"/>
  <c r="I125" i="1"/>
  <c r="J125" i="1"/>
  <c r="K125" i="1"/>
  <c r="L125" i="1"/>
  <c r="M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F125" i="1"/>
  <c r="AH125" i="1"/>
  <c r="AJ125" i="1"/>
  <c r="F127" i="1"/>
  <c r="F132" i="1"/>
  <c r="I132" i="1" s="1"/>
  <c r="K132" i="1"/>
  <c r="L132" i="1"/>
  <c r="M132" i="1"/>
  <c r="O132" i="1"/>
  <c r="P132" i="1"/>
  <c r="Q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F132" i="1"/>
  <c r="AH132" i="1"/>
  <c r="AJ132" i="1"/>
  <c r="F133" i="1"/>
  <c r="H133" i="1"/>
  <c r="I133" i="1"/>
  <c r="J133" i="1"/>
  <c r="K133" i="1"/>
  <c r="L133" i="1"/>
  <c r="M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F133" i="1"/>
  <c r="AH133" i="1"/>
  <c r="AJ133" i="1"/>
  <c r="F134" i="1"/>
  <c r="H134" i="1"/>
  <c r="I134" i="1"/>
  <c r="J134" i="1"/>
  <c r="K134" i="1"/>
  <c r="L134" i="1"/>
  <c r="M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F134" i="1"/>
  <c r="AH134" i="1"/>
  <c r="AJ134" i="1"/>
  <c r="F135" i="1"/>
  <c r="F136" i="1"/>
  <c r="F137" i="1"/>
  <c r="F142" i="1"/>
  <c r="H143" i="1"/>
  <c r="I143" i="1"/>
  <c r="J143" i="1"/>
  <c r="K143" i="1"/>
  <c r="L143" i="1"/>
  <c r="M143" i="1"/>
  <c r="O143" i="1"/>
  <c r="P143" i="1"/>
  <c r="Q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F143" i="1"/>
  <c r="AH143" i="1"/>
  <c r="AJ143" i="1"/>
  <c r="G145" i="1"/>
  <c r="N145" i="1"/>
  <c r="R145" i="1"/>
  <c r="AE145" i="1"/>
  <c r="AG145" i="1"/>
  <c r="AI145" i="1"/>
  <c r="K152" i="1"/>
  <c r="H152" i="1"/>
  <c r="I152" i="1"/>
  <c r="J152" i="1"/>
  <c r="L152" i="1"/>
  <c r="M152" i="1"/>
  <c r="O152" i="1"/>
  <c r="P152" i="1"/>
  <c r="Q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F152" i="1"/>
  <c r="AH152" i="1"/>
  <c r="AJ152" i="1"/>
  <c r="K155" i="1"/>
  <c r="L155" i="1"/>
  <c r="M155" i="1"/>
  <c r="O155" i="1"/>
  <c r="P155" i="1"/>
  <c r="Q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F155" i="1"/>
  <c r="AH155" i="1"/>
  <c r="AJ155" i="1"/>
  <c r="I156" i="1"/>
  <c r="K156" i="1"/>
  <c r="L156" i="1"/>
  <c r="M156" i="1"/>
  <c r="O156" i="1"/>
  <c r="P156" i="1"/>
  <c r="Q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F156" i="1"/>
  <c r="AH156" i="1"/>
  <c r="AJ156" i="1"/>
  <c r="F168" i="1"/>
  <c r="H163" i="1"/>
  <c r="K163" i="1"/>
  <c r="L163" i="1"/>
  <c r="M163" i="1"/>
  <c r="O163" i="1"/>
  <c r="P163" i="1"/>
  <c r="Q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F163" i="1"/>
  <c r="AH163" i="1"/>
  <c r="AJ163" i="1"/>
  <c r="K164" i="1"/>
  <c r="H164" i="1"/>
  <c r="I164" i="1"/>
  <c r="J164" i="1"/>
  <c r="L164" i="1"/>
  <c r="M164" i="1"/>
  <c r="O164" i="1"/>
  <c r="P164" i="1"/>
  <c r="Q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F164" i="1"/>
  <c r="AH164" i="1"/>
  <c r="AJ164" i="1"/>
  <c r="K165" i="1"/>
  <c r="H165" i="1"/>
  <c r="I165" i="1"/>
  <c r="J165" i="1"/>
  <c r="L165" i="1"/>
  <c r="M165" i="1"/>
  <c r="O165" i="1"/>
  <c r="P165" i="1"/>
  <c r="Q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F165" i="1"/>
  <c r="AH165" i="1"/>
  <c r="AJ165" i="1"/>
  <c r="K166" i="1"/>
  <c r="H166" i="1"/>
  <c r="I166" i="1"/>
  <c r="J166" i="1"/>
  <c r="L166" i="1"/>
  <c r="M166" i="1"/>
  <c r="O166" i="1"/>
  <c r="P166" i="1"/>
  <c r="Q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F166" i="1"/>
  <c r="AH166" i="1"/>
  <c r="AJ166" i="1"/>
  <c r="K174" i="1"/>
  <c r="L174" i="1"/>
  <c r="M174" i="1"/>
  <c r="O174" i="1"/>
  <c r="P174" i="1"/>
  <c r="Q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F174" i="1"/>
  <c r="AH174" i="1"/>
  <c r="AJ174" i="1"/>
  <c r="I175" i="1"/>
  <c r="K175" i="1"/>
  <c r="L175" i="1"/>
  <c r="M175" i="1"/>
  <c r="O175" i="1"/>
  <c r="P175" i="1"/>
  <c r="Q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F175" i="1"/>
  <c r="AH175" i="1"/>
  <c r="AJ175" i="1"/>
  <c r="I177" i="1"/>
  <c r="K177" i="1"/>
  <c r="L177" i="1"/>
  <c r="M177" i="1"/>
  <c r="O177" i="1"/>
  <c r="P177" i="1"/>
  <c r="Q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F177" i="1"/>
  <c r="AH177" i="1"/>
  <c r="AJ177" i="1"/>
  <c r="I178" i="1"/>
  <c r="K178" i="1"/>
  <c r="L178" i="1"/>
  <c r="M178" i="1"/>
  <c r="O178" i="1"/>
  <c r="P178" i="1"/>
  <c r="Q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F178" i="1"/>
  <c r="AH178" i="1"/>
  <c r="AJ178" i="1"/>
  <c r="H184" i="1"/>
  <c r="K184" i="1"/>
  <c r="L184" i="1"/>
  <c r="M184" i="1"/>
  <c r="O184" i="1"/>
  <c r="P184" i="1"/>
  <c r="Q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F184" i="1"/>
  <c r="AH184" i="1"/>
  <c r="AJ184" i="1"/>
  <c r="K185" i="1"/>
  <c r="L185" i="1"/>
  <c r="M185" i="1"/>
  <c r="O185" i="1"/>
  <c r="P185" i="1"/>
  <c r="Q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F185" i="1"/>
  <c r="AH185" i="1"/>
  <c r="AJ185" i="1"/>
  <c r="K186" i="1"/>
  <c r="H186" i="1"/>
  <c r="I186" i="1"/>
  <c r="J186" i="1"/>
  <c r="L186" i="1"/>
  <c r="M186" i="1"/>
  <c r="O186" i="1"/>
  <c r="P186" i="1"/>
  <c r="Q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F186" i="1"/>
  <c r="AH186" i="1"/>
  <c r="AJ186" i="1"/>
  <c r="K187" i="1"/>
  <c r="H187" i="1"/>
  <c r="J187" i="1"/>
  <c r="L187" i="1"/>
  <c r="M187" i="1"/>
  <c r="O187" i="1"/>
  <c r="P187" i="1"/>
  <c r="Q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F187" i="1"/>
  <c r="AH187" i="1"/>
  <c r="AJ187" i="1"/>
  <c r="K195" i="1"/>
  <c r="H195" i="1"/>
  <c r="I195" i="1"/>
  <c r="J195" i="1"/>
  <c r="L195" i="1"/>
  <c r="M195" i="1"/>
  <c r="O195" i="1"/>
  <c r="P195" i="1"/>
  <c r="Q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F195" i="1"/>
  <c r="AH195" i="1"/>
  <c r="AJ195" i="1"/>
  <c r="J196" i="1"/>
  <c r="K196" i="1"/>
  <c r="L196" i="1"/>
  <c r="M196" i="1"/>
  <c r="O196" i="1"/>
  <c r="P196" i="1"/>
  <c r="Q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F196" i="1"/>
  <c r="AH196" i="1"/>
  <c r="AJ196" i="1"/>
  <c r="K197" i="1"/>
  <c r="L197" i="1"/>
  <c r="M197" i="1"/>
  <c r="O197" i="1"/>
  <c r="P197" i="1"/>
  <c r="Q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F197" i="1"/>
  <c r="AH197" i="1"/>
  <c r="AJ197" i="1"/>
  <c r="H198" i="1"/>
  <c r="I198" i="1"/>
  <c r="J198" i="1"/>
  <c r="K198" i="1"/>
  <c r="L198" i="1"/>
  <c r="M198" i="1"/>
  <c r="O198" i="1"/>
  <c r="P198" i="1"/>
  <c r="Q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F198" i="1"/>
  <c r="AH198" i="1"/>
  <c r="AJ198" i="1"/>
  <c r="I203" i="1"/>
  <c r="K203" i="1"/>
  <c r="L203" i="1"/>
  <c r="M203" i="1"/>
  <c r="O203" i="1"/>
  <c r="P203" i="1"/>
  <c r="Q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F203" i="1"/>
  <c r="AH203" i="1"/>
  <c r="AJ203" i="1"/>
  <c r="K204" i="1"/>
  <c r="L204" i="1"/>
  <c r="M204" i="1"/>
  <c r="O204" i="1"/>
  <c r="P204" i="1"/>
  <c r="Q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F204" i="1"/>
  <c r="AH204" i="1"/>
  <c r="AJ204" i="1"/>
  <c r="I205" i="1"/>
  <c r="K205" i="1"/>
  <c r="L205" i="1"/>
  <c r="M205" i="1"/>
  <c r="O205" i="1"/>
  <c r="P205" i="1"/>
  <c r="Q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F205" i="1"/>
  <c r="AH205" i="1"/>
  <c r="AJ205" i="1"/>
  <c r="H206" i="1"/>
  <c r="K206" i="1"/>
  <c r="L206" i="1"/>
  <c r="M206" i="1"/>
  <c r="O206" i="1"/>
  <c r="P206" i="1"/>
  <c r="Q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F206" i="1"/>
  <c r="AH206" i="1"/>
  <c r="AJ206" i="1"/>
  <c r="I219" i="1"/>
  <c r="K219" i="1"/>
  <c r="L219" i="1"/>
  <c r="M219" i="1"/>
  <c r="O219" i="1"/>
  <c r="P219" i="1"/>
  <c r="Q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F219" i="1"/>
  <c r="AH219" i="1"/>
  <c r="AJ219" i="1"/>
  <c r="K220" i="1"/>
  <c r="L220" i="1"/>
  <c r="M220" i="1"/>
  <c r="O220" i="1"/>
  <c r="P220" i="1"/>
  <c r="Q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F220" i="1"/>
  <c r="AH220" i="1"/>
  <c r="AJ220" i="1"/>
  <c r="G242" i="1"/>
  <c r="H252" i="1"/>
  <c r="I252" i="1"/>
  <c r="J252" i="1"/>
  <c r="K252" i="1"/>
  <c r="L252" i="1"/>
  <c r="M252" i="1"/>
  <c r="O252" i="1"/>
  <c r="P252" i="1"/>
  <c r="Q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F252" i="1"/>
  <c r="AH252" i="1"/>
  <c r="AJ252" i="1"/>
  <c r="G258" i="1"/>
  <c r="G273" i="1"/>
  <c r="H282" i="1"/>
  <c r="I282" i="1"/>
  <c r="J282" i="1"/>
  <c r="K282" i="1"/>
  <c r="L282" i="1"/>
  <c r="M282" i="1"/>
  <c r="O282" i="1"/>
  <c r="P282" i="1"/>
  <c r="Q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H282" i="1"/>
  <c r="AJ282" i="1"/>
  <c r="AF283" i="1"/>
  <c r="H283" i="1"/>
  <c r="I283" i="1"/>
  <c r="J283" i="1"/>
  <c r="K283" i="1"/>
  <c r="L283" i="1"/>
  <c r="M283" i="1"/>
  <c r="O283" i="1"/>
  <c r="P283" i="1"/>
  <c r="Q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H283" i="1"/>
  <c r="AJ283" i="1"/>
  <c r="AF284" i="1"/>
  <c r="H284" i="1"/>
  <c r="I284" i="1"/>
  <c r="J284" i="1"/>
  <c r="K284" i="1"/>
  <c r="L284" i="1"/>
  <c r="M284" i="1"/>
  <c r="O284" i="1"/>
  <c r="P284" i="1"/>
  <c r="Q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H284" i="1"/>
  <c r="AJ284" i="1"/>
  <c r="AF285" i="1"/>
  <c r="H285" i="1"/>
  <c r="I285" i="1"/>
  <c r="J285" i="1"/>
  <c r="K285" i="1"/>
  <c r="L285" i="1"/>
  <c r="M285" i="1"/>
  <c r="O285" i="1"/>
  <c r="P285" i="1"/>
  <c r="Q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H285" i="1"/>
  <c r="AJ285" i="1"/>
  <c r="AF286" i="1"/>
  <c r="H286" i="1"/>
  <c r="I286" i="1"/>
  <c r="J286" i="1"/>
  <c r="K286" i="1"/>
  <c r="L286" i="1"/>
  <c r="M286" i="1"/>
  <c r="O286" i="1"/>
  <c r="P286" i="1"/>
  <c r="Q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H286" i="1"/>
  <c r="AJ286" i="1"/>
  <c r="G288" i="1"/>
  <c r="AH291" i="1"/>
  <c r="H291" i="1"/>
  <c r="I291" i="1"/>
  <c r="J291" i="1"/>
  <c r="K291" i="1"/>
  <c r="L291" i="1"/>
  <c r="M291" i="1"/>
  <c r="O291" i="1"/>
  <c r="P291" i="1"/>
  <c r="Q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F291" i="1"/>
  <c r="AJ291" i="1"/>
  <c r="AH292" i="1"/>
  <c r="H292" i="1"/>
  <c r="I292" i="1"/>
  <c r="J292" i="1"/>
  <c r="K292" i="1"/>
  <c r="L292" i="1"/>
  <c r="M292" i="1"/>
  <c r="O292" i="1"/>
  <c r="P292" i="1"/>
  <c r="Q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F292" i="1"/>
  <c r="AJ292" i="1"/>
  <c r="H293" i="1"/>
  <c r="I293" i="1"/>
  <c r="J293" i="1"/>
  <c r="K293" i="1"/>
  <c r="L293" i="1"/>
  <c r="M293" i="1"/>
  <c r="O293" i="1"/>
  <c r="P293" i="1"/>
  <c r="Q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F293" i="1"/>
  <c r="AH293" i="1"/>
  <c r="AJ293" i="1"/>
  <c r="AH294" i="1"/>
  <c r="H294" i="1"/>
  <c r="I294" i="1"/>
  <c r="J294" i="1"/>
  <c r="K294" i="1"/>
  <c r="L294" i="1"/>
  <c r="M294" i="1"/>
  <c r="O294" i="1"/>
  <c r="P294" i="1"/>
  <c r="Q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F294" i="1"/>
  <c r="AJ294" i="1"/>
  <c r="H295" i="1"/>
  <c r="I295" i="1"/>
  <c r="J295" i="1"/>
  <c r="K295" i="1"/>
  <c r="L295" i="1"/>
  <c r="M295" i="1"/>
  <c r="O295" i="1"/>
  <c r="P295" i="1"/>
  <c r="Q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F295" i="1"/>
  <c r="AH295" i="1"/>
  <c r="AJ295" i="1"/>
  <c r="AH296" i="1"/>
  <c r="H296" i="1"/>
  <c r="I296" i="1"/>
  <c r="J296" i="1"/>
  <c r="K296" i="1"/>
  <c r="L296" i="1"/>
  <c r="M296" i="1"/>
  <c r="O296" i="1"/>
  <c r="P296" i="1"/>
  <c r="Q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F296" i="1"/>
  <c r="AJ296" i="1"/>
  <c r="AH297" i="1"/>
  <c r="H297" i="1"/>
  <c r="I297" i="1"/>
  <c r="J297" i="1"/>
  <c r="K297" i="1"/>
  <c r="L297" i="1"/>
  <c r="M297" i="1"/>
  <c r="O297" i="1"/>
  <c r="P297" i="1"/>
  <c r="Q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F297" i="1"/>
  <c r="AJ297" i="1"/>
  <c r="AH298" i="1"/>
  <c r="H298" i="1"/>
  <c r="I298" i="1"/>
  <c r="J298" i="1"/>
  <c r="K298" i="1"/>
  <c r="L298" i="1"/>
  <c r="M298" i="1"/>
  <c r="O298" i="1"/>
  <c r="P298" i="1"/>
  <c r="Q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F298" i="1"/>
  <c r="AJ298" i="1"/>
  <c r="AH299" i="1"/>
  <c r="H299" i="1"/>
  <c r="I299" i="1"/>
  <c r="J299" i="1"/>
  <c r="K299" i="1"/>
  <c r="L299" i="1"/>
  <c r="M299" i="1"/>
  <c r="O299" i="1"/>
  <c r="P299" i="1"/>
  <c r="Q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F299" i="1"/>
  <c r="AJ299" i="1"/>
  <c r="AH300" i="1"/>
  <c r="H300" i="1"/>
  <c r="I300" i="1"/>
  <c r="J300" i="1"/>
  <c r="K300" i="1"/>
  <c r="L300" i="1"/>
  <c r="M300" i="1"/>
  <c r="O300" i="1"/>
  <c r="P300" i="1"/>
  <c r="Q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F300" i="1"/>
  <c r="AJ300" i="1"/>
  <c r="G302" i="1"/>
  <c r="G326" i="1"/>
  <c r="G330" i="1"/>
  <c r="K360" i="1"/>
  <c r="H360" i="1"/>
  <c r="I360" i="1"/>
  <c r="J360" i="1"/>
  <c r="L360" i="1"/>
  <c r="M360" i="1"/>
  <c r="O360" i="1"/>
  <c r="P360" i="1"/>
  <c r="Q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F360" i="1"/>
  <c r="AH360" i="1"/>
  <c r="AJ360" i="1"/>
  <c r="I361" i="1"/>
  <c r="I153" i="1" s="1"/>
  <c r="K361" i="1"/>
  <c r="L361" i="1"/>
  <c r="M361" i="1"/>
  <c r="O361" i="1"/>
  <c r="P361" i="1"/>
  <c r="Q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F361" i="1"/>
  <c r="AH361" i="1"/>
  <c r="AJ361" i="1"/>
  <c r="H362" i="1"/>
  <c r="H154" i="1" s="1"/>
  <c r="K362" i="1"/>
  <c r="L362" i="1"/>
  <c r="M362" i="1"/>
  <c r="O362" i="1"/>
  <c r="P362" i="1"/>
  <c r="Q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F362" i="1"/>
  <c r="AH362" i="1"/>
  <c r="AJ362" i="1"/>
  <c r="H363" i="1"/>
  <c r="K363" i="1"/>
  <c r="L363" i="1"/>
  <c r="M363" i="1"/>
  <c r="O363" i="1"/>
  <c r="P363" i="1"/>
  <c r="Q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F363" i="1"/>
  <c r="AH363" i="1"/>
  <c r="AJ363" i="1"/>
  <c r="H364" i="1"/>
  <c r="I364" i="1"/>
  <c r="J364" i="1"/>
  <c r="K364" i="1"/>
  <c r="L364" i="1"/>
  <c r="M364" i="1"/>
  <c r="O364" i="1"/>
  <c r="P364" i="1"/>
  <c r="Q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F364" i="1"/>
  <c r="AH364" i="1"/>
  <c r="AJ364" i="1"/>
  <c r="K370" i="1"/>
  <c r="L370" i="1"/>
  <c r="M370" i="1"/>
  <c r="O370" i="1"/>
  <c r="P370" i="1"/>
  <c r="Q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F370" i="1"/>
  <c r="AH370" i="1"/>
  <c r="AJ370" i="1"/>
  <c r="K371" i="1"/>
  <c r="H371" i="1"/>
  <c r="I371" i="1"/>
  <c r="J371" i="1"/>
  <c r="L371" i="1"/>
  <c r="M371" i="1"/>
  <c r="O371" i="1"/>
  <c r="P371" i="1"/>
  <c r="Q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F371" i="1"/>
  <c r="AH371" i="1"/>
  <c r="AJ371" i="1"/>
  <c r="K372" i="1"/>
  <c r="H372" i="1"/>
  <c r="I372" i="1"/>
  <c r="J372" i="1"/>
  <c r="L372" i="1"/>
  <c r="M372" i="1"/>
  <c r="O372" i="1"/>
  <c r="P372" i="1"/>
  <c r="Q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F372" i="1"/>
  <c r="AH372" i="1"/>
  <c r="AJ372" i="1"/>
  <c r="K373" i="1"/>
  <c r="H373" i="1"/>
  <c r="I373" i="1"/>
  <c r="J373" i="1"/>
  <c r="L373" i="1"/>
  <c r="M373" i="1"/>
  <c r="O373" i="1"/>
  <c r="P373" i="1"/>
  <c r="Q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F373" i="1"/>
  <c r="AH373" i="1"/>
  <c r="AJ373" i="1"/>
  <c r="H381" i="1"/>
  <c r="I381" i="1"/>
  <c r="J381" i="1"/>
  <c r="K381" i="1"/>
  <c r="L381" i="1"/>
  <c r="M381" i="1"/>
  <c r="O381" i="1"/>
  <c r="P381" i="1"/>
  <c r="Q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F381" i="1"/>
  <c r="AH381" i="1"/>
  <c r="AJ381" i="1"/>
  <c r="H382" i="1"/>
  <c r="I382" i="1"/>
  <c r="J382" i="1"/>
  <c r="K382" i="1"/>
  <c r="L382" i="1"/>
  <c r="M382" i="1"/>
  <c r="O382" i="1"/>
  <c r="P382" i="1"/>
  <c r="Q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F382" i="1"/>
  <c r="AH382" i="1"/>
  <c r="AJ382" i="1"/>
  <c r="H383" i="1"/>
  <c r="K383" i="1"/>
  <c r="L383" i="1"/>
  <c r="M383" i="1"/>
  <c r="O383" i="1"/>
  <c r="P383" i="1"/>
  <c r="Q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F383" i="1"/>
  <c r="AH383" i="1"/>
  <c r="AJ383" i="1"/>
  <c r="H384" i="1"/>
  <c r="K384" i="1"/>
  <c r="L384" i="1"/>
  <c r="M384" i="1"/>
  <c r="O384" i="1"/>
  <c r="P384" i="1"/>
  <c r="Q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F384" i="1"/>
  <c r="AH384" i="1"/>
  <c r="AJ384" i="1"/>
  <c r="H385" i="1"/>
  <c r="I385" i="1"/>
  <c r="J385" i="1"/>
  <c r="K385" i="1"/>
  <c r="L385" i="1"/>
  <c r="M385" i="1"/>
  <c r="O385" i="1"/>
  <c r="P385" i="1"/>
  <c r="Q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F385" i="1"/>
  <c r="AH385" i="1"/>
  <c r="AJ385" i="1"/>
  <c r="I391" i="1"/>
  <c r="K391" i="1"/>
  <c r="L391" i="1"/>
  <c r="M391" i="1"/>
  <c r="O391" i="1"/>
  <c r="P391" i="1"/>
  <c r="Q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F391" i="1"/>
  <c r="AH391" i="1"/>
  <c r="AJ391" i="1"/>
  <c r="H392" i="1"/>
  <c r="I392" i="1"/>
  <c r="J392" i="1"/>
  <c r="K392" i="1"/>
  <c r="L392" i="1"/>
  <c r="M392" i="1"/>
  <c r="O392" i="1"/>
  <c r="P392" i="1"/>
  <c r="Q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F392" i="1"/>
  <c r="AH392" i="1"/>
  <c r="AJ392" i="1"/>
  <c r="H393" i="1"/>
  <c r="I393" i="1"/>
  <c r="J393" i="1"/>
  <c r="L393" i="1"/>
  <c r="M393" i="1"/>
  <c r="O393" i="1"/>
  <c r="P393" i="1"/>
  <c r="Q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F393" i="1"/>
  <c r="AH393" i="1"/>
  <c r="AJ393" i="1"/>
  <c r="K394" i="1"/>
  <c r="H394" i="1"/>
  <c r="I394" i="1"/>
  <c r="J394" i="1"/>
  <c r="L394" i="1"/>
  <c r="M394" i="1"/>
  <c r="O394" i="1"/>
  <c r="P394" i="1"/>
  <c r="Q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F394" i="1"/>
  <c r="AH394" i="1"/>
  <c r="AJ394" i="1"/>
  <c r="I401" i="1"/>
  <c r="K401" i="1"/>
  <c r="L401" i="1"/>
  <c r="M401" i="1"/>
  <c r="O401" i="1"/>
  <c r="P401" i="1"/>
  <c r="Q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F401" i="1"/>
  <c r="AH401" i="1"/>
  <c r="AJ401" i="1"/>
  <c r="H402" i="1"/>
  <c r="I402" i="1"/>
  <c r="J402" i="1"/>
  <c r="L402" i="1"/>
  <c r="M402" i="1"/>
  <c r="O402" i="1"/>
  <c r="P402" i="1"/>
  <c r="Q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F402" i="1"/>
  <c r="AH402" i="1"/>
  <c r="AJ402" i="1"/>
  <c r="I403" i="1"/>
  <c r="K403" i="1"/>
  <c r="L403" i="1"/>
  <c r="M403" i="1"/>
  <c r="O403" i="1"/>
  <c r="P403" i="1"/>
  <c r="Q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F403" i="1"/>
  <c r="AH403" i="1"/>
  <c r="AJ403" i="1"/>
  <c r="K404" i="1"/>
  <c r="L404" i="1"/>
  <c r="M404" i="1"/>
  <c r="O404" i="1"/>
  <c r="P404" i="1"/>
  <c r="Q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F404" i="1"/>
  <c r="AH404" i="1"/>
  <c r="AJ404" i="1"/>
  <c r="I405" i="1"/>
  <c r="K405" i="1"/>
  <c r="L405" i="1"/>
  <c r="M405" i="1"/>
  <c r="O405" i="1"/>
  <c r="P405" i="1"/>
  <c r="Q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F405" i="1"/>
  <c r="AH405" i="1"/>
  <c r="AJ405" i="1"/>
  <c r="I410" i="1"/>
  <c r="K410" i="1"/>
  <c r="L410" i="1"/>
  <c r="M410" i="1"/>
  <c r="O410" i="1"/>
  <c r="P410" i="1"/>
  <c r="Q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F410" i="1"/>
  <c r="AH410" i="1"/>
  <c r="AJ410" i="1"/>
  <c r="J411" i="1"/>
  <c r="K411" i="1"/>
  <c r="L411" i="1"/>
  <c r="M411" i="1"/>
  <c r="O411" i="1"/>
  <c r="P411" i="1"/>
  <c r="Q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F411" i="1"/>
  <c r="AH411" i="1"/>
  <c r="AJ411" i="1"/>
  <c r="I412" i="1"/>
  <c r="K412" i="1"/>
  <c r="L412" i="1"/>
  <c r="M412" i="1"/>
  <c r="O412" i="1"/>
  <c r="P412" i="1"/>
  <c r="Q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F412" i="1"/>
  <c r="AH412" i="1"/>
  <c r="AJ412" i="1"/>
  <c r="J413" i="1"/>
  <c r="K413" i="1"/>
  <c r="L413" i="1"/>
  <c r="M413" i="1"/>
  <c r="O413" i="1"/>
  <c r="P413" i="1"/>
  <c r="Q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F413" i="1"/>
  <c r="AH413" i="1"/>
  <c r="AJ413" i="1"/>
  <c r="I423" i="1"/>
  <c r="K423" i="1"/>
  <c r="L423" i="1"/>
  <c r="M423" i="1"/>
  <c r="O423" i="1"/>
  <c r="P423" i="1"/>
  <c r="Q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F423" i="1"/>
  <c r="AH423" i="1"/>
  <c r="AJ423" i="1"/>
  <c r="J424" i="1"/>
  <c r="K424" i="1"/>
  <c r="L424" i="1"/>
  <c r="M424" i="1"/>
  <c r="O424" i="1"/>
  <c r="P424" i="1"/>
  <c r="Q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F424" i="1"/>
  <c r="AH424" i="1"/>
  <c r="AJ424" i="1"/>
  <c r="G440" i="1"/>
  <c r="H450" i="1"/>
  <c r="I450" i="1"/>
  <c r="J450" i="1"/>
  <c r="K450" i="1"/>
  <c r="L450" i="1"/>
  <c r="M450" i="1"/>
  <c r="O450" i="1"/>
  <c r="P450" i="1"/>
  <c r="Q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F450" i="1"/>
  <c r="AH450" i="1"/>
  <c r="AJ450" i="1"/>
  <c r="G455" i="1"/>
  <c r="G479" i="1"/>
  <c r="H488" i="1"/>
  <c r="I488" i="1"/>
  <c r="J488" i="1"/>
  <c r="K488" i="1"/>
  <c r="L488" i="1"/>
  <c r="M488" i="1"/>
  <c r="O488" i="1"/>
  <c r="P488" i="1"/>
  <c r="Q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H488" i="1"/>
  <c r="AJ488" i="1"/>
  <c r="AF489" i="1"/>
  <c r="H489" i="1"/>
  <c r="I489" i="1"/>
  <c r="J489" i="1"/>
  <c r="K489" i="1"/>
  <c r="L489" i="1"/>
  <c r="M489" i="1"/>
  <c r="O489" i="1"/>
  <c r="P489" i="1"/>
  <c r="Q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H489" i="1"/>
  <c r="AJ489" i="1"/>
  <c r="AF490" i="1"/>
  <c r="H490" i="1"/>
  <c r="I490" i="1"/>
  <c r="J490" i="1"/>
  <c r="K490" i="1"/>
  <c r="L490" i="1"/>
  <c r="M490" i="1"/>
  <c r="O490" i="1"/>
  <c r="P490" i="1"/>
  <c r="Q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H490" i="1"/>
  <c r="AJ490" i="1"/>
  <c r="AF491" i="1"/>
  <c r="H491" i="1"/>
  <c r="I491" i="1"/>
  <c r="J491" i="1"/>
  <c r="K491" i="1"/>
  <c r="L491" i="1"/>
  <c r="M491" i="1"/>
  <c r="O491" i="1"/>
  <c r="P491" i="1"/>
  <c r="Q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H491" i="1"/>
  <c r="AJ491" i="1"/>
  <c r="AF492" i="1"/>
  <c r="H492" i="1"/>
  <c r="I492" i="1"/>
  <c r="J492" i="1"/>
  <c r="K492" i="1"/>
  <c r="L492" i="1"/>
  <c r="M492" i="1"/>
  <c r="O492" i="1"/>
  <c r="P492" i="1"/>
  <c r="Q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H492" i="1"/>
  <c r="AJ492" i="1"/>
  <c r="G494" i="1"/>
  <c r="H497" i="1"/>
  <c r="I497" i="1"/>
  <c r="J497" i="1"/>
  <c r="K497" i="1"/>
  <c r="L497" i="1"/>
  <c r="M497" i="1"/>
  <c r="O497" i="1"/>
  <c r="P497" i="1"/>
  <c r="Q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F497" i="1"/>
  <c r="AJ497" i="1"/>
  <c r="AH498" i="1"/>
  <c r="H498" i="1"/>
  <c r="I498" i="1"/>
  <c r="J498" i="1"/>
  <c r="K498" i="1"/>
  <c r="L498" i="1"/>
  <c r="M498" i="1"/>
  <c r="O498" i="1"/>
  <c r="P498" i="1"/>
  <c r="Q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F498" i="1"/>
  <c r="AJ498" i="1"/>
  <c r="H499" i="1"/>
  <c r="I499" i="1"/>
  <c r="J499" i="1"/>
  <c r="K499" i="1"/>
  <c r="L499" i="1"/>
  <c r="M499" i="1"/>
  <c r="O499" i="1"/>
  <c r="P499" i="1"/>
  <c r="Q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F499" i="1"/>
  <c r="AH499" i="1"/>
  <c r="AJ499" i="1"/>
  <c r="AH500" i="1"/>
  <c r="H500" i="1"/>
  <c r="I500" i="1"/>
  <c r="J500" i="1"/>
  <c r="K500" i="1"/>
  <c r="L500" i="1"/>
  <c r="M500" i="1"/>
  <c r="O500" i="1"/>
  <c r="P500" i="1"/>
  <c r="Q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F500" i="1"/>
  <c r="AJ500" i="1"/>
  <c r="H501" i="1"/>
  <c r="I501" i="1"/>
  <c r="J501" i="1"/>
  <c r="K501" i="1"/>
  <c r="L501" i="1"/>
  <c r="M501" i="1"/>
  <c r="O501" i="1"/>
  <c r="P501" i="1"/>
  <c r="Q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F501" i="1"/>
  <c r="AH501" i="1"/>
  <c r="AJ501" i="1"/>
  <c r="AH502" i="1"/>
  <c r="H502" i="1"/>
  <c r="I502" i="1"/>
  <c r="J502" i="1"/>
  <c r="K502" i="1"/>
  <c r="L502" i="1"/>
  <c r="M502" i="1"/>
  <c r="O502" i="1"/>
  <c r="P502" i="1"/>
  <c r="Q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F502" i="1"/>
  <c r="AJ502" i="1"/>
  <c r="H503" i="1"/>
  <c r="I503" i="1"/>
  <c r="J503" i="1"/>
  <c r="K503" i="1"/>
  <c r="L503" i="1"/>
  <c r="M503" i="1"/>
  <c r="O503" i="1"/>
  <c r="P503" i="1"/>
  <c r="Q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F503" i="1"/>
  <c r="AH503" i="1"/>
  <c r="AJ503" i="1"/>
  <c r="H504" i="1"/>
  <c r="I504" i="1"/>
  <c r="J504" i="1"/>
  <c r="K504" i="1"/>
  <c r="L504" i="1"/>
  <c r="M504" i="1"/>
  <c r="O504" i="1"/>
  <c r="P504" i="1"/>
  <c r="Q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F504" i="1"/>
  <c r="AJ504" i="1"/>
  <c r="AH505" i="1"/>
  <c r="H505" i="1"/>
  <c r="I505" i="1"/>
  <c r="J505" i="1"/>
  <c r="K505" i="1"/>
  <c r="L505" i="1"/>
  <c r="M505" i="1"/>
  <c r="O505" i="1"/>
  <c r="P505" i="1"/>
  <c r="Q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F505" i="1"/>
  <c r="AJ505" i="1"/>
  <c r="H506" i="1"/>
  <c r="I506" i="1"/>
  <c r="J506" i="1"/>
  <c r="K506" i="1"/>
  <c r="L506" i="1"/>
  <c r="M506" i="1"/>
  <c r="O506" i="1"/>
  <c r="P506" i="1"/>
  <c r="Q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F506" i="1"/>
  <c r="AH506" i="1"/>
  <c r="AJ506" i="1"/>
  <c r="G508" i="1"/>
  <c r="G532" i="1"/>
  <c r="G536" i="1"/>
  <c r="T565" i="1"/>
  <c r="W565" i="1"/>
  <c r="X565" i="1"/>
  <c r="Y565" i="1"/>
  <c r="AB565" i="1"/>
  <c r="AC565" i="1"/>
  <c r="T566" i="1"/>
  <c r="W566" i="1"/>
  <c r="X566" i="1"/>
  <c r="Y566" i="1"/>
  <c r="AB566" i="1"/>
  <c r="AC566" i="1"/>
  <c r="T567" i="1"/>
  <c r="W567" i="1"/>
  <c r="X567" i="1"/>
  <c r="Y567" i="1"/>
  <c r="AB567" i="1"/>
  <c r="AC567" i="1"/>
  <c r="T577" i="1"/>
  <c r="W577" i="1"/>
  <c r="X577" i="1"/>
  <c r="Y577" i="1"/>
  <c r="AB577" i="1"/>
  <c r="AC577" i="1"/>
  <c r="AG581" i="1"/>
  <c r="K587" i="1"/>
  <c r="F526" i="2" s="1"/>
  <c r="H587" i="1"/>
  <c r="F523" i="2" s="1"/>
  <c r="I587" i="1"/>
  <c r="F524" i="2" s="1"/>
  <c r="J587" i="1"/>
  <c r="F525" i="2" s="1"/>
  <c r="L587" i="1"/>
  <c r="F527" i="2" s="1"/>
  <c r="M587" i="1"/>
  <c r="F528" i="2" s="1"/>
  <c r="O587" i="1"/>
  <c r="F532" i="2" s="1"/>
  <c r="P587" i="1"/>
  <c r="F533" i="2" s="1"/>
  <c r="Q587" i="1"/>
  <c r="F534" i="2" s="1"/>
  <c r="S587" i="1"/>
  <c r="F538" i="2" s="1"/>
  <c r="T587" i="1"/>
  <c r="F541" i="2" s="1"/>
  <c r="U587" i="1"/>
  <c r="F544" i="2" s="1"/>
  <c r="V587" i="1"/>
  <c r="F545" i="2" s="1"/>
  <c r="W587" i="1"/>
  <c r="F546" i="2" s="1"/>
  <c r="X587" i="1"/>
  <c r="F547" i="2" s="1"/>
  <c r="Y587" i="1"/>
  <c r="F548" i="2" s="1"/>
  <c r="Z587" i="1"/>
  <c r="F552" i="2" s="1"/>
  <c r="AA587" i="1"/>
  <c r="F553" i="2" s="1"/>
  <c r="AB587" i="1"/>
  <c r="F557" i="2" s="1"/>
  <c r="AC587" i="1"/>
  <c r="F560" i="2" s="1"/>
  <c r="AD587" i="1"/>
  <c r="F563" i="2" s="1"/>
  <c r="AF587" i="1"/>
  <c r="F566" i="2" s="1"/>
  <c r="AH587" i="1"/>
  <c r="F569" i="2" s="1"/>
  <c r="AJ587" i="1"/>
  <c r="F572" i="2" s="1"/>
  <c r="G595" i="1"/>
  <c r="AE595" i="1"/>
  <c r="AG595" i="1"/>
  <c r="AI595" i="1"/>
  <c r="AK611" i="1"/>
  <c r="AL611" i="1" s="1"/>
  <c r="V613" i="1"/>
  <c r="W613" i="1"/>
  <c r="X613" i="1"/>
  <c r="Y613" i="1"/>
  <c r="Y36" i="1" s="1"/>
  <c r="W75" i="1"/>
  <c r="Y75" i="1"/>
  <c r="AK615" i="1"/>
  <c r="AL615" i="1" s="1"/>
  <c r="AK616" i="1"/>
  <c r="AL616" i="1" s="1"/>
  <c r="AK617" i="1"/>
  <c r="AL617" i="1" s="1"/>
  <c r="AK618" i="1"/>
  <c r="AL618" i="1" s="1"/>
  <c r="AK619" i="1"/>
  <c r="AL619" i="1" s="1"/>
  <c r="AK620" i="1"/>
  <c r="AL620" i="1" s="1"/>
  <c r="O29" i="1"/>
  <c r="AK622" i="1"/>
  <c r="AL622" i="1" s="1"/>
  <c r="AK623" i="1"/>
  <c r="AL623" i="1" s="1"/>
  <c r="AK624" i="1"/>
  <c r="AL624" i="1" s="1"/>
  <c r="AK625" i="1"/>
  <c r="AL625" i="1"/>
  <c r="AK627" i="1"/>
  <c r="AL627" i="1" s="1"/>
  <c r="AK633" i="1"/>
  <c r="AL633" i="1" s="1"/>
  <c r="AK634" i="1"/>
  <c r="AL634" i="1" s="1"/>
  <c r="K637" i="1"/>
  <c r="L637" i="1"/>
  <c r="M637" i="1"/>
  <c r="O637" i="1"/>
  <c r="P637" i="1"/>
  <c r="Q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F637" i="1"/>
  <c r="AH637" i="1"/>
  <c r="AJ637" i="1"/>
  <c r="K638" i="1"/>
  <c r="H638" i="1"/>
  <c r="I638" i="1"/>
  <c r="J638" i="1"/>
  <c r="L638" i="1"/>
  <c r="L639" i="1" s="1"/>
  <c r="L218" i="1" s="1"/>
  <c r="M638" i="1"/>
  <c r="O638" i="1"/>
  <c r="P638" i="1"/>
  <c r="Q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F638" i="1"/>
  <c r="AF639" i="1" s="1"/>
  <c r="AH638" i="1"/>
  <c r="AJ638" i="1"/>
  <c r="N639" i="1"/>
  <c r="R639" i="1"/>
  <c r="AE639" i="1"/>
  <c r="AG639" i="1"/>
  <c r="AI639" i="1"/>
  <c r="AK641" i="1"/>
  <c r="AL641" i="1" s="1"/>
  <c r="AK642" i="1"/>
  <c r="AL642" i="1"/>
  <c r="AK643" i="1"/>
  <c r="AL643" i="1" s="1"/>
  <c r="AK644" i="1"/>
  <c r="AL644" i="1" s="1"/>
  <c r="H177" i="1"/>
  <c r="I20" i="1"/>
  <c r="K860" i="2"/>
  <c r="D10" i="7"/>
  <c r="E10" i="7" s="1"/>
  <c r="N867" i="2"/>
  <c r="L867" i="2"/>
  <c r="I860" i="2"/>
  <c r="V75" i="1"/>
  <c r="K62" i="7"/>
  <c r="K58" i="7"/>
  <c r="K54" i="7"/>
  <c r="K48" i="7"/>
  <c r="K44" i="7"/>
  <c r="K40" i="7"/>
  <c r="K32" i="7"/>
  <c r="K28" i="7"/>
  <c r="K24" i="7"/>
  <c r="K20" i="7"/>
  <c r="K14" i="7"/>
  <c r="K65" i="7" s="1"/>
  <c r="K64" i="7"/>
  <c r="K60" i="7"/>
  <c r="K56" i="7"/>
  <c r="K52" i="7"/>
  <c r="K46" i="7"/>
  <c r="K42" i="7"/>
  <c r="K38" i="7"/>
  <c r="K30" i="7"/>
  <c r="K26" i="7"/>
  <c r="K22" i="7"/>
  <c r="K18" i="7"/>
  <c r="V801" i="2"/>
  <c r="W801" i="2" s="1"/>
  <c r="J423" i="1"/>
  <c r="J16" i="1"/>
  <c r="H20" i="1"/>
  <c r="J20" i="1"/>
  <c r="AH497" i="1"/>
  <c r="C38" i="8"/>
  <c r="E49" i="14"/>
  <c r="F49" i="14"/>
  <c r="G49" i="14"/>
  <c r="G844" i="2"/>
  <c r="G845" i="2" s="1"/>
  <c r="H49" i="14"/>
  <c r="H423" i="1"/>
  <c r="J908" i="2"/>
  <c r="D34" i="7"/>
  <c r="E34" i="7" s="1"/>
  <c r="S848" i="2"/>
  <c r="S860" i="2" s="1"/>
  <c r="E20" i="6"/>
  <c r="P908" i="2"/>
  <c r="P843" i="2"/>
  <c r="D26" i="7"/>
  <c r="E26" i="7" s="1"/>
  <c r="H403" i="1"/>
  <c r="J177" i="1"/>
  <c r="S843" i="2"/>
  <c r="S908" i="2"/>
  <c r="F742" i="2" l="1"/>
  <c r="F99" i="30" s="1"/>
  <c r="F98" i="30"/>
  <c r="G481" i="1"/>
  <c r="G483" i="1" s="1"/>
  <c r="G485" i="1" s="1"/>
  <c r="K861" i="2"/>
  <c r="S741" i="2"/>
  <c r="S98" i="30" s="1"/>
  <c r="S678" i="2"/>
  <c r="S35" i="30" s="1"/>
  <c r="K741" i="2"/>
  <c r="K98" i="30" s="1"/>
  <c r="K678" i="2"/>
  <c r="K35" i="30" s="1"/>
  <c r="R741" i="2"/>
  <c r="R98" i="30" s="1"/>
  <c r="R678" i="2"/>
  <c r="R35" i="30" s="1"/>
  <c r="J741" i="2"/>
  <c r="J98" i="30" s="1"/>
  <c r="J678" i="2"/>
  <c r="J35" i="30" s="1"/>
  <c r="Q741" i="2"/>
  <c r="Q98" i="30" s="1"/>
  <c r="Q678" i="2"/>
  <c r="Q35" i="30" s="1"/>
  <c r="H741" i="2"/>
  <c r="H98" i="30" s="1"/>
  <c r="L741" i="2"/>
  <c r="L98" i="30" s="1"/>
  <c r="O741" i="2"/>
  <c r="O98" i="30" s="1"/>
  <c r="O678" i="2"/>
  <c r="O35" i="30" s="1"/>
  <c r="N741" i="2"/>
  <c r="N98" i="30" s="1"/>
  <c r="N678" i="2"/>
  <c r="N35" i="30" s="1"/>
  <c r="G741" i="2"/>
  <c r="G98" i="30" s="1"/>
  <c r="G678" i="2"/>
  <c r="G35" i="30" s="1"/>
  <c r="M860" i="2"/>
  <c r="V903" i="2"/>
  <c r="W903" i="2" s="1"/>
  <c r="X903" i="2" s="1"/>
  <c r="V909" i="2"/>
  <c r="W909" i="2" s="1"/>
  <c r="X909" i="2" s="1"/>
  <c r="E32" i="6"/>
  <c r="D32" i="7"/>
  <c r="E32" i="7" s="1"/>
  <c r="D30" i="7"/>
  <c r="E30" i="7" s="1"/>
  <c r="E30" i="6"/>
  <c r="S849" i="2"/>
  <c r="S850" i="2" s="1"/>
  <c r="S853" i="2" s="1"/>
  <c r="E34" i="6"/>
  <c r="B38" i="8"/>
  <c r="P848" i="2"/>
  <c r="Q848" i="2"/>
  <c r="E26" i="6"/>
  <c r="R848" i="2"/>
  <c r="R849" i="2" s="1"/>
  <c r="R850" i="2" s="1"/>
  <c r="O849" i="2"/>
  <c r="O860" i="2"/>
  <c r="E24" i="6"/>
  <c r="D24" i="7"/>
  <c r="E24" i="7" s="1"/>
  <c r="D20" i="7"/>
  <c r="E20" i="7" s="1"/>
  <c r="N848" i="2"/>
  <c r="N843" i="2"/>
  <c r="D38" i="8"/>
  <c r="F843" i="2" s="1"/>
  <c r="D22" i="7"/>
  <c r="E22" i="7" s="1"/>
  <c r="S844" i="2"/>
  <c r="S845" i="2" s="1"/>
  <c r="S878" i="2" s="1"/>
  <c r="S895" i="2" s="1"/>
  <c r="D12" i="7"/>
  <c r="E12" i="7" s="1"/>
  <c r="H908" i="2"/>
  <c r="O843" i="2"/>
  <c r="G860" i="2"/>
  <c r="G849" i="2"/>
  <c r="G850" i="2" s="1"/>
  <c r="F764" i="2"/>
  <c r="F813" i="2" s="1"/>
  <c r="V874" i="2"/>
  <c r="W874" i="2" s="1"/>
  <c r="G803" i="2"/>
  <c r="H1" i="2"/>
  <c r="H724" i="2" s="1"/>
  <c r="H81" i="30" s="1"/>
  <c r="K856" i="2"/>
  <c r="K868" i="2" s="1"/>
  <c r="G545" i="2"/>
  <c r="M741" i="2"/>
  <c r="M98" i="30" s="1"/>
  <c r="P741" i="2"/>
  <c r="P98" i="30" s="1"/>
  <c r="K851" i="2"/>
  <c r="K863" i="2" s="1"/>
  <c r="G657" i="2"/>
  <c r="G14" i="30" s="1"/>
  <c r="H921" i="2"/>
  <c r="K854" i="2"/>
  <c r="V904" i="2"/>
  <c r="W904" i="2" s="1"/>
  <c r="X904" i="2" s="1"/>
  <c r="K862" i="2"/>
  <c r="V873" i="2"/>
  <c r="W873" i="2" s="1"/>
  <c r="X873" i="2" s="1"/>
  <c r="I850" i="2"/>
  <c r="F925" i="2"/>
  <c r="M849" i="2"/>
  <c r="V877" i="2"/>
  <c r="W877" i="2" s="1"/>
  <c r="X877" i="2" s="1"/>
  <c r="V717" i="2"/>
  <c r="W717" i="2" s="1"/>
  <c r="X717" i="2" s="1"/>
  <c r="G833" i="2"/>
  <c r="G652" i="2" s="1"/>
  <c r="G9" i="30" s="1"/>
  <c r="G724" i="2"/>
  <c r="G81" i="30" s="1"/>
  <c r="G921" i="2"/>
  <c r="G878" i="2"/>
  <c r="G895" i="2" s="1"/>
  <c r="G538" i="2"/>
  <c r="G656" i="2"/>
  <c r="G13" i="30" s="1"/>
  <c r="L849" i="2"/>
  <c r="G663" i="2"/>
  <c r="G20" i="30" s="1"/>
  <c r="G541" i="2"/>
  <c r="V881" i="2"/>
  <c r="W881" i="2" s="1"/>
  <c r="X881" i="2" s="1"/>
  <c r="V875" i="2"/>
  <c r="W875" i="2" s="1"/>
  <c r="X875" i="2" s="1"/>
  <c r="G664" i="2"/>
  <c r="G21" i="30" s="1"/>
  <c r="L860" i="2"/>
  <c r="E16" i="6"/>
  <c r="L288" i="1"/>
  <c r="G662" i="2"/>
  <c r="G19" i="30" s="1"/>
  <c r="F566" i="1"/>
  <c r="G275" i="1"/>
  <c r="G277" i="1" s="1"/>
  <c r="G279" i="1" s="1"/>
  <c r="P30" i="1"/>
  <c r="AK614" i="1"/>
  <c r="AL614" i="1" s="1"/>
  <c r="P72" i="1"/>
  <c r="Q30" i="1"/>
  <c r="Z38" i="1"/>
  <c r="Z474" i="1" s="1"/>
  <c r="H132" i="1"/>
  <c r="AK613" i="1"/>
  <c r="AL613" i="1" s="1"/>
  <c r="X75" i="1"/>
  <c r="AK75" i="1" s="1"/>
  <c r="AL75" i="1" s="1"/>
  <c r="AK621" i="1"/>
  <c r="AL621" i="1" s="1"/>
  <c r="X36" i="1"/>
  <c r="X248" i="1" s="1"/>
  <c r="AK612" i="1"/>
  <c r="AL612" i="1" s="1"/>
  <c r="P125" i="1"/>
  <c r="O72" i="1"/>
  <c r="O30" i="1"/>
  <c r="O32" i="1" s="1"/>
  <c r="K628" i="1"/>
  <c r="M628" i="1"/>
  <c r="L628" i="1"/>
  <c r="AK176" i="1"/>
  <c r="AL176" i="1" s="1"/>
  <c r="J403" i="1"/>
  <c r="AK403" i="1" s="1"/>
  <c r="AL403" i="1" s="1"/>
  <c r="G304" i="1"/>
  <c r="H391" i="1"/>
  <c r="H630" i="1" s="1"/>
  <c r="O134" i="1"/>
  <c r="AD630" i="1"/>
  <c r="AD390" i="1" s="1"/>
  <c r="AD396" i="1" s="1"/>
  <c r="AD183" i="1" s="1"/>
  <c r="AD189" i="1" s="1"/>
  <c r="S444" i="1"/>
  <c r="Z473" i="1"/>
  <c r="I264" i="1"/>
  <c r="L447" i="1"/>
  <c r="I247" i="1"/>
  <c r="S247" i="1"/>
  <c r="X628" i="1"/>
  <c r="X369" i="1" s="1"/>
  <c r="X375" i="1" s="1"/>
  <c r="X162" i="1" s="1"/>
  <c r="X168" i="1" s="1"/>
  <c r="Z267" i="1"/>
  <c r="I470" i="1"/>
  <c r="S264" i="1"/>
  <c r="I472" i="1"/>
  <c r="I265" i="1"/>
  <c r="I471" i="1"/>
  <c r="Z32" i="1"/>
  <c r="Z437" i="1" s="1"/>
  <c r="V630" i="1"/>
  <c r="V390" i="1" s="1"/>
  <c r="V396" i="1" s="1"/>
  <c r="V183" i="1" s="1"/>
  <c r="V189" i="1" s="1"/>
  <c r="AA474" i="1"/>
  <c r="F288" i="1"/>
  <c r="V36" i="1"/>
  <c r="V266" i="1" s="1"/>
  <c r="W36" i="1"/>
  <c r="W248" i="1" s="1"/>
  <c r="J391" i="1"/>
  <c r="J630" i="1" s="1"/>
  <c r="L630" i="1"/>
  <c r="L390" i="1" s="1"/>
  <c r="L396" i="1" s="1"/>
  <c r="L183" i="1" s="1"/>
  <c r="L189" i="1" s="1"/>
  <c r="AJ32" i="1"/>
  <c r="AJ436" i="1" s="1"/>
  <c r="L32" i="1"/>
  <c r="L436" i="1" s="1"/>
  <c r="Q471" i="1"/>
  <c r="Z247" i="1"/>
  <c r="J249" i="1"/>
  <c r="P266" i="1"/>
  <c r="T447" i="1"/>
  <c r="Z265" i="1"/>
  <c r="AH267" i="1"/>
  <c r="AA288" i="1"/>
  <c r="P445" i="1"/>
  <c r="P444" i="1"/>
  <c r="Z264" i="1"/>
  <c r="J447" i="1"/>
  <c r="Z471" i="1"/>
  <c r="Y449" i="1"/>
  <c r="AC251" i="1"/>
  <c r="AH32" i="1"/>
  <c r="AH432" i="1" s="1"/>
  <c r="X32" i="1"/>
  <c r="X569" i="1" s="1"/>
  <c r="K32" i="1"/>
  <c r="K240" i="1" s="1"/>
  <c r="P265" i="1"/>
  <c r="P248" i="1"/>
  <c r="J267" i="1"/>
  <c r="T473" i="1"/>
  <c r="P264" i="1"/>
  <c r="P446" i="1"/>
  <c r="T249" i="1"/>
  <c r="P471" i="1"/>
  <c r="AD448" i="1"/>
  <c r="T444" i="1"/>
  <c r="T265" i="1"/>
  <c r="Z246" i="1"/>
  <c r="AC248" i="1"/>
  <c r="AC472" i="1"/>
  <c r="T471" i="1"/>
  <c r="T264" i="1"/>
  <c r="P247" i="1"/>
  <c r="Z445" i="1"/>
  <c r="AC446" i="1"/>
  <c r="AH249" i="1"/>
  <c r="Z470" i="1"/>
  <c r="T247" i="1"/>
  <c r="P246" i="1"/>
  <c r="AH447" i="1"/>
  <c r="T246" i="1"/>
  <c r="O250" i="1"/>
  <c r="O476" i="1"/>
  <c r="AJ475" i="1"/>
  <c r="X448" i="1"/>
  <c r="X253" i="1"/>
  <c r="X475" i="1"/>
  <c r="X250" i="1"/>
  <c r="X449" i="1"/>
  <c r="AH474" i="1"/>
  <c r="AJ451" i="1"/>
  <c r="AJ476" i="1"/>
  <c r="AD444" i="1"/>
  <c r="S268" i="1"/>
  <c r="V246" i="1"/>
  <c r="K264" i="1"/>
  <c r="AD288" i="1"/>
  <c r="AB253" i="1"/>
  <c r="AB447" i="1"/>
  <c r="K265" i="1"/>
  <c r="P134" i="1"/>
  <c r="AF282" i="1"/>
  <c r="AF288" i="1" s="1"/>
  <c r="F494" i="1"/>
  <c r="F77" i="1"/>
  <c r="F94" i="1" s="1"/>
  <c r="H361" i="1"/>
  <c r="H153" i="1" s="1"/>
  <c r="J361" i="1"/>
  <c r="J153" i="1" s="1"/>
  <c r="AH476" i="1"/>
  <c r="AJ471" i="1"/>
  <c r="M269" i="1"/>
  <c r="K269" i="1"/>
  <c r="U474" i="1"/>
  <c r="AH448" i="1"/>
  <c r="O264" i="1"/>
  <c r="AH251" i="1"/>
  <c r="AF26" i="1"/>
  <c r="AF565" i="1" s="1"/>
  <c r="M26" i="1"/>
  <c r="M577" i="1" s="1"/>
  <c r="Y444" i="1"/>
  <c r="I473" i="1"/>
  <c r="M451" i="1"/>
  <c r="AB446" i="1"/>
  <c r="O446" i="1"/>
  <c r="AB266" i="1"/>
  <c r="AJ470" i="1"/>
  <c r="H288" i="1"/>
  <c r="O266" i="1"/>
  <c r="AB248" i="1"/>
  <c r="AF474" i="1"/>
  <c r="AH628" i="1"/>
  <c r="AH369" i="1" s="1"/>
  <c r="AH375" i="1" s="1"/>
  <c r="AH162" i="1" s="1"/>
  <c r="AH168" i="1" s="1"/>
  <c r="O628" i="1"/>
  <c r="O369" i="1" s="1"/>
  <c r="O375" i="1" s="1"/>
  <c r="O162" i="1" s="1"/>
  <c r="O168" i="1" s="1"/>
  <c r="Y288" i="1"/>
  <c r="Y266" i="1"/>
  <c r="AH250" i="1"/>
  <c r="AF32" i="1"/>
  <c r="AF429" i="1" s="1"/>
  <c r="W32" i="1"/>
  <c r="W240" i="1" s="1"/>
  <c r="J32" i="1"/>
  <c r="J432" i="1" s="1"/>
  <c r="U32" i="1"/>
  <c r="U438" i="1" s="1"/>
  <c r="H32" i="1"/>
  <c r="H436" i="1" s="1"/>
  <c r="AA26" i="1"/>
  <c r="AA565" i="1" s="1"/>
  <c r="S26" i="1"/>
  <c r="S567" i="1" s="1"/>
  <c r="AJ26" i="1"/>
  <c r="AJ565" i="1" s="1"/>
  <c r="M476" i="1"/>
  <c r="M448" i="1"/>
  <c r="L474" i="1"/>
  <c r="Y471" i="1"/>
  <c r="Y470" i="1"/>
  <c r="AH449" i="1"/>
  <c r="Y445" i="1"/>
  <c r="O444" i="1"/>
  <c r="Y265" i="1"/>
  <c r="W250" i="1"/>
  <c r="AJ247" i="1"/>
  <c r="AF447" i="1"/>
  <c r="O445" i="1"/>
  <c r="O265" i="1"/>
  <c r="Y247" i="1"/>
  <c r="AH475" i="1"/>
  <c r="AF473" i="1"/>
  <c r="O470" i="1"/>
  <c r="AF249" i="1"/>
  <c r="W475" i="1"/>
  <c r="O472" i="1"/>
  <c r="AH451" i="1"/>
  <c r="M449" i="1"/>
  <c r="I447" i="1"/>
  <c r="AJ444" i="1"/>
  <c r="M475" i="1"/>
  <c r="Y264" i="1"/>
  <c r="I249" i="1"/>
  <c r="Z288" i="1"/>
  <c r="K475" i="1"/>
  <c r="AK360" i="1"/>
  <c r="AL360" i="1" s="1"/>
  <c r="AF448" i="1"/>
  <c r="Q630" i="1"/>
  <c r="Q390" i="1" s="1"/>
  <c r="Q396" i="1" s="1"/>
  <c r="Q183" i="1" s="1"/>
  <c r="Q189" i="1" s="1"/>
  <c r="L217" i="1"/>
  <c r="AB639" i="1"/>
  <c r="AB422" i="1" s="1"/>
  <c r="AB426" i="1" s="1"/>
  <c r="V449" i="1"/>
  <c r="V270" i="1"/>
  <c r="J362" i="1"/>
  <c r="J154" i="1" s="1"/>
  <c r="AD251" i="1"/>
  <c r="AF488" i="1"/>
  <c r="AK488" i="1" s="1"/>
  <c r="AL488" i="1" s="1"/>
  <c r="M471" i="1"/>
  <c r="AD26" i="1"/>
  <c r="AD577" i="1" s="1"/>
  <c r="J175" i="1"/>
  <c r="U448" i="1"/>
  <c r="AF475" i="1"/>
  <c r="X444" i="1"/>
  <c r="AF630" i="1"/>
  <c r="AF390" i="1" s="1"/>
  <c r="AF396" i="1" s="1"/>
  <c r="AF183" i="1" s="1"/>
  <c r="AF189" i="1" s="1"/>
  <c r="M630" i="1"/>
  <c r="M390" i="1" s="1"/>
  <c r="M396" i="1" s="1"/>
  <c r="M183" i="1" s="1"/>
  <c r="M189" i="1" s="1"/>
  <c r="J288" i="1"/>
  <c r="L253" i="1"/>
  <c r="AD449" i="1"/>
  <c r="X265" i="1"/>
  <c r="L448" i="1"/>
  <c r="U451" i="1"/>
  <c r="L449" i="1"/>
  <c r="AA629" i="1"/>
  <c r="AA380" i="1" s="1"/>
  <c r="AA387" i="1" s="1"/>
  <c r="AA173" i="1" s="1"/>
  <c r="AA180" i="1" s="1"/>
  <c r="Z302" i="1"/>
  <c r="Q302" i="1"/>
  <c r="S288" i="1"/>
  <c r="J124" i="1"/>
  <c r="AF451" i="1"/>
  <c r="H205" i="1"/>
  <c r="H124" i="1"/>
  <c r="AD270" i="1"/>
  <c r="V251" i="1"/>
  <c r="Y628" i="1"/>
  <c r="Y369" i="1" s="1"/>
  <c r="Y375" i="1" s="1"/>
  <c r="Y162" i="1" s="1"/>
  <c r="Y168" i="1" s="1"/>
  <c r="AF269" i="1"/>
  <c r="J24" i="1"/>
  <c r="J26" i="1" s="1"/>
  <c r="P628" i="1"/>
  <c r="P369" i="1" s="1"/>
  <c r="P375" i="1" s="1"/>
  <c r="P162" i="1" s="1"/>
  <c r="P168" i="1" s="1"/>
  <c r="I424" i="1"/>
  <c r="L476" i="1"/>
  <c r="O125" i="1"/>
  <c r="J448" i="1"/>
  <c r="V32" i="1"/>
  <c r="V102" i="1" s="1"/>
  <c r="Z26" i="1"/>
  <c r="Z566" i="1" s="1"/>
  <c r="AH265" i="1"/>
  <c r="J132" i="1"/>
  <c r="J451" i="1"/>
  <c r="I413" i="1"/>
  <c r="J384" i="1"/>
  <c r="AB449" i="1"/>
  <c r="M445" i="1"/>
  <c r="AB630" i="1"/>
  <c r="AB390" i="1" s="1"/>
  <c r="AB396" i="1" s="1"/>
  <c r="AB183" i="1" s="1"/>
  <c r="AB189" i="1" s="1"/>
  <c r="AD267" i="1"/>
  <c r="L246" i="1"/>
  <c r="AD208" i="1"/>
  <c r="V208" i="1"/>
  <c r="AB208" i="1"/>
  <c r="I163" i="1"/>
  <c r="AD253" i="1"/>
  <c r="E42" i="7"/>
  <c r="AA39" i="1"/>
  <c r="AA45" i="1" s="1"/>
  <c r="AA32" i="1"/>
  <c r="AA434" i="1" s="1"/>
  <c r="U26" i="1"/>
  <c r="K26" i="1"/>
  <c r="K566" i="1" s="1"/>
  <c r="X246" i="1"/>
  <c r="H26" i="1"/>
  <c r="AD474" i="1"/>
  <c r="H203" i="1"/>
  <c r="AH246" i="1"/>
  <c r="T448" i="1"/>
  <c r="F26" i="1"/>
  <c r="K474" i="1"/>
  <c r="X471" i="1"/>
  <c r="AH470" i="1"/>
  <c r="F455" i="1"/>
  <c r="X407" i="1"/>
  <c r="X194" i="1" s="1"/>
  <c r="X200" i="1" s="1"/>
  <c r="AA630" i="1"/>
  <c r="AA390" i="1" s="1"/>
  <c r="AA396" i="1" s="1"/>
  <c r="AA183" i="1" s="1"/>
  <c r="AA189" i="1" s="1"/>
  <c r="S630" i="1"/>
  <c r="S390" i="1" s="1"/>
  <c r="S396" i="1" s="1"/>
  <c r="X302" i="1"/>
  <c r="AF302" i="1"/>
  <c r="AJ288" i="1"/>
  <c r="O288" i="1"/>
  <c r="Q267" i="1"/>
  <c r="K208" i="1"/>
  <c r="J449" i="1"/>
  <c r="H447" i="1"/>
  <c r="Q473" i="1"/>
  <c r="M470" i="1"/>
  <c r="T253" i="1"/>
  <c r="T476" i="1"/>
  <c r="J475" i="1"/>
  <c r="H473" i="1"/>
  <c r="M472" i="1"/>
  <c r="AD447" i="1"/>
  <c r="S415" i="1"/>
  <c r="V628" i="1"/>
  <c r="V369" i="1" s="1"/>
  <c r="V375" i="1" s="1"/>
  <c r="V162" i="1" s="1"/>
  <c r="V168" i="1" s="1"/>
  <c r="U626" i="1"/>
  <c r="U359" i="1" s="1"/>
  <c r="U366" i="1" s="1"/>
  <c r="U151" i="1" s="1"/>
  <c r="U159" i="1" s="1"/>
  <c r="K626" i="1"/>
  <c r="V302" i="1"/>
  <c r="M288" i="1"/>
  <c r="J269" i="1"/>
  <c r="I24" i="1"/>
  <c r="AB451" i="1"/>
  <c r="X445" i="1"/>
  <c r="T251" i="1"/>
  <c r="T474" i="1"/>
  <c r="AA472" i="1"/>
  <c r="U630" i="1"/>
  <c r="U390" i="1" s="1"/>
  <c r="U396" i="1" s="1"/>
  <c r="U183" i="1" s="1"/>
  <c r="U189" i="1" s="1"/>
  <c r="AA446" i="1"/>
  <c r="J203" i="1"/>
  <c r="Q635" i="1"/>
  <c r="Q142" i="1" s="1"/>
  <c r="AK491" i="1"/>
  <c r="AL491" i="1" s="1"/>
  <c r="T449" i="1"/>
  <c r="Q447" i="1"/>
  <c r="P630" i="1"/>
  <c r="P390" i="1" s="1"/>
  <c r="P396" i="1" s="1"/>
  <c r="P183" i="1" s="1"/>
  <c r="P189" i="1" s="1"/>
  <c r="AK381" i="1"/>
  <c r="AL381" i="1" s="1"/>
  <c r="V288" i="1"/>
  <c r="X247" i="1"/>
  <c r="AH471" i="1"/>
  <c r="AH444" i="1"/>
  <c r="M444" i="1"/>
  <c r="M265" i="1"/>
  <c r="AA248" i="1"/>
  <c r="M246" i="1"/>
  <c r="I384" i="1"/>
  <c r="AD473" i="1"/>
  <c r="X470" i="1"/>
  <c r="AH445" i="1"/>
  <c r="M247" i="1"/>
  <c r="F532" i="1"/>
  <c r="F632" i="1"/>
  <c r="AK164" i="1"/>
  <c r="AL164" i="1" s="1"/>
  <c r="H475" i="1"/>
  <c r="AK198" i="1"/>
  <c r="AL198" i="1" s="1"/>
  <c r="J363" i="1"/>
  <c r="Q476" i="1"/>
  <c r="P475" i="1"/>
  <c r="AC407" i="1"/>
  <c r="AC194" i="1" s="1"/>
  <c r="AC200" i="1" s="1"/>
  <c r="AH630" i="1"/>
  <c r="AH390" i="1" s="1"/>
  <c r="AH396" i="1" s="1"/>
  <c r="AH183" i="1" s="1"/>
  <c r="AH189" i="1" s="1"/>
  <c r="M32" i="1"/>
  <c r="M435" i="1" s="1"/>
  <c r="F189" i="1"/>
  <c r="H410" i="1"/>
  <c r="P476" i="1"/>
  <c r="I302" i="1"/>
  <c r="J410" i="1"/>
  <c r="AK42" i="1"/>
  <c r="AL42" i="1" s="1"/>
  <c r="Z628" i="1"/>
  <c r="Z369" i="1" s="1"/>
  <c r="Z375" i="1" s="1"/>
  <c r="Z162" i="1" s="1"/>
  <c r="Z168" i="1" s="1"/>
  <c r="I288" i="1"/>
  <c r="Y251" i="1"/>
  <c r="I630" i="1"/>
  <c r="I362" i="1"/>
  <c r="I154" i="1" s="1"/>
  <c r="AB635" i="1"/>
  <c r="AB142" i="1" s="1"/>
  <c r="Y248" i="1"/>
  <c r="AA270" i="1"/>
  <c r="AA476" i="1"/>
  <c r="L248" i="1"/>
  <c r="L266" i="1"/>
  <c r="L446" i="1"/>
  <c r="Q250" i="1"/>
  <c r="Q269" i="1"/>
  <c r="Z251" i="1"/>
  <c r="Z476" i="1"/>
  <c r="AD246" i="1"/>
  <c r="AD470" i="1"/>
  <c r="AD471" i="1"/>
  <c r="AD247" i="1"/>
  <c r="Q475" i="1"/>
  <c r="AF444" i="1"/>
  <c r="Z266" i="1"/>
  <c r="Y448" i="1"/>
  <c r="Y451" i="1"/>
  <c r="AH446" i="1"/>
  <c r="AH635" i="1"/>
  <c r="AH142" i="1" s="1"/>
  <c r="J45" i="1"/>
  <c r="J255" i="1" s="1"/>
  <c r="AD451" i="1"/>
  <c r="I474" i="1"/>
  <c r="AK35" i="1"/>
  <c r="AL35" i="1" s="1"/>
  <c r="AA448" i="1"/>
  <c r="L629" i="1"/>
  <c r="L380" i="1" s="1"/>
  <c r="L387" i="1" s="1"/>
  <c r="L173" i="1" s="1"/>
  <c r="AB629" i="1"/>
  <c r="AB380" i="1" s="1"/>
  <c r="AB387" i="1" s="1"/>
  <c r="AB173" i="1" s="1"/>
  <c r="AB180" i="1" s="1"/>
  <c r="AC628" i="1"/>
  <c r="AC369" i="1" s="1"/>
  <c r="AC375" i="1" s="1"/>
  <c r="AC162" i="1" s="1"/>
  <c r="AC168" i="1" s="1"/>
  <c r="U628" i="1"/>
  <c r="U369" i="1" s="1"/>
  <c r="U375" i="1" s="1"/>
  <c r="U162" i="1" s="1"/>
  <c r="U168" i="1" s="1"/>
  <c r="I363" i="1"/>
  <c r="F626" i="1"/>
  <c r="F366" i="1"/>
  <c r="AD626" i="1"/>
  <c r="AD359" i="1" s="1"/>
  <c r="AD366" i="1" s="1"/>
  <c r="AD151" i="1" s="1"/>
  <c r="AD159" i="1" s="1"/>
  <c r="AD302" i="1"/>
  <c r="L302" i="1"/>
  <c r="Z270" i="1"/>
  <c r="Y253" i="1"/>
  <c r="AK252" i="1"/>
  <c r="AL252" i="1" s="1"/>
  <c r="H155" i="1"/>
  <c r="J155" i="1"/>
  <c r="I476" i="1"/>
  <c r="I270" i="1"/>
  <c r="AC447" i="1"/>
  <c r="AC473" i="1"/>
  <c r="AC635" i="1"/>
  <c r="AC142" i="1" s="1"/>
  <c r="AC249" i="1"/>
  <c r="W246" i="1"/>
  <c r="W265" i="1"/>
  <c r="W264" i="1"/>
  <c r="W445" i="1"/>
  <c r="W470" i="1"/>
  <c r="W471" i="1"/>
  <c r="Z269" i="1"/>
  <c r="Z475" i="1"/>
  <c r="AB268" i="1"/>
  <c r="AB474" i="1"/>
  <c r="O473" i="1"/>
  <c r="O249" i="1"/>
  <c r="AD265" i="1"/>
  <c r="O635" i="1"/>
  <c r="O142" i="1" s="1"/>
  <c r="AC474" i="1"/>
  <c r="L470" i="1"/>
  <c r="X208" i="1"/>
  <c r="AK166" i="1"/>
  <c r="AL166" i="1" s="1"/>
  <c r="Y250" i="1"/>
  <c r="Y475" i="1"/>
  <c r="AC449" i="1"/>
  <c r="AC270" i="1"/>
  <c r="J446" i="1"/>
  <c r="J635" i="1"/>
  <c r="J142" i="1" s="1"/>
  <c r="AD264" i="1"/>
  <c r="F159" i="1"/>
  <c r="F170" i="1" s="1"/>
  <c r="P635" i="1"/>
  <c r="P142" i="1" s="1"/>
  <c r="AB508" i="1"/>
  <c r="P473" i="1"/>
  <c r="T470" i="1"/>
  <c r="F479" i="1"/>
  <c r="AA451" i="1"/>
  <c r="K402" i="1"/>
  <c r="K407" i="1" s="1"/>
  <c r="F407" i="1"/>
  <c r="O630" i="1"/>
  <c r="O390" i="1" s="1"/>
  <c r="O396" i="1" s="1"/>
  <c r="O183" i="1" s="1"/>
  <c r="O189" i="1" s="1"/>
  <c r="S629" i="1"/>
  <c r="S380" i="1" s="1"/>
  <c r="S387" i="1" s="1"/>
  <c r="S173" i="1" s="1"/>
  <c r="S180" i="1" s="1"/>
  <c r="H370" i="1"/>
  <c r="H628" i="1" s="1"/>
  <c r="J370" i="1"/>
  <c r="J628" i="1" s="1"/>
  <c r="T302" i="1"/>
  <c r="J302" i="1"/>
  <c r="AC288" i="1"/>
  <c r="U288" i="1"/>
  <c r="K288" i="1"/>
  <c r="Y270" i="1"/>
  <c r="AC267" i="1"/>
  <c r="Z472" i="1"/>
  <c r="L247" i="1"/>
  <c r="L444" i="1"/>
  <c r="F129" i="1"/>
  <c r="Z448" i="1"/>
  <c r="Z451" i="1"/>
  <c r="H270" i="1"/>
  <c r="H251" i="1"/>
  <c r="H449" i="1"/>
  <c r="K472" i="1"/>
  <c r="K266" i="1"/>
  <c r="K446" i="1"/>
  <c r="K248" i="1"/>
  <c r="J174" i="1"/>
  <c r="I174" i="1"/>
  <c r="H174" i="1"/>
  <c r="AA447" i="1"/>
  <c r="AA473" i="1"/>
  <c r="AA635" i="1"/>
  <c r="AA142" i="1" s="1"/>
  <c r="AC45" i="1"/>
  <c r="AD45" i="1"/>
  <c r="O447" i="1"/>
  <c r="AK187" i="1"/>
  <c r="AL187" i="1" s="1"/>
  <c r="AJ446" i="1"/>
  <c r="O45" i="1"/>
  <c r="J71" i="1"/>
  <c r="L471" i="1"/>
  <c r="T626" i="1"/>
  <c r="T359" i="1" s="1"/>
  <c r="T366" i="1" s="1"/>
  <c r="T151" i="1" s="1"/>
  <c r="T159" i="1" s="1"/>
  <c r="AA302" i="1"/>
  <c r="S302" i="1"/>
  <c r="AB288" i="1"/>
  <c r="T288" i="1"/>
  <c r="P250" i="1"/>
  <c r="Z248" i="1"/>
  <c r="I204" i="1"/>
  <c r="H204" i="1"/>
  <c r="J204" i="1"/>
  <c r="S448" i="1"/>
  <c r="S253" i="1"/>
  <c r="S476" i="1"/>
  <c r="S449" i="1"/>
  <c r="S251" i="1"/>
  <c r="P249" i="1"/>
  <c r="P267" i="1"/>
  <c r="Y37" i="1"/>
  <c r="Y249" i="1" s="1"/>
  <c r="W37" i="1"/>
  <c r="W249" i="1" s="1"/>
  <c r="AF247" i="1"/>
  <c r="AF470" i="1"/>
  <c r="AF471" i="1"/>
  <c r="Z635" i="1"/>
  <c r="Z142" i="1" s="1"/>
  <c r="L472" i="1"/>
  <c r="AK43" i="1"/>
  <c r="AL43" i="1" s="1"/>
  <c r="Q449" i="1"/>
  <c r="Q270" i="1"/>
  <c r="AB473" i="1"/>
  <c r="AB249" i="1"/>
  <c r="U472" i="1"/>
  <c r="U266" i="1"/>
  <c r="V264" i="1"/>
  <c r="V265" i="1"/>
  <c r="V444" i="1"/>
  <c r="V470" i="1"/>
  <c r="V445" i="1"/>
  <c r="V471" i="1"/>
  <c r="K246" i="1"/>
  <c r="K247" i="1"/>
  <c r="I251" i="1"/>
  <c r="K470" i="1"/>
  <c r="AF445" i="1"/>
  <c r="AH208" i="1"/>
  <c r="O208" i="1"/>
  <c r="H156" i="1"/>
  <c r="J156" i="1"/>
  <c r="P448" i="1"/>
  <c r="P253" i="1"/>
  <c r="Y474" i="1"/>
  <c r="Y268" i="1"/>
  <c r="M249" i="1"/>
  <c r="M267" i="1"/>
  <c r="M473" i="1"/>
  <c r="M635" i="1"/>
  <c r="M142" i="1" s="1"/>
  <c r="T45" i="1"/>
  <c r="T635" i="1"/>
  <c r="T142" i="1" s="1"/>
  <c r="U264" i="1"/>
  <c r="U471" i="1"/>
  <c r="Z250" i="1"/>
  <c r="AC470" i="1"/>
  <c r="Z253" i="1"/>
  <c r="W247" i="1"/>
  <c r="AF208" i="1"/>
  <c r="AB45" i="1"/>
  <c r="H474" i="1"/>
  <c r="AJ248" i="1"/>
  <c r="O267" i="1"/>
  <c r="L45" i="1"/>
  <c r="Q474" i="1"/>
  <c r="K445" i="1"/>
  <c r="AJ266" i="1"/>
  <c r="S45" i="1"/>
  <c r="J474" i="1"/>
  <c r="W444" i="1"/>
  <c r="J404" i="1"/>
  <c r="H404" i="1"/>
  <c r="I404" i="1"/>
  <c r="I407" i="1" s="1"/>
  <c r="AC476" i="1"/>
  <c r="H269" i="1"/>
  <c r="K444" i="1"/>
  <c r="U248" i="1"/>
  <c r="J205" i="1"/>
  <c r="V37" i="1"/>
  <c r="P45" i="1"/>
  <c r="AH504" i="1"/>
  <c r="AK504" i="1" s="1"/>
  <c r="AL504" i="1" s="1"/>
  <c r="F508" i="1"/>
  <c r="H508" i="1"/>
  <c r="AA449" i="1"/>
  <c r="I449" i="1"/>
  <c r="M447" i="1"/>
  <c r="L445" i="1"/>
  <c r="AK300" i="1"/>
  <c r="AL300" i="1" s="1"/>
  <c r="AK299" i="1"/>
  <c r="AL299" i="1" s="1"/>
  <c r="AK284" i="1"/>
  <c r="AL284" i="1" s="1"/>
  <c r="AD269" i="1"/>
  <c r="AB445" i="1"/>
  <c r="X474" i="1"/>
  <c r="AB444" i="1"/>
  <c r="I248" i="1"/>
  <c r="T208" i="1"/>
  <c r="AB264" i="1"/>
  <c r="I635" i="1"/>
  <c r="I142" i="1" s="1"/>
  <c r="X37" i="1"/>
  <c r="X267" i="1" s="1"/>
  <c r="F554" i="2"/>
  <c r="S471" i="1"/>
  <c r="AJ449" i="1"/>
  <c r="S445" i="1"/>
  <c r="I444" i="1"/>
  <c r="O269" i="1"/>
  <c r="AJ250" i="1"/>
  <c r="T445" i="1"/>
  <c r="AB247" i="1"/>
  <c r="J163" i="1"/>
  <c r="AJ448" i="1"/>
  <c r="I446" i="1"/>
  <c r="F631" i="1"/>
  <c r="AJ251" i="1"/>
  <c r="AK373" i="1"/>
  <c r="AL373" i="1" s="1"/>
  <c r="I445" i="1"/>
  <c r="Z447" i="1"/>
  <c r="AK283" i="1"/>
  <c r="AL283" i="1" s="1"/>
  <c r="P474" i="1"/>
  <c r="AB471" i="1"/>
  <c r="O448" i="1"/>
  <c r="W639" i="1"/>
  <c r="W217" i="1" s="1"/>
  <c r="K415" i="1"/>
  <c r="AJ629" i="1"/>
  <c r="AJ380" i="1" s="1"/>
  <c r="AJ387" i="1" s="1"/>
  <c r="AJ173" i="1" s="1"/>
  <c r="AJ180" i="1" s="1"/>
  <c r="F222" i="1"/>
  <c r="S208" i="1"/>
  <c r="AJ208" i="1"/>
  <c r="Y208" i="1"/>
  <c r="P208" i="1"/>
  <c r="W208" i="1"/>
  <c r="AC208" i="1"/>
  <c r="T32" i="1"/>
  <c r="T433" i="1" s="1"/>
  <c r="O26" i="1"/>
  <c r="O566" i="1" s="1"/>
  <c r="V26" i="1"/>
  <c r="V567" i="1" s="1"/>
  <c r="AD639" i="1"/>
  <c r="AD216" i="1" s="1"/>
  <c r="AH415" i="1"/>
  <c r="X415" i="1"/>
  <c r="O415" i="1"/>
  <c r="AD415" i="1"/>
  <c r="L415" i="1"/>
  <c r="Z415" i="1"/>
  <c r="AA407" i="1"/>
  <c r="AA194" i="1" s="1"/>
  <c r="AA200" i="1" s="1"/>
  <c r="S407" i="1"/>
  <c r="S194" i="1" s="1"/>
  <c r="S200" i="1" s="1"/>
  <c r="Y630" i="1"/>
  <c r="Y390" i="1" s="1"/>
  <c r="Y396" i="1" s="1"/>
  <c r="Y183" i="1" s="1"/>
  <c r="Y189" i="1" s="1"/>
  <c r="AF629" i="1"/>
  <c r="AF380" i="1" s="1"/>
  <c r="AF387" i="1" s="1"/>
  <c r="W629" i="1"/>
  <c r="W380" i="1" s="1"/>
  <c r="W387" i="1" s="1"/>
  <c r="M629" i="1"/>
  <c r="M380" i="1" s="1"/>
  <c r="M387" i="1" s="1"/>
  <c r="K629" i="1"/>
  <c r="K380" i="1" s="1"/>
  <c r="K387" i="1" s="1"/>
  <c r="K173" i="1" s="1"/>
  <c r="AK372" i="1"/>
  <c r="AL372" i="1" s="1"/>
  <c r="AB626" i="1"/>
  <c r="AB359" i="1" s="1"/>
  <c r="AB366" i="1" s="1"/>
  <c r="O302" i="1"/>
  <c r="AC32" i="1"/>
  <c r="AC102" i="1" s="1"/>
  <c r="S32" i="1"/>
  <c r="S434" i="1" s="1"/>
  <c r="P26" i="1"/>
  <c r="L508" i="1"/>
  <c r="AK500" i="1"/>
  <c r="AL500" i="1" s="1"/>
  <c r="AK499" i="1"/>
  <c r="AL499" i="1" s="1"/>
  <c r="AJ508" i="1"/>
  <c r="P494" i="1"/>
  <c r="K494" i="1"/>
  <c r="AK450" i="1"/>
  <c r="AL450" i="1" s="1"/>
  <c r="AH45" i="1"/>
  <c r="AH570" i="1" s="1"/>
  <c r="AA639" i="1"/>
  <c r="AA218" i="1" s="1"/>
  <c r="S639" i="1"/>
  <c r="S422" i="1" s="1"/>
  <c r="S426" i="1" s="1"/>
  <c r="U415" i="1"/>
  <c r="AF415" i="1"/>
  <c r="AJ407" i="1"/>
  <c r="AJ194" i="1" s="1"/>
  <c r="AJ200" i="1" s="1"/>
  <c r="T629" i="1"/>
  <c r="T380" i="1" s="1"/>
  <c r="T387" i="1" s="1"/>
  <c r="T173" i="1" s="1"/>
  <c r="T180" i="1" s="1"/>
  <c r="AK382" i="1"/>
  <c r="AL382" i="1" s="1"/>
  <c r="Z629" i="1"/>
  <c r="Z380" i="1" s="1"/>
  <c r="Z387" i="1" s="1"/>
  <c r="Z173" i="1" s="1"/>
  <c r="Z180" i="1" s="1"/>
  <c r="H629" i="1"/>
  <c r="AJ626" i="1"/>
  <c r="AJ359" i="1" s="1"/>
  <c r="AJ366" i="1" s="1"/>
  <c r="AJ151" i="1" s="1"/>
  <c r="AJ159" i="1" s="1"/>
  <c r="Y626" i="1"/>
  <c r="Y359" i="1" s="1"/>
  <c r="Y366" i="1" s="1"/>
  <c r="Y151" i="1" s="1"/>
  <c r="Y159" i="1" s="1"/>
  <c r="P626" i="1"/>
  <c r="P359" i="1" s="1"/>
  <c r="P366" i="1" s="1"/>
  <c r="P151" i="1" s="1"/>
  <c r="P159" i="1" s="1"/>
  <c r="AC626" i="1"/>
  <c r="AC359" i="1" s="1"/>
  <c r="AC366" i="1" s="1"/>
  <c r="AC151" i="1" s="1"/>
  <c r="AC159" i="1" s="1"/>
  <c r="AC302" i="1"/>
  <c r="U302" i="1"/>
  <c r="K302" i="1"/>
  <c r="AK506" i="1"/>
  <c r="AL506" i="1" s="1"/>
  <c r="AA508" i="1"/>
  <c r="AD494" i="1"/>
  <c r="X494" i="1"/>
  <c r="I155" i="1"/>
  <c r="AH639" i="1"/>
  <c r="AH215" i="1" s="1"/>
  <c r="J637" i="1"/>
  <c r="J639" i="1" s="1"/>
  <c r="J422" i="1" s="1"/>
  <c r="J426" i="1" s="1"/>
  <c r="H637" i="1"/>
  <c r="H639" i="1" s="1"/>
  <c r="H422" i="1" s="1"/>
  <c r="AK492" i="1"/>
  <c r="AL492" i="1" s="1"/>
  <c r="AD508" i="1"/>
  <c r="AF508" i="1"/>
  <c r="J508" i="1"/>
  <c r="AC508" i="1"/>
  <c r="H494" i="1"/>
  <c r="AH407" i="1"/>
  <c r="AH194" i="1" s="1"/>
  <c r="AH200" i="1" s="1"/>
  <c r="O407" i="1"/>
  <c r="O194" i="1" s="1"/>
  <c r="O200" i="1" s="1"/>
  <c r="AK385" i="1"/>
  <c r="AL385" i="1" s="1"/>
  <c r="J383" i="1"/>
  <c r="F629" i="1"/>
  <c r="Q629" i="1"/>
  <c r="Q380" i="1" s="1"/>
  <c r="Q387" i="1" s="1"/>
  <c r="I370" i="1"/>
  <c r="I628" i="1" s="1"/>
  <c r="F375" i="1"/>
  <c r="AK364" i="1"/>
  <c r="AL364" i="1" s="1"/>
  <c r="AA626" i="1"/>
  <c r="AA359" i="1" s="1"/>
  <c r="AA366" i="1" s="1"/>
  <c r="AA151" i="1" s="1"/>
  <c r="AA159" i="1" s="1"/>
  <c r="AK298" i="1"/>
  <c r="AL298" i="1" s="1"/>
  <c r="L215" i="1"/>
  <c r="L422" i="1"/>
  <c r="L426" i="1" s="1"/>
  <c r="L216" i="1"/>
  <c r="Q508" i="1"/>
  <c r="AK498" i="1"/>
  <c r="AL498" i="1" s="1"/>
  <c r="V726" i="2"/>
  <c r="W726" i="2" s="1"/>
  <c r="X726" i="2" s="1"/>
  <c r="G552" i="2"/>
  <c r="AK501" i="1"/>
  <c r="AL501" i="1" s="1"/>
  <c r="Q494" i="1"/>
  <c r="I383" i="1"/>
  <c r="F258" i="1"/>
  <c r="AD250" i="1"/>
  <c r="W270" i="1"/>
  <c r="W476" i="1"/>
  <c r="W251" i="1"/>
  <c r="W449" i="1"/>
  <c r="AJ249" i="1"/>
  <c r="AJ267" i="1"/>
  <c r="AJ473" i="1"/>
  <c r="AJ447" i="1"/>
  <c r="AJ635" i="1"/>
  <c r="AJ142" i="1" s="1"/>
  <c r="AD248" i="1"/>
  <c r="AD266" i="1"/>
  <c r="AD472" i="1"/>
  <c r="AD635" i="1"/>
  <c r="AD142" i="1" s="1"/>
  <c r="AD446" i="1"/>
  <c r="Q248" i="1"/>
  <c r="Q266" i="1"/>
  <c r="Q472" i="1"/>
  <c r="Q446" i="1"/>
  <c r="H266" i="1"/>
  <c r="H635" i="1"/>
  <c r="H142" i="1" s="1"/>
  <c r="H472" i="1"/>
  <c r="H446" i="1"/>
  <c r="AA246" i="1"/>
  <c r="AA264" i="1"/>
  <c r="AA265" i="1"/>
  <c r="AA247" i="1"/>
  <c r="AA445" i="1"/>
  <c r="AA471" i="1"/>
  <c r="AA470" i="1"/>
  <c r="Q264" i="1"/>
  <c r="Q265" i="1"/>
  <c r="Q445" i="1"/>
  <c r="Q246" i="1"/>
  <c r="Q247" i="1"/>
  <c r="Q470" i="1"/>
  <c r="H264" i="1"/>
  <c r="H246" i="1"/>
  <c r="H265" i="1"/>
  <c r="H445" i="1"/>
  <c r="H471" i="1"/>
  <c r="H444" i="1"/>
  <c r="H45" i="1"/>
  <c r="Y494" i="1"/>
  <c r="AF215" i="1"/>
  <c r="AF422" i="1"/>
  <c r="AF426" i="1" s="1"/>
  <c r="I508" i="1"/>
  <c r="U508" i="1"/>
  <c r="J219" i="1"/>
  <c r="AF216" i="1"/>
  <c r="F387" i="1"/>
  <c r="V448" i="1"/>
  <c r="V451" i="1"/>
  <c r="AF251" i="1"/>
  <c r="AF449" i="1"/>
  <c r="AF270" i="1"/>
  <c r="AF476" i="1"/>
  <c r="AA268" i="1"/>
  <c r="H219" i="1"/>
  <c r="AK423" i="1"/>
  <c r="AL423" i="1" s="1"/>
  <c r="I637" i="1"/>
  <c r="I639" i="1" s="1"/>
  <c r="I217" i="1" s="1"/>
  <c r="H424" i="1"/>
  <c r="F426" i="1"/>
  <c r="AC415" i="1"/>
  <c r="AA415" i="1"/>
  <c r="J401" i="1"/>
  <c r="H401" i="1"/>
  <c r="AK394" i="1"/>
  <c r="AL394" i="1" s="1"/>
  <c r="K393" i="1"/>
  <c r="K630" i="1" s="1"/>
  <c r="F630" i="1"/>
  <c r="AK392" i="1"/>
  <c r="AL392" i="1" s="1"/>
  <c r="P629" i="1"/>
  <c r="P380" i="1" s="1"/>
  <c r="P387" i="1" s="1"/>
  <c r="P173" i="1" s="1"/>
  <c r="P180" i="1" s="1"/>
  <c r="M270" i="1"/>
  <c r="H247" i="1"/>
  <c r="M508" i="1"/>
  <c r="X508" i="1"/>
  <c r="I494" i="1"/>
  <c r="AK490" i="1"/>
  <c r="AL490" i="1" s="1"/>
  <c r="F415" i="1"/>
  <c r="I411" i="1"/>
  <c r="H411" i="1"/>
  <c r="AJ630" i="1"/>
  <c r="AJ390" i="1" s="1"/>
  <c r="AJ396" i="1" s="1"/>
  <c r="AJ183" i="1" s="1"/>
  <c r="AJ189" i="1" s="1"/>
  <c r="AH629" i="1"/>
  <c r="AH380" i="1" s="1"/>
  <c r="AH387" i="1" s="1"/>
  <c r="AH173" i="1" s="1"/>
  <c r="AH180" i="1" s="1"/>
  <c r="O629" i="1"/>
  <c r="O380" i="1" s="1"/>
  <c r="O387" i="1" s="1"/>
  <c r="AC629" i="1"/>
  <c r="AC380" i="1" s="1"/>
  <c r="AC387" i="1" s="1"/>
  <c r="AC173" i="1" s="1"/>
  <c r="AC180" i="1" s="1"/>
  <c r="U629" i="1"/>
  <c r="U380" i="1" s="1"/>
  <c r="U387" i="1" s="1"/>
  <c r="U173" i="1" s="1"/>
  <c r="U180" i="1" s="1"/>
  <c r="W628" i="1"/>
  <c r="W369" i="1" s="1"/>
  <c r="W375" i="1" s="1"/>
  <c r="V626" i="1"/>
  <c r="V359" i="1" s="1"/>
  <c r="V366" i="1" s="1"/>
  <c r="L626" i="1"/>
  <c r="L359" i="1" s="1"/>
  <c r="L366" i="1" s="1"/>
  <c r="X288" i="1"/>
  <c r="H248" i="1"/>
  <c r="AK497" i="1"/>
  <c r="AL497" i="1" s="1"/>
  <c r="AJ639" i="1"/>
  <c r="Q639" i="1"/>
  <c r="Q218" i="1" s="1"/>
  <c r="K508" i="1"/>
  <c r="W415" i="1"/>
  <c r="M415" i="1"/>
  <c r="AJ415" i="1"/>
  <c r="Y415" i="1"/>
  <c r="P415" i="1"/>
  <c r="AF407" i="1"/>
  <c r="M407" i="1"/>
  <c r="X270" i="1"/>
  <c r="X251" i="1"/>
  <c r="P270" i="1"/>
  <c r="P251" i="1"/>
  <c r="AA267" i="1"/>
  <c r="AA249" i="1"/>
  <c r="AH248" i="1"/>
  <c r="AH266" i="1"/>
  <c r="O639" i="1"/>
  <c r="O217" i="1" s="1"/>
  <c r="Q29" i="1"/>
  <c r="AK177" i="1"/>
  <c r="AL177" i="1" s="1"/>
  <c r="AA494" i="1"/>
  <c r="AB415" i="1"/>
  <c r="T415" i="1"/>
  <c r="Q415" i="1"/>
  <c r="W630" i="1"/>
  <c r="W390" i="1" s="1"/>
  <c r="W396" i="1" s="1"/>
  <c r="W183" i="1" s="1"/>
  <c r="W189" i="1" s="1"/>
  <c r="Z208" i="1"/>
  <c r="O251" i="1"/>
  <c r="O449" i="1"/>
  <c r="F45" i="1"/>
  <c r="S265" i="1"/>
  <c r="S470" i="1"/>
  <c r="F32" i="1"/>
  <c r="V415" i="1"/>
  <c r="J405" i="1"/>
  <c r="H405" i="1"/>
  <c r="AC630" i="1"/>
  <c r="AC390" i="1" s="1"/>
  <c r="AC396" i="1" s="1"/>
  <c r="AC183" i="1" s="1"/>
  <c r="AC189" i="1" s="1"/>
  <c r="I196" i="1"/>
  <c r="H196" i="1"/>
  <c r="AK186" i="1"/>
  <c r="AL186" i="1" s="1"/>
  <c r="U250" i="1"/>
  <c r="U269" i="1"/>
  <c r="AC451" i="1"/>
  <c r="AC253" i="1"/>
  <c r="K253" i="1"/>
  <c r="K451" i="1"/>
  <c r="T639" i="1"/>
  <c r="AC639" i="1"/>
  <c r="AC216" i="1" s="1"/>
  <c r="AB250" i="1"/>
  <c r="AB269" i="1"/>
  <c r="AK16" i="1"/>
  <c r="AL16" i="1" s="1"/>
  <c r="U639" i="1"/>
  <c r="U218" i="1" s="1"/>
  <c r="W508" i="1"/>
  <c r="Z508" i="1"/>
  <c r="J206" i="1"/>
  <c r="F208" i="1"/>
  <c r="F200" i="1"/>
  <c r="S250" i="1"/>
  <c r="S269" i="1"/>
  <c r="I269" i="1"/>
  <c r="I475" i="1"/>
  <c r="Y639" i="1"/>
  <c r="Y422" i="1" s="1"/>
  <c r="Y426" i="1" s="1"/>
  <c r="F535" i="2"/>
  <c r="AF626" i="1"/>
  <c r="AF359" i="1" s="1"/>
  <c r="AF366" i="1" s="1"/>
  <c r="W626" i="1"/>
  <c r="W359" i="1" s="1"/>
  <c r="W366" i="1" s="1"/>
  <c r="W151" i="1" s="1"/>
  <c r="W159" i="1" s="1"/>
  <c r="M626" i="1"/>
  <c r="M359" i="1" s="1"/>
  <c r="M366" i="1" s="1"/>
  <c r="S626" i="1"/>
  <c r="S359" i="1" s="1"/>
  <c r="S366" i="1" s="1"/>
  <c r="S151" i="1" s="1"/>
  <c r="S159" i="1" s="1"/>
  <c r="H302" i="1"/>
  <c r="AB302" i="1"/>
  <c r="Q208" i="1"/>
  <c r="Y32" i="1"/>
  <c r="Y437" i="1" s="1"/>
  <c r="AJ628" i="1"/>
  <c r="AJ369" i="1" s="1"/>
  <c r="AJ375" i="1" s="1"/>
  <c r="Q626" i="1"/>
  <c r="Q359" i="1" s="1"/>
  <c r="Q366" i="1" s="1"/>
  <c r="F852" i="2"/>
  <c r="I45" i="1"/>
  <c r="AA251" i="1"/>
  <c r="X629" i="1"/>
  <c r="X380" i="1" s="1"/>
  <c r="X387" i="1" s="1"/>
  <c r="X173" i="1" s="1"/>
  <c r="X180" i="1" s="1"/>
  <c r="Z626" i="1"/>
  <c r="Z359" i="1" s="1"/>
  <c r="Z366" i="1" s="1"/>
  <c r="AK165" i="1"/>
  <c r="AL165" i="1" s="1"/>
  <c r="AD32" i="1"/>
  <c r="AD240" i="1" s="1"/>
  <c r="I32" i="1"/>
  <c r="I430" i="1" s="1"/>
  <c r="AH26" i="1"/>
  <c r="AH566" i="1" s="1"/>
  <c r="AK294" i="1"/>
  <c r="AL294" i="1" s="1"/>
  <c r="AK292" i="1"/>
  <c r="AL292" i="1" s="1"/>
  <c r="P288" i="1"/>
  <c r="F302" i="1"/>
  <c r="F242" i="1"/>
  <c r="Q45" i="1"/>
  <c r="Q451" i="1"/>
  <c r="G544" i="2"/>
  <c r="Q288" i="1"/>
  <c r="AK286" i="1"/>
  <c r="AL286" i="1" s="1"/>
  <c r="AK291" i="1"/>
  <c r="AL291" i="1" s="1"/>
  <c r="F549" i="2"/>
  <c r="G547" i="2"/>
  <c r="P508" i="1"/>
  <c r="W494" i="1"/>
  <c r="AH494" i="1"/>
  <c r="M494" i="1"/>
  <c r="AK195" i="1"/>
  <c r="AL195" i="1" s="1"/>
  <c r="AF266" i="1"/>
  <c r="AF472" i="1"/>
  <c r="AF45" i="1"/>
  <c r="S266" i="1"/>
  <c r="S248" i="1"/>
  <c r="S446" i="1"/>
  <c r="S472" i="1"/>
  <c r="S635" i="1"/>
  <c r="S142" i="1" s="1"/>
  <c r="U635" i="1"/>
  <c r="U142" i="1" s="1"/>
  <c r="U267" i="1"/>
  <c r="U447" i="1"/>
  <c r="U473" i="1"/>
  <c r="AK587" i="1"/>
  <c r="AL587" i="1" s="1"/>
  <c r="H197" i="1"/>
  <c r="AH626" i="1"/>
  <c r="AH359" i="1" s="1"/>
  <c r="AH366" i="1" s="1"/>
  <c r="X626" i="1"/>
  <c r="X359" i="1" s="1"/>
  <c r="X366" i="1" s="1"/>
  <c r="O626" i="1"/>
  <c r="O359" i="1" s="1"/>
  <c r="O366" i="1" s="1"/>
  <c r="AK285" i="1"/>
  <c r="AL285" i="1" s="1"/>
  <c r="V268" i="1"/>
  <c r="V474" i="1"/>
  <c r="J100" i="1"/>
  <c r="I100" i="1"/>
  <c r="H100" i="1"/>
  <c r="K267" i="1"/>
  <c r="K635" i="1"/>
  <c r="K142" i="1" s="1"/>
  <c r="K447" i="1"/>
  <c r="K473" i="1"/>
  <c r="K45" i="1"/>
  <c r="K249" i="1"/>
  <c r="AK20" i="1"/>
  <c r="AL20" i="1" s="1"/>
  <c r="T407" i="1"/>
  <c r="AD629" i="1"/>
  <c r="AD380" i="1" s="1"/>
  <c r="AD387" i="1" s="1"/>
  <c r="I220" i="1"/>
  <c r="H220" i="1"/>
  <c r="J220" i="1"/>
  <c r="J101" i="1"/>
  <c r="I101" i="1"/>
  <c r="H101" i="1"/>
  <c r="K449" i="1"/>
  <c r="AK41" i="1"/>
  <c r="AL41" i="1" s="1"/>
  <c r="K251" i="1"/>
  <c r="K270" i="1"/>
  <c r="AK371" i="1"/>
  <c r="AL371" i="1" s="1"/>
  <c r="AK295" i="1"/>
  <c r="AL295" i="1" s="1"/>
  <c r="Y302" i="1"/>
  <c r="P302" i="1"/>
  <c r="AJ302" i="1"/>
  <c r="U249" i="1"/>
  <c r="AK152" i="1"/>
  <c r="AL152" i="1" s="1"/>
  <c r="AK143" i="1"/>
  <c r="AL143" i="1" s="1"/>
  <c r="G655" i="2"/>
  <c r="G12" i="30" s="1"/>
  <c r="F529" i="2"/>
  <c r="AK505" i="1"/>
  <c r="AL505" i="1" s="1"/>
  <c r="AK503" i="1"/>
  <c r="AL503" i="1" s="1"/>
  <c r="AK502" i="1"/>
  <c r="AL502" i="1" s="1"/>
  <c r="S508" i="1"/>
  <c r="T508" i="1"/>
  <c r="J412" i="1"/>
  <c r="H412" i="1"/>
  <c r="AK297" i="1"/>
  <c r="AL297" i="1" s="1"/>
  <c r="W302" i="1"/>
  <c r="AK296" i="1"/>
  <c r="AL296" i="1" s="1"/>
  <c r="V250" i="1"/>
  <c r="V475" i="1"/>
  <c r="AK638" i="1"/>
  <c r="AL638" i="1" s="1"/>
  <c r="F440" i="1"/>
  <c r="H185" i="1"/>
  <c r="I185" i="1"/>
  <c r="J185" i="1"/>
  <c r="I99" i="1"/>
  <c r="H99" i="1"/>
  <c r="J99" i="1"/>
  <c r="AC475" i="1"/>
  <c r="AC250" i="1"/>
  <c r="AC269" i="1"/>
  <c r="J472" i="1"/>
  <c r="J248" i="1"/>
  <c r="J266" i="1"/>
  <c r="AC247" i="1"/>
  <c r="AC471" i="1"/>
  <c r="AC265" i="1"/>
  <c r="AC246" i="1"/>
  <c r="AC444" i="1"/>
  <c r="AC445" i="1"/>
  <c r="AC264" i="1"/>
  <c r="U246" i="1"/>
  <c r="U444" i="1"/>
  <c r="U445" i="1"/>
  <c r="U247" i="1"/>
  <c r="U470" i="1"/>
  <c r="U265" i="1"/>
  <c r="J247" i="1"/>
  <c r="J444" i="1"/>
  <c r="J445" i="1"/>
  <c r="J471" i="1"/>
  <c r="J246" i="1"/>
  <c r="J265" i="1"/>
  <c r="J264" i="1"/>
  <c r="J470" i="1"/>
  <c r="L208" i="1"/>
  <c r="AK40" i="1"/>
  <c r="AL40" i="1" s="1"/>
  <c r="Y407" i="1"/>
  <c r="Q407" i="1"/>
  <c r="AA208" i="1"/>
  <c r="E42" i="6"/>
  <c r="F581" i="1"/>
  <c r="V494" i="1"/>
  <c r="AJ494" i="1"/>
  <c r="W407" i="1"/>
  <c r="AB628" i="1"/>
  <c r="AB369" i="1" s="1"/>
  <c r="AB375" i="1" s="1"/>
  <c r="AH288" i="1"/>
  <c r="U407" i="1"/>
  <c r="L407" i="1"/>
  <c r="T630" i="1"/>
  <c r="T390" i="1" s="1"/>
  <c r="T396" i="1" s="1"/>
  <c r="T183" i="1" s="1"/>
  <c r="T189" i="1" s="1"/>
  <c r="AA628" i="1"/>
  <c r="AA369" i="1" s="1"/>
  <c r="AA375" i="1" s="1"/>
  <c r="S628" i="1"/>
  <c r="S369" i="1" s="1"/>
  <c r="S375" i="1" s="1"/>
  <c r="I206" i="1"/>
  <c r="Q26" i="1"/>
  <c r="F574" i="1"/>
  <c r="O494" i="1"/>
  <c r="M208" i="1"/>
  <c r="M639" i="1"/>
  <c r="Z494" i="1"/>
  <c r="AB494" i="1"/>
  <c r="L494" i="1"/>
  <c r="H413" i="1"/>
  <c r="AD628" i="1"/>
  <c r="AD369" i="1" s="1"/>
  <c r="AD375" i="1" s="1"/>
  <c r="AF628" i="1"/>
  <c r="AF369" i="1" s="1"/>
  <c r="AF375" i="1" s="1"/>
  <c r="AF162" i="1" s="1"/>
  <c r="AF168" i="1" s="1"/>
  <c r="Z407" i="1"/>
  <c r="X630" i="1"/>
  <c r="X390" i="1" s="1"/>
  <c r="X396" i="1" s="1"/>
  <c r="V629" i="1"/>
  <c r="V380" i="1" s="1"/>
  <c r="V387" i="1" s="1"/>
  <c r="H175" i="1"/>
  <c r="O451" i="1"/>
  <c r="AB32" i="1"/>
  <c r="F12" i="1"/>
  <c r="D28" i="7"/>
  <c r="E28" i="7" s="1"/>
  <c r="E28" i="6"/>
  <c r="S494" i="1"/>
  <c r="AK489" i="1"/>
  <c r="AL489" i="1" s="1"/>
  <c r="V749" i="2"/>
  <c r="W749" i="2" s="1"/>
  <c r="X749" i="2" s="1"/>
  <c r="V725" i="2"/>
  <c r="W725" i="2" s="1"/>
  <c r="X725" i="2" s="1"/>
  <c r="Q133" i="1"/>
  <c r="Q134" i="1"/>
  <c r="Q72" i="1"/>
  <c r="Q125" i="1"/>
  <c r="O508" i="1"/>
  <c r="K639" i="1"/>
  <c r="T494" i="1"/>
  <c r="T741" i="2"/>
  <c r="T98" i="30" s="1"/>
  <c r="V888" i="2"/>
  <c r="W888" i="2" s="1"/>
  <c r="X888" i="2" s="1"/>
  <c r="V876" i="2"/>
  <c r="W876" i="2" s="1"/>
  <c r="X876" i="2" s="1"/>
  <c r="W288" i="1"/>
  <c r="J178" i="1"/>
  <c r="F180" i="1"/>
  <c r="H178" i="1"/>
  <c r="F139" i="1"/>
  <c r="F141" i="1" s="1"/>
  <c r="O133" i="1"/>
  <c r="AK119" i="1"/>
  <c r="AL119" i="1" s="1"/>
  <c r="P639" i="1"/>
  <c r="AF218" i="1"/>
  <c r="AF217" i="1"/>
  <c r="V639" i="1"/>
  <c r="P133" i="1"/>
  <c r="Y446" i="1"/>
  <c r="V508" i="1"/>
  <c r="T475" i="1"/>
  <c r="T250" i="1"/>
  <c r="Y472" i="1"/>
  <c r="P29" i="1"/>
  <c r="X639" i="1"/>
  <c r="AC494" i="1"/>
  <c r="U494" i="1"/>
  <c r="AA269" i="1"/>
  <c r="AA475" i="1"/>
  <c r="J848" i="2"/>
  <c r="I50" i="29" s="1"/>
  <c r="J50" i="29" s="1"/>
  <c r="AK293" i="1"/>
  <c r="AL293" i="1" s="1"/>
  <c r="AH302" i="1"/>
  <c r="J184" i="1"/>
  <c r="I184" i="1"/>
  <c r="Z639" i="1"/>
  <c r="Y508" i="1"/>
  <c r="F108" i="1"/>
  <c r="AJ268" i="1"/>
  <c r="AJ45" i="1"/>
  <c r="W268" i="1"/>
  <c r="W474" i="1"/>
  <c r="O268" i="1"/>
  <c r="O474" i="1"/>
  <c r="L267" i="1"/>
  <c r="L249" i="1"/>
  <c r="L635" i="1"/>
  <c r="T266" i="1"/>
  <c r="T248" i="1"/>
  <c r="T472" i="1"/>
  <c r="T446" i="1"/>
  <c r="M302" i="1"/>
  <c r="J197" i="1"/>
  <c r="I197" i="1"/>
  <c r="Q448" i="1"/>
  <c r="Q253" i="1"/>
  <c r="I253" i="1"/>
  <c r="I448" i="1"/>
  <c r="I451" i="1"/>
  <c r="U449" i="1"/>
  <c r="U270" i="1"/>
  <c r="U45" i="1"/>
  <c r="U251" i="1"/>
  <c r="U476" i="1"/>
  <c r="M45" i="1"/>
  <c r="M474" i="1"/>
  <c r="AF446" i="1"/>
  <c r="AF635" i="1"/>
  <c r="AF142" i="1" s="1"/>
  <c r="AF248" i="1"/>
  <c r="H848" i="2"/>
  <c r="I50" i="27" s="1"/>
  <c r="J50" i="27" s="1"/>
  <c r="AD407" i="1"/>
  <c r="V407" i="1"/>
  <c r="F273" i="1"/>
  <c r="H448" i="1"/>
  <c r="H253" i="1"/>
  <c r="H451" i="1"/>
  <c r="F396" i="1"/>
  <c r="U208" i="1"/>
  <c r="J251" i="1"/>
  <c r="J270" i="1"/>
  <c r="AB265" i="1"/>
  <c r="AB470" i="1"/>
  <c r="J494" i="1"/>
  <c r="AB407" i="1"/>
  <c r="Z630" i="1"/>
  <c r="T628" i="1"/>
  <c r="T369" i="1" s="1"/>
  <c r="T375" i="1" s="1"/>
  <c r="W253" i="1"/>
  <c r="W448" i="1"/>
  <c r="S267" i="1"/>
  <c r="S447" i="1"/>
  <c r="S473" i="1"/>
  <c r="T848" i="2"/>
  <c r="G843" i="2"/>
  <c r="G908" i="2"/>
  <c r="Q628" i="1"/>
  <c r="AD475" i="1"/>
  <c r="M248" i="1"/>
  <c r="M266" i="1"/>
  <c r="AJ445" i="1"/>
  <c r="AJ264" i="1"/>
  <c r="AJ265" i="1"/>
  <c r="O246" i="1"/>
  <c r="O247" i="1"/>
  <c r="P407" i="1"/>
  <c r="Y629" i="1"/>
  <c r="L250" i="1"/>
  <c r="L269" i="1"/>
  <c r="L26" i="1"/>
  <c r="H71" i="1"/>
  <c r="I71" i="1"/>
  <c r="AB270" i="1"/>
  <c r="AB251" i="1"/>
  <c r="L270" i="1"/>
  <c r="H249" i="1"/>
  <c r="AH247" i="1"/>
  <c r="AF246" i="1"/>
  <c r="Y269" i="1"/>
  <c r="AF265" i="1"/>
  <c r="L265" i="1"/>
  <c r="F593" i="1" l="1"/>
  <c r="N860" i="2"/>
  <c r="O910" i="2" s="1"/>
  <c r="I50" i="20"/>
  <c r="J50" i="20" s="1"/>
  <c r="Q849" i="2"/>
  <c r="Q861" i="2" s="1"/>
  <c r="I50" i="26"/>
  <c r="J50" i="26" s="1"/>
  <c r="P860" i="2"/>
  <c r="I50" i="25"/>
  <c r="J50" i="25" s="1"/>
  <c r="M910" i="2"/>
  <c r="L910" i="2"/>
  <c r="P910" i="2"/>
  <c r="N910" i="2"/>
  <c r="H547" i="2"/>
  <c r="H664" i="2"/>
  <c r="H21" i="30" s="1"/>
  <c r="Q860" i="2"/>
  <c r="H833" i="2"/>
  <c r="H527" i="2" s="1"/>
  <c r="G861" i="2"/>
  <c r="H544" i="2"/>
  <c r="H663" i="2"/>
  <c r="H20" i="30" s="1"/>
  <c r="H656" i="2"/>
  <c r="H13" i="30" s="1"/>
  <c r="H655" i="2"/>
  <c r="H12" i="30" s="1"/>
  <c r="H545" i="2"/>
  <c r="V678" i="2"/>
  <c r="W678" i="2" s="1"/>
  <c r="X678" i="2" s="1"/>
  <c r="H552" i="2"/>
  <c r="H665" i="2"/>
  <c r="H22" i="30" s="1"/>
  <c r="S861" i="2"/>
  <c r="S854" i="2"/>
  <c r="S866" i="2" s="1"/>
  <c r="S851" i="2"/>
  <c r="S863" i="2" s="1"/>
  <c r="S862" i="2"/>
  <c r="V741" i="2"/>
  <c r="W741" i="2" s="1"/>
  <c r="X741" i="2" s="1"/>
  <c r="R860" i="2"/>
  <c r="G528" i="2"/>
  <c r="P849" i="2"/>
  <c r="R861" i="2"/>
  <c r="H666" i="2"/>
  <c r="H23" i="30" s="1"/>
  <c r="F908" i="2"/>
  <c r="V908" i="2"/>
  <c r="H815" i="2"/>
  <c r="F651" i="2"/>
  <c r="H661" i="2"/>
  <c r="H18" i="30" s="1"/>
  <c r="V844" i="2"/>
  <c r="W844" i="2" s="1"/>
  <c r="X844" i="2" s="1"/>
  <c r="N849" i="2"/>
  <c r="N861" i="2" s="1"/>
  <c r="O850" i="2"/>
  <c r="O861" i="2"/>
  <c r="V845" i="2"/>
  <c r="W845" i="2" s="1"/>
  <c r="X845" i="2" s="1"/>
  <c r="H541" i="2"/>
  <c r="H538" i="2"/>
  <c r="H662" i="2"/>
  <c r="H19" i="30" s="1"/>
  <c r="G527" i="2"/>
  <c r="G526" i="2"/>
  <c r="K855" i="2"/>
  <c r="K866" i="2"/>
  <c r="I1" i="2"/>
  <c r="H657" i="2"/>
  <c r="H14" i="30" s="1"/>
  <c r="H803" i="2"/>
  <c r="M861" i="2"/>
  <c r="M850" i="2"/>
  <c r="I862" i="2"/>
  <c r="I853" i="2"/>
  <c r="I856" i="2"/>
  <c r="I851" i="2"/>
  <c r="I854" i="2"/>
  <c r="S855" i="2"/>
  <c r="S865" i="2"/>
  <c r="R862" i="2"/>
  <c r="R853" i="2"/>
  <c r="R854" i="2"/>
  <c r="R866" i="2" s="1"/>
  <c r="R851" i="2"/>
  <c r="R863" i="2" s="1"/>
  <c r="L861" i="2"/>
  <c r="L850" i="2"/>
  <c r="V878" i="2"/>
  <c r="V895" i="2" s="1"/>
  <c r="X446" i="1"/>
  <c r="X266" i="1"/>
  <c r="X472" i="1"/>
  <c r="AK30" i="1"/>
  <c r="AL30" i="1" s="1"/>
  <c r="Q32" i="1"/>
  <c r="Q103" i="1" s="1"/>
  <c r="Z45" i="1"/>
  <c r="Z47" i="1" s="1"/>
  <c r="Z61" i="1" s="1"/>
  <c r="AK38" i="1"/>
  <c r="AL38" i="1" s="1"/>
  <c r="Z268" i="1"/>
  <c r="AK268" i="1" s="1"/>
  <c r="AL268" i="1" s="1"/>
  <c r="AK132" i="1"/>
  <c r="AL132" i="1" s="1"/>
  <c r="U657" i="1"/>
  <c r="Z232" i="1"/>
  <c r="AB653" i="1"/>
  <c r="M653" i="1"/>
  <c r="V446" i="1"/>
  <c r="F275" i="1"/>
  <c r="F277" i="1" s="1"/>
  <c r="F481" i="1"/>
  <c r="F483" i="1" s="1"/>
  <c r="X377" i="1"/>
  <c r="Z431" i="1"/>
  <c r="V45" i="1"/>
  <c r="V47" i="1" s="1"/>
  <c r="V61" i="1" s="1"/>
  <c r="V248" i="1"/>
  <c r="AK248" i="1" s="1"/>
  <c r="AL248" i="1" s="1"/>
  <c r="Z429" i="1"/>
  <c r="Z233" i="1"/>
  <c r="Z430" i="1"/>
  <c r="Z239" i="1"/>
  <c r="Z578" i="1"/>
  <c r="Z432" i="1"/>
  <c r="Z433" i="1"/>
  <c r="Z103" i="1"/>
  <c r="Z434" i="1"/>
  <c r="Z102" i="1"/>
  <c r="Z435" i="1"/>
  <c r="Z240" i="1"/>
  <c r="Z438" i="1"/>
  <c r="Z569" i="1"/>
  <c r="Z436" i="1"/>
  <c r="Z568" i="1"/>
  <c r="V398" i="1"/>
  <c r="V472" i="1"/>
  <c r="K103" i="1"/>
  <c r="L568" i="1"/>
  <c r="AJ569" i="1"/>
  <c r="L435" i="1"/>
  <c r="AH102" i="1"/>
  <c r="AJ433" i="1"/>
  <c r="AJ233" i="1"/>
  <c r="L239" i="1"/>
  <c r="AK36" i="1"/>
  <c r="AL36" i="1" s="1"/>
  <c r="W446" i="1"/>
  <c r="W266" i="1"/>
  <c r="AJ578" i="1"/>
  <c r="AJ568" i="1"/>
  <c r="AJ432" i="1"/>
  <c r="L240" i="1"/>
  <c r="AJ435" i="1"/>
  <c r="L232" i="1"/>
  <c r="W472" i="1"/>
  <c r="AJ438" i="1"/>
  <c r="AJ430" i="1"/>
  <c r="AJ240" i="1"/>
  <c r="AJ429" i="1"/>
  <c r="AJ437" i="1"/>
  <c r="AJ102" i="1"/>
  <c r="AJ103" i="1"/>
  <c r="AJ434" i="1"/>
  <c r="AJ239" i="1"/>
  <c r="AJ431" i="1"/>
  <c r="AJ232" i="1"/>
  <c r="AK391" i="1"/>
  <c r="AL391" i="1" s="1"/>
  <c r="F66" i="1"/>
  <c r="F93" i="1" s="1"/>
  <c r="F96" i="1" s="1"/>
  <c r="W654" i="1"/>
  <c r="L569" i="1"/>
  <c r="L102" i="1"/>
  <c r="L432" i="1"/>
  <c r="L431" i="1"/>
  <c r="L430" i="1"/>
  <c r="L429" i="1"/>
  <c r="L438" i="1"/>
  <c r="L103" i="1"/>
  <c r="L578" i="1"/>
  <c r="L433" i="1"/>
  <c r="L233" i="1"/>
  <c r="L434" i="1"/>
  <c r="L437" i="1"/>
  <c r="K102" i="1"/>
  <c r="K578" i="1"/>
  <c r="K233" i="1"/>
  <c r="K437" i="1"/>
  <c r="W433" i="1"/>
  <c r="K430" i="1"/>
  <c r="K433" i="1"/>
  <c r="K232" i="1"/>
  <c r="K432" i="1"/>
  <c r="K429" i="1"/>
  <c r="K431" i="1"/>
  <c r="K569" i="1"/>
  <c r="K239" i="1"/>
  <c r="K438" i="1"/>
  <c r="K435" i="1"/>
  <c r="X102" i="1"/>
  <c r="AK24" i="1"/>
  <c r="AL24" i="1" s="1"/>
  <c r="K568" i="1"/>
  <c r="K436" i="1"/>
  <c r="X431" i="1"/>
  <c r="AH430" i="1"/>
  <c r="X578" i="1"/>
  <c r="X437" i="1"/>
  <c r="K434" i="1"/>
  <c r="AH438" i="1"/>
  <c r="AH569" i="1"/>
  <c r="AH103" i="1"/>
  <c r="X239" i="1"/>
  <c r="AH239" i="1"/>
  <c r="AH433" i="1"/>
  <c r="AH429" i="1"/>
  <c r="X438" i="1"/>
  <c r="AH436" i="1"/>
  <c r="X233" i="1"/>
  <c r="AH233" i="1"/>
  <c r="AH434" i="1"/>
  <c r="X435" i="1"/>
  <c r="AH578" i="1"/>
  <c r="X430" i="1"/>
  <c r="X433" i="1"/>
  <c r="AH437" i="1"/>
  <c r="AH435" i="1"/>
  <c r="X232" i="1"/>
  <c r="AH232" i="1"/>
  <c r="X436" i="1"/>
  <c r="X429" i="1"/>
  <c r="X432" i="1"/>
  <c r="AH240" i="1"/>
  <c r="X103" i="1"/>
  <c r="X568" i="1"/>
  <c r="AH568" i="1"/>
  <c r="AH431" i="1"/>
  <c r="X240" i="1"/>
  <c r="X434" i="1"/>
  <c r="K153" i="1"/>
  <c r="AK153" i="1" s="1"/>
  <c r="AL153" i="1" s="1"/>
  <c r="Q398" i="1"/>
  <c r="H626" i="1"/>
  <c r="H359" i="1" s="1"/>
  <c r="H366" i="1" s="1"/>
  <c r="V568" i="1"/>
  <c r="H568" i="1"/>
  <c r="AA429" i="1"/>
  <c r="AA568" i="1"/>
  <c r="W435" i="1"/>
  <c r="W432" i="1"/>
  <c r="T435" i="1"/>
  <c r="AH477" i="1"/>
  <c r="AH632" i="1" s="1"/>
  <c r="AH469" i="1" s="1"/>
  <c r="AH479" i="1" s="1"/>
  <c r="AH263" i="1" s="1"/>
  <c r="U436" i="1"/>
  <c r="T240" i="1"/>
  <c r="AD377" i="1"/>
  <c r="T103" i="1"/>
  <c r="T431" i="1"/>
  <c r="W437" i="1"/>
  <c r="U653" i="1"/>
  <c r="AB191" i="1"/>
  <c r="AF568" i="1"/>
  <c r="H434" i="1"/>
  <c r="AK134" i="1"/>
  <c r="AL134" i="1" s="1"/>
  <c r="H431" i="1"/>
  <c r="AK361" i="1"/>
  <c r="AL361" i="1" s="1"/>
  <c r="H232" i="1"/>
  <c r="H103" i="1"/>
  <c r="U569" i="1"/>
  <c r="U102" i="1"/>
  <c r="AD429" i="1"/>
  <c r="I64" i="1"/>
  <c r="U429" i="1"/>
  <c r="W429" i="1"/>
  <c r="W103" i="1"/>
  <c r="U568" i="1"/>
  <c r="Q255" i="1"/>
  <c r="H256" i="1"/>
  <c r="H61" i="1"/>
  <c r="S452" i="1"/>
  <c r="AD136" i="1"/>
  <c r="AD61" i="1"/>
  <c r="W102" i="1"/>
  <c r="U435" i="1"/>
  <c r="U103" i="1"/>
  <c r="W568" i="1"/>
  <c r="U433" i="1"/>
  <c r="P73" i="1"/>
  <c r="W578" i="1"/>
  <c r="J73" i="1"/>
  <c r="U430" i="1"/>
  <c r="U240" i="1"/>
  <c r="U434" i="1"/>
  <c r="W438" i="1"/>
  <c r="AH453" i="1"/>
  <c r="AH61" i="1"/>
  <c r="U431" i="1"/>
  <c r="W239" i="1"/>
  <c r="W232" i="1"/>
  <c r="U437" i="1"/>
  <c r="U239" i="1"/>
  <c r="W569" i="1"/>
  <c r="W430" i="1"/>
  <c r="AK282" i="1"/>
  <c r="AL282" i="1" s="1"/>
  <c r="L579" i="1"/>
  <c r="AB62" i="1"/>
  <c r="AB61" i="1"/>
  <c r="O453" i="1"/>
  <c r="U432" i="1"/>
  <c r="U233" i="1"/>
  <c r="W431" i="1"/>
  <c r="W434" i="1"/>
  <c r="AK175" i="1"/>
  <c r="AL175" i="1" s="1"/>
  <c r="W233" i="1"/>
  <c r="J415" i="1"/>
  <c r="U578" i="1"/>
  <c r="AK424" i="1"/>
  <c r="AL424" i="1" s="1"/>
  <c r="W436" i="1"/>
  <c r="U232" i="1"/>
  <c r="L104" i="1"/>
  <c r="J232" i="1"/>
  <c r="J240" i="1"/>
  <c r="V635" i="1"/>
  <c r="V142" i="1" s="1"/>
  <c r="I629" i="1"/>
  <c r="I380" i="1" s="1"/>
  <c r="I387" i="1" s="1"/>
  <c r="I173" i="1" s="1"/>
  <c r="J435" i="1"/>
  <c r="Z577" i="1"/>
  <c r="J233" i="1"/>
  <c r="J568" i="1"/>
  <c r="Y635" i="1"/>
  <c r="Y142" i="1" s="1"/>
  <c r="J434" i="1"/>
  <c r="J438" i="1"/>
  <c r="J239" i="1"/>
  <c r="AC453" i="1"/>
  <c r="AD215" i="1"/>
  <c r="AK163" i="1"/>
  <c r="AL163" i="1" s="1"/>
  <c r="AF566" i="1"/>
  <c r="P191" i="1"/>
  <c r="V431" i="1"/>
  <c r="V433" i="1"/>
  <c r="V432" i="1"/>
  <c r="V430" i="1"/>
  <c r="AF567" i="1"/>
  <c r="H239" i="1"/>
  <c r="AF494" i="1"/>
  <c r="AK494" i="1" s="1"/>
  <c r="AL494" i="1" s="1"/>
  <c r="V434" i="1"/>
  <c r="V240" i="1"/>
  <c r="AA577" i="1"/>
  <c r="V437" i="1"/>
  <c r="H569" i="1"/>
  <c r="AF577" i="1"/>
  <c r="AA567" i="1"/>
  <c r="AA566" i="1"/>
  <c r="AK413" i="1"/>
  <c r="AL413" i="1" s="1"/>
  <c r="H240" i="1"/>
  <c r="H578" i="1"/>
  <c r="AB216" i="1"/>
  <c r="H102" i="1"/>
  <c r="H208" i="1"/>
  <c r="H438" i="1"/>
  <c r="I415" i="1"/>
  <c r="I417" i="1" s="1"/>
  <c r="Y170" i="1"/>
  <c r="H430" i="1"/>
  <c r="H435" i="1"/>
  <c r="H233" i="1"/>
  <c r="AB377" i="1"/>
  <c r="H433" i="1"/>
  <c r="H429" i="1"/>
  <c r="H437" i="1"/>
  <c r="H432" i="1"/>
  <c r="AC657" i="1"/>
  <c r="AB398" i="1"/>
  <c r="AF432" i="1"/>
  <c r="AF436" i="1"/>
  <c r="AA103" i="1"/>
  <c r="L62" i="1"/>
  <c r="AB477" i="1"/>
  <c r="AB632" i="1" s="1"/>
  <c r="AB469" i="1" s="1"/>
  <c r="AB479" i="1" s="1"/>
  <c r="L398" i="1"/>
  <c r="L647" i="1"/>
  <c r="M565" i="1"/>
  <c r="S217" i="1"/>
  <c r="Y447" i="1"/>
  <c r="M566" i="1"/>
  <c r="Y473" i="1"/>
  <c r="L126" i="1"/>
  <c r="AC434" i="1"/>
  <c r="S577" i="1"/>
  <c r="S566" i="1"/>
  <c r="S565" i="1"/>
  <c r="M438" i="1"/>
  <c r="AA435" i="1"/>
  <c r="AJ567" i="1"/>
  <c r="AB453" i="1"/>
  <c r="L64" i="1"/>
  <c r="AB215" i="1"/>
  <c r="M567" i="1"/>
  <c r="AJ566" i="1"/>
  <c r="AJ577" i="1"/>
  <c r="AB104" i="1"/>
  <c r="L477" i="1"/>
  <c r="L632" i="1" s="1"/>
  <c r="L469" i="1" s="1"/>
  <c r="L479" i="1" s="1"/>
  <c r="L660" i="1" s="1"/>
  <c r="M434" i="1"/>
  <c r="L255" i="1"/>
  <c r="AD422" i="1"/>
  <c r="AD426" i="1" s="1"/>
  <c r="I26" i="1"/>
  <c r="I663" i="1" s="1"/>
  <c r="AK384" i="1"/>
  <c r="AL384" i="1" s="1"/>
  <c r="L135" i="1"/>
  <c r="AF102" i="1"/>
  <c r="H477" i="1"/>
  <c r="H632" i="1" s="1"/>
  <c r="AF240" i="1"/>
  <c r="L271" i="1"/>
  <c r="AF430" i="1"/>
  <c r="AH254" i="1"/>
  <c r="AH255" i="1"/>
  <c r="J569" i="1"/>
  <c r="J578" i="1"/>
  <c r="AF434" i="1"/>
  <c r="K359" i="1"/>
  <c r="K366" i="1" s="1"/>
  <c r="K151" i="1" s="1"/>
  <c r="AH271" i="1"/>
  <c r="S136" i="1"/>
  <c r="AH62" i="1"/>
  <c r="AD435" i="1"/>
  <c r="AD432" i="1"/>
  <c r="AF233" i="1"/>
  <c r="J626" i="1"/>
  <c r="J359" i="1" s="1"/>
  <c r="J366" i="1" s="1"/>
  <c r="J433" i="1"/>
  <c r="AF433" i="1"/>
  <c r="AH64" i="1"/>
  <c r="AD103" i="1"/>
  <c r="Q256" i="1"/>
  <c r="AF569" i="1"/>
  <c r="J436" i="1"/>
  <c r="AF435" i="1"/>
  <c r="AH256" i="1"/>
  <c r="H135" i="1"/>
  <c r="AF103" i="1"/>
  <c r="AH579" i="1"/>
  <c r="AF47" i="1"/>
  <c r="AF74" i="1" s="1"/>
  <c r="J431" i="1"/>
  <c r="AH136" i="1"/>
  <c r="J103" i="1"/>
  <c r="AF239" i="1"/>
  <c r="AH135" i="1"/>
  <c r="H255" i="1"/>
  <c r="J430" i="1"/>
  <c r="AF578" i="1"/>
  <c r="S417" i="1"/>
  <c r="S398" i="1"/>
  <c r="AH104" i="1"/>
  <c r="H567" i="1"/>
  <c r="AF437" i="1"/>
  <c r="AF431" i="1"/>
  <c r="AB663" i="1"/>
  <c r="S135" i="1"/>
  <c r="AD434" i="1"/>
  <c r="P254" i="1"/>
  <c r="J102" i="1"/>
  <c r="AD436" i="1"/>
  <c r="H254" i="1"/>
  <c r="AF232" i="1"/>
  <c r="AF438" i="1"/>
  <c r="AK362" i="1"/>
  <c r="AL362" i="1" s="1"/>
  <c r="J437" i="1"/>
  <c r="J429" i="1"/>
  <c r="AK205" i="1"/>
  <c r="AL205" i="1" s="1"/>
  <c r="AC218" i="1"/>
  <c r="AB217" i="1"/>
  <c r="O210" i="1"/>
  <c r="Y45" i="1"/>
  <c r="Y126" i="1" s="1"/>
  <c r="AD569" i="1"/>
  <c r="H64" i="1"/>
  <c r="AD102" i="1"/>
  <c r="AD218" i="1"/>
  <c r="Y267" i="1"/>
  <c r="S183" i="1"/>
  <c r="S189" i="1" s="1"/>
  <c r="S191" i="1" s="1"/>
  <c r="AB218" i="1"/>
  <c r="AC170" i="1"/>
  <c r="AJ417" i="1"/>
  <c r="W635" i="1"/>
  <c r="W142" i="1" s="1"/>
  <c r="AH210" i="1"/>
  <c r="AK124" i="1"/>
  <c r="AL124" i="1" s="1"/>
  <c r="AC215" i="1"/>
  <c r="AK402" i="1"/>
  <c r="AL402" i="1" s="1"/>
  <c r="Q579" i="1"/>
  <c r="AJ210" i="1"/>
  <c r="AD64" i="1"/>
  <c r="J217" i="1"/>
  <c r="AA438" i="1"/>
  <c r="AK203" i="1"/>
  <c r="AL203" i="1" s="1"/>
  <c r="U663" i="1"/>
  <c r="Y377" i="1"/>
  <c r="W45" i="1"/>
  <c r="W136" i="1" s="1"/>
  <c r="T47" i="1"/>
  <c r="T61" i="1" s="1"/>
  <c r="H566" i="1"/>
  <c r="AJ663" i="1"/>
  <c r="AC432" i="1"/>
  <c r="M398" i="1"/>
  <c r="K417" i="1"/>
  <c r="AA240" i="1"/>
  <c r="AC377" i="1"/>
  <c r="S218" i="1"/>
  <c r="H47" i="1"/>
  <c r="AD217" i="1"/>
  <c r="AC239" i="1"/>
  <c r="H663" i="1"/>
  <c r="S73" i="1"/>
  <c r="O435" i="1"/>
  <c r="F417" i="1"/>
  <c r="AC663" i="1"/>
  <c r="V578" i="1"/>
  <c r="AF398" i="1"/>
  <c r="X417" i="1"/>
  <c r="AK156" i="1"/>
  <c r="AL156" i="1" s="1"/>
  <c r="AK39" i="1"/>
  <c r="AL39" i="1" s="1"/>
  <c r="F191" i="1"/>
  <c r="M232" i="1"/>
  <c r="I208" i="1"/>
  <c r="S256" i="1"/>
  <c r="S64" i="1"/>
  <c r="V569" i="1"/>
  <c r="S579" i="1"/>
  <c r="V438" i="1"/>
  <c r="AC103" i="1"/>
  <c r="AD47" i="1"/>
  <c r="P453" i="1"/>
  <c r="S126" i="1"/>
  <c r="P255" i="1"/>
  <c r="K567" i="1"/>
  <c r="V239" i="1"/>
  <c r="H577" i="1"/>
  <c r="H565" i="1"/>
  <c r="AD567" i="1"/>
  <c r="AF663" i="1"/>
  <c r="S570" i="1"/>
  <c r="W218" i="1"/>
  <c r="Y663" i="1"/>
  <c r="W162" i="1"/>
  <c r="W168" i="1" s="1"/>
  <c r="W170" i="1" s="1"/>
  <c r="S254" i="1"/>
  <c r="V436" i="1"/>
  <c r="I135" i="1"/>
  <c r="U577" i="1"/>
  <c r="AH508" i="1"/>
  <c r="AK508" i="1" s="1"/>
  <c r="AL508" i="1" s="1"/>
  <c r="AC568" i="1"/>
  <c r="P570" i="1"/>
  <c r="U566" i="1"/>
  <c r="AA417" i="1"/>
  <c r="AK404" i="1"/>
  <c r="AL404" i="1" s="1"/>
  <c r="K565" i="1"/>
  <c r="U565" i="1"/>
  <c r="P663" i="1"/>
  <c r="Z654" i="1"/>
  <c r="Q663" i="1"/>
  <c r="U398" i="1"/>
  <c r="K577" i="1"/>
  <c r="V429" i="1"/>
  <c r="U194" i="1"/>
  <c r="U200" i="1" s="1"/>
  <c r="U210" i="1" s="1"/>
  <c r="S271" i="1"/>
  <c r="AC431" i="1"/>
  <c r="S657" i="1"/>
  <c r="P579" i="1"/>
  <c r="P126" i="1"/>
  <c r="U567" i="1"/>
  <c r="X473" i="1"/>
  <c r="V377" i="1"/>
  <c r="X663" i="1"/>
  <c r="AD663" i="1"/>
  <c r="U191" i="1"/>
  <c r="P135" i="1"/>
  <c r="M663" i="1"/>
  <c r="AD566" i="1"/>
  <c r="V435" i="1"/>
  <c r="V267" i="1"/>
  <c r="S663" i="1"/>
  <c r="AD565" i="1"/>
  <c r="I104" i="1"/>
  <c r="AA663" i="1"/>
  <c r="AD430" i="1"/>
  <c r="V233" i="1"/>
  <c r="M431" i="1"/>
  <c r="V447" i="1"/>
  <c r="M233" i="1"/>
  <c r="K663" i="1"/>
  <c r="W377" i="1"/>
  <c r="J218" i="1"/>
  <c r="AC435" i="1"/>
  <c r="J208" i="1"/>
  <c r="P452" i="1"/>
  <c r="K657" i="1"/>
  <c r="V103" i="1"/>
  <c r="V232" i="1"/>
  <c r="AK204" i="1"/>
  <c r="AL204" i="1" s="1"/>
  <c r="AC73" i="1"/>
  <c r="AD653" i="1"/>
  <c r="AK410" i="1"/>
  <c r="AL410" i="1" s="1"/>
  <c r="AA436" i="1"/>
  <c r="AA430" i="1"/>
  <c r="X45" i="1"/>
  <c r="AA239" i="1"/>
  <c r="V654" i="1"/>
  <c r="AD233" i="1"/>
  <c r="Q135" i="1"/>
  <c r="AA437" i="1"/>
  <c r="P654" i="1"/>
  <c r="Y654" i="1"/>
  <c r="J62" i="1"/>
  <c r="Y233" i="1"/>
  <c r="AH647" i="1"/>
  <c r="P398" i="1"/>
  <c r="T653" i="1"/>
  <c r="AF173" i="1"/>
  <c r="AF180" i="1" s="1"/>
  <c r="AF191" i="1" s="1"/>
  <c r="S431" i="1"/>
  <c r="T271" i="1"/>
  <c r="AH654" i="1"/>
  <c r="J629" i="1"/>
  <c r="J380" i="1" s="1"/>
  <c r="J387" i="1" s="1"/>
  <c r="X447" i="1"/>
  <c r="O417" i="1"/>
  <c r="Y429" i="1"/>
  <c r="X635" i="1"/>
  <c r="X142" i="1" s="1"/>
  <c r="X654" i="1"/>
  <c r="AA653" i="1"/>
  <c r="W663" i="1"/>
  <c r="T663" i="1"/>
  <c r="P655" i="1"/>
  <c r="AB151" i="1"/>
  <c r="AB159" i="1" s="1"/>
  <c r="AA578" i="1"/>
  <c r="AA431" i="1"/>
  <c r="Z663" i="1"/>
  <c r="AA191" i="1"/>
  <c r="AD438" i="1"/>
  <c r="AA432" i="1"/>
  <c r="AA433" i="1"/>
  <c r="Z567" i="1"/>
  <c r="AC64" i="1"/>
  <c r="AH567" i="1"/>
  <c r="X210" i="1"/>
  <c r="I452" i="1"/>
  <c r="AC47" i="1"/>
  <c r="AC61" i="1" s="1"/>
  <c r="AK363" i="1"/>
  <c r="AL363" i="1" s="1"/>
  <c r="AC62" i="1"/>
  <c r="AA398" i="1"/>
  <c r="S47" i="1"/>
  <c r="S60" i="1" s="1"/>
  <c r="AC136" i="1"/>
  <c r="Z565" i="1"/>
  <c r="AC653" i="1"/>
  <c r="AA102" i="1"/>
  <c r="AC654" i="1"/>
  <c r="AC210" i="1"/>
  <c r="AH191" i="1"/>
  <c r="AA569" i="1"/>
  <c r="AD239" i="1"/>
  <c r="W653" i="1"/>
  <c r="Y432" i="1"/>
  <c r="O653" i="1"/>
  <c r="O62" i="1"/>
  <c r="AC271" i="1"/>
  <c r="T255" i="1"/>
  <c r="AA232" i="1"/>
  <c r="J453" i="1"/>
  <c r="AA233" i="1"/>
  <c r="AK411" i="1"/>
  <c r="AL411" i="1" s="1"/>
  <c r="Y232" i="1"/>
  <c r="AK37" i="1"/>
  <c r="AL37" i="1" s="1"/>
  <c r="Y653" i="1"/>
  <c r="U377" i="1"/>
  <c r="M657" i="1"/>
  <c r="AH657" i="1"/>
  <c r="I626" i="1"/>
  <c r="L222" i="1"/>
  <c r="W398" i="1"/>
  <c r="I194" i="1"/>
  <c r="I200" i="1" s="1"/>
  <c r="AH656" i="1"/>
  <c r="AH47" i="1"/>
  <c r="AH10" i="1" s="1"/>
  <c r="M436" i="1"/>
  <c r="M239" i="1"/>
  <c r="K194" i="1"/>
  <c r="K200" i="1" s="1"/>
  <c r="K210" i="1" s="1"/>
  <c r="S216" i="1"/>
  <c r="AB255" i="1"/>
  <c r="P170" i="1"/>
  <c r="L136" i="1"/>
  <c r="I647" i="1"/>
  <c r="I422" i="1"/>
  <c r="I426" i="1" s="1"/>
  <c r="AC104" i="1"/>
  <c r="O657" i="1"/>
  <c r="V565" i="1"/>
  <c r="H380" i="1"/>
  <c r="H387" i="1" s="1"/>
  <c r="H173" i="1" s="1"/>
  <c r="H180" i="1" s="1"/>
  <c r="O398" i="1"/>
  <c r="V663" i="1"/>
  <c r="I254" i="1"/>
  <c r="P377" i="1"/>
  <c r="M430" i="1"/>
  <c r="M569" i="1"/>
  <c r="S215" i="1"/>
  <c r="AB64" i="1"/>
  <c r="L453" i="1"/>
  <c r="I570" i="1"/>
  <c r="I215" i="1"/>
  <c r="AA657" i="1"/>
  <c r="AJ657" i="1"/>
  <c r="M173" i="1"/>
  <c r="M180" i="1" s="1"/>
  <c r="M191" i="1" s="1"/>
  <c r="AF417" i="1"/>
  <c r="V566" i="1"/>
  <c r="AH417" i="1"/>
  <c r="O255" i="1"/>
  <c r="M240" i="1"/>
  <c r="M103" i="1"/>
  <c r="I218" i="1"/>
  <c r="M433" i="1"/>
  <c r="AH398" i="1"/>
  <c r="P653" i="1"/>
  <c r="U217" i="1"/>
  <c r="J254" i="1"/>
  <c r="S647" i="1"/>
  <c r="AC417" i="1"/>
  <c r="V577" i="1"/>
  <c r="M437" i="1"/>
  <c r="M429" i="1"/>
  <c r="M568" i="1"/>
  <c r="M432" i="1"/>
  <c r="M102" i="1"/>
  <c r="O135" i="1"/>
  <c r="U422" i="1"/>
  <c r="U426" i="1" s="1"/>
  <c r="T232" i="1"/>
  <c r="J136" i="1"/>
  <c r="O173" i="1"/>
  <c r="O180" i="1" s="1"/>
  <c r="O191" i="1" s="1"/>
  <c r="AB271" i="1"/>
  <c r="J647" i="1"/>
  <c r="X657" i="1"/>
  <c r="I255" i="1"/>
  <c r="I126" i="1"/>
  <c r="U417" i="1"/>
  <c r="M578" i="1"/>
  <c r="M151" i="1"/>
  <c r="M159" i="1" s="1"/>
  <c r="T438" i="1"/>
  <c r="K390" i="1"/>
  <c r="K396" i="1" s="1"/>
  <c r="K398" i="1" s="1"/>
  <c r="O136" i="1"/>
  <c r="AJ655" i="1"/>
  <c r="T569" i="1"/>
  <c r="AK155" i="1"/>
  <c r="AL155" i="1" s="1"/>
  <c r="AK185" i="1"/>
  <c r="AL185" i="1" s="1"/>
  <c r="O570" i="1"/>
  <c r="AA215" i="1"/>
  <c r="S210" i="1"/>
  <c r="M655" i="1"/>
  <c r="AK405" i="1"/>
  <c r="AL405" i="1" s="1"/>
  <c r="O47" i="1"/>
  <c r="O61" i="1" s="1"/>
  <c r="AK174" i="1"/>
  <c r="AL174" i="1" s="1"/>
  <c r="O126" i="1"/>
  <c r="O271" i="1"/>
  <c r="O452" i="1"/>
  <c r="AH217" i="1"/>
  <c r="AA217" i="1"/>
  <c r="O655" i="1"/>
  <c r="AH218" i="1"/>
  <c r="L570" i="1"/>
  <c r="L254" i="1"/>
  <c r="J135" i="1"/>
  <c r="J271" i="1"/>
  <c r="J64" i="1"/>
  <c r="J104" i="1"/>
  <c r="J477" i="1"/>
  <c r="J632" i="1" s="1"/>
  <c r="J469" i="1" s="1"/>
  <c r="J479" i="1" s="1"/>
  <c r="J263" i="1" s="1"/>
  <c r="J570" i="1"/>
  <c r="J126" i="1"/>
  <c r="H62" i="1"/>
  <c r="U654" i="1"/>
  <c r="AB126" i="1"/>
  <c r="L73" i="1"/>
  <c r="H579" i="1"/>
  <c r="W648" i="1"/>
  <c r="AK393" i="1"/>
  <c r="AL393" i="1" s="1"/>
  <c r="AC477" i="1"/>
  <c r="AC632" i="1" s="1"/>
  <c r="AC469" i="1" s="1"/>
  <c r="AC479" i="1" s="1"/>
  <c r="Y102" i="1"/>
  <c r="Y436" i="1"/>
  <c r="O104" i="1"/>
  <c r="AC126" i="1"/>
  <c r="AC233" i="1"/>
  <c r="T436" i="1"/>
  <c r="AA422" i="1"/>
  <c r="AA426" i="1" s="1"/>
  <c r="AC398" i="1"/>
  <c r="AC254" i="1"/>
  <c r="AB136" i="1"/>
  <c r="H390" i="1"/>
  <c r="H396" i="1" s="1"/>
  <c r="H656" i="1" s="1"/>
  <c r="AJ191" i="1"/>
  <c r="O477" i="1"/>
  <c r="O632" i="1" s="1"/>
  <c r="O469" i="1" s="1"/>
  <c r="O479" i="1" s="1"/>
  <c r="O660" i="1" s="1"/>
  <c r="J452" i="1"/>
  <c r="L256" i="1"/>
  <c r="AD73" i="1"/>
  <c r="AC135" i="1"/>
  <c r="X249" i="1"/>
  <c r="W447" i="1"/>
  <c r="W267" i="1"/>
  <c r="W473" i="1"/>
  <c r="AK470" i="1"/>
  <c r="AL470" i="1" s="1"/>
  <c r="O663" i="1"/>
  <c r="T655" i="1"/>
  <c r="L655" i="1"/>
  <c r="O577" i="1"/>
  <c r="AB256" i="1"/>
  <c r="Y434" i="1"/>
  <c r="Y569" i="1"/>
  <c r="AD255" i="1"/>
  <c r="AC437" i="1"/>
  <c r="T102" i="1"/>
  <c r="AA216" i="1"/>
  <c r="AB254" i="1"/>
  <c r="T73" i="1"/>
  <c r="T453" i="1"/>
  <c r="AA655" i="1"/>
  <c r="J407" i="1"/>
  <c r="O254" i="1"/>
  <c r="J256" i="1"/>
  <c r="L452" i="1"/>
  <c r="AD477" i="1"/>
  <c r="AD632" i="1" s="1"/>
  <c r="AD469" i="1" s="1"/>
  <c r="AD479" i="1" s="1"/>
  <c r="AC255" i="1"/>
  <c r="T437" i="1"/>
  <c r="P136" i="1"/>
  <c r="P477" i="1"/>
  <c r="P632" i="1" s="1"/>
  <c r="P469" i="1" s="1"/>
  <c r="P479" i="1" s="1"/>
  <c r="P104" i="1"/>
  <c r="P64" i="1"/>
  <c r="P271" i="1"/>
  <c r="P62" i="1"/>
  <c r="P256" i="1"/>
  <c r="S104" i="1"/>
  <c r="S62" i="1"/>
  <c r="S477" i="1"/>
  <c r="S632" i="1" s="1"/>
  <c r="S469" i="1" s="1"/>
  <c r="S479" i="1" s="1"/>
  <c r="S255" i="1"/>
  <c r="S453" i="1"/>
  <c r="U655" i="1"/>
  <c r="O422" i="1"/>
  <c r="O426" i="1" s="1"/>
  <c r="Y239" i="1"/>
  <c r="AB452" i="1"/>
  <c r="T430" i="1"/>
  <c r="AD271" i="1"/>
  <c r="AC429" i="1"/>
  <c r="I216" i="1"/>
  <c r="AA136" i="1"/>
  <c r="O647" i="1"/>
  <c r="S655" i="1"/>
  <c r="AB655" i="1"/>
  <c r="O64" i="1"/>
  <c r="T578" i="1"/>
  <c r="W173" i="1"/>
  <c r="W180" i="1" s="1"/>
  <c r="W191" i="1" s="1"/>
  <c r="AK184" i="1"/>
  <c r="AL184" i="1" s="1"/>
  <c r="AH655" i="1"/>
  <c r="O215" i="1"/>
  <c r="AD62" i="1"/>
  <c r="Y578" i="1"/>
  <c r="AB73" i="1"/>
  <c r="AC569" i="1"/>
  <c r="I657" i="1"/>
  <c r="U170" i="1"/>
  <c r="AA62" i="1"/>
  <c r="AC452" i="1"/>
  <c r="AF655" i="1"/>
  <c r="AK196" i="1"/>
  <c r="AL196" i="1" s="1"/>
  <c r="T62" i="1"/>
  <c r="T256" i="1"/>
  <c r="O73" i="1"/>
  <c r="J579" i="1"/>
  <c r="T432" i="1"/>
  <c r="T233" i="1"/>
  <c r="V249" i="1"/>
  <c r="V473" i="1"/>
  <c r="I390" i="1"/>
  <c r="I396" i="1" s="1"/>
  <c r="O579" i="1"/>
  <c r="AC647" i="1"/>
  <c r="AB570" i="1"/>
  <c r="O256" i="1"/>
  <c r="H647" i="1"/>
  <c r="AJ653" i="1"/>
  <c r="AH216" i="1"/>
  <c r="AH422" i="1"/>
  <c r="AH426" i="1" s="1"/>
  <c r="AK250" i="1"/>
  <c r="AL250" i="1" s="1"/>
  <c r="I103" i="1"/>
  <c r="P647" i="1"/>
  <c r="P565" i="1"/>
  <c r="P567" i="1"/>
  <c r="P566" i="1"/>
  <c r="P577" i="1"/>
  <c r="O565" i="1"/>
  <c r="O567" i="1"/>
  <c r="T191" i="1"/>
  <c r="AD647" i="1"/>
  <c r="AC655" i="1"/>
  <c r="S578" i="1"/>
  <c r="S429" i="1"/>
  <c r="S240" i="1"/>
  <c r="S430" i="1"/>
  <c r="S435" i="1"/>
  <c r="S432" i="1"/>
  <c r="S436" i="1"/>
  <c r="S433" i="1"/>
  <c r="S437" i="1"/>
  <c r="S103" i="1"/>
  <c r="S438" i="1"/>
  <c r="S232" i="1"/>
  <c r="S568" i="1"/>
  <c r="S233" i="1"/>
  <c r="S569" i="1"/>
  <c r="S102" i="1"/>
  <c r="S239" i="1"/>
  <c r="AH73" i="1"/>
  <c r="AH452" i="1"/>
  <c r="AH126" i="1"/>
  <c r="AC430" i="1"/>
  <c r="AC232" i="1"/>
  <c r="AC578" i="1"/>
  <c r="AC240" i="1"/>
  <c r="AC433" i="1"/>
  <c r="AC436" i="1"/>
  <c r="AC438" i="1"/>
  <c r="T568" i="1"/>
  <c r="T434" i="1"/>
  <c r="T239" i="1"/>
  <c r="T429" i="1"/>
  <c r="AB647" i="1"/>
  <c r="AK444" i="1"/>
  <c r="AL444" i="1" s="1"/>
  <c r="F574" i="2"/>
  <c r="F676" i="2" s="1"/>
  <c r="F33" i="30" s="1"/>
  <c r="AK219" i="1"/>
  <c r="AL219" i="1" s="1"/>
  <c r="AK370" i="1"/>
  <c r="AL370" i="1" s="1"/>
  <c r="W422" i="1"/>
  <c r="W426" i="1" s="1"/>
  <c r="W216" i="1"/>
  <c r="W215" i="1"/>
  <c r="AA570" i="1"/>
  <c r="AA126" i="1"/>
  <c r="AJ216" i="1"/>
  <c r="AJ422" i="1"/>
  <c r="AJ426" i="1" s="1"/>
  <c r="AJ215" i="1"/>
  <c r="AJ217" i="1"/>
  <c r="H407" i="1"/>
  <c r="AK401" i="1"/>
  <c r="AL401" i="1" s="1"/>
  <c r="X655" i="1"/>
  <c r="AA104" i="1"/>
  <c r="AA255" i="1"/>
  <c r="AH577" i="1"/>
  <c r="AH565" i="1"/>
  <c r="I256" i="1"/>
  <c r="I62" i="1"/>
  <c r="I453" i="1"/>
  <c r="I477" i="1"/>
  <c r="I632" i="1" s="1"/>
  <c r="I469" i="1" s="1"/>
  <c r="I479" i="1" s="1"/>
  <c r="I73" i="1"/>
  <c r="U215" i="1"/>
  <c r="U216" i="1"/>
  <c r="V151" i="1"/>
  <c r="V159" i="1" s="1"/>
  <c r="V170" i="1" s="1"/>
  <c r="V653" i="1"/>
  <c r="O429" i="1"/>
  <c r="K655" i="1"/>
  <c r="O433" i="1"/>
  <c r="O437" i="1"/>
  <c r="AA648" i="1"/>
  <c r="H216" i="1"/>
  <c r="AA452" i="1"/>
  <c r="AA579" i="1"/>
  <c r="U648" i="1"/>
  <c r="L151" i="1"/>
  <c r="L159" i="1" s="1"/>
  <c r="L653" i="1"/>
  <c r="Y216" i="1"/>
  <c r="M648" i="1"/>
  <c r="O431" i="1"/>
  <c r="AF648" i="1"/>
  <c r="AJ218" i="1"/>
  <c r="AC648" i="1"/>
  <c r="J216" i="1"/>
  <c r="O232" i="1"/>
  <c r="I271" i="1"/>
  <c r="I136" i="1"/>
  <c r="Y568" i="1"/>
  <c r="AA73" i="1"/>
  <c r="AA47" i="1"/>
  <c r="AA61" i="1" s="1"/>
  <c r="I239" i="1"/>
  <c r="I429" i="1"/>
  <c r="I233" i="1"/>
  <c r="I569" i="1"/>
  <c r="I434" i="1"/>
  <c r="I431" i="1"/>
  <c r="I436" i="1"/>
  <c r="I432" i="1"/>
  <c r="I435" i="1"/>
  <c r="I240" i="1"/>
  <c r="I438" i="1"/>
  <c r="I232" i="1"/>
  <c r="I578" i="1"/>
  <c r="I437" i="1"/>
  <c r="I648" i="1"/>
  <c r="I568" i="1"/>
  <c r="I102" i="1"/>
  <c r="I433" i="1"/>
  <c r="R852" i="2"/>
  <c r="F864" i="2"/>
  <c r="G839" i="2"/>
  <c r="H839" i="2"/>
  <c r="AC570" i="1"/>
  <c r="T135" i="1"/>
  <c r="T126" i="1"/>
  <c r="T452" i="1"/>
  <c r="T477" i="1"/>
  <c r="T632" i="1" s="1"/>
  <c r="T469" i="1" s="1"/>
  <c r="T479" i="1" s="1"/>
  <c r="T254" i="1"/>
  <c r="T136" i="1"/>
  <c r="T104" i="1"/>
  <c r="AD453" i="1"/>
  <c r="AD579" i="1"/>
  <c r="T570" i="1"/>
  <c r="T64" i="1"/>
  <c r="T579" i="1"/>
  <c r="AD135" i="1"/>
  <c r="AD126" i="1"/>
  <c r="J648" i="1"/>
  <c r="O648" i="1"/>
  <c r="AD452" i="1"/>
  <c r="H104" i="1"/>
  <c r="H271" i="1"/>
  <c r="H453" i="1"/>
  <c r="H126" i="1"/>
  <c r="H73" i="1"/>
  <c r="H570" i="1"/>
  <c r="H136" i="1"/>
  <c r="H452" i="1"/>
  <c r="O102" i="1"/>
  <c r="Z655" i="1"/>
  <c r="W655" i="1"/>
  <c r="Q217" i="1"/>
  <c r="Q422" i="1"/>
  <c r="Q426" i="1" s="1"/>
  <c r="Q215" i="1"/>
  <c r="Q216" i="1"/>
  <c r="O569" i="1"/>
  <c r="L648" i="1"/>
  <c r="O436" i="1"/>
  <c r="AK637" i="1"/>
  <c r="AL637" i="1" s="1"/>
  <c r="AF222" i="1"/>
  <c r="O432" i="1"/>
  <c r="AF657" i="1"/>
  <c r="AF194" i="1"/>
  <c r="AF200" i="1" s="1"/>
  <c r="AF210" i="1" s="1"/>
  <c r="V648" i="1"/>
  <c r="I579" i="1"/>
  <c r="AH663" i="1"/>
  <c r="AA271" i="1"/>
  <c r="AA256" i="1"/>
  <c r="AD232" i="1"/>
  <c r="AD431" i="1"/>
  <c r="AD568" i="1"/>
  <c r="AD437" i="1"/>
  <c r="AD578" i="1"/>
  <c r="AD433" i="1"/>
  <c r="Q653" i="1"/>
  <c r="Q151" i="1"/>
  <c r="Q159" i="1" s="1"/>
  <c r="AC422" i="1"/>
  <c r="AC426" i="1" s="1"/>
  <c r="AC217" i="1"/>
  <c r="T647" i="1"/>
  <c r="AB579" i="1"/>
  <c r="O233" i="1"/>
  <c r="AD256" i="1"/>
  <c r="AK197" i="1"/>
  <c r="AL197" i="1" s="1"/>
  <c r="AK475" i="1"/>
  <c r="AL475" i="1" s="1"/>
  <c r="AD648" i="1"/>
  <c r="AK288" i="1"/>
  <c r="AL288" i="1" s="1"/>
  <c r="O568" i="1"/>
  <c r="AK101" i="1"/>
  <c r="AL101" i="1" s="1"/>
  <c r="AA254" i="1"/>
  <c r="AA453" i="1"/>
  <c r="AA647" i="1"/>
  <c r="AJ398" i="1"/>
  <c r="AJ162" i="1"/>
  <c r="AJ168" i="1" s="1"/>
  <c r="AJ170" i="1" s="1"/>
  <c r="AJ654" i="1"/>
  <c r="AJ377" i="1"/>
  <c r="AF653" i="1"/>
  <c r="AF151" i="1"/>
  <c r="AF159" i="1" s="1"/>
  <c r="AF170" i="1" s="1"/>
  <c r="F210" i="1"/>
  <c r="AC191" i="1"/>
  <c r="AB135" i="1"/>
  <c r="T648" i="1"/>
  <c r="O103" i="1"/>
  <c r="AD104" i="1"/>
  <c r="O654" i="1"/>
  <c r="F377" i="1"/>
  <c r="J390" i="1"/>
  <c r="J396" i="1" s="1"/>
  <c r="Y218" i="1"/>
  <c r="Y215" i="1"/>
  <c r="Y217" i="1"/>
  <c r="T422" i="1"/>
  <c r="T426" i="1" s="1"/>
  <c r="T218" i="1"/>
  <c r="T216" i="1"/>
  <c r="T215" i="1"/>
  <c r="T217" i="1"/>
  <c r="K648" i="1"/>
  <c r="S648" i="1"/>
  <c r="Z648" i="1"/>
  <c r="X648" i="1"/>
  <c r="O430" i="1"/>
  <c r="O438" i="1"/>
  <c r="AH648" i="1"/>
  <c r="O578" i="1"/>
  <c r="O239" i="1"/>
  <c r="O434" i="1"/>
  <c r="F47" i="1"/>
  <c r="O240" i="1"/>
  <c r="K154" i="1"/>
  <c r="AK154" i="1" s="1"/>
  <c r="AL154" i="1" s="1"/>
  <c r="AA64" i="1"/>
  <c r="S653" i="1"/>
  <c r="Z377" i="1"/>
  <c r="Z653" i="1"/>
  <c r="Z151" i="1"/>
  <c r="Z159" i="1" s="1"/>
  <c r="Z170" i="1" s="1"/>
  <c r="Y433" i="1"/>
  <c r="Y240" i="1"/>
  <c r="Y431" i="1"/>
  <c r="Y648" i="1"/>
  <c r="Y103" i="1"/>
  <c r="Y435" i="1"/>
  <c r="Y438" i="1"/>
  <c r="Y430" i="1"/>
  <c r="H648" i="1"/>
  <c r="AJ648" i="1"/>
  <c r="O218" i="1"/>
  <c r="O216" i="1"/>
  <c r="H217" i="1"/>
  <c r="H215" i="1"/>
  <c r="H218" i="1"/>
  <c r="AK220" i="1"/>
  <c r="AL220" i="1" s="1"/>
  <c r="AK449" i="1"/>
  <c r="AL449" i="1" s="1"/>
  <c r="J215" i="1"/>
  <c r="AA135" i="1"/>
  <c r="AA477" i="1"/>
  <c r="AA632" i="1" s="1"/>
  <c r="AA469" i="1" s="1"/>
  <c r="AA479" i="1" s="1"/>
  <c r="M194" i="1"/>
  <c r="M200" i="1" s="1"/>
  <c r="M210" i="1" s="1"/>
  <c r="M417" i="1"/>
  <c r="AK383" i="1"/>
  <c r="AL383" i="1" s="1"/>
  <c r="AC256" i="1"/>
  <c r="AD570" i="1"/>
  <c r="AD254" i="1"/>
  <c r="AC579" i="1"/>
  <c r="Q655" i="1"/>
  <c r="Q173" i="1"/>
  <c r="Q180" i="1" s="1"/>
  <c r="Q191" i="1" s="1"/>
  <c r="AA162" i="1"/>
  <c r="AA168" i="1" s="1"/>
  <c r="AA170" i="1" s="1"/>
  <c r="AA654" i="1"/>
  <c r="K579" i="1"/>
  <c r="K256" i="1"/>
  <c r="K255" i="1"/>
  <c r="K570" i="1"/>
  <c r="K104" i="1"/>
  <c r="K453" i="1"/>
  <c r="K254" i="1"/>
  <c r="K452" i="1"/>
  <c r="K73" i="1"/>
  <c r="K136" i="1"/>
  <c r="K135" i="1"/>
  <c r="K64" i="1"/>
  <c r="K647" i="1"/>
  <c r="K271" i="1"/>
  <c r="K62" i="1"/>
  <c r="K47" i="1"/>
  <c r="K61" i="1" s="1"/>
  <c r="K477" i="1"/>
  <c r="K632" i="1" s="1"/>
  <c r="K469" i="1" s="1"/>
  <c r="K479" i="1" s="1"/>
  <c r="K126" i="1"/>
  <c r="AF377" i="1"/>
  <c r="L194" i="1"/>
  <c r="L200" i="1" s="1"/>
  <c r="L210" i="1" s="1"/>
  <c r="L417" i="1"/>
  <c r="L657" i="1"/>
  <c r="AK206" i="1"/>
  <c r="AL206" i="1" s="1"/>
  <c r="T417" i="1"/>
  <c r="T194" i="1"/>
  <c r="T200" i="1" s="1"/>
  <c r="T210" i="1" s="1"/>
  <c r="T657" i="1"/>
  <c r="AB435" i="1"/>
  <c r="AB431" i="1"/>
  <c r="AB648" i="1"/>
  <c r="AB437" i="1"/>
  <c r="AB102" i="1"/>
  <c r="AB430" i="1"/>
  <c r="AB103" i="1"/>
  <c r="AB233" i="1"/>
  <c r="AB240" i="1"/>
  <c r="AB568" i="1"/>
  <c r="AB438" i="1"/>
  <c r="AB47" i="1"/>
  <c r="AB432" i="1"/>
  <c r="AB436" i="1"/>
  <c r="AB433" i="1"/>
  <c r="AD173" i="1"/>
  <c r="AD180" i="1" s="1"/>
  <c r="AD191" i="1" s="1"/>
  <c r="AD398" i="1"/>
  <c r="AB232" i="1"/>
  <c r="AD162" i="1"/>
  <c r="AD168" i="1" s="1"/>
  <c r="AD170" i="1" s="1"/>
  <c r="AD654" i="1"/>
  <c r="AK99" i="1"/>
  <c r="AL99" i="1" s="1"/>
  <c r="AB434" i="1"/>
  <c r="AB429" i="1"/>
  <c r="T398" i="1"/>
  <c r="V173" i="1"/>
  <c r="V180" i="1" s="1"/>
  <c r="V191" i="1" s="1"/>
  <c r="V655" i="1"/>
  <c r="AK412" i="1"/>
  <c r="AL412" i="1" s="1"/>
  <c r="AA210" i="1"/>
  <c r="AK302" i="1"/>
  <c r="AL302" i="1" s="1"/>
  <c r="AB578" i="1"/>
  <c r="AD655" i="1"/>
  <c r="AA377" i="1"/>
  <c r="X183" i="1"/>
  <c r="X189" i="1" s="1"/>
  <c r="X191" i="1" s="1"/>
  <c r="X398" i="1"/>
  <c r="O151" i="1"/>
  <c r="O159" i="1" s="1"/>
  <c r="O170" i="1" s="1"/>
  <c r="O377" i="1"/>
  <c r="AF136" i="1"/>
  <c r="AF452" i="1"/>
  <c r="AF453" i="1"/>
  <c r="AF570" i="1"/>
  <c r="AF62" i="1"/>
  <c r="AF126" i="1"/>
  <c r="AF647" i="1"/>
  <c r="AF135" i="1"/>
  <c r="AF256" i="1"/>
  <c r="AF477" i="1"/>
  <c r="AF632" i="1" s="1"/>
  <c r="AF469" i="1" s="1"/>
  <c r="AF479" i="1" s="1"/>
  <c r="AF254" i="1"/>
  <c r="AF271" i="1"/>
  <c r="AF579" i="1"/>
  <c r="AF255" i="1"/>
  <c r="AF104" i="1"/>
  <c r="AF64" i="1"/>
  <c r="AF73" i="1"/>
  <c r="Z417" i="1"/>
  <c r="Z657" i="1"/>
  <c r="Z194" i="1"/>
  <c r="Z200" i="1" s="1"/>
  <c r="Z210" i="1" s="1"/>
  <c r="Q567" i="1"/>
  <c r="Q577" i="1"/>
  <c r="Q565" i="1"/>
  <c r="Q566" i="1"/>
  <c r="AB162" i="1"/>
  <c r="AB168" i="1" s="1"/>
  <c r="AB654" i="1"/>
  <c r="Q417" i="1"/>
  <c r="Q194" i="1"/>
  <c r="Q200" i="1" s="1"/>
  <c r="Q210" i="1" s="1"/>
  <c r="Q657" i="1"/>
  <c r="X151" i="1"/>
  <c r="X159" i="1" s="1"/>
  <c r="X170" i="1" s="1"/>
  <c r="X653" i="1"/>
  <c r="AK471" i="1"/>
  <c r="AL471" i="1" s="1"/>
  <c r="Q73" i="1"/>
  <c r="Q570" i="1"/>
  <c r="Q126" i="1"/>
  <c r="Q64" i="1"/>
  <c r="Q104" i="1"/>
  <c r="Q453" i="1"/>
  <c r="Q254" i="1"/>
  <c r="Q62" i="1"/>
  <c r="Q477" i="1"/>
  <c r="Q632" i="1" s="1"/>
  <c r="Q469" i="1" s="1"/>
  <c r="Q479" i="1" s="1"/>
  <c r="Q271" i="1"/>
  <c r="Q136" i="1"/>
  <c r="Q647" i="1"/>
  <c r="Q452" i="1"/>
  <c r="AB239" i="1"/>
  <c r="AB569" i="1"/>
  <c r="AF654" i="1"/>
  <c r="AK251" i="1"/>
  <c r="AL251" i="1" s="1"/>
  <c r="W417" i="1"/>
  <c r="W194" i="1"/>
  <c r="W200" i="1" s="1"/>
  <c r="W210" i="1" s="1"/>
  <c r="W657" i="1"/>
  <c r="Y417" i="1"/>
  <c r="Y194" i="1"/>
  <c r="Y200" i="1" s="1"/>
  <c r="Y210" i="1" s="1"/>
  <c r="Y657" i="1"/>
  <c r="AH151" i="1"/>
  <c r="AH159" i="1" s="1"/>
  <c r="AH170" i="1" s="1"/>
  <c r="AH653" i="1"/>
  <c r="AH377" i="1"/>
  <c r="M422" i="1"/>
  <c r="M426" i="1" s="1"/>
  <c r="M215" i="1"/>
  <c r="M216" i="1"/>
  <c r="M218" i="1"/>
  <c r="M217" i="1"/>
  <c r="S162" i="1"/>
  <c r="S168" i="1" s="1"/>
  <c r="S170" i="1" s="1"/>
  <c r="S654" i="1"/>
  <c r="H415" i="1"/>
  <c r="AK100" i="1"/>
  <c r="AL100" i="1" s="1"/>
  <c r="S377" i="1"/>
  <c r="AK71" i="1"/>
  <c r="AL71" i="1" s="1"/>
  <c r="G666" i="2"/>
  <c r="G23" i="30" s="1"/>
  <c r="G815" i="2"/>
  <c r="G665" i="2"/>
  <c r="G22" i="30" s="1"/>
  <c r="G661" i="2"/>
  <c r="G18" i="30" s="1"/>
  <c r="V843" i="2"/>
  <c r="W843" i="2" s="1"/>
  <c r="X843" i="2" s="1"/>
  <c r="M135" i="1"/>
  <c r="M73" i="1"/>
  <c r="M254" i="1"/>
  <c r="M477" i="1"/>
  <c r="M632" i="1" s="1"/>
  <c r="M469" i="1" s="1"/>
  <c r="M479" i="1" s="1"/>
  <c r="M256" i="1"/>
  <c r="M452" i="1"/>
  <c r="M64" i="1"/>
  <c r="M453" i="1"/>
  <c r="M104" i="1"/>
  <c r="M579" i="1"/>
  <c r="M136" i="1"/>
  <c r="M255" i="1"/>
  <c r="M271" i="1"/>
  <c r="M126" i="1"/>
  <c r="M570" i="1"/>
  <c r="M62" i="1"/>
  <c r="M647" i="1"/>
  <c r="P217" i="1"/>
  <c r="P218" i="1"/>
  <c r="P215" i="1"/>
  <c r="P216" i="1"/>
  <c r="P422" i="1"/>
  <c r="P426" i="1" s="1"/>
  <c r="H426" i="1"/>
  <c r="Y380" i="1"/>
  <c r="AK448" i="1"/>
  <c r="AL448" i="1" s="1"/>
  <c r="H849" i="2"/>
  <c r="H860" i="2"/>
  <c r="V848" i="2"/>
  <c r="W848" i="2" s="1"/>
  <c r="X848" i="2" s="1"/>
  <c r="AK178" i="1"/>
  <c r="AL178" i="1" s="1"/>
  <c r="L566" i="1"/>
  <c r="L565" i="1"/>
  <c r="L567" i="1"/>
  <c r="L663" i="1"/>
  <c r="L577" i="1"/>
  <c r="L47" i="1"/>
  <c r="L61" i="1" s="1"/>
  <c r="T849" i="2"/>
  <c r="T860" i="2"/>
  <c r="Z390" i="1"/>
  <c r="AK630" i="1"/>
  <c r="AL630" i="1" s="1"/>
  <c r="L656" i="1"/>
  <c r="AC656" i="1"/>
  <c r="AJ656" i="1"/>
  <c r="T656" i="1"/>
  <c r="P656" i="1"/>
  <c r="V656" i="1"/>
  <c r="X656" i="1"/>
  <c r="AB656" i="1"/>
  <c r="AF656" i="1"/>
  <c r="Y656" i="1"/>
  <c r="W656" i="1"/>
  <c r="O656" i="1"/>
  <c r="F398" i="1"/>
  <c r="M656" i="1"/>
  <c r="U656" i="1"/>
  <c r="AA656" i="1"/>
  <c r="S656" i="1"/>
  <c r="AD656" i="1"/>
  <c r="D36" i="7"/>
  <c r="E36" i="7" s="1"/>
  <c r="E36" i="6"/>
  <c r="AB417" i="1"/>
  <c r="AB657" i="1"/>
  <c r="AB194" i="1"/>
  <c r="AB200" i="1" s="1"/>
  <c r="AB210" i="1" s="1"/>
  <c r="AK29" i="1"/>
  <c r="AL29" i="1" s="1"/>
  <c r="P32" i="1"/>
  <c r="K216" i="1"/>
  <c r="K217" i="1"/>
  <c r="K215" i="1"/>
  <c r="K218" i="1"/>
  <c r="K422" i="1"/>
  <c r="K426" i="1" s="1"/>
  <c r="AK639" i="1"/>
  <c r="AL639" i="1" s="1"/>
  <c r="AJ477" i="1"/>
  <c r="AJ632" i="1" s="1"/>
  <c r="AJ469" i="1" s="1"/>
  <c r="AJ479" i="1" s="1"/>
  <c r="AJ73" i="1"/>
  <c r="AJ647" i="1"/>
  <c r="AJ453" i="1"/>
  <c r="AJ570" i="1"/>
  <c r="AJ255" i="1"/>
  <c r="AJ256" i="1"/>
  <c r="AJ104" i="1"/>
  <c r="AJ254" i="1"/>
  <c r="AJ126" i="1"/>
  <c r="AJ135" i="1"/>
  <c r="AJ136" i="1"/>
  <c r="AJ271" i="1"/>
  <c r="AJ452" i="1"/>
  <c r="AJ64" i="1"/>
  <c r="AJ47" i="1"/>
  <c r="AJ61" i="1" s="1"/>
  <c r="AJ62" i="1"/>
  <c r="AJ579" i="1"/>
  <c r="P194" i="1"/>
  <c r="P200" i="1" s="1"/>
  <c r="P210" i="1" s="1"/>
  <c r="P417" i="1"/>
  <c r="P657" i="1"/>
  <c r="E14" i="6"/>
  <c r="D14" i="7"/>
  <c r="D38" i="6"/>
  <c r="U136" i="1"/>
  <c r="U73" i="1"/>
  <c r="U64" i="1"/>
  <c r="U453" i="1"/>
  <c r="U126" i="1"/>
  <c r="U579" i="1"/>
  <c r="U62" i="1"/>
  <c r="U256" i="1"/>
  <c r="U255" i="1"/>
  <c r="U452" i="1"/>
  <c r="U271" i="1"/>
  <c r="U477" i="1"/>
  <c r="U135" i="1"/>
  <c r="U254" i="1"/>
  <c r="U647" i="1"/>
  <c r="U570" i="1"/>
  <c r="U104" i="1"/>
  <c r="U47" i="1"/>
  <c r="U61" i="1" s="1"/>
  <c r="L142" i="1"/>
  <c r="X422" i="1"/>
  <c r="X426" i="1" s="1"/>
  <c r="X218" i="1"/>
  <c r="X215" i="1"/>
  <c r="X216" i="1"/>
  <c r="X217" i="1"/>
  <c r="V217" i="1"/>
  <c r="V215" i="1"/>
  <c r="V218" i="1"/>
  <c r="V422" i="1"/>
  <c r="V426" i="1" s="1"/>
  <c r="V216" i="1"/>
  <c r="J577" i="1"/>
  <c r="J566" i="1"/>
  <c r="J663" i="1"/>
  <c r="J47" i="1"/>
  <c r="J61" i="1" s="1"/>
  <c r="J567" i="1"/>
  <c r="J565" i="1"/>
  <c r="AK474" i="1"/>
  <c r="AL474" i="1" s="1"/>
  <c r="AK133" i="1"/>
  <c r="AL133" i="1" s="1"/>
  <c r="AK253" i="1"/>
  <c r="AL253" i="1" s="1"/>
  <c r="AK265" i="1"/>
  <c r="AL265" i="1" s="1"/>
  <c r="AK247" i="1"/>
  <c r="AL247" i="1" s="1"/>
  <c r="Q369" i="1"/>
  <c r="Q375" i="1" s="1"/>
  <c r="AK270" i="1"/>
  <c r="AL270" i="1" s="1"/>
  <c r="V194" i="1"/>
  <c r="V200" i="1" s="1"/>
  <c r="V210" i="1" s="1"/>
  <c r="V417" i="1"/>
  <c r="V657" i="1"/>
  <c r="J849" i="2"/>
  <c r="J860" i="2"/>
  <c r="M47" i="1"/>
  <c r="M61" i="1" s="1"/>
  <c r="AK125" i="1"/>
  <c r="Z215" i="1"/>
  <c r="Z217" i="1"/>
  <c r="Z218" i="1"/>
  <c r="Z216" i="1"/>
  <c r="Z422" i="1"/>
  <c r="Z426" i="1" s="1"/>
  <c r="G856" i="2"/>
  <c r="G862" i="2"/>
  <c r="G851" i="2"/>
  <c r="G853" i="2"/>
  <c r="G854" i="2"/>
  <c r="G855" i="2"/>
  <c r="AK269" i="1"/>
  <c r="AL269" i="1" s="1"/>
  <c r="AK451" i="1"/>
  <c r="AL451" i="1" s="1"/>
  <c r="AK246" i="1"/>
  <c r="AL246" i="1" s="1"/>
  <c r="AD194" i="1"/>
  <c r="AD200" i="1" s="1"/>
  <c r="AD210" i="1" s="1"/>
  <c r="AD417" i="1"/>
  <c r="AD657" i="1"/>
  <c r="E18" i="6"/>
  <c r="D18" i="7"/>
  <c r="E18" i="7" s="1"/>
  <c r="AK72" i="1"/>
  <c r="AL72" i="1" s="1"/>
  <c r="T162" i="1"/>
  <c r="T168" i="1" s="1"/>
  <c r="T170" i="1" s="1"/>
  <c r="T654" i="1"/>
  <c r="T377" i="1"/>
  <c r="L180" i="1"/>
  <c r="L191" i="1" s="1"/>
  <c r="Q656" i="1"/>
  <c r="AK476" i="1"/>
  <c r="AL476" i="1" s="1"/>
  <c r="AK445" i="1"/>
  <c r="AL445" i="1" s="1"/>
  <c r="G651" i="2" l="1"/>
  <c r="G8" i="30" s="1"/>
  <c r="F8" i="30"/>
  <c r="F25" i="30" s="1"/>
  <c r="Q850" i="2"/>
  <c r="Q854" i="2" s="1"/>
  <c r="Q866" i="2" s="1"/>
  <c r="V910" i="2"/>
  <c r="W910" i="2" s="1"/>
  <c r="X910" i="2" s="1"/>
  <c r="H652" i="2"/>
  <c r="H9" i="30" s="1"/>
  <c r="H526" i="2"/>
  <c r="H528" i="2"/>
  <c r="H651" i="2"/>
  <c r="F668" i="2"/>
  <c r="F701" i="2" s="1"/>
  <c r="P850" i="2"/>
  <c r="P861" i="2"/>
  <c r="W908" i="2"/>
  <c r="X908" i="2" s="1"/>
  <c r="G755" i="2"/>
  <c r="G112" i="30" s="1"/>
  <c r="N850" i="2"/>
  <c r="N856" i="2" s="1"/>
  <c r="N868" i="2" s="1"/>
  <c r="O854" i="2"/>
  <c r="O866" i="2" s="1"/>
  <c r="O851" i="2"/>
  <c r="O863" i="2" s="1"/>
  <c r="O862" i="2"/>
  <c r="O856" i="2"/>
  <c r="O868" i="2" s="1"/>
  <c r="O853" i="2"/>
  <c r="O865" i="2" s="1"/>
  <c r="I657" i="2"/>
  <c r="I14" i="30" s="1"/>
  <c r="I655" i="2"/>
  <c r="I12" i="30" s="1"/>
  <c r="I921" i="2"/>
  <c r="I666" i="2"/>
  <c r="I23" i="30" s="1"/>
  <c r="I833" i="2"/>
  <c r="I527" i="2" s="1"/>
  <c r="I661" i="2"/>
  <c r="I18" i="30" s="1"/>
  <c r="I662" i="2"/>
  <c r="I19" i="30" s="1"/>
  <c r="I803" i="2"/>
  <c r="J1" i="2"/>
  <c r="I560" i="2"/>
  <c r="I547" i="2"/>
  <c r="I541" i="2"/>
  <c r="I557" i="2"/>
  <c r="I664" i="2"/>
  <c r="I21" i="30" s="1"/>
  <c r="I656" i="2"/>
  <c r="I13" i="30" s="1"/>
  <c r="I665" i="2"/>
  <c r="I22" i="30" s="1"/>
  <c r="I724" i="2"/>
  <c r="I81" i="30" s="1"/>
  <c r="I544" i="2"/>
  <c r="I538" i="2"/>
  <c r="I663" i="2"/>
  <c r="I20" i="30" s="1"/>
  <c r="I545" i="2"/>
  <c r="I815" i="2"/>
  <c r="I552" i="2"/>
  <c r="I651" i="2"/>
  <c r="I839" i="2"/>
  <c r="K867" i="2"/>
  <c r="K857" i="2"/>
  <c r="K869" i="2" s="1"/>
  <c r="I866" i="2"/>
  <c r="I855" i="2"/>
  <c r="I841" i="2"/>
  <c r="I572" i="2" s="1"/>
  <c r="I840" i="2"/>
  <c r="I863" i="2"/>
  <c r="I868" i="2"/>
  <c r="I836" i="2"/>
  <c r="I546" i="2"/>
  <c r="I814" i="2"/>
  <c r="I865" i="2"/>
  <c r="M862" i="2"/>
  <c r="M851" i="2"/>
  <c r="M863" i="2" s="1"/>
  <c r="M854" i="2"/>
  <c r="M866" i="2" s="1"/>
  <c r="M853" i="2"/>
  <c r="M865" i="2" s="1"/>
  <c r="M856" i="2"/>
  <c r="M868" i="2" s="1"/>
  <c r="W895" i="2"/>
  <c r="W878" i="2"/>
  <c r="X878" i="2" s="1"/>
  <c r="L853" i="2"/>
  <c r="L865" i="2" s="1"/>
  <c r="L856" i="2"/>
  <c r="L862" i="2"/>
  <c r="L851" i="2"/>
  <c r="L863" i="2" s="1"/>
  <c r="L854" i="2"/>
  <c r="L866" i="2" s="1"/>
  <c r="R865" i="2"/>
  <c r="R855" i="2"/>
  <c r="S856" i="2"/>
  <c r="S868" i="2" s="1"/>
  <c r="S857" i="2"/>
  <c r="S869" i="2" s="1"/>
  <c r="S867" i="2"/>
  <c r="AK266" i="1"/>
  <c r="AL266" i="1" s="1"/>
  <c r="Q240" i="1"/>
  <c r="Q436" i="1"/>
  <c r="Q437" i="1"/>
  <c r="Q578" i="1"/>
  <c r="Q581" i="1" s="1"/>
  <c r="F362" i="2" s="1"/>
  <c r="Q431" i="1"/>
  <c r="Q438" i="1"/>
  <c r="Q239" i="1"/>
  <c r="Q430" i="1"/>
  <c r="Q47" i="1"/>
  <c r="Q61" i="1" s="1"/>
  <c r="Q648" i="1"/>
  <c r="Q568" i="1"/>
  <c r="Q433" i="1"/>
  <c r="Q429" i="1"/>
  <c r="Q432" i="1"/>
  <c r="Q102" i="1"/>
  <c r="Q569" i="1"/>
  <c r="Q233" i="1"/>
  <c r="Q435" i="1"/>
  <c r="Q232" i="1"/>
  <c r="Q434" i="1"/>
  <c r="Z104" i="1"/>
  <c r="Z136" i="1"/>
  <c r="Z570" i="1"/>
  <c r="Z255" i="1"/>
  <c r="Z477" i="1"/>
  <c r="Z632" i="1" s="1"/>
  <c r="Z469" i="1" s="1"/>
  <c r="Z479" i="1" s="1"/>
  <c r="Z263" i="1" s="1"/>
  <c r="Z64" i="1"/>
  <c r="Z254" i="1"/>
  <c r="Z647" i="1"/>
  <c r="Z126" i="1"/>
  <c r="Z62" i="1"/>
  <c r="Z73" i="1"/>
  <c r="Z453" i="1"/>
  <c r="Z271" i="1"/>
  <c r="Z256" i="1"/>
  <c r="Z135" i="1"/>
  <c r="Z452" i="1"/>
  <c r="Z579" i="1"/>
  <c r="Z581" i="1" s="1"/>
  <c r="F380" i="2" s="1"/>
  <c r="I380" i="2" s="1"/>
  <c r="V136" i="1"/>
  <c r="AK446" i="1"/>
  <c r="AL446" i="1" s="1"/>
  <c r="AK472" i="1"/>
  <c r="AL472" i="1" s="1"/>
  <c r="V62" i="1"/>
  <c r="V255" i="1"/>
  <c r="V570" i="1"/>
  <c r="V73" i="1"/>
  <c r="V579" i="1"/>
  <c r="V581" i="1" s="1"/>
  <c r="F373" i="2" s="1"/>
  <c r="G373" i="2" s="1"/>
  <c r="V64" i="1"/>
  <c r="V271" i="1"/>
  <c r="V104" i="1"/>
  <c r="V477" i="1"/>
  <c r="V632" i="1" s="1"/>
  <c r="V469" i="1" s="1"/>
  <c r="V479" i="1" s="1"/>
  <c r="V263" i="1" s="1"/>
  <c r="V135" i="1"/>
  <c r="V254" i="1"/>
  <c r="V126" i="1"/>
  <c r="V647" i="1"/>
  <c r="V453" i="1"/>
  <c r="V452" i="1"/>
  <c r="V256" i="1"/>
  <c r="Z440" i="1"/>
  <c r="Z236" i="1" s="1"/>
  <c r="Q631" i="1"/>
  <c r="Q443" i="1" s="1"/>
  <c r="Q455" i="1" s="1"/>
  <c r="AJ440" i="1"/>
  <c r="AJ238" i="1" s="1"/>
  <c r="L440" i="1"/>
  <c r="L229" i="1" s="1"/>
  <c r="K440" i="1"/>
  <c r="K231" i="1" s="1"/>
  <c r="X440" i="1"/>
  <c r="X236" i="1" s="1"/>
  <c r="AH440" i="1"/>
  <c r="AH229" i="1" s="1"/>
  <c r="V646" i="1"/>
  <c r="AH273" i="1"/>
  <c r="AC222" i="1"/>
  <c r="AC631" i="1"/>
  <c r="AC443" i="1" s="1"/>
  <c r="AC455" i="1" s="1"/>
  <c r="W135" i="1"/>
  <c r="W440" i="1"/>
  <c r="W230" i="1" s="1"/>
  <c r="W255" i="1"/>
  <c r="W419" i="1"/>
  <c r="L581" i="1"/>
  <c r="F355" i="2" s="1"/>
  <c r="W126" i="1"/>
  <c r="W453" i="1"/>
  <c r="W47" i="1"/>
  <c r="W10" i="1" s="1"/>
  <c r="W477" i="1"/>
  <c r="W632" i="1" s="1"/>
  <c r="W469" i="1" s="1"/>
  <c r="W479" i="1" s="1"/>
  <c r="W660" i="1" s="1"/>
  <c r="Y579" i="1"/>
  <c r="Y581" i="1" s="1"/>
  <c r="F376" i="2" s="1"/>
  <c r="AH137" i="1"/>
  <c r="AH139" i="1" s="1"/>
  <c r="U440" i="1"/>
  <c r="U229" i="1" s="1"/>
  <c r="AF61" i="1"/>
  <c r="AJ581" i="1"/>
  <c r="F400" i="2" s="1"/>
  <c r="AF127" i="1"/>
  <c r="AF129" i="1" s="1"/>
  <c r="S61" i="1"/>
  <c r="J417" i="1"/>
  <c r="O631" i="1"/>
  <c r="O443" i="1" s="1"/>
  <c r="O455" i="1" s="1"/>
  <c r="V419" i="1"/>
  <c r="AH631" i="1"/>
  <c r="AH443" i="1" s="1"/>
  <c r="AH455" i="1" s="1"/>
  <c r="X647" i="1"/>
  <c r="X61" i="1"/>
  <c r="AF60" i="1"/>
  <c r="W570" i="1"/>
  <c r="W61" i="1"/>
  <c r="Y254" i="1"/>
  <c r="AH660" i="1"/>
  <c r="AF9" i="1"/>
  <c r="AF8" i="1"/>
  <c r="S631" i="1"/>
  <c r="S443" i="1" s="1"/>
  <c r="S455" i="1" s="1"/>
  <c r="AF137" i="1"/>
  <c r="AF139" i="1" s="1"/>
  <c r="P212" i="1"/>
  <c r="AK629" i="1"/>
  <c r="AL629" i="1" s="1"/>
  <c r="I210" i="1"/>
  <c r="AB419" i="1"/>
  <c r="AF10" i="1"/>
  <c r="AF105" i="1"/>
  <c r="AF57" i="1"/>
  <c r="I47" i="1"/>
  <c r="I10" i="1" s="1"/>
  <c r="AF59" i="1"/>
  <c r="AF106" i="1"/>
  <c r="AD222" i="1"/>
  <c r="H440" i="1"/>
  <c r="H234" i="1" s="1"/>
  <c r="AF581" i="1"/>
  <c r="F394" i="2" s="1"/>
  <c r="AC419" i="1"/>
  <c r="AB631" i="1"/>
  <c r="AB443" i="1" s="1"/>
  <c r="AB455" i="1" s="1"/>
  <c r="K183" i="1"/>
  <c r="K189" i="1" s="1"/>
  <c r="S8" i="1"/>
  <c r="S419" i="1"/>
  <c r="H581" i="1"/>
  <c r="F351" i="2" s="1"/>
  <c r="K653" i="1"/>
  <c r="AK142" i="1"/>
  <c r="AL142" i="1" s="1"/>
  <c r="K656" i="1"/>
  <c r="AK267" i="1"/>
  <c r="AL267" i="1" s="1"/>
  <c r="AB222" i="1"/>
  <c r="I565" i="1"/>
  <c r="AK565" i="1" s="1"/>
  <c r="AL565" i="1" s="1"/>
  <c r="I577" i="1"/>
  <c r="I581" i="1" s="1"/>
  <c r="F352" i="2" s="1"/>
  <c r="P631" i="1"/>
  <c r="P443" i="1" s="1"/>
  <c r="P455" i="1" s="1"/>
  <c r="AH127" i="1"/>
  <c r="AH129" i="1" s="1"/>
  <c r="X104" i="1"/>
  <c r="AF440" i="1"/>
  <c r="AF227" i="1" s="1"/>
  <c r="AH106" i="1"/>
  <c r="AH59" i="1"/>
  <c r="X256" i="1"/>
  <c r="AH57" i="1"/>
  <c r="AH323" i="1" s="1"/>
  <c r="O419" i="1"/>
  <c r="L631" i="1"/>
  <c r="L443" i="1" s="1"/>
  <c r="L455" i="1" s="1"/>
  <c r="J631" i="1"/>
  <c r="J443" i="1" s="1"/>
  <c r="J455" i="1" s="1"/>
  <c r="I566" i="1"/>
  <c r="AK566" i="1" s="1"/>
  <c r="AL566" i="1" s="1"/>
  <c r="AH74" i="1"/>
  <c r="AH77" i="1" s="1"/>
  <c r="AH94" i="1" s="1"/>
  <c r="AK26" i="1"/>
  <c r="AL26" i="1" s="1"/>
  <c r="U581" i="1"/>
  <c r="F372" i="2" s="1"/>
  <c r="AH105" i="1"/>
  <c r="I567" i="1"/>
  <c r="AK567" i="1" s="1"/>
  <c r="AL567" i="1" s="1"/>
  <c r="AH9" i="1"/>
  <c r="J440" i="1"/>
  <c r="J238" i="1" s="1"/>
  <c r="Y255" i="1"/>
  <c r="Y47" i="1"/>
  <c r="Y106" i="1" s="1"/>
  <c r="Z106" i="1"/>
  <c r="K581" i="1"/>
  <c r="F354" i="2" s="1"/>
  <c r="H354" i="2" s="1"/>
  <c r="AK208" i="1"/>
  <c r="AL208" i="1" s="1"/>
  <c r="Y62" i="1"/>
  <c r="Y104" i="1"/>
  <c r="Y452" i="1"/>
  <c r="AB170" i="1"/>
  <c r="AB212" i="1" s="1"/>
  <c r="Y73" i="1"/>
  <c r="Y64" i="1"/>
  <c r="Y271" i="1"/>
  <c r="Z8" i="1"/>
  <c r="AA74" i="1"/>
  <c r="AA77" i="1" s="1"/>
  <c r="AA94" i="1" s="1"/>
  <c r="I180" i="1"/>
  <c r="AD57" i="1"/>
  <c r="AD323" i="1" s="1"/>
  <c r="H60" i="1"/>
  <c r="AH581" i="1"/>
  <c r="F397" i="2" s="1"/>
  <c r="Y135" i="1"/>
  <c r="Y570" i="1"/>
  <c r="S581" i="1"/>
  <c r="F366" i="2" s="1"/>
  <c r="H366" i="2" s="1"/>
  <c r="AA440" i="1"/>
  <c r="AA238" i="1" s="1"/>
  <c r="T9" i="1"/>
  <c r="Y256" i="1"/>
  <c r="Y136" i="1"/>
  <c r="AK626" i="1"/>
  <c r="AL626" i="1" s="1"/>
  <c r="AA581" i="1"/>
  <c r="F381" i="2" s="1"/>
  <c r="Z74" i="1"/>
  <c r="Y477" i="1"/>
  <c r="Y632" i="1" s="1"/>
  <c r="Y469" i="1" s="1"/>
  <c r="Y479" i="1" s="1"/>
  <c r="Y263" i="1" s="1"/>
  <c r="Y453" i="1"/>
  <c r="Y647" i="1"/>
  <c r="AB660" i="1"/>
  <c r="AB263" i="1"/>
  <c r="AB273" i="1" s="1"/>
  <c r="J173" i="1"/>
  <c r="J180" i="1" s="1"/>
  <c r="J655" i="1"/>
  <c r="H105" i="1"/>
  <c r="U419" i="1"/>
  <c r="X135" i="1"/>
  <c r="X62" i="1"/>
  <c r="AH60" i="1"/>
  <c r="X271" i="1"/>
  <c r="X570" i="1"/>
  <c r="AA419" i="1"/>
  <c r="AC581" i="1"/>
  <c r="F388" i="2" s="1"/>
  <c r="I388" i="2" s="1"/>
  <c r="W579" i="1"/>
  <c r="W581" i="1" s="1"/>
  <c r="F374" i="2" s="1"/>
  <c r="I374" i="2" s="1"/>
  <c r="W104" i="1"/>
  <c r="X126" i="1"/>
  <c r="W222" i="1"/>
  <c r="T440" i="1"/>
  <c r="T229" i="1" s="1"/>
  <c r="J273" i="1"/>
  <c r="P419" i="1"/>
  <c r="X452" i="1"/>
  <c r="X254" i="1"/>
  <c r="X47" i="1"/>
  <c r="X646" i="1" s="1"/>
  <c r="X64" i="1"/>
  <c r="X453" i="1"/>
  <c r="W62" i="1"/>
  <c r="S74" i="1"/>
  <c r="S77" i="1" s="1"/>
  <c r="S94" i="1" s="1"/>
  <c r="AH8" i="1"/>
  <c r="X73" i="1"/>
  <c r="W271" i="1"/>
  <c r="I655" i="1"/>
  <c r="X477" i="1"/>
  <c r="X632" i="1" s="1"/>
  <c r="X469" i="1" s="1"/>
  <c r="X479" i="1" s="1"/>
  <c r="X136" i="1"/>
  <c r="W647" i="1"/>
  <c r="W73" i="1"/>
  <c r="W64" i="1"/>
  <c r="S222" i="1"/>
  <c r="W254" i="1"/>
  <c r="AC137" i="1"/>
  <c r="AC139" i="1" s="1"/>
  <c r="V440" i="1"/>
  <c r="V235" i="1" s="1"/>
  <c r="AK45" i="1"/>
  <c r="AL45" i="1" s="1"/>
  <c r="X255" i="1"/>
  <c r="X579" i="1"/>
  <c r="X581" i="1" s="1"/>
  <c r="F375" i="2" s="1"/>
  <c r="J398" i="1"/>
  <c r="S9" i="1"/>
  <c r="W256" i="1"/>
  <c r="W452" i="1"/>
  <c r="I631" i="1"/>
  <c r="I443" i="1" s="1"/>
  <c r="I455" i="1" s="1"/>
  <c r="AC127" i="1"/>
  <c r="AC129" i="1" s="1"/>
  <c r="X419" i="1"/>
  <c r="AA59" i="1"/>
  <c r="AA105" i="1"/>
  <c r="H222" i="1"/>
  <c r="AK473" i="1"/>
  <c r="AL473" i="1" s="1"/>
  <c r="AH222" i="1"/>
  <c r="AA137" i="1"/>
  <c r="AA139" i="1" s="1"/>
  <c r="AD631" i="1"/>
  <c r="AD443" i="1" s="1"/>
  <c r="AD455" i="1" s="1"/>
  <c r="AA57" i="1"/>
  <c r="AA571" i="1" s="1"/>
  <c r="AF419" i="1"/>
  <c r="L263" i="1"/>
  <c r="L273" i="1" s="1"/>
  <c r="AK635" i="1"/>
  <c r="AL635" i="1" s="1"/>
  <c r="T127" i="1"/>
  <c r="T129" i="1" s="1"/>
  <c r="AH419" i="1"/>
  <c r="Y440" i="1"/>
  <c r="Y234" i="1" s="1"/>
  <c r="O581" i="1"/>
  <c r="F360" i="2" s="1"/>
  <c r="F212" i="1"/>
  <c r="F224" i="1" s="1"/>
  <c r="F279" i="1" s="1"/>
  <c r="I398" i="1"/>
  <c r="T631" i="1"/>
  <c r="T443" i="1" s="1"/>
  <c r="T455" i="1" s="1"/>
  <c r="Z105" i="1"/>
  <c r="AA106" i="1"/>
  <c r="AC212" i="1"/>
  <c r="S106" i="1"/>
  <c r="H655" i="1"/>
  <c r="M440" i="1"/>
  <c r="AA8" i="1"/>
  <c r="AA60" i="1"/>
  <c r="S10" i="1"/>
  <c r="S57" i="1"/>
  <c r="S59" i="1"/>
  <c r="AH212" i="1"/>
  <c r="S105" i="1"/>
  <c r="U222" i="1"/>
  <c r="O222" i="1"/>
  <c r="S212" i="1"/>
  <c r="AA9" i="1"/>
  <c r="AD581" i="1"/>
  <c r="F391" i="2" s="1"/>
  <c r="H391" i="2" s="1"/>
  <c r="S137" i="1"/>
  <c r="S139" i="1" s="1"/>
  <c r="I359" i="1"/>
  <c r="H631" i="1"/>
  <c r="H443" i="1" s="1"/>
  <c r="S127" i="1"/>
  <c r="S129" i="1" s="1"/>
  <c r="Z59" i="1"/>
  <c r="S646" i="1"/>
  <c r="AA127" i="1"/>
  <c r="AA129" i="1" s="1"/>
  <c r="V8" i="1"/>
  <c r="H57" i="1"/>
  <c r="H323" i="1" s="1"/>
  <c r="T59" i="1"/>
  <c r="H59" i="1"/>
  <c r="H137" i="1"/>
  <c r="H139" i="1" s="1"/>
  <c r="T74" i="1"/>
  <c r="T77" i="1" s="1"/>
  <c r="T94" i="1" s="1"/>
  <c r="T106" i="1"/>
  <c r="Z646" i="1"/>
  <c r="AC105" i="1"/>
  <c r="AD127" i="1"/>
  <c r="AD129" i="1" s="1"/>
  <c r="V106" i="1"/>
  <c r="V10" i="1"/>
  <c r="AC440" i="1"/>
  <c r="AC238" i="1" s="1"/>
  <c r="J183" i="1"/>
  <c r="J189" i="1" s="1"/>
  <c r="H10" i="1"/>
  <c r="H74" i="1"/>
  <c r="H77" i="1" s="1"/>
  <c r="T10" i="1"/>
  <c r="T8" i="1"/>
  <c r="AC646" i="1"/>
  <c r="AC8" i="1"/>
  <c r="AF631" i="1"/>
  <c r="AF443" i="1" s="1"/>
  <c r="AF455" i="1" s="1"/>
  <c r="AD74" i="1"/>
  <c r="AD77" i="1" s="1"/>
  <c r="AD94" i="1" s="1"/>
  <c r="V127" i="1"/>
  <c r="K159" i="1"/>
  <c r="J656" i="1"/>
  <c r="H8" i="1"/>
  <c r="T137" i="1"/>
  <c r="T139" i="1" s="1"/>
  <c r="AC74" i="1"/>
  <c r="AC77" i="1" s="1"/>
  <c r="AC94" i="1" s="1"/>
  <c r="AC9" i="1"/>
  <c r="J151" i="1"/>
  <c r="J159" i="1" s="1"/>
  <c r="AD9" i="1"/>
  <c r="V59" i="1"/>
  <c r="AF646" i="1"/>
  <c r="I222" i="1"/>
  <c r="AC106" i="1"/>
  <c r="T581" i="1"/>
  <c r="F369" i="2" s="1"/>
  <c r="H127" i="1"/>
  <c r="H129" i="1" s="1"/>
  <c r="T57" i="1"/>
  <c r="T529" i="1" s="1"/>
  <c r="AC59" i="1"/>
  <c r="AD106" i="1"/>
  <c r="AD60" i="1"/>
  <c r="V105" i="1"/>
  <c r="AF212" i="1"/>
  <c r="AF224" i="1" s="1"/>
  <c r="AK249" i="1"/>
  <c r="AL249" i="1" s="1"/>
  <c r="AA222" i="1"/>
  <c r="J653" i="1"/>
  <c r="H646" i="1"/>
  <c r="T105" i="1"/>
  <c r="AC10" i="1"/>
  <c r="O105" i="1"/>
  <c r="O212" i="1"/>
  <c r="AD59" i="1"/>
  <c r="AD646" i="1"/>
  <c r="V9" i="1"/>
  <c r="J194" i="1"/>
  <c r="J200" i="1" s="1"/>
  <c r="J210" i="1" s="1"/>
  <c r="AC60" i="1"/>
  <c r="AD10" i="1"/>
  <c r="V57" i="1"/>
  <c r="AK407" i="1"/>
  <c r="AL407" i="1" s="1"/>
  <c r="H106" i="1"/>
  <c r="H9" i="1"/>
  <c r="AH646" i="1"/>
  <c r="T646" i="1"/>
  <c r="T60" i="1"/>
  <c r="AC57" i="1"/>
  <c r="AA646" i="1"/>
  <c r="AD105" i="1"/>
  <c r="V137" i="1"/>
  <c r="V60" i="1"/>
  <c r="J657" i="1"/>
  <c r="AD660" i="1"/>
  <c r="AD263" i="1"/>
  <c r="AD273" i="1" s="1"/>
  <c r="P263" i="1"/>
  <c r="P273" i="1" s="1"/>
  <c r="P660" i="1"/>
  <c r="O263" i="1"/>
  <c r="O273" i="1" s="1"/>
  <c r="H183" i="1"/>
  <c r="H189" i="1" s="1"/>
  <c r="H191" i="1" s="1"/>
  <c r="F419" i="1"/>
  <c r="F485" i="1" s="1"/>
  <c r="F534" i="1" s="1"/>
  <c r="F536" i="1" s="1"/>
  <c r="AK447" i="1"/>
  <c r="AL447" i="1" s="1"/>
  <c r="AJ212" i="1"/>
  <c r="H398" i="1"/>
  <c r="U212" i="1"/>
  <c r="I656" i="1"/>
  <c r="J660" i="1"/>
  <c r="I183" i="1"/>
  <c r="I189" i="1" s="1"/>
  <c r="Z60" i="1"/>
  <c r="AA10" i="1"/>
  <c r="AD8" i="1"/>
  <c r="AD137" i="1"/>
  <c r="AD139" i="1" s="1"/>
  <c r="S440" i="1"/>
  <c r="I440" i="1"/>
  <c r="I230" i="1" s="1"/>
  <c r="AB581" i="1"/>
  <c r="F385" i="2" s="1"/>
  <c r="I385" i="2" s="1"/>
  <c r="J222" i="1"/>
  <c r="U631" i="1"/>
  <c r="U443" i="1" s="1"/>
  <c r="U455" i="1" s="1"/>
  <c r="M222" i="1"/>
  <c r="Q222" i="1"/>
  <c r="AJ631" i="1"/>
  <c r="AJ443" i="1" s="1"/>
  <c r="AJ455" i="1" s="1"/>
  <c r="AJ419" i="1"/>
  <c r="AD440" i="1"/>
  <c r="AD235" i="1" s="1"/>
  <c r="AA660" i="1"/>
  <c r="AA263" i="1"/>
  <c r="AA273" i="1" s="1"/>
  <c r="F110" i="1"/>
  <c r="I263" i="1"/>
  <c r="I273" i="1" s="1"/>
  <c r="I660" i="1"/>
  <c r="AD419" i="1"/>
  <c r="AK426" i="1"/>
  <c r="AL426" i="1" s="1"/>
  <c r="X212" i="1"/>
  <c r="T222" i="1"/>
  <c r="H747" i="2"/>
  <c r="H104" i="30" s="1"/>
  <c r="H563" i="2"/>
  <c r="H746" i="2"/>
  <c r="H103" i="30" s="1"/>
  <c r="H748" i="2"/>
  <c r="H105" i="30" s="1"/>
  <c r="AA631" i="1"/>
  <c r="AA443" i="1" s="1"/>
  <c r="AA455" i="1" s="1"/>
  <c r="AA481" i="1" s="1"/>
  <c r="T212" i="1"/>
  <c r="W212" i="1"/>
  <c r="G563" i="2"/>
  <c r="G748" i="2"/>
  <c r="G105" i="30" s="1"/>
  <c r="G746" i="2"/>
  <c r="G103" i="30" s="1"/>
  <c r="G747" i="2"/>
  <c r="G104" i="30" s="1"/>
  <c r="AJ222" i="1"/>
  <c r="AK216" i="1"/>
  <c r="AL216" i="1" s="1"/>
  <c r="F79" i="1"/>
  <c r="AK663" i="1"/>
  <c r="AL663" i="1" s="1"/>
  <c r="AB440" i="1"/>
  <c r="AB231" i="1" s="1"/>
  <c r="K631" i="1"/>
  <c r="K443" i="1" s="1"/>
  <c r="K455" i="1" s="1"/>
  <c r="O646" i="1"/>
  <c r="O106" i="1"/>
  <c r="Z10" i="1"/>
  <c r="Z137" i="1"/>
  <c r="O57" i="1"/>
  <c r="Z57" i="1"/>
  <c r="O8" i="1"/>
  <c r="Z9" i="1"/>
  <c r="O74" i="1"/>
  <c r="O77" i="1" s="1"/>
  <c r="O94" i="1" s="1"/>
  <c r="O137" i="1"/>
  <c r="O139" i="1" s="1"/>
  <c r="O10" i="1"/>
  <c r="O59" i="1"/>
  <c r="O127" i="1"/>
  <c r="O129" i="1" s="1"/>
  <c r="Z127" i="1"/>
  <c r="O60" i="1"/>
  <c r="O9" i="1"/>
  <c r="R864" i="2"/>
  <c r="V864" i="2" s="1"/>
  <c r="W864" i="2" s="1"/>
  <c r="X864" i="2" s="1"/>
  <c r="V852" i="2"/>
  <c r="W852" i="2" s="1"/>
  <c r="X852" i="2" s="1"/>
  <c r="T859" i="2"/>
  <c r="S859" i="2"/>
  <c r="Y222" i="1"/>
  <c r="H194" i="1"/>
  <c r="H200" i="1" s="1"/>
  <c r="H210" i="1" s="1"/>
  <c r="H657" i="1"/>
  <c r="O440" i="1"/>
  <c r="AF77" i="1"/>
  <c r="AF94" i="1" s="1"/>
  <c r="V74" i="1"/>
  <c r="AA212" i="1"/>
  <c r="K660" i="1"/>
  <c r="K263" i="1"/>
  <c r="K273" i="1" s="1"/>
  <c r="V212" i="1"/>
  <c r="AC660" i="1"/>
  <c r="AC263" i="1"/>
  <c r="AC273" i="1" s="1"/>
  <c r="AK415" i="1"/>
  <c r="AL415" i="1" s="1"/>
  <c r="H417" i="1"/>
  <c r="AB127" i="1"/>
  <c r="AB129" i="1" s="1"/>
  <c r="AB105" i="1"/>
  <c r="AB137" i="1"/>
  <c r="AB139" i="1" s="1"/>
  <c r="AB646" i="1"/>
  <c r="AB9" i="1"/>
  <c r="AB74" i="1"/>
  <c r="AB77" i="1" s="1"/>
  <c r="AB94" i="1" s="1"/>
  <c r="AB10" i="1"/>
  <c r="AB59" i="1"/>
  <c r="AB60" i="1"/>
  <c r="AB57" i="1"/>
  <c r="AB8" i="1"/>
  <c r="AB106" i="1"/>
  <c r="AF660" i="1"/>
  <c r="AF263" i="1"/>
  <c r="AF273" i="1" s="1"/>
  <c r="P222" i="1"/>
  <c r="K9" i="1"/>
  <c r="K137" i="1"/>
  <c r="K139" i="1" s="1"/>
  <c r="K74" i="1"/>
  <c r="K77" i="1" s="1"/>
  <c r="K94" i="1" s="1"/>
  <c r="K60" i="1"/>
  <c r="K646" i="1"/>
  <c r="K8" i="1"/>
  <c r="K59" i="1"/>
  <c r="K106" i="1"/>
  <c r="K57" i="1"/>
  <c r="K127" i="1"/>
  <c r="K129" i="1" s="1"/>
  <c r="K10" i="1"/>
  <c r="K105" i="1"/>
  <c r="Q660" i="1"/>
  <c r="Q263" i="1"/>
  <c r="Q273" i="1" s="1"/>
  <c r="T419" i="1"/>
  <c r="AD212" i="1"/>
  <c r="Z222" i="1"/>
  <c r="J850" i="2"/>
  <c r="J861" i="2"/>
  <c r="F739" i="2"/>
  <c r="F96" i="30" s="1"/>
  <c r="G866" i="2"/>
  <c r="G841" i="2"/>
  <c r="Q162" i="1"/>
  <c r="Q168" i="1" s="1"/>
  <c r="Q170" i="1" s="1"/>
  <c r="Q212" i="1" s="1"/>
  <c r="Q377" i="1"/>
  <c r="Q419" i="1" s="1"/>
  <c r="Q654" i="1"/>
  <c r="S660" i="1"/>
  <c r="S263" i="1"/>
  <c r="S273" i="1" s="1"/>
  <c r="M263" i="1"/>
  <c r="M273" i="1" s="1"/>
  <c r="M660" i="1"/>
  <c r="G814" i="2"/>
  <c r="G865" i="2"/>
  <c r="M8" i="1"/>
  <c r="M106" i="1"/>
  <c r="M127" i="1"/>
  <c r="M129" i="1" s="1"/>
  <c r="M74" i="1"/>
  <c r="M77" i="1" s="1"/>
  <c r="M94" i="1" s="1"/>
  <c r="M10" i="1"/>
  <c r="M9" i="1"/>
  <c r="M57" i="1"/>
  <c r="M60" i="1"/>
  <c r="M59" i="1"/>
  <c r="M105" i="1"/>
  <c r="M137" i="1"/>
  <c r="M139" i="1" s="1"/>
  <c r="M646" i="1"/>
  <c r="X222" i="1"/>
  <c r="Z396" i="1"/>
  <c r="AK390" i="1"/>
  <c r="AL390" i="1" s="1"/>
  <c r="AK422" i="1"/>
  <c r="AL422" i="1" s="1"/>
  <c r="E14" i="7"/>
  <c r="D38" i="7"/>
  <c r="AK218" i="1"/>
  <c r="AL218" i="1" s="1"/>
  <c r="P232" i="1"/>
  <c r="P568" i="1"/>
  <c r="P648" i="1"/>
  <c r="P436" i="1"/>
  <c r="P239" i="1"/>
  <c r="P431" i="1"/>
  <c r="P569" i="1"/>
  <c r="P578" i="1"/>
  <c r="P103" i="1"/>
  <c r="AK103" i="1" s="1"/>
  <c r="AL103" i="1" s="1"/>
  <c r="AK32" i="1"/>
  <c r="AL32" i="1" s="1"/>
  <c r="P433" i="1"/>
  <c r="P240" i="1"/>
  <c r="P102" i="1"/>
  <c r="P438" i="1"/>
  <c r="P437" i="1"/>
  <c r="P430" i="1"/>
  <c r="P435" i="1"/>
  <c r="P432" i="1"/>
  <c r="P233" i="1"/>
  <c r="P434" i="1"/>
  <c r="P47" i="1"/>
  <c r="P61" i="1" s="1"/>
  <c r="P429" i="1"/>
  <c r="M581" i="1"/>
  <c r="F356" i="2" s="1"/>
  <c r="V222" i="1"/>
  <c r="E38" i="6"/>
  <c r="F14" i="6" s="1"/>
  <c r="AJ59" i="1"/>
  <c r="AJ105" i="1"/>
  <c r="AJ60" i="1"/>
  <c r="AJ10" i="1"/>
  <c r="AJ74" i="1"/>
  <c r="AJ77" i="1" s="1"/>
  <c r="AJ94" i="1" s="1"/>
  <c r="AJ646" i="1"/>
  <c r="AJ9" i="1"/>
  <c r="AJ8" i="1"/>
  <c r="AJ137" i="1"/>
  <c r="AJ139" i="1" s="1"/>
  <c r="AJ127" i="1"/>
  <c r="AJ129" i="1" s="1"/>
  <c r="AJ57" i="1"/>
  <c r="AJ106" i="1"/>
  <c r="AJ263" i="1"/>
  <c r="AJ273" i="1" s="1"/>
  <c r="AJ660" i="1"/>
  <c r="K222" i="1"/>
  <c r="AK215" i="1"/>
  <c r="AL215" i="1" s="1"/>
  <c r="T850" i="2"/>
  <c r="T861" i="2"/>
  <c r="H850" i="2"/>
  <c r="H861" i="2"/>
  <c r="V849" i="2"/>
  <c r="W849" i="2" s="1"/>
  <c r="X849" i="2" s="1"/>
  <c r="G863" i="2"/>
  <c r="G840" i="2"/>
  <c r="V860" i="2"/>
  <c r="W860" i="2" s="1"/>
  <c r="X860" i="2" s="1"/>
  <c r="G836" i="2"/>
  <c r="G546" i="2"/>
  <c r="G868" i="2"/>
  <c r="U632" i="1"/>
  <c r="U469" i="1" s="1"/>
  <c r="U479" i="1" s="1"/>
  <c r="AK217" i="1"/>
  <c r="AL217" i="1" s="1"/>
  <c r="L8" i="1"/>
  <c r="L105" i="1"/>
  <c r="L60" i="1"/>
  <c r="L9" i="1"/>
  <c r="L646" i="1"/>
  <c r="L106" i="1"/>
  <c r="L57" i="1"/>
  <c r="L137" i="1"/>
  <c r="L139" i="1" s="1"/>
  <c r="L59" i="1"/>
  <c r="L127" i="1"/>
  <c r="L129" i="1" s="1"/>
  <c r="L10" i="1"/>
  <c r="L74" i="1"/>
  <c r="L77" i="1" s="1"/>
  <c r="L94" i="1" s="1"/>
  <c r="J581" i="1"/>
  <c r="F714" i="2"/>
  <c r="U105" i="1"/>
  <c r="U127" i="1"/>
  <c r="U129" i="1" s="1"/>
  <c r="U57" i="1"/>
  <c r="U59" i="1"/>
  <c r="U137" i="1"/>
  <c r="U139" i="1" s="1"/>
  <c r="U9" i="1"/>
  <c r="U8" i="1"/>
  <c r="U10" i="1"/>
  <c r="U60" i="1"/>
  <c r="U646" i="1"/>
  <c r="U106" i="1"/>
  <c r="U74" i="1"/>
  <c r="U77" i="1" s="1"/>
  <c r="U94" i="1" s="1"/>
  <c r="T263" i="1"/>
  <c r="T273" i="1" s="1"/>
  <c r="T660" i="1"/>
  <c r="M631" i="1"/>
  <c r="M443" i="1" s="1"/>
  <c r="M455" i="1" s="1"/>
  <c r="M481" i="1" s="1"/>
  <c r="H151" i="1"/>
  <c r="H653" i="1"/>
  <c r="J137" i="1"/>
  <c r="J139" i="1" s="1"/>
  <c r="J74" i="1"/>
  <c r="J77" i="1" s="1"/>
  <c r="J94" i="1" s="1"/>
  <c r="J10" i="1"/>
  <c r="J106" i="1"/>
  <c r="J60" i="1"/>
  <c r="J59" i="1"/>
  <c r="J57" i="1"/>
  <c r="J8" i="1"/>
  <c r="J9" i="1"/>
  <c r="J646" i="1"/>
  <c r="J127" i="1"/>
  <c r="J129" i="1" s="1"/>
  <c r="J105" i="1"/>
  <c r="G857" i="2"/>
  <c r="G867" i="2"/>
  <c r="G548" i="2"/>
  <c r="H469" i="1"/>
  <c r="AL125" i="1"/>
  <c r="Y387" i="1"/>
  <c r="AK380" i="1"/>
  <c r="AL380" i="1" s="1"/>
  <c r="I755" i="2" l="1"/>
  <c r="I112" i="30" s="1"/>
  <c r="I8" i="30"/>
  <c r="F71" i="30"/>
  <c r="F86" i="30" s="1"/>
  <c r="F58" i="30"/>
  <c r="H755" i="2"/>
  <c r="H112" i="30" s="1"/>
  <c r="H8" i="30"/>
  <c r="Q853" i="2"/>
  <c r="Q865" i="2" s="1"/>
  <c r="L245" i="1"/>
  <c r="L258" i="1" s="1"/>
  <c r="L481" i="1"/>
  <c r="AJ659" i="1"/>
  <c r="AJ481" i="1"/>
  <c r="AC659" i="1"/>
  <c r="AC481" i="1"/>
  <c r="AC483" i="1" s="1"/>
  <c r="AC485" i="1" s="1"/>
  <c r="AC510" i="1" s="1"/>
  <c r="K659" i="1"/>
  <c r="K481" i="1"/>
  <c r="K483" i="1" s="1"/>
  <c r="J245" i="1"/>
  <c r="J258" i="1" s="1"/>
  <c r="J481" i="1"/>
  <c r="AH659" i="1"/>
  <c r="AH481" i="1"/>
  <c r="O245" i="1"/>
  <c r="O258" i="1" s="1"/>
  <c r="O481" i="1"/>
  <c r="T659" i="1"/>
  <c r="T481" i="1"/>
  <c r="T483" i="1" s="1"/>
  <c r="T485" i="1" s="1"/>
  <c r="T510" i="1" s="1"/>
  <c r="Q659" i="1"/>
  <c r="Q481" i="1"/>
  <c r="I659" i="1"/>
  <c r="I481" i="1"/>
  <c r="AB659" i="1"/>
  <c r="AB481" i="1"/>
  <c r="AB483" i="1" s="1"/>
  <c r="AB485" i="1" s="1"/>
  <c r="AB510" i="1" s="1"/>
  <c r="S245" i="1"/>
  <c r="S258" i="1" s="1"/>
  <c r="S275" i="1" s="1"/>
  <c r="S481" i="1"/>
  <c r="S483" i="1" s="1"/>
  <c r="S485" i="1" s="1"/>
  <c r="S510" i="1" s="1"/>
  <c r="AD245" i="1"/>
  <c r="AD258" i="1" s="1"/>
  <c r="AD481" i="1"/>
  <c r="P245" i="1"/>
  <c r="P258" i="1" s="1"/>
  <c r="P275" i="1" s="1"/>
  <c r="P481" i="1"/>
  <c r="U245" i="1"/>
  <c r="U258" i="1" s="1"/>
  <c r="U481" i="1"/>
  <c r="U483" i="1" s="1"/>
  <c r="U485" i="1" s="1"/>
  <c r="U510" i="1" s="1"/>
  <c r="U314" i="1" s="1"/>
  <c r="AF659" i="1"/>
  <c r="AF481" i="1"/>
  <c r="M483" i="1"/>
  <c r="Q862" i="2"/>
  <c r="Q851" i="2"/>
  <c r="Q863" i="2" s="1"/>
  <c r="J375" i="2"/>
  <c r="J372" i="2"/>
  <c r="J369" i="2"/>
  <c r="P862" i="2"/>
  <c r="P854" i="2"/>
  <c r="P866" i="2" s="1"/>
  <c r="P853" i="2"/>
  <c r="P865" i="2" s="1"/>
  <c r="P851" i="2"/>
  <c r="P863" i="2" s="1"/>
  <c r="N857" i="2"/>
  <c r="N869" i="2" s="1"/>
  <c r="N854" i="2"/>
  <c r="N866" i="2" s="1"/>
  <c r="N851" i="2"/>
  <c r="N863" i="2" s="1"/>
  <c r="N853" i="2"/>
  <c r="N865" i="2" s="1"/>
  <c r="N862" i="2"/>
  <c r="I394" i="2"/>
  <c r="I397" i="2"/>
  <c r="I526" i="2"/>
  <c r="J544" i="2"/>
  <c r="J538" i="2"/>
  <c r="J651" i="2"/>
  <c r="K1" i="2"/>
  <c r="K372" i="2" s="1"/>
  <c r="J921" i="2"/>
  <c r="J815" i="2"/>
  <c r="J545" i="2"/>
  <c r="J655" i="2"/>
  <c r="J12" i="30" s="1"/>
  <c r="J803" i="2"/>
  <c r="J552" i="2"/>
  <c r="J661" i="2"/>
  <c r="J18" i="30" s="1"/>
  <c r="J662" i="2"/>
  <c r="J19" i="30" s="1"/>
  <c r="J664" i="2"/>
  <c r="J21" i="30" s="1"/>
  <c r="J547" i="2"/>
  <c r="J656" i="2"/>
  <c r="J13" i="30" s="1"/>
  <c r="J666" i="2"/>
  <c r="J23" i="30" s="1"/>
  <c r="J833" i="2"/>
  <c r="J354" i="2" s="1"/>
  <c r="J657" i="2"/>
  <c r="J14" i="30" s="1"/>
  <c r="J839" i="2"/>
  <c r="J391" i="2" s="1"/>
  <c r="J724" i="2"/>
  <c r="J81" i="30" s="1"/>
  <c r="J663" i="2"/>
  <c r="J20" i="30" s="1"/>
  <c r="J541" i="2"/>
  <c r="J665" i="2"/>
  <c r="J22" i="30" s="1"/>
  <c r="I528" i="2"/>
  <c r="I652" i="2"/>
  <c r="I9" i="30" s="1"/>
  <c r="I355" i="2"/>
  <c r="I748" i="2"/>
  <c r="I105" i="30" s="1"/>
  <c r="I746" i="2"/>
  <c r="I103" i="30" s="1"/>
  <c r="I563" i="2"/>
  <c r="I747" i="2"/>
  <c r="I104" i="30" s="1"/>
  <c r="I400" i="2"/>
  <c r="I566" i="2"/>
  <c r="I569" i="2"/>
  <c r="I857" i="2"/>
  <c r="I381" i="2" s="1"/>
  <c r="I382" i="2" s="1"/>
  <c r="I867" i="2"/>
  <c r="I548" i="2"/>
  <c r="I549" i="2" s="1"/>
  <c r="L868" i="2"/>
  <c r="L857" i="2"/>
  <c r="L869" i="2" s="1"/>
  <c r="R867" i="2"/>
  <c r="R856" i="2"/>
  <c r="R868" i="2" s="1"/>
  <c r="R857" i="2"/>
  <c r="R869" i="2" s="1"/>
  <c r="AK240" i="1"/>
  <c r="AL240" i="1" s="1"/>
  <c r="F117" i="1"/>
  <c r="F145" i="1" s="1"/>
  <c r="AK436" i="1"/>
  <c r="AL436" i="1" s="1"/>
  <c r="AK437" i="1"/>
  <c r="AL437" i="1" s="1"/>
  <c r="AK431" i="1"/>
  <c r="AL431" i="1" s="1"/>
  <c r="AK239" i="1"/>
  <c r="AL239" i="1" s="1"/>
  <c r="Q10" i="1"/>
  <c r="AK438" i="1"/>
  <c r="AL438" i="1" s="1"/>
  <c r="Q105" i="1"/>
  <c r="Q74" i="1"/>
  <c r="Q77" i="1" s="1"/>
  <c r="Q94" i="1" s="1"/>
  <c r="Q646" i="1"/>
  <c r="AK430" i="1"/>
  <c r="AL430" i="1" s="1"/>
  <c r="Q57" i="1"/>
  <c r="Q571" i="1" s="1"/>
  <c r="Q8" i="1"/>
  <c r="Q60" i="1"/>
  <c r="Q127" i="1"/>
  <c r="Q129" i="1" s="1"/>
  <c r="Q137" i="1"/>
  <c r="Q139" i="1" s="1"/>
  <c r="Q106" i="1"/>
  <c r="Q9" i="1"/>
  <c r="AK233" i="1"/>
  <c r="AL233" i="1" s="1"/>
  <c r="Q59" i="1"/>
  <c r="AK432" i="1"/>
  <c r="AL432" i="1" s="1"/>
  <c r="AK433" i="1"/>
  <c r="AL433" i="1" s="1"/>
  <c r="AK569" i="1"/>
  <c r="AL569" i="1" s="1"/>
  <c r="Z129" i="1"/>
  <c r="AK648" i="1"/>
  <c r="AL648" i="1" s="1"/>
  <c r="Q440" i="1"/>
  <c r="Q238" i="1" s="1"/>
  <c r="AK435" i="1"/>
  <c r="AL435" i="1" s="1"/>
  <c r="Z139" i="1"/>
  <c r="Z273" i="1"/>
  <c r="AK434" i="1"/>
  <c r="AL434" i="1" s="1"/>
  <c r="AK232" i="1"/>
  <c r="AL232" i="1" s="1"/>
  <c r="Z660" i="1"/>
  <c r="Z631" i="1"/>
  <c r="Z443" i="1" s="1"/>
  <c r="Z455" i="1" s="1"/>
  <c r="Z77" i="1"/>
  <c r="Z94" i="1" s="1"/>
  <c r="J108" i="1"/>
  <c r="M108" i="1"/>
  <c r="V77" i="1"/>
  <c r="V94" i="1" s="1"/>
  <c r="Z237" i="1"/>
  <c r="Z228" i="1"/>
  <c r="Z229" i="1"/>
  <c r="V129" i="1"/>
  <c r="V631" i="1"/>
  <c r="V443" i="1" s="1"/>
  <c r="V455" i="1" s="1"/>
  <c r="V139" i="1"/>
  <c r="V273" i="1"/>
  <c r="Z238" i="1"/>
  <c r="Z234" i="1"/>
  <c r="Z231" i="1"/>
  <c r="Z235" i="1"/>
  <c r="Z230" i="1"/>
  <c r="Z227" i="1"/>
  <c r="Z658" i="1"/>
  <c r="AJ658" i="1"/>
  <c r="AJ483" i="1"/>
  <c r="AJ485" i="1" s="1"/>
  <c r="AJ510" i="1" s="1"/>
  <c r="AJ322" i="1" s="1"/>
  <c r="AJ229" i="1"/>
  <c r="AJ234" i="1"/>
  <c r="AJ228" i="1"/>
  <c r="AJ237" i="1"/>
  <c r="AJ231" i="1"/>
  <c r="AJ230" i="1"/>
  <c r="AJ236" i="1"/>
  <c r="AJ227" i="1"/>
  <c r="AJ235" i="1"/>
  <c r="X228" i="1"/>
  <c r="X227" i="1"/>
  <c r="Q245" i="1"/>
  <c r="Q258" i="1" s="1"/>
  <c r="Q275" i="1" s="1"/>
  <c r="X235" i="1"/>
  <c r="X230" i="1"/>
  <c r="X231" i="1"/>
  <c r="X229" i="1"/>
  <c r="X658" i="1"/>
  <c r="X238" i="1"/>
  <c r="X237" i="1"/>
  <c r="X234" i="1"/>
  <c r="K235" i="1"/>
  <c r="K234" i="1"/>
  <c r="K228" i="1"/>
  <c r="K238" i="1"/>
  <c r="K658" i="1"/>
  <c r="K230" i="1"/>
  <c r="K237" i="1"/>
  <c r="K229" i="1"/>
  <c r="K236" i="1"/>
  <c r="K227" i="1"/>
  <c r="L236" i="1"/>
  <c r="L228" i="1"/>
  <c r="L483" i="1"/>
  <c r="L658" i="1"/>
  <c r="L238" i="1"/>
  <c r="L235" i="1"/>
  <c r="L237" i="1"/>
  <c r="L231" i="1"/>
  <c r="L230" i="1"/>
  <c r="L234" i="1"/>
  <c r="L227" i="1"/>
  <c r="AH237" i="1"/>
  <c r="AH227" i="1"/>
  <c r="AH236" i="1"/>
  <c r="AH658" i="1"/>
  <c r="AH234" i="1"/>
  <c r="AH238" i="1"/>
  <c r="AH228" i="1"/>
  <c r="AH231" i="1"/>
  <c r="AH230" i="1"/>
  <c r="AH235" i="1"/>
  <c r="F328" i="1"/>
  <c r="F304" i="1"/>
  <c r="AH483" i="1"/>
  <c r="AH485" i="1" s="1"/>
  <c r="AH510" i="1" s="1"/>
  <c r="J380" i="2"/>
  <c r="AK136" i="1"/>
  <c r="AL136" i="1" s="1"/>
  <c r="AF662" i="1"/>
  <c r="AF323" i="1"/>
  <c r="AC245" i="1"/>
  <c r="AC258" i="1" s="1"/>
  <c r="AC275" i="1" s="1"/>
  <c r="AF571" i="1"/>
  <c r="AC224" i="1"/>
  <c r="W8" i="1"/>
  <c r="W237" i="1"/>
  <c r="W59" i="1"/>
  <c r="H380" i="2"/>
  <c r="F382" i="2"/>
  <c r="G355" i="2"/>
  <c r="G380" i="2"/>
  <c r="W106" i="1"/>
  <c r="W234" i="1"/>
  <c r="W60" i="1"/>
  <c r="W235" i="1"/>
  <c r="W238" i="1"/>
  <c r="AA236" i="1"/>
  <c r="W227" i="1"/>
  <c r="W228" i="1"/>
  <c r="W231" i="1"/>
  <c r="W236" i="1"/>
  <c r="W229" i="1"/>
  <c r="W658" i="1"/>
  <c r="I372" i="2"/>
  <c r="H355" i="2"/>
  <c r="P659" i="1"/>
  <c r="U230" i="1"/>
  <c r="Y10" i="1"/>
  <c r="AH245" i="1"/>
  <c r="AH258" i="1" s="1"/>
  <c r="AH275" i="1" s="1"/>
  <c r="M227" i="1"/>
  <c r="S224" i="1"/>
  <c r="AK126" i="1"/>
  <c r="AL126" i="1" s="1"/>
  <c r="AA229" i="1"/>
  <c r="W57" i="1"/>
  <c r="G372" i="2"/>
  <c r="AF529" i="1"/>
  <c r="W127" i="1"/>
  <c r="W129" i="1" s="1"/>
  <c r="W137" i="1"/>
  <c r="W139" i="1" s="1"/>
  <c r="W74" i="1"/>
  <c r="W77" i="1" s="1"/>
  <c r="W94" i="1" s="1"/>
  <c r="H372" i="2"/>
  <c r="AH571" i="1"/>
  <c r="AF324" i="1"/>
  <c r="K180" i="1"/>
  <c r="K191" i="1" s="1"/>
  <c r="AA228" i="1"/>
  <c r="G374" i="2"/>
  <c r="W9" i="1"/>
  <c r="AA227" i="1"/>
  <c r="AF530" i="1"/>
  <c r="W646" i="1"/>
  <c r="S12" i="1"/>
  <c r="S66" i="1" s="1"/>
  <c r="S650" i="1" s="1"/>
  <c r="W631" i="1"/>
  <c r="W443" i="1" s="1"/>
  <c r="W455" i="1" s="1"/>
  <c r="AA658" i="1"/>
  <c r="W105" i="1"/>
  <c r="U228" i="1"/>
  <c r="U235" i="1"/>
  <c r="U236" i="1"/>
  <c r="U234" i="1"/>
  <c r="U238" i="1"/>
  <c r="U231" i="1"/>
  <c r="U237" i="1"/>
  <c r="U658" i="1"/>
  <c r="U227" i="1"/>
  <c r="S529" i="1"/>
  <c r="O659" i="1"/>
  <c r="L659" i="1"/>
  <c r="AA234" i="1"/>
  <c r="X60" i="1"/>
  <c r="X10" i="1"/>
  <c r="AA662" i="1"/>
  <c r="X127" i="1"/>
  <c r="X129" i="1" s="1"/>
  <c r="P224" i="1"/>
  <c r="AF108" i="1"/>
  <c r="X59" i="1"/>
  <c r="AK417" i="1"/>
  <c r="AL417" i="1" s="1"/>
  <c r="X106" i="1"/>
  <c r="AH529" i="1"/>
  <c r="I137" i="1"/>
  <c r="I139" i="1" s="1"/>
  <c r="I60" i="1"/>
  <c r="I74" i="1"/>
  <c r="I77" i="1" s="1"/>
  <c r="I94" i="1" s="1"/>
  <c r="Y61" i="1"/>
  <c r="I57" i="1"/>
  <c r="I61" i="1"/>
  <c r="G376" i="2"/>
  <c r="I376" i="2"/>
  <c r="S662" i="1"/>
  <c r="H369" i="2"/>
  <c r="I59" i="1"/>
  <c r="V530" i="1"/>
  <c r="AH662" i="1"/>
  <c r="Y127" i="1"/>
  <c r="Y129" i="1" s="1"/>
  <c r="S530" i="1"/>
  <c r="AF12" i="1"/>
  <c r="AH324" i="1"/>
  <c r="H375" i="2"/>
  <c r="I646" i="1"/>
  <c r="AF237" i="1"/>
  <c r="H237" i="1"/>
  <c r="AF483" i="1"/>
  <c r="AF485" i="1" s="1"/>
  <c r="AF510" i="1" s="1"/>
  <c r="S659" i="1"/>
  <c r="AD224" i="1"/>
  <c r="AC530" i="1"/>
  <c r="AC324" i="1"/>
  <c r="AK647" i="1"/>
  <c r="AL647" i="1" s="1"/>
  <c r="O275" i="1"/>
  <c r="H229" i="1"/>
  <c r="H236" i="1"/>
  <c r="AD659" i="1"/>
  <c r="H658" i="1"/>
  <c r="H227" i="1"/>
  <c r="H231" i="1"/>
  <c r="H238" i="1"/>
  <c r="G369" i="2"/>
  <c r="V660" i="1"/>
  <c r="H235" i="1"/>
  <c r="H228" i="1"/>
  <c r="S324" i="1"/>
  <c r="Y631" i="1"/>
  <c r="Y443" i="1" s="1"/>
  <c r="Y455" i="1" s="1"/>
  <c r="H230" i="1"/>
  <c r="X660" i="1"/>
  <c r="X263" i="1"/>
  <c r="X273" i="1" s="1"/>
  <c r="AC529" i="1"/>
  <c r="AA224" i="1"/>
  <c r="I9" i="1"/>
  <c r="I106" i="1"/>
  <c r="I245" i="1"/>
  <c r="I258" i="1" s="1"/>
  <c r="I275" i="1" s="1"/>
  <c r="AC571" i="1"/>
  <c r="Y273" i="1"/>
  <c r="V238" i="1"/>
  <c r="AC662" i="1"/>
  <c r="I105" i="1"/>
  <c r="V231" i="1"/>
  <c r="AC323" i="1"/>
  <c r="AK62" i="1"/>
  <c r="AL62" i="1" s="1"/>
  <c r="V236" i="1"/>
  <c r="J228" i="1"/>
  <c r="AD662" i="1"/>
  <c r="I8" i="1"/>
  <c r="I127" i="1"/>
  <c r="I129" i="1" s="1"/>
  <c r="AH141" i="1"/>
  <c r="AK453" i="1"/>
  <c r="AL453" i="1" s="1"/>
  <c r="AK271" i="1"/>
  <c r="AL271" i="1" s="1"/>
  <c r="U224" i="1"/>
  <c r="O224" i="1"/>
  <c r="AK452" i="1"/>
  <c r="AL452" i="1" s="1"/>
  <c r="AB224" i="1"/>
  <c r="V227" i="1"/>
  <c r="I375" i="2"/>
  <c r="J366" i="2"/>
  <c r="W263" i="1"/>
  <c r="W273" i="1" s="1"/>
  <c r="H373" i="2"/>
  <c r="AK104" i="1"/>
  <c r="AL104" i="1" s="1"/>
  <c r="AK577" i="1"/>
  <c r="AL577" i="1" s="1"/>
  <c r="T245" i="1"/>
  <c r="T258" i="1" s="1"/>
  <c r="T275" i="1" s="1"/>
  <c r="V237" i="1"/>
  <c r="J191" i="1"/>
  <c r="AK255" i="1"/>
  <c r="AL255" i="1" s="1"/>
  <c r="V234" i="1"/>
  <c r="AH530" i="1"/>
  <c r="V108" i="1"/>
  <c r="J373" i="2"/>
  <c r="AK135" i="1"/>
  <c r="AL135" i="1" s="1"/>
  <c r="V228" i="1"/>
  <c r="V323" i="1"/>
  <c r="I366" i="2"/>
  <c r="AB245" i="1"/>
  <c r="AB258" i="1" s="1"/>
  <c r="AB275" i="1" s="1"/>
  <c r="V658" i="1"/>
  <c r="V230" i="1"/>
  <c r="G366" i="2"/>
  <c r="AK256" i="1"/>
  <c r="AL256" i="1" s="1"/>
  <c r="AH108" i="1"/>
  <c r="V229" i="1"/>
  <c r="G375" i="2"/>
  <c r="I373" i="2"/>
  <c r="AK254" i="1"/>
  <c r="AL254" i="1" s="1"/>
  <c r="AK64" i="1"/>
  <c r="AL64" i="1" s="1"/>
  <c r="J275" i="1"/>
  <c r="J231" i="1"/>
  <c r="J229" i="1"/>
  <c r="AD530" i="1"/>
  <c r="X8" i="1"/>
  <c r="X137" i="1"/>
  <c r="X139" i="1" s="1"/>
  <c r="AF236" i="1"/>
  <c r="I369" i="2"/>
  <c r="AD12" i="1"/>
  <c r="J659" i="1"/>
  <c r="J236" i="1"/>
  <c r="J237" i="1"/>
  <c r="AD529" i="1"/>
  <c r="X57" i="1"/>
  <c r="X571" i="1" s="1"/>
  <c r="X9" i="1"/>
  <c r="AC231" i="1"/>
  <c r="S323" i="1"/>
  <c r="AF229" i="1"/>
  <c r="AK73" i="1"/>
  <c r="AL73" i="1" s="1"/>
  <c r="AK570" i="1"/>
  <c r="AL570" i="1" s="1"/>
  <c r="Z108" i="1"/>
  <c r="J483" i="1"/>
  <c r="J658" i="1"/>
  <c r="AF230" i="1"/>
  <c r="AF238" i="1"/>
  <c r="H571" i="1"/>
  <c r="AA235" i="1"/>
  <c r="H529" i="1"/>
  <c r="AA237" i="1"/>
  <c r="J227" i="1"/>
  <c r="J235" i="1"/>
  <c r="Y660" i="1"/>
  <c r="AD571" i="1"/>
  <c r="X105" i="1"/>
  <c r="AF658" i="1"/>
  <c r="G354" i="2"/>
  <c r="O108" i="1"/>
  <c r="W224" i="1"/>
  <c r="AH12" i="1"/>
  <c r="I391" i="2"/>
  <c r="AA230" i="1"/>
  <c r="J234" i="1"/>
  <c r="AD324" i="1"/>
  <c r="X74" i="1"/>
  <c r="X77" i="1" s="1"/>
  <c r="X94" i="1" s="1"/>
  <c r="I354" i="2"/>
  <c r="AK477" i="1"/>
  <c r="AL477" i="1" s="1"/>
  <c r="AF235" i="1"/>
  <c r="G391" i="2"/>
  <c r="S571" i="1"/>
  <c r="J230" i="1"/>
  <c r="T236" i="1"/>
  <c r="AF228" i="1"/>
  <c r="AD228" i="1"/>
  <c r="AA231" i="1"/>
  <c r="AA483" i="1"/>
  <c r="AA485" i="1" s="1"/>
  <c r="AA510" i="1" s="1"/>
  <c r="AK210" i="1"/>
  <c r="AL210" i="1" s="1"/>
  <c r="AF231" i="1"/>
  <c r="T234" i="1"/>
  <c r="AF234" i="1"/>
  <c r="Y59" i="1"/>
  <c r="Y137" i="1"/>
  <c r="Y139" i="1" s="1"/>
  <c r="AA12" i="1"/>
  <c r="AC141" i="1"/>
  <c r="Y60" i="1"/>
  <c r="Y9" i="1"/>
  <c r="AK579" i="1"/>
  <c r="AL579" i="1" s="1"/>
  <c r="V12" i="1"/>
  <c r="Y646" i="1"/>
  <c r="L275" i="1"/>
  <c r="AK47" i="1"/>
  <c r="AL47" i="1" s="1"/>
  <c r="Y74" i="1"/>
  <c r="Y77" i="1" s="1"/>
  <c r="Y94" i="1" s="1"/>
  <c r="I191" i="1"/>
  <c r="F377" i="2"/>
  <c r="X224" i="1"/>
  <c r="Y105" i="1"/>
  <c r="Y108" i="1" s="1"/>
  <c r="Y57" i="1"/>
  <c r="Y8" i="1"/>
  <c r="AC229" i="1"/>
  <c r="T238" i="1"/>
  <c r="T230" i="1"/>
  <c r="S141" i="1"/>
  <c r="AH224" i="1"/>
  <c r="T227" i="1"/>
  <c r="T235" i="1"/>
  <c r="Y658" i="1"/>
  <c r="AA108" i="1"/>
  <c r="X631" i="1"/>
  <c r="X443" i="1" s="1"/>
  <c r="X455" i="1" s="1"/>
  <c r="T228" i="1"/>
  <c r="T658" i="1"/>
  <c r="H12" i="1"/>
  <c r="Y229" i="1"/>
  <c r="T231" i="1"/>
  <c r="AK657" i="1"/>
  <c r="AL657" i="1" s="1"/>
  <c r="T237" i="1"/>
  <c r="Y238" i="1"/>
  <c r="H108" i="1"/>
  <c r="M237" i="1"/>
  <c r="AD275" i="1"/>
  <c r="AA530" i="1"/>
  <c r="M231" i="1"/>
  <c r="Y237" i="1"/>
  <c r="Y236" i="1"/>
  <c r="AF245" i="1"/>
  <c r="AF258" i="1" s="1"/>
  <c r="AF275" i="1" s="1"/>
  <c r="AA529" i="1"/>
  <c r="Y231" i="1"/>
  <c r="Y228" i="1"/>
  <c r="M234" i="1"/>
  <c r="F510" i="1"/>
  <c r="AA323" i="1"/>
  <c r="Y227" i="1"/>
  <c r="M229" i="1"/>
  <c r="M658" i="1"/>
  <c r="M236" i="1"/>
  <c r="M230" i="1"/>
  <c r="M228" i="1"/>
  <c r="M235" i="1"/>
  <c r="AA324" i="1"/>
  <c r="Y230" i="1"/>
  <c r="Y235" i="1"/>
  <c r="M238" i="1"/>
  <c r="T12" i="1"/>
  <c r="T108" i="1"/>
  <c r="S108" i="1"/>
  <c r="AD231" i="1"/>
  <c r="AD238" i="1"/>
  <c r="T324" i="1"/>
  <c r="I366" i="1"/>
  <c r="AK359" i="1"/>
  <c r="AL359" i="1" s="1"/>
  <c r="AD227" i="1"/>
  <c r="T323" i="1"/>
  <c r="I228" i="1"/>
  <c r="AD230" i="1"/>
  <c r="T662" i="1"/>
  <c r="AD483" i="1"/>
  <c r="AD485" i="1" s="1"/>
  <c r="AD510" i="1" s="1"/>
  <c r="T530" i="1"/>
  <c r="AF141" i="1"/>
  <c r="AD108" i="1"/>
  <c r="AD237" i="1"/>
  <c r="T571" i="1"/>
  <c r="T141" i="1"/>
  <c r="AD658" i="1"/>
  <c r="AD234" i="1"/>
  <c r="AD236" i="1"/>
  <c r="AD229" i="1"/>
  <c r="H530" i="1"/>
  <c r="V571" i="1"/>
  <c r="AC230" i="1"/>
  <c r="H324" i="1"/>
  <c r="V324" i="1"/>
  <c r="AC234" i="1"/>
  <c r="H662" i="1"/>
  <c r="V529" i="1"/>
  <c r="AC236" i="1"/>
  <c r="AC227" i="1"/>
  <c r="AD141" i="1"/>
  <c r="O12" i="1"/>
  <c r="AK194" i="1"/>
  <c r="AL194" i="1" s="1"/>
  <c r="AC235" i="1"/>
  <c r="AC658" i="1"/>
  <c r="AJ224" i="1"/>
  <c r="V662" i="1"/>
  <c r="AC237" i="1"/>
  <c r="AC228" i="1"/>
  <c r="O141" i="1"/>
  <c r="AK200" i="1"/>
  <c r="AL200" i="1" s="1"/>
  <c r="AC12" i="1"/>
  <c r="AC66" i="1" s="1"/>
  <c r="AC108" i="1"/>
  <c r="AJ245" i="1"/>
  <c r="AJ258" i="1" s="1"/>
  <c r="AJ275" i="1" s="1"/>
  <c r="AB228" i="1"/>
  <c r="AB229" i="1"/>
  <c r="I235" i="1"/>
  <c r="AB108" i="1"/>
  <c r="U659" i="1"/>
  <c r="H141" i="1"/>
  <c r="Z12" i="1"/>
  <c r="Z66" i="1" s="1"/>
  <c r="T224" i="1"/>
  <c r="I483" i="1"/>
  <c r="I236" i="1"/>
  <c r="S238" i="1"/>
  <c r="S234" i="1"/>
  <c r="S235" i="1"/>
  <c r="S230" i="1"/>
  <c r="S658" i="1"/>
  <c r="S236" i="1"/>
  <c r="S228" i="1"/>
  <c r="S231" i="1"/>
  <c r="S229" i="1"/>
  <c r="S237" i="1"/>
  <c r="S227" i="1"/>
  <c r="Q224" i="1"/>
  <c r="I227" i="1"/>
  <c r="I231" i="1"/>
  <c r="I237" i="1"/>
  <c r="AA141" i="1"/>
  <c r="I238" i="1"/>
  <c r="I229" i="1"/>
  <c r="I234" i="1"/>
  <c r="AJ108" i="1"/>
  <c r="I658" i="1"/>
  <c r="J141" i="1"/>
  <c r="K245" i="1"/>
  <c r="K258" i="1" s="1"/>
  <c r="K275" i="1" s="1"/>
  <c r="U12" i="1"/>
  <c r="AB658" i="1"/>
  <c r="AB238" i="1"/>
  <c r="M141" i="1"/>
  <c r="AK222" i="1"/>
  <c r="AL222" i="1" s="1"/>
  <c r="AB235" i="1"/>
  <c r="K12" i="1"/>
  <c r="K66" i="1" s="1"/>
  <c r="AB227" i="1"/>
  <c r="O662" i="1"/>
  <c r="O323" i="1"/>
  <c r="O324" i="1"/>
  <c r="O529" i="1"/>
  <c r="O530" i="1"/>
  <c r="O571" i="1"/>
  <c r="AB230" i="1"/>
  <c r="AB236" i="1"/>
  <c r="AB234" i="1"/>
  <c r="Z323" i="1"/>
  <c r="Z529" i="1"/>
  <c r="Z324" i="1"/>
  <c r="Z571" i="1"/>
  <c r="Z662" i="1"/>
  <c r="Z530" i="1"/>
  <c r="AB12" i="1"/>
  <c r="AB141" i="1"/>
  <c r="O234" i="1"/>
  <c r="O230" i="1"/>
  <c r="O237" i="1"/>
  <c r="O238" i="1"/>
  <c r="O483" i="1"/>
  <c r="O485" i="1" s="1"/>
  <c r="O510" i="1" s="1"/>
  <c r="O236" i="1"/>
  <c r="O235" i="1"/>
  <c r="O229" i="1"/>
  <c r="O227" i="1"/>
  <c r="O228" i="1"/>
  <c r="O658" i="1"/>
  <c r="O231" i="1"/>
  <c r="AB237" i="1"/>
  <c r="AA659" i="1"/>
  <c r="AA245" i="1"/>
  <c r="AA258" i="1" s="1"/>
  <c r="AA275" i="1" s="1"/>
  <c r="K141" i="1"/>
  <c r="L141" i="1"/>
  <c r="L108" i="1"/>
  <c r="K108" i="1"/>
  <c r="V224" i="1"/>
  <c r="K529" i="1"/>
  <c r="K324" i="1"/>
  <c r="K323" i="1"/>
  <c r="K530" i="1"/>
  <c r="K662" i="1"/>
  <c r="K571" i="1"/>
  <c r="AB324" i="1"/>
  <c r="AB529" i="1"/>
  <c r="AB662" i="1"/>
  <c r="AB571" i="1"/>
  <c r="AB323" i="1"/>
  <c r="AB530" i="1"/>
  <c r="AJ141" i="1"/>
  <c r="G356" i="2"/>
  <c r="I356" i="2"/>
  <c r="H356" i="2"/>
  <c r="F36" i="6"/>
  <c r="T838" i="2" s="1"/>
  <c r="Y655" i="1"/>
  <c r="AK655" i="1" s="1"/>
  <c r="AL655" i="1" s="1"/>
  <c r="Y398" i="1"/>
  <c r="Y173" i="1"/>
  <c r="AK387" i="1"/>
  <c r="AL387" i="1" s="1"/>
  <c r="G553" i="2"/>
  <c r="G869" i="2"/>
  <c r="G381" i="2"/>
  <c r="T862" i="2"/>
  <c r="T853" i="2"/>
  <c r="T854" i="2"/>
  <c r="T866" i="2" s="1"/>
  <c r="T851" i="2"/>
  <c r="T863" i="2" s="1"/>
  <c r="P440" i="1"/>
  <c r="AK429" i="1"/>
  <c r="AL429" i="1" s="1"/>
  <c r="M571" i="1"/>
  <c r="M529" i="1"/>
  <c r="M530" i="1"/>
  <c r="M662" i="1"/>
  <c r="M323" i="1"/>
  <c r="M324" i="1"/>
  <c r="AK632" i="1"/>
  <c r="AL632" i="1" s="1"/>
  <c r="M245" i="1"/>
  <c r="M258" i="1" s="1"/>
  <c r="M275" i="1" s="1"/>
  <c r="M659" i="1"/>
  <c r="U141" i="1"/>
  <c r="F18" i="6"/>
  <c r="AJ12" i="1"/>
  <c r="AJ66" i="1" s="1"/>
  <c r="P106" i="1"/>
  <c r="P9" i="1"/>
  <c r="P105" i="1"/>
  <c r="P646" i="1"/>
  <c r="P10" i="1"/>
  <c r="P74" i="1"/>
  <c r="P77" i="1" s="1"/>
  <c r="P94" i="1" s="1"/>
  <c r="P57" i="1"/>
  <c r="P127" i="1"/>
  <c r="P129" i="1" s="1"/>
  <c r="P137" i="1"/>
  <c r="P139" i="1" s="1"/>
  <c r="P8" i="1"/>
  <c r="P59" i="1"/>
  <c r="P60" i="1"/>
  <c r="AK102" i="1"/>
  <c r="AL102" i="1" s="1"/>
  <c r="E38" i="7"/>
  <c r="L12" i="1"/>
  <c r="L66" i="1" s="1"/>
  <c r="G569" i="2"/>
  <c r="G566" i="2"/>
  <c r="G394" i="2"/>
  <c r="G397" i="2"/>
  <c r="H862" i="2"/>
  <c r="H854" i="2"/>
  <c r="H856" i="2"/>
  <c r="H853" i="2"/>
  <c r="H851" i="2"/>
  <c r="V850" i="2"/>
  <c r="W850" i="2" s="1"/>
  <c r="X850" i="2" s="1"/>
  <c r="E61" i="6"/>
  <c r="H455" i="1"/>
  <c r="Z656" i="1"/>
  <c r="AK656" i="1" s="1"/>
  <c r="AL656" i="1" s="1"/>
  <c r="Z183" i="1"/>
  <c r="AK396" i="1"/>
  <c r="AL396" i="1" s="1"/>
  <c r="Z398" i="1"/>
  <c r="Z419" i="1" s="1"/>
  <c r="G572" i="2"/>
  <c r="G400" i="2"/>
  <c r="U660" i="1"/>
  <c r="U263" i="1"/>
  <c r="U273" i="1" s="1"/>
  <c r="J12" i="1"/>
  <c r="J66" i="1" s="1"/>
  <c r="F353" i="2"/>
  <c r="AK568" i="1"/>
  <c r="AL568" i="1" s="1"/>
  <c r="U571" i="1"/>
  <c r="U323" i="1"/>
  <c r="U530" i="1"/>
  <c r="U529" i="1"/>
  <c r="U662" i="1"/>
  <c r="U324" i="1"/>
  <c r="F729" i="2"/>
  <c r="J662" i="1"/>
  <c r="J323" i="1"/>
  <c r="J324" i="1"/>
  <c r="J530" i="1"/>
  <c r="J571" i="1"/>
  <c r="J529" i="1"/>
  <c r="U108" i="1"/>
  <c r="H94" i="1"/>
  <c r="L529" i="1"/>
  <c r="L530" i="1"/>
  <c r="L323" i="1"/>
  <c r="L324" i="1"/>
  <c r="L571" i="1"/>
  <c r="L662" i="1"/>
  <c r="G549" i="2"/>
  <c r="J862" i="2"/>
  <c r="J851" i="2"/>
  <c r="J853" i="2"/>
  <c r="J856" i="2"/>
  <c r="J854" i="2"/>
  <c r="H479" i="1"/>
  <c r="AK469" i="1"/>
  <c r="AL469" i="1" s="1"/>
  <c r="V861" i="2"/>
  <c r="W861" i="2" s="1"/>
  <c r="X861" i="2" s="1"/>
  <c r="F26" i="6"/>
  <c r="O838" i="2" s="1"/>
  <c r="F10" i="6"/>
  <c r="F32" i="6"/>
  <c r="R838" i="2" s="1"/>
  <c r="F22" i="6"/>
  <c r="M838" i="2" s="1"/>
  <c r="F16" i="6"/>
  <c r="F34" i="6"/>
  <c r="S838" i="2" s="1"/>
  <c r="F12" i="6"/>
  <c r="H838" i="2" s="1"/>
  <c r="F30" i="6"/>
  <c r="Q838" i="2" s="1"/>
  <c r="F24" i="6"/>
  <c r="N838" i="2" s="1"/>
  <c r="F20" i="6"/>
  <c r="L838" i="2" s="1"/>
  <c r="F28" i="6"/>
  <c r="P838" i="2" s="1"/>
  <c r="H159" i="1"/>
  <c r="AJ530" i="1"/>
  <c r="AJ662" i="1"/>
  <c r="AJ529" i="1"/>
  <c r="AJ324" i="1"/>
  <c r="AJ571" i="1"/>
  <c r="AJ323" i="1"/>
  <c r="P581" i="1"/>
  <c r="F361" i="2" s="1"/>
  <c r="AK578" i="1"/>
  <c r="AL578" i="1" s="1"/>
  <c r="M12" i="1"/>
  <c r="M66" i="1" s="1"/>
  <c r="J755" i="2" l="1"/>
  <c r="J112" i="30" s="1"/>
  <c r="J8" i="30"/>
  <c r="Y659" i="1"/>
  <c r="Y481" i="1"/>
  <c r="Y483" i="1" s="1"/>
  <c r="V659" i="1"/>
  <c r="V481" i="1"/>
  <c r="V483" i="1" s="1"/>
  <c r="V485" i="1" s="1"/>
  <c r="V510" i="1" s="1"/>
  <c r="Z659" i="1"/>
  <c r="Z481" i="1"/>
  <c r="Z483" i="1" s="1"/>
  <c r="Z485" i="1" s="1"/>
  <c r="Z510" i="1" s="1"/>
  <c r="U275" i="1"/>
  <c r="H481" i="1"/>
  <c r="W245" i="1"/>
  <c r="W258" i="1" s="1"/>
  <c r="W481" i="1"/>
  <c r="W483" i="1" s="1"/>
  <c r="W485" i="1" s="1"/>
  <c r="W510" i="1" s="1"/>
  <c r="X245" i="1"/>
  <c r="X258" i="1" s="1"/>
  <c r="X275" i="1" s="1"/>
  <c r="X481" i="1"/>
  <c r="X483" i="1" s="1"/>
  <c r="X485" i="1" s="1"/>
  <c r="X510" i="1" s="1"/>
  <c r="F330" i="1"/>
  <c r="F595" i="1"/>
  <c r="J838" i="2"/>
  <c r="J388" i="2" s="1"/>
  <c r="K381" i="2"/>
  <c r="K373" i="2"/>
  <c r="K369" i="2"/>
  <c r="K374" i="2"/>
  <c r="J356" i="2"/>
  <c r="J355" i="2"/>
  <c r="K388" i="2"/>
  <c r="J748" i="2"/>
  <c r="J105" i="30" s="1"/>
  <c r="J563" i="2"/>
  <c r="J747" i="2"/>
  <c r="J104" i="30" s="1"/>
  <c r="J746" i="2"/>
  <c r="J103" i="30" s="1"/>
  <c r="K376" i="2"/>
  <c r="K366" i="2"/>
  <c r="J527" i="2"/>
  <c r="J652" i="2"/>
  <c r="J9" i="30" s="1"/>
  <c r="J528" i="2"/>
  <c r="J526" i="2"/>
  <c r="K541" i="2"/>
  <c r="K655" i="2"/>
  <c r="K12" i="30" s="1"/>
  <c r="K560" i="2"/>
  <c r="K666" i="2"/>
  <c r="K23" i="30" s="1"/>
  <c r="K814" i="2"/>
  <c r="K547" i="2"/>
  <c r="K544" i="2"/>
  <c r="K657" i="2"/>
  <c r="K14" i="30" s="1"/>
  <c r="K656" i="2"/>
  <c r="K13" i="30" s="1"/>
  <c r="K833" i="2"/>
  <c r="K356" i="2" s="1"/>
  <c r="K548" i="2"/>
  <c r="K803" i="2"/>
  <c r="K553" i="2"/>
  <c r="K557" i="2"/>
  <c r="K663" i="2"/>
  <c r="K20" i="30" s="1"/>
  <c r="K545" i="2"/>
  <c r="K546" i="2"/>
  <c r="K840" i="2"/>
  <c r="K394" i="2" s="1"/>
  <c r="K661" i="2"/>
  <c r="K18" i="30" s="1"/>
  <c r="K662" i="2"/>
  <c r="K19" i="30" s="1"/>
  <c r="K651" i="2"/>
  <c r="K815" i="2"/>
  <c r="K921" i="2"/>
  <c r="K664" i="2"/>
  <c r="K21" i="30" s="1"/>
  <c r="K552" i="2"/>
  <c r="K836" i="2"/>
  <c r="L1" i="2"/>
  <c r="L560" i="2" s="1"/>
  <c r="K839" i="2"/>
  <c r="K563" i="2" s="1"/>
  <c r="K665" i="2"/>
  <c r="K22" i="30" s="1"/>
  <c r="K841" i="2"/>
  <c r="K724" i="2"/>
  <c r="K81" i="30" s="1"/>
  <c r="K538" i="2"/>
  <c r="K385" i="2"/>
  <c r="K375" i="2"/>
  <c r="K380" i="2"/>
  <c r="I869" i="2"/>
  <c r="I553" i="2"/>
  <c r="I554" i="2" s="1"/>
  <c r="Q662" i="1"/>
  <c r="Q323" i="1"/>
  <c r="Q108" i="1"/>
  <c r="Q658" i="1"/>
  <c r="Q234" i="1"/>
  <c r="Q141" i="1"/>
  <c r="Q324" i="1"/>
  <c r="Q529" i="1"/>
  <c r="Q12" i="1"/>
  <c r="Q66" i="1" s="1"/>
  <c r="Q530" i="1"/>
  <c r="Z245" i="1"/>
  <c r="Z258" i="1" s="1"/>
  <c r="Z275" i="1" s="1"/>
  <c r="Z141" i="1"/>
  <c r="Q229" i="1"/>
  <c r="Q235" i="1"/>
  <c r="Q228" i="1"/>
  <c r="Q236" i="1"/>
  <c r="Q237" i="1"/>
  <c r="Q483" i="1"/>
  <c r="Q485" i="1" s="1"/>
  <c r="Q510" i="1" s="1"/>
  <c r="Q525" i="1" s="1"/>
  <c r="Q227" i="1"/>
  <c r="Q231" i="1"/>
  <c r="Q230" i="1"/>
  <c r="AB321" i="1"/>
  <c r="X527" i="1"/>
  <c r="T524" i="1"/>
  <c r="V245" i="1"/>
  <c r="V258" i="1" s="1"/>
  <c r="V275" i="1" s="1"/>
  <c r="V141" i="1"/>
  <c r="Z242" i="1"/>
  <c r="AJ242" i="1"/>
  <c r="AJ277" i="1" s="1"/>
  <c r="X242" i="1"/>
  <c r="K242" i="1"/>
  <c r="L242" i="1"/>
  <c r="S661" i="1"/>
  <c r="AC528" i="1"/>
  <c r="O661" i="1"/>
  <c r="AH242" i="1"/>
  <c r="AH279" i="1" s="1"/>
  <c r="AH304" i="1" s="1"/>
  <c r="AH652" i="1" s="1"/>
  <c r="W12" i="1"/>
  <c r="W66" i="1" s="1"/>
  <c r="W93" i="1" s="1"/>
  <c r="W96" i="1" s="1"/>
  <c r="W583" i="1" s="1"/>
  <c r="AH318" i="1"/>
  <c r="AH522" i="1"/>
  <c r="AH316" i="1"/>
  <c r="AH321" i="1"/>
  <c r="AH319" i="1"/>
  <c r="AH315" i="1"/>
  <c r="AH520" i="1"/>
  <c r="AH525" i="1"/>
  <c r="S664" i="1"/>
  <c r="W108" i="1"/>
  <c r="W324" i="1"/>
  <c r="W242" i="1"/>
  <c r="AH66" i="1"/>
  <c r="AH114" i="1" s="1"/>
  <c r="AF664" i="1"/>
  <c r="AF66" i="1"/>
  <c r="AF650" i="1" s="1"/>
  <c r="U664" i="1"/>
  <c r="U66" i="1"/>
  <c r="U93" i="1" s="1"/>
  <c r="U96" i="1" s="1"/>
  <c r="AH661" i="1"/>
  <c r="AH322" i="1"/>
  <c r="X315" i="1"/>
  <c r="V572" i="1"/>
  <c r="V574" i="1" s="1"/>
  <c r="F316" i="2" s="1"/>
  <c r="G316" i="2" s="1"/>
  <c r="V66" i="1"/>
  <c r="V115" i="1" s="1"/>
  <c r="AH519" i="1"/>
  <c r="AH521" i="1"/>
  <c r="S572" i="1"/>
  <c r="S574" i="1" s="1"/>
  <c r="F309" i="2" s="1"/>
  <c r="K309" i="2" s="1"/>
  <c r="AB572" i="1"/>
  <c r="AB574" i="1" s="1"/>
  <c r="F328" i="2" s="1"/>
  <c r="AB66" i="1"/>
  <c r="F42" i="2" s="1"/>
  <c r="AD572" i="1"/>
  <c r="AD574" i="1" s="1"/>
  <c r="F334" i="2" s="1"/>
  <c r="I334" i="2" s="1"/>
  <c r="AD66" i="1"/>
  <c r="AD115" i="1" s="1"/>
  <c r="AH314" i="1"/>
  <c r="AH313" i="1"/>
  <c r="AH527" i="1"/>
  <c r="AH528" i="1"/>
  <c r="T572" i="1"/>
  <c r="T574" i="1" s="1"/>
  <c r="F312" i="2" s="1"/>
  <c r="T66" i="1"/>
  <c r="F26" i="2" s="1"/>
  <c r="L26" i="2" s="1"/>
  <c r="AH524" i="1"/>
  <c r="X318" i="1"/>
  <c r="AA66" i="1"/>
  <c r="AA650" i="1" s="1"/>
  <c r="W530" i="1"/>
  <c r="O664" i="1"/>
  <c r="O66" i="1"/>
  <c r="F17" i="2" s="1"/>
  <c r="W659" i="1"/>
  <c r="H664" i="1"/>
  <c r="H66" i="1"/>
  <c r="F8" i="2" s="1"/>
  <c r="AB315" i="1"/>
  <c r="AB318" i="1"/>
  <c r="AK61" i="1"/>
  <c r="AL61" i="1" s="1"/>
  <c r="W323" i="1"/>
  <c r="X108" i="1"/>
  <c r="W141" i="1"/>
  <c r="AK10" i="1"/>
  <c r="AL10" i="1" s="1"/>
  <c r="W529" i="1"/>
  <c r="W662" i="1"/>
  <c r="W571" i="1"/>
  <c r="AF572" i="1"/>
  <c r="AF574" i="1" s="1"/>
  <c r="F337" i="2" s="1"/>
  <c r="X141" i="1"/>
  <c r="U242" i="1"/>
  <c r="G377" i="2"/>
  <c r="O315" i="1"/>
  <c r="I377" i="2"/>
  <c r="Y141" i="1"/>
  <c r="I141" i="1"/>
  <c r="U315" i="1"/>
  <c r="AC318" i="1"/>
  <c r="AK59" i="1"/>
  <c r="AL59" i="1" s="1"/>
  <c r="I530" i="1"/>
  <c r="U319" i="1"/>
  <c r="I662" i="1"/>
  <c r="I571" i="1"/>
  <c r="I323" i="1"/>
  <c r="I529" i="1"/>
  <c r="I324" i="1"/>
  <c r="X323" i="1"/>
  <c r="X519" i="1"/>
  <c r="X521" i="1"/>
  <c r="X314" i="1"/>
  <c r="X520" i="1"/>
  <c r="O314" i="1"/>
  <c r="X319" i="1"/>
  <c r="X321" i="1"/>
  <c r="X525" i="1"/>
  <c r="X316" i="1"/>
  <c r="I12" i="1"/>
  <c r="X313" i="1"/>
  <c r="X661" i="1"/>
  <c r="Y245" i="1"/>
  <c r="Y258" i="1" s="1"/>
  <c r="Y275" i="1" s="1"/>
  <c r="X524" i="1"/>
  <c r="X322" i="1"/>
  <c r="X324" i="1"/>
  <c r="X528" i="1"/>
  <c r="X522" i="1"/>
  <c r="H242" i="1"/>
  <c r="Y12" i="1"/>
  <c r="V242" i="1"/>
  <c r="I108" i="1"/>
  <c r="AC322" i="1"/>
  <c r="AF321" i="1"/>
  <c r="Y324" i="1"/>
  <c r="X659" i="1"/>
  <c r="X12" i="1"/>
  <c r="X572" i="1" s="1"/>
  <c r="X574" i="1" s="1"/>
  <c r="F318" i="2" s="1"/>
  <c r="W275" i="1"/>
  <c r="AF522" i="1"/>
  <c r="S115" i="1"/>
  <c r="AA242" i="1"/>
  <c r="AA279" i="1" s="1"/>
  <c r="AA304" i="1" s="1"/>
  <c r="AA652" i="1" s="1"/>
  <c r="AF314" i="1"/>
  <c r="AK60" i="1"/>
  <c r="AL60" i="1" s="1"/>
  <c r="AD664" i="1"/>
  <c r="AK106" i="1"/>
  <c r="AL106" i="1" s="1"/>
  <c r="Y529" i="1"/>
  <c r="AK9" i="1"/>
  <c r="AL9" i="1" s="1"/>
  <c r="J242" i="1"/>
  <c r="H572" i="1"/>
  <c r="H574" i="1" s="1"/>
  <c r="F294" i="2" s="1"/>
  <c r="Y323" i="1"/>
  <c r="AH664" i="1"/>
  <c r="Y530" i="1"/>
  <c r="Y571" i="1"/>
  <c r="AC525" i="1"/>
  <c r="AF242" i="1"/>
  <c r="AF277" i="1" s="1"/>
  <c r="Y662" i="1"/>
  <c r="AC519" i="1"/>
  <c r="AH572" i="1"/>
  <c r="AH574" i="1" s="1"/>
  <c r="F340" i="2" s="1"/>
  <c r="AC316" i="1"/>
  <c r="S93" i="1"/>
  <c r="S96" i="1" s="1"/>
  <c r="S523" i="1" s="1"/>
  <c r="S79" i="1"/>
  <c r="X530" i="1"/>
  <c r="V664" i="1"/>
  <c r="X529" i="1"/>
  <c r="AK137" i="1"/>
  <c r="AK139" i="1" s="1"/>
  <c r="AL139" i="1" s="1"/>
  <c r="X662" i="1"/>
  <c r="AA572" i="1"/>
  <c r="AA574" i="1" s="1"/>
  <c r="F324" i="2" s="1"/>
  <c r="I324" i="2" s="1"/>
  <c r="AA664" i="1"/>
  <c r="AK646" i="1"/>
  <c r="AL646" i="1" s="1"/>
  <c r="U522" i="1"/>
  <c r="U527" i="1"/>
  <c r="Y242" i="1"/>
  <c r="U519" i="1"/>
  <c r="U321" i="1"/>
  <c r="U520" i="1"/>
  <c r="U318" i="1"/>
  <c r="U524" i="1"/>
  <c r="U322" i="1"/>
  <c r="U525" i="1"/>
  <c r="U661" i="1"/>
  <c r="U528" i="1"/>
  <c r="F23" i="2"/>
  <c r="U316" i="1"/>
  <c r="U521" i="1"/>
  <c r="S114" i="1"/>
  <c r="U313" i="1"/>
  <c r="T242" i="1"/>
  <c r="T279" i="1" s="1"/>
  <c r="AK631" i="1"/>
  <c r="AL631" i="1" s="1"/>
  <c r="AK443" i="1"/>
  <c r="AL443" i="1" s="1"/>
  <c r="AD242" i="1"/>
  <c r="AD277" i="1" s="1"/>
  <c r="M242" i="1"/>
  <c r="M277" i="1" s="1"/>
  <c r="AF519" i="1"/>
  <c r="AF521" i="1"/>
  <c r="AF661" i="1"/>
  <c r="AC527" i="1"/>
  <c r="AF527" i="1"/>
  <c r="AF318" i="1"/>
  <c r="AJ321" i="1"/>
  <c r="T664" i="1"/>
  <c r="AC524" i="1"/>
  <c r="AF322" i="1"/>
  <c r="AF520" i="1"/>
  <c r="AJ661" i="1"/>
  <c r="AC661" i="1"/>
  <c r="O572" i="1"/>
  <c r="O574" i="1" s="1"/>
  <c r="F303" i="2" s="1"/>
  <c r="AC313" i="1"/>
  <c r="AC319" i="1"/>
  <c r="AF316" i="1"/>
  <c r="AF528" i="1"/>
  <c r="AJ528" i="1"/>
  <c r="AC520" i="1"/>
  <c r="AC321" i="1"/>
  <c r="AC242" i="1"/>
  <c r="AC279" i="1" s="1"/>
  <c r="AC304" i="1" s="1"/>
  <c r="AC652" i="1" s="1"/>
  <c r="AF315" i="1"/>
  <c r="AF525" i="1"/>
  <c r="AJ313" i="1"/>
  <c r="AC315" i="1"/>
  <c r="AF313" i="1"/>
  <c r="AF524" i="1"/>
  <c r="AJ319" i="1"/>
  <c r="AF319" i="1"/>
  <c r="AJ314" i="1"/>
  <c r="AJ318" i="1"/>
  <c r="AJ525" i="1"/>
  <c r="AJ519" i="1"/>
  <c r="AJ520" i="1"/>
  <c r="AJ521" i="1"/>
  <c r="AJ315" i="1"/>
  <c r="AJ524" i="1"/>
  <c r="AJ316" i="1"/>
  <c r="AJ522" i="1"/>
  <c r="AJ527" i="1"/>
  <c r="I151" i="1"/>
  <c r="I653" i="1"/>
  <c r="AK653" i="1" s="1"/>
  <c r="AL653" i="1" s="1"/>
  <c r="AK366" i="1"/>
  <c r="AL366" i="1" s="1"/>
  <c r="AB319" i="1"/>
  <c r="AC664" i="1"/>
  <c r="AC572" i="1"/>
  <c r="AC574" i="1" s="1"/>
  <c r="F331" i="2" s="1"/>
  <c r="O519" i="1"/>
  <c r="AB661" i="1"/>
  <c r="AB524" i="1"/>
  <c r="T521" i="1"/>
  <c r="I242" i="1"/>
  <c r="I277" i="1" s="1"/>
  <c r="AB314" i="1"/>
  <c r="O319" i="1"/>
  <c r="O316" i="1"/>
  <c r="AB322" i="1"/>
  <c r="AK94" i="1"/>
  <c r="AL94" i="1" s="1"/>
  <c r="T313" i="1"/>
  <c r="AB527" i="1"/>
  <c r="AB520" i="1"/>
  <c r="AB519" i="1"/>
  <c r="T522" i="1"/>
  <c r="AC522" i="1"/>
  <c r="AC314" i="1"/>
  <c r="AC521" i="1"/>
  <c r="O525" i="1"/>
  <c r="AB528" i="1"/>
  <c r="O528" i="1"/>
  <c r="AB521" i="1"/>
  <c r="O318" i="1"/>
  <c r="AB316" i="1"/>
  <c r="AB525" i="1"/>
  <c r="T520" i="1"/>
  <c r="AB522" i="1"/>
  <c r="O520" i="1"/>
  <c r="AB313" i="1"/>
  <c r="U572" i="1"/>
  <c r="U574" i="1" s="1"/>
  <c r="T528" i="1"/>
  <c r="O242" i="1"/>
  <c r="O279" i="1" s="1"/>
  <c r="O304" i="1" s="1"/>
  <c r="O652" i="1" s="1"/>
  <c r="T321" i="1"/>
  <c r="T319" i="1"/>
  <c r="P108" i="1"/>
  <c r="S242" i="1"/>
  <c r="S279" i="1" s="1"/>
  <c r="S304" i="1" s="1"/>
  <c r="S652" i="1" s="1"/>
  <c r="T316" i="1"/>
  <c r="K572" i="1"/>
  <c r="K574" i="1" s="1"/>
  <c r="F297" i="2" s="1"/>
  <c r="T318" i="1"/>
  <c r="T527" i="1"/>
  <c r="Z572" i="1"/>
  <c r="Z574" i="1" s="1"/>
  <c r="F323" i="2" s="1"/>
  <c r="Z664" i="1"/>
  <c r="K664" i="1"/>
  <c r="AB664" i="1"/>
  <c r="T525" i="1"/>
  <c r="T322" i="1"/>
  <c r="T315" i="1"/>
  <c r="T519" i="1"/>
  <c r="T661" i="1"/>
  <c r="AK77" i="1"/>
  <c r="AL77" i="1" s="1"/>
  <c r="T314" i="1"/>
  <c r="S319" i="1"/>
  <c r="S519" i="1"/>
  <c r="S321" i="1"/>
  <c r="S525" i="1"/>
  <c r="S521" i="1"/>
  <c r="S527" i="1"/>
  <c r="S318" i="1"/>
  <c r="S316" i="1"/>
  <c r="S322" i="1"/>
  <c r="S315" i="1"/>
  <c r="S313" i="1"/>
  <c r="S314" i="1"/>
  <c r="S528" i="1"/>
  <c r="S522" i="1"/>
  <c r="S524" i="1"/>
  <c r="S520" i="1"/>
  <c r="O522" i="1"/>
  <c r="O322" i="1"/>
  <c r="O521" i="1"/>
  <c r="O313" i="1"/>
  <c r="O527" i="1"/>
  <c r="O321" i="1"/>
  <c r="O524" i="1"/>
  <c r="AB242" i="1"/>
  <c r="AK581" i="1"/>
  <c r="AL581" i="1" s="1"/>
  <c r="P141" i="1"/>
  <c r="Z650" i="1"/>
  <c r="Z115" i="1"/>
  <c r="Z79" i="1"/>
  <c r="Z114" i="1"/>
  <c r="F37" i="2"/>
  <c r="Z93" i="1"/>
  <c r="Z96" i="1" s="1"/>
  <c r="F11" i="2"/>
  <c r="K79" i="1"/>
  <c r="K115" i="1"/>
  <c r="K114" i="1"/>
  <c r="K93" i="1"/>
  <c r="K96" i="1" s="1"/>
  <c r="K650" i="1"/>
  <c r="Z189" i="1"/>
  <c r="AK183" i="1"/>
  <c r="AL183" i="1" s="1"/>
  <c r="V519" i="1"/>
  <c r="V322" i="1"/>
  <c r="V318" i="1"/>
  <c r="V521" i="1"/>
  <c r="V528" i="1"/>
  <c r="V527" i="1"/>
  <c r="V316" i="1"/>
  <c r="V525" i="1"/>
  <c r="V314" i="1"/>
  <c r="V522" i="1"/>
  <c r="V524" i="1"/>
  <c r="V319" i="1"/>
  <c r="V661" i="1"/>
  <c r="V315" i="1"/>
  <c r="V520" i="1"/>
  <c r="V313" i="1"/>
  <c r="V321" i="1"/>
  <c r="F357" i="2"/>
  <c r="P12" i="1"/>
  <c r="P66" i="1" s="1"/>
  <c r="AK8" i="1"/>
  <c r="AL8" i="1" s="1"/>
  <c r="AK74" i="1"/>
  <c r="AL74" i="1" s="1"/>
  <c r="T865" i="2"/>
  <c r="T855" i="2"/>
  <c r="Y419" i="1"/>
  <c r="Y485" i="1" s="1"/>
  <c r="AK398" i="1"/>
  <c r="AL398" i="1" s="1"/>
  <c r="F363" i="2"/>
  <c r="J855" i="2"/>
  <c r="J866" i="2"/>
  <c r="J841" i="2"/>
  <c r="J572" i="1"/>
  <c r="J574" i="1" s="1"/>
  <c r="J664" i="1"/>
  <c r="H863" i="2"/>
  <c r="H840" i="2"/>
  <c r="V851" i="2"/>
  <c r="W851" i="2" s="1"/>
  <c r="X851" i="2" s="1"/>
  <c r="H814" i="2"/>
  <c r="H865" i="2"/>
  <c r="V853" i="2"/>
  <c r="W853" i="2" s="1"/>
  <c r="X853" i="2" s="1"/>
  <c r="F20" i="7"/>
  <c r="L837" i="2" s="1"/>
  <c r="F10" i="7"/>
  <c r="F30" i="7"/>
  <c r="Q837" i="2" s="1"/>
  <c r="F24" i="7"/>
  <c r="N837" i="2" s="1"/>
  <c r="F32" i="7"/>
  <c r="R837" i="2" s="1"/>
  <c r="F12" i="7"/>
  <c r="F22" i="7"/>
  <c r="M837" i="2" s="1"/>
  <c r="F34" i="7"/>
  <c r="S837" i="2" s="1"/>
  <c r="F26" i="7"/>
  <c r="O837" i="2" s="1"/>
  <c r="F16" i="7"/>
  <c r="F28" i="7"/>
  <c r="P837" i="2" s="1"/>
  <c r="F36" i="7"/>
  <c r="T837" i="2" s="1"/>
  <c r="F18" i="7"/>
  <c r="G382" i="2"/>
  <c r="G838" i="2"/>
  <c r="F38" i="6"/>
  <c r="F61" i="6" s="1"/>
  <c r="H660" i="1"/>
  <c r="AK660" i="1" s="1"/>
  <c r="AL660" i="1" s="1"/>
  <c r="H263" i="1"/>
  <c r="AK479" i="1"/>
  <c r="AL479" i="1" s="1"/>
  <c r="J865" i="2"/>
  <c r="J814" i="2"/>
  <c r="F783" i="2"/>
  <c r="F800" i="2"/>
  <c r="H546" i="2"/>
  <c r="H868" i="2"/>
  <c r="H836" i="2"/>
  <c r="H374" i="2"/>
  <c r="AK127" i="1"/>
  <c r="F14" i="7"/>
  <c r="P324" i="1"/>
  <c r="P571" i="1"/>
  <c r="P323" i="1"/>
  <c r="P530" i="1"/>
  <c r="P529" i="1"/>
  <c r="P662" i="1"/>
  <c r="AK57" i="1"/>
  <c r="AL57" i="1" s="1"/>
  <c r="AA520" i="1"/>
  <c r="AA661" i="1"/>
  <c r="AA528" i="1"/>
  <c r="AA316" i="1"/>
  <c r="AA319" i="1"/>
  <c r="AA519" i="1"/>
  <c r="AA314" i="1"/>
  <c r="AA527" i="1"/>
  <c r="AA524" i="1"/>
  <c r="AA525" i="1"/>
  <c r="AA313" i="1"/>
  <c r="AA315" i="1"/>
  <c r="AA521" i="1"/>
  <c r="AA322" i="1"/>
  <c r="AA318" i="1"/>
  <c r="AA321" i="1"/>
  <c r="AA522" i="1"/>
  <c r="J868" i="2"/>
  <c r="J546" i="2"/>
  <c r="J374" i="2"/>
  <c r="J836" i="2"/>
  <c r="M664" i="1"/>
  <c r="M572" i="1"/>
  <c r="M574" i="1" s="1"/>
  <c r="H866" i="2"/>
  <c r="H841" i="2"/>
  <c r="H855" i="2"/>
  <c r="V854" i="2"/>
  <c r="W854" i="2" s="1"/>
  <c r="X854" i="2" s="1"/>
  <c r="L572" i="1"/>
  <c r="L574" i="1" s="1"/>
  <c r="L664" i="1"/>
  <c r="AJ664" i="1"/>
  <c r="AJ572" i="1"/>
  <c r="AJ574" i="1" s="1"/>
  <c r="P234" i="1"/>
  <c r="P236" i="1"/>
  <c r="P658" i="1"/>
  <c r="P230" i="1"/>
  <c r="P228" i="1"/>
  <c r="P235" i="1"/>
  <c r="P238" i="1"/>
  <c r="AK238" i="1" s="1"/>
  <c r="AL238" i="1" s="1"/>
  <c r="P227" i="1"/>
  <c r="P237" i="1"/>
  <c r="P231" i="1"/>
  <c r="P229" i="1"/>
  <c r="P483" i="1"/>
  <c r="AK440" i="1"/>
  <c r="AL440" i="1" s="1"/>
  <c r="G554" i="2"/>
  <c r="AK105" i="1"/>
  <c r="AL105" i="1" s="1"/>
  <c r="H659" i="1"/>
  <c r="H245" i="1"/>
  <c r="AK455" i="1"/>
  <c r="AL455" i="1" s="1"/>
  <c r="W519" i="1"/>
  <c r="W314" i="1"/>
  <c r="W661" i="1"/>
  <c r="W318" i="1"/>
  <c r="W524" i="1"/>
  <c r="W315" i="1"/>
  <c r="W527" i="1"/>
  <c r="W313" i="1"/>
  <c r="W528" i="1"/>
  <c r="W522" i="1"/>
  <c r="W316" i="1"/>
  <c r="W322" i="1"/>
  <c r="W521" i="1"/>
  <c r="W520" i="1"/>
  <c r="W321" i="1"/>
  <c r="W319" i="1"/>
  <c r="W525" i="1"/>
  <c r="J863" i="2"/>
  <c r="J840" i="2"/>
  <c r="AD321" i="1"/>
  <c r="AD522" i="1"/>
  <c r="AD524" i="1"/>
  <c r="AD519" i="1"/>
  <c r="AD520" i="1"/>
  <c r="AD318" i="1"/>
  <c r="AD319" i="1"/>
  <c r="AD525" i="1"/>
  <c r="AD528" i="1"/>
  <c r="AD315" i="1"/>
  <c r="AD322" i="1"/>
  <c r="AD316" i="1"/>
  <c r="AD527" i="1"/>
  <c r="AD521" i="1"/>
  <c r="AD314" i="1"/>
  <c r="AD313" i="1"/>
  <c r="AD661" i="1"/>
  <c r="V862" i="2"/>
  <c r="W862" i="2" s="1"/>
  <c r="X862" i="2" s="1"/>
  <c r="H388" i="2"/>
  <c r="H560" i="2"/>
  <c r="Y180" i="1"/>
  <c r="AK173" i="1"/>
  <c r="AL173" i="1" s="1"/>
  <c r="K755" i="2" l="1"/>
  <c r="K112" i="30" s="1"/>
  <c r="K8" i="30"/>
  <c r="J560" i="2"/>
  <c r="J331" i="2"/>
  <c r="AK481" i="1"/>
  <c r="AL481" i="1" s="1"/>
  <c r="H483" i="1"/>
  <c r="AK483" i="1" s="1"/>
  <c r="AL483" i="1" s="1"/>
  <c r="U277" i="1"/>
  <c r="L312" i="2"/>
  <c r="K382" i="2"/>
  <c r="L388" i="2"/>
  <c r="K377" i="2"/>
  <c r="K554" i="2"/>
  <c r="K391" i="2"/>
  <c r="K746" i="2"/>
  <c r="K103" i="30" s="1"/>
  <c r="K397" i="2"/>
  <c r="K566" i="2"/>
  <c r="K549" i="2"/>
  <c r="K572" i="2"/>
  <c r="K400" i="2"/>
  <c r="K747" i="2"/>
  <c r="K104" i="30" s="1"/>
  <c r="K526" i="2"/>
  <c r="L657" i="2"/>
  <c r="L14" i="30" s="1"/>
  <c r="L656" i="2"/>
  <c r="L13" i="30" s="1"/>
  <c r="L366" i="2"/>
  <c r="L380" i="2"/>
  <c r="L546" i="2"/>
  <c r="L664" i="2"/>
  <c r="L21" i="30" s="1"/>
  <c r="L841" i="2"/>
  <c r="L662" i="2"/>
  <c r="L19" i="30" s="1"/>
  <c r="L665" i="2"/>
  <c r="L22" i="30" s="1"/>
  <c r="L376" i="2"/>
  <c r="L374" i="2"/>
  <c r="L815" i="2"/>
  <c r="L544" i="2"/>
  <c r="L547" i="2"/>
  <c r="L538" i="2"/>
  <c r="L375" i="2"/>
  <c r="L666" i="2"/>
  <c r="L23" i="30" s="1"/>
  <c r="L663" i="2"/>
  <c r="L20" i="30" s="1"/>
  <c r="L833" i="2"/>
  <c r="L839" i="2"/>
  <c r="L334" i="2" s="1"/>
  <c r="L840" i="2"/>
  <c r="L337" i="2" s="1"/>
  <c r="L552" i="2"/>
  <c r="L655" i="2"/>
  <c r="L12" i="30" s="1"/>
  <c r="M1" i="2"/>
  <c r="M23" i="2" s="1"/>
  <c r="L836" i="2"/>
  <c r="L724" i="2"/>
  <c r="L81" i="30" s="1"/>
  <c r="L369" i="2"/>
  <c r="L921" i="2"/>
  <c r="L381" i="2"/>
  <c r="L651" i="2"/>
  <c r="L545" i="2"/>
  <c r="L541" i="2"/>
  <c r="L372" i="2"/>
  <c r="L553" i="2"/>
  <c r="L548" i="2"/>
  <c r="L373" i="2"/>
  <c r="L803" i="2"/>
  <c r="L814" i="2"/>
  <c r="L661" i="2"/>
  <c r="L18" i="30" s="1"/>
  <c r="K354" i="2"/>
  <c r="K527" i="2"/>
  <c r="K528" i="2"/>
  <c r="K652" i="2"/>
  <c r="K9" i="30" s="1"/>
  <c r="K748" i="2"/>
  <c r="K105" i="30" s="1"/>
  <c r="K355" i="2"/>
  <c r="K569" i="2"/>
  <c r="J837" i="2"/>
  <c r="J385" i="2" s="1"/>
  <c r="AK658" i="1"/>
  <c r="AL658" i="1" s="1"/>
  <c r="AK234" i="1"/>
  <c r="AL234" i="1" s="1"/>
  <c r="AK231" i="1"/>
  <c r="AL231" i="1" s="1"/>
  <c r="AK228" i="1"/>
  <c r="AL228" i="1" s="1"/>
  <c r="Z277" i="1"/>
  <c r="AK236" i="1"/>
  <c r="AL236" i="1" s="1"/>
  <c r="Q527" i="1"/>
  <c r="Q664" i="1"/>
  <c r="Q315" i="1"/>
  <c r="Q522" i="1"/>
  <c r="Q314" i="1"/>
  <c r="Q572" i="1"/>
  <c r="Q574" i="1" s="1"/>
  <c r="F305" i="2" s="1"/>
  <c r="AK235" i="1"/>
  <c r="AL235" i="1" s="1"/>
  <c r="AK229" i="1"/>
  <c r="AL229" i="1" s="1"/>
  <c r="Q316" i="1"/>
  <c r="Q321" i="1"/>
  <c r="Q524" i="1"/>
  <c r="AK237" i="1"/>
  <c r="AL237" i="1" s="1"/>
  <c r="Q318" i="1"/>
  <c r="Q519" i="1"/>
  <c r="Q528" i="1"/>
  <c r="Q661" i="1"/>
  <c r="Q521" i="1"/>
  <c r="Q322" i="1"/>
  <c r="Q520" i="1"/>
  <c r="Q319" i="1"/>
  <c r="Q313" i="1"/>
  <c r="AK230" i="1"/>
  <c r="AL230" i="1" s="1"/>
  <c r="Q242" i="1"/>
  <c r="Q279" i="1" s="1"/>
  <c r="Q304" i="1" s="1"/>
  <c r="Q652" i="1" s="1"/>
  <c r="V277" i="1"/>
  <c r="K277" i="1"/>
  <c r="AJ279" i="1"/>
  <c r="AJ304" i="1" s="1"/>
  <c r="AJ652" i="1" s="1"/>
  <c r="X277" i="1"/>
  <c r="L277" i="1"/>
  <c r="AH277" i="1"/>
  <c r="W572" i="1"/>
  <c r="W574" i="1" s="1"/>
  <c r="F317" i="2" s="1"/>
  <c r="L317" i="2" s="1"/>
  <c r="W664" i="1"/>
  <c r="W277" i="1"/>
  <c r="H115" i="1"/>
  <c r="AA93" i="1"/>
  <c r="AA96" i="1" s="1"/>
  <c r="AA585" i="1" s="1"/>
  <c r="F495" i="2" s="1"/>
  <c r="AF79" i="1"/>
  <c r="AA79" i="1"/>
  <c r="AH79" i="1"/>
  <c r="AA115" i="1"/>
  <c r="H650" i="1"/>
  <c r="AH93" i="1"/>
  <c r="AH96" i="1" s="1"/>
  <c r="AH320" i="1" s="1"/>
  <c r="AH650" i="1"/>
  <c r="AH115" i="1"/>
  <c r="F54" i="2"/>
  <c r="G54" i="2" s="1"/>
  <c r="W114" i="1"/>
  <c r="AF114" i="1"/>
  <c r="AA114" i="1"/>
  <c r="F38" i="2"/>
  <c r="I38" i="2" s="1"/>
  <c r="X66" i="1"/>
  <c r="X79" i="1" s="1"/>
  <c r="Y664" i="1"/>
  <c r="Y66" i="1"/>
  <c r="Y114" i="1" s="1"/>
  <c r="L309" i="2"/>
  <c r="H114" i="1"/>
  <c r="H93" i="1"/>
  <c r="H96" i="1" s="1"/>
  <c r="H79" i="1"/>
  <c r="U279" i="1"/>
  <c r="U304" i="1" s="1"/>
  <c r="U652" i="1" s="1"/>
  <c r="F51" i="2"/>
  <c r="L51" i="2" s="1"/>
  <c r="AF93" i="1"/>
  <c r="AF96" i="1" s="1"/>
  <c r="AF585" i="1" s="1"/>
  <c r="F508" i="2" s="1"/>
  <c r="H508" i="2" s="1"/>
  <c r="F31" i="2"/>
  <c r="L31" i="2" s="1"/>
  <c r="W115" i="1"/>
  <c r="U650" i="1"/>
  <c r="W79" i="1"/>
  <c r="AF115" i="1"/>
  <c r="W650" i="1"/>
  <c r="I572" i="1"/>
  <c r="I574" i="1" s="1"/>
  <c r="F295" i="2" s="1"/>
  <c r="I66" i="1"/>
  <c r="I79" i="1" s="1"/>
  <c r="Y277" i="1"/>
  <c r="G334" i="2"/>
  <c r="H316" i="2"/>
  <c r="S585" i="1"/>
  <c r="F480" i="2" s="1"/>
  <c r="V79" i="1"/>
  <c r="AK108" i="1"/>
  <c r="AL108" i="1" s="1"/>
  <c r="H334" i="2"/>
  <c r="J334" i="2"/>
  <c r="X664" i="1"/>
  <c r="AK323" i="1"/>
  <c r="AL323" i="1" s="1"/>
  <c r="K334" i="2"/>
  <c r="L324" i="2"/>
  <c r="U115" i="1"/>
  <c r="K324" i="2"/>
  <c r="U79" i="1"/>
  <c r="G324" i="2"/>
  <c r="AK529" i="1"/>
  <c r="AL529" i="1" s="1"/>
  <c r="G312" i="2"/>
  <c r="W591" i="1"/>
  <c r="J312" i="2"/>
  <c r="W589" i="1"/>
  <c r="F608" i="2" s="1"/>
  <c r="W279" i="1"/>
  <c r="W304" i="1" s="1"/>
  <c r="W652" i="1" s="1"/>
  <c r="I664" i="1"/>
  <c r="W110" i="1"/>
  <c r="F89" i="2" s="1"/>
  <c r="K312" i="2"/>
  <c r="J277" i="1"/>
  <c r="U114" i="1"/>
  <c r="T277" i="1"/>
  <c r="V279" i="1"/>
  <c r="V304" i="1" s="1"/>
  <c r="V652" i="1" s="1"/>
  <c r="Y572" i="1"/>
  <c r="Y574" i="1" s="1"/>
  <c r="F319" i="2" s="1"/>
  <c r="J319" i="2" s="1"/>
  <c r="H312" i="2"/>
  <c r="AA277" i="1"/>
  <c r="T115" i="1"/>
  <c r="F29" i="2"/>
  <c r="G29" i="2" s="1"/>
  <c r="AK659" i="1"/>
  <c r="AL659" i="1" s="1"/>
  <c r="AK571" i="1"/>
  <c r="AL571" i="1" s="1"/>
  <c r="K26" i="2"/>
  <c r="J26" i="2"/>
  <c r="I309" i="2"/>
  <c r="H309" i="2"/>
  <c r="I26" i="2"/>
  <c r="X279" i="1"/>
  <c r="X304" i="1" s="1"/>
  <c r="X652" i="1" s="1"/>
  <c r="J309" i="2"/>
  <c r="T79" i="1"/>
  <c r="G26" i="2"/>
  <c r="T93" i="1"/>
  <c r="T96" i="1" s="1"/>
  <c r="T110" i="1" s="1"/>
  <c r="F84" i="2" s="1"/>
  <c r="H26" i="2"/>
  <c r="T114" i="1"/>
  <c r="T650" i="1"/>
  <c r="O79" i="1"/>
  <c r="G309" i="2"/>
  <c r="O114" i="1"/>
  <c r="O650" i="1"/>
  <c r="S317" i="1"/>
  <c r="AB115" i="1"/>
  <c r="W585" i="1"/>
  <c r="F488" i="2" s="1"/>
  <c r="H488" i="2" s="1"/>
  <c r="S583" i="1"/>
  <c r="F423" i="2" s="1"/>
  <c r="I423" i="2" s="1"/>
  <c r="S320" i="1"/>
  <c r="S110" i="1"/>
  <c r="F81" i="2" s="1"/>
  <c r="AB79" i="1"/>
  <c r="W523" i="1"/>
  <c r="W526" i="1"/>
  <c r="AF279" i="1"/>
  <c r="AF304" i="1" s="1"/>
  <c r="AF652" i="1" s="1"/>
  <c r="V93" i="1"/>
  <c r="V96" i="1" s="1"/>
  <c r="V650" i="1"/>
  <c r="J316" i="2"/>
  <c r="S589" i="1"/>
  <c r="F600" i="2" s="1"/>
  <c r="AL137" i="1"/>
  <c r="AB93" i="1"/>
  <c r="AB96" i="1" s="1"/>
  <c r="AB110" i="1" s="1"/>
  <c r="F100" i="2" s="1"/>
  <c r="W317" i="1"/>
  <c r="AC277" i="1"/>
  <c r="I316" i="2"/>
  <c r="AD79" i="1"/>
  <c r="AB114" i="1"/>
  <c r="W320" i="1"/>
  <c r="L316" i="2"/>
  <c r="K316" i="2"/>
  <c r="AK662" i="1"/>
  <c r="AL662" i="1" s="1"/>
  <c r="S591" i="1"/>
  <c r="I312" i="2"/>
  <c r="F30" i="2"/>
  <c r="L30" i="2" s="1"/>
  <c r="S526" i="1"/>
  <c r="S532" i="1" s="1"/>
  <c r="S534" i="1" s="1"/>
  <c r="AB650" i="1"/>
  <c r="AD650" i="1"/>
  <c r="F48" i="2"/>
  <c r="AD93" i="1"/>
  <c r="AD96" i="1" s="1"/>
  <c r="AD114" i="1"/>
  <c r="AK530" i="1"/>
  <c r="AL530" i="1" s="1"/>
  <c r="V114" i="1"/>
  <c r="H331" i="2"/>
  <c r="J23" i="2"/>
  <c r="I23" i="2"/>
  <c r="G23" i="2"/>
  <c r="K23" i="2"/>
  <c r="H23" i="2"/>
  <c r="L23" i="2"/>
  <c r="AD279" i="1"/>
  <c r="AD304" i="1" s="1"/>
  <c r="AD652" i="1" s="1"/>
  <c r="O115" i="1"/>
  <c r="O93" i="1"/>
  <c r="O96" i="1" s="1"/>
  <c r="I159" i="1"/>
  <c r="AK151" i="1"/>
  <c r="I331" i="2"/>
  <c r="L331" i="2"/>
  <c r="K331" i="2"/>
  <c r="AC650" i="1"/>
  <c r="AC79" i="1"/>
  <c r="AC114" i="1"/>
  <c r="AC115" i="1"/>
  <c r="AC93" i="1"/>
  <c r="AC96" i="1" s="1"/>
  <c r="F45" i="2"/>
  <c r="G45" i="2" s="1"/>
  <c r="K318" i="2"/>
  <c r="J318" i="2"/>
  <c r="L318" i="2"/>
  <c r="I318" i="2"/>
  <c r="H318" i="2"/>
  <c r="G318" i="2"/>
  <c r="J323" i="2"/>
  <c r="L323" i="2"/>
  <c r="I323" i="2"/>
  <c r="I325" i="2" s="1"/>
  <c r="G323" i="2"/>
  <c r="K323" i="2"/>
  <c r="H323" i="2"/>
  <c r="F325" i="2"/>
  <c r="S277" i="1"/>
  <c r="O277" i="1"/>
  <c r="K37" i="2"/>
  <c r="G37" i="2"/>
  <c r="I37" i="2"/>
  <c r="J37" i="2"/>
  <c r="H37" i="2"/>
  <c r="L37" i="2"/>
  <c r="AB277" i="1"/>
  <c r="AB279" i="1"/>
  <c r="AB304" i="1" s="1"/>
  <c r="AB652" i="1" s="1"/>
  <c r="K328" i="2"/>
  <c r="I328" i="2"/>
  <c r="Z317" i="1"/>
  <c r="Z320" i="1"/>
  <c r="Z591" i="1"/>
  <c r="Z585" i="1"/>
  <c r="F494" i="2" s="1"/>
  <c r="Z523" i="1"/>
  <c r="Z589" i="1"/>
  <c r="F614" i="2" s="1"/>
  <c r="Z583" i="1"/>
  <c r="Z526" i="1"/>
  <c r="Z110" i="1"/>
  <c r="F95" i="2" s="1"/>
  <c r="K42" i="2"/>
  <c r="I42" i="2"/>
  <c r="F19" i="2"/>
  <c r="Q79" i="1"/>
  <c r="Q114" i="1"/>
  <c r="Q93" i="1"/>
  <c r="Q96" i="1" s="1"/>
  <c r="Q115" i="1"/>
  <c r="Q650" i="1"/>
  <c r="K320" i="1"/>
  <c r="K523" i="1"/>
  <c r="K591" i="1"/>
  <c r="K317" i="1"/>
  <c r="K589" i="1"/>
  <c r="F588" i="2" s="1"/>
  <c r="K583" i="1"/>
  <c r="K526" i="1"/>
  <c r="K585" i="1"/>
  <c r="F468" i="2" s="1"/>
  <c r="K110" i="1"/>
  <c r="F69" i="2" s="1"/>
  <c r="I337" i="2"/>
  <c r="G337" i="2"/>
  <c r="K337" i="2"/>
  <c r="I297" i="2"/>
  <c r="G297" i="2"/>
  <c r="H297" i="2"/>
  <c r="K297" i="2"/>
  <c r="J297" i="2"/>
  <c r="F431" i="2"/>
  <c r="G11" i="2"/>
  <c r="I11" i="2"/>
  <c r="H11" i="2"/>
  <c r="K11" i="2"/>
  <c r="J11" i="2"/>
  <c r="F298" i="2"/>
  <c r="F343" i="2"/>
  <c r="J343" i="2" s="1"/>
  <c r="U317" i="1"/>
  <c r="U589" i="1"/>
  <c r="F606" i="2" s="1"/>
  <c r="U523" i="1"/>
  <c r="U320" i="1"/>
  <c r="U526" i="1"/>
  <c r="U591" i="1"/>
  <c r="U583" i="1"/>
  <c r="F429" i="2" s="1"/>
  <c r="U585" i="1"/>
  <c r="F486" i="2" s="1"/>
  <c r="U110" i="1"/>
  <c r="F87" i="2" s="1"/>
  <c r="H400" i="2"/>
  <c r="H572" i="2"/>
  <c r="V866" i="2"/>
  <c r="W866" i="2" s="1"/>
  <c r="X866" i="2" s="1"/>
  <c r="F315" i="2"/>
  <c r="Z321" i="1"/>
  <c r="Z521" i="1"/>
  <c r="Z525" i="1"/>
  <c r="Z314" i="1"/>
  <c r="Z318" i="1"/>
  <c r="Z522" i="1"/>
  <c r="Z315" i="1"/>
  <c r="Z519" i="1"/>
  <c r="Z316" i="1"/>
  <c r="Z661" i="1"/>
  <c r="Z322" i="1"/>
  <c r="Z520" i="1"/>
  <c r="Z528" i="1"/>
  <c r="Z527" i="1"/>
  <c r="Z313" i="1"/>
  <c r="Z524" i="1"/>
  <c r="Z319" i="1"/>
  <c r="H397" i="2"/>
  <c r="H569" i="2"/>
  <c r="H566" i="2"/>
  <c r="H394" i="2"/>
  <c r="H337" i="2"/>
  <c r="H340" i="2"/>
  <c r="T304" i="1"/>
  <c r="T652" i="1" s="1"/>
  <c r="P242" i="1"/>
  <c r="AK227" i="1"/>
  <c r="AL227" i="1" s="1"/>
  <c r="L650" i="1"/>
  <c r="L93" i="1"/>
  <c r="L96" i="1" s="1"/>
  <c r="L115" i="1"/>
  <c r="L114" i="1"/>
  <c r="L79" i="1"/>
  <c r="F12" i="2"/>
  <c r="AL127" i="1"/>
  <c r="AK129" i="1"/>
  <c r="H837" i="2"/>
  <c r="Y510" i="1"/>
  <c r="T856" i="2"/>
  <c r="T857" i="2"/>
  <c r="T869" i="2" s="1"/>
  <c r="T867" i="2"/>
  <c r="J340" i="2"/>
  <c r="J394" i="2"/>
  <c r="J569" i="2"/>
  <c r="J337" i="2"/>
  <c r="J566" i="2"/>
  <c r="J397" i="2"/>
  <c r="AK263" i="1"/>
  <c r="AL263" i="1" s="1"/>
  <c r="H273" i="1"/>
  <c r="AK273" i="1" s="1"/>
  <c r="AL273" i="1" s="1"/>
  <c r="V865" i="2"/>
  <c r="W865" i="2" s="1"/>
  <c r="X865" i="2" s="1"/>
  <c r="J650" i="1"/>
  <c r="J115" i="1"/>
  <c r="J114" i="1"/>
  <c r="F10" i="2"/>
  <c r="J79" i="1"/>
  <c r="J93" i="1"/>
  <c r="J96" i="1" s="1"/>
  <c r="H258" i="1"/>
  <c r="AK245" i="1"/>
  <c r="AL245" i="1" s="1"/>
  <c r="Y191" i="1"/>
  <c r="AK180" i="1"/>
  <c r="AL180" i="1" s="1"/>
  <c r="F299" i="2"/>
  <c r="F806" i="2"/>
  <c r="J400" i="2"/>
  <c r="J572" i="2"/>
  <c r="Z191" i="1"/>
  <c r="Z212" i="1" s="1"/>
  <c r="Z224" i="1" s="1"/>
  <c r="Z279" i="1" s="1"/>
  <c r="AK189" i="1"/>
  <c r="AL189" i="1" s="1"/>
  <c r="F57" i="2"/>
  <c r="H57" i="2" s="1"/>
  <c r="AJ79" i="1"/>
  <c r="AJ650" i="1"/>
  <c r="AJ93" i="1"/>
  <c r="AJ96" i="1" s="1"/>
  <c r="AJ114" i="1"/>
  <c r="AJ115" i="1"/>
  <c r="P485" i="1"/>
  <c r="F296" i="2"/>
  <c r="F38" i="7"/>
  <c r="G837" i="2"/>
  <c r="V863" i="2"/>
  <c r="W863" i="2" s="1"/>
  <c r="X863" i="2" s="1"/>
  <c r="J857" i="2"/>
  <c r="J867" i="2"/>
  <c r="J376" i="2"/>
  <c r="J377" i="2" s="1"/>
  <c r="J548" i="2"/>
  <c r="J549" i="2" s="1"/>
  <c r="I340" i="2"/>
  <c r="K340" i="2"/>
  <c r="G340" i="2"/>
  <c r="H867" i="2"/>
  <c r="H857" i="2"/>
  <c r="H548" i="2"/>
  <c r="H549" i="2" s="1"/>
  <c r="H376" i="2"/>
  <c r="H377" i="2" s="1"/>
  <c r="V855" i="2"/>
  <c r="W855" i="2" s="1"/>
  <c r="X855" i="2" s="1"/>
  <c r="M79" i="1"/>
  <c r="M114" i="1"/>
  <c r="M115" i="1"/>
  <c r="F13" i="2"/>
  <c r="M93" i="1"/>
  <c r="M96" i="1" s="1"/>
  <c r="M650" i="1"/>
  <c r="G560" i="2"/>
  <c r="G388" i="2"/>
  <c r="G331" i="2"/>
  <c r="V838" i="2"/>
  <c r="W838" i="2" s="1"/>
  <c r="X838" i="2" s="1"/>
  <c r="L557" i="2"/>
  <c r="L42" i="2"/>
  <c r="L328" i="2"/>
  <c r="L385" i="2"/>
  <c r="P664" i="1"/>
  <c r="P572" i="1"/>
  <c r="AK12" i="1"/>
  <c r="AK66" i="1" s="1"/>
  <c r="F402" i="2"/>
  <c r="L755" i="2" l="1"/>
  <c r="L112" i="30" s="1"/>
  <c r="L8" i="30"/>
  <c r="H29" i="17"/>
  <c r="H29" i="29"/>
  <c r="H29" i="27"/>
  <c r="M480" i="2"/>
  <c r="M323" i="2"/>
  <c r="M318" i="2"/>
  <c r="M331" i="2"/>
  <c r="M312" i="2"/>
  <c r="M42" i="2"/>
  <c r="M89" i="2"/>
  <c r="J42" i="2"/>
  <c r="J328" i="2"/>
  <c r="M324" i="2"/>
  <c r="M81" i="2"/>
  <c r="M309" i="2"/>
  <c r="M26" i="2"/>
  <c r="M608" i="2"/>
  <c r="M84" i="2"/>
  <c r="M495" i="2"/>
  <c r="M316" i="2"/>
  <c r="M385" i="2"/>
  <c r="M328" i="2"/>
  <c r="M557" i="2"/>
  <c r="M600" i="2"/>
  <c r="J557" i="2"/>
  <c r="L340" i="2"/>
  <c r="L382" i="2"/>
  <c r="L391" i="2"/>
  <c r="L563" i="2"/>
  <c r="L748" i="2"/>
  <c r="L105" i="30" s="1"/>
  <c r="L747" i="2"/>
  <c r="L104" i="30" s="1"/>
  <c r="L746" i="2"/>
  <c r="L103" i="30" s="1"/>
  <c r="L377" i="2"/>
  <c r="L527" i="2"/>
  <c r="L652" i="2"/>
  <c r="L9" i="30" s="1"/>
  <c r="L526" i="2"/>
  <c r="L355" i="2"/>
  <c r="L356" i="2"/>
  <c r="L528" i="2"/>
  <c r="L354" i="2"/>
  <c r="M553" i="2"/>
  <c r="M665" i="2"/>
  <c r="M22" i="30" s="1"/>
  <c r="M666" i="2"/>
  <c r="M23" i="30" s="1"/>
  <c r="M541" i="2"/>
  <c r="M840" i="2"/>
  <c r="M51" i="2" s="1"/>
  <c r="M388" i="2"/>
  <c r="N1" i="2"/>
  <c r="N486" i="2" s="1"/>
  <c r="M366" i="2"/>
  <c r="M546" i="2"/>
  <c r="M921" i="2"/>
  <c r="M372" i="2"/>
  <c r="M560" i="2"/>
  <c r="M381" i="2"/>
  <c r="M552" i="2"/>
  <c r="M547" i="2"/>
  <c r="M836" i="2"/>
  <c r="M373" i="2"/>
  <c r="M369" i="2"/>
  <c r="M548" i="2"/>
  <c r="M656" i="2"/>
  <c r="M13" i="30" s="1"/>
  <c r="M538" i="2"/>
  <c r="M815" i="2"/>
  <c r="M376" i="2"/>
  <c r="M657" i="2"/>
  <c r="M14" i="30" s="1"/>
  <c r="M545" i="2"/>
  <c r="M803" i="2"/>
  <c r="M814" i="2"/>
  <c r="M724" i="2"/>
  <c r="M81" i="30" s="1"/>
  <c r="M664" i="2"/>
  <c r="M21" i="30" s="1"/>
  <c r="M380" i="2"/>
  <c r="M655" i="2"/>
  <c r="M12" i="30" s="1"/>
  <c r="M663" i="2"/>
  <c r="M20" i="30" s="1"/>
  <c r="M839" i="2"/>
  <c r="M374" i="2"/>
  <c r="M661" i="2"/>
  <c r="M18" i="30" s="1"/>
  <c r="M841" i="2"/>
  <c r="M57" i="2" s="1"/>
  <c r="M833" i="2"/>
  <c r="M588" i="2" s="1"/>
  <c r="M375" i="2"/>
  <c r="M651" i="2"/>
  <c r="M544" i="2"/>
  <c r="M662" i="2"/>
  <c r="M19" i="30" s="1"/>
  <c r="L549" i="2"/>
  <c r="L554" i="2"/>
  <c r="M37" i="2"/>
  <c r="L297" i="2"/>
  <c r="L11" i="2"/>
  <c r="L397" i="2"/>
  <c r="L569" i="2"/>
  <c r="L394" i="2"/>
  <c r="L566" i="2"/>
  <c r="L400" i="2"/>
  <c r="L572" i="2"/>
  <c r="V867" i="2"/>
  <c r="W867" i="2" s="1"/>
  <c r="X867" i="2" s="1"/>
  <c r="Q277" i="1"/>
  <c r="AH585" i="1"/>
  <c r="F511" i="2" s="1"/>
  <c r="G511" i="2" s="1"/>
  <c r="AA526" i="1"/>
  <c r="AF583" i="1"/>
  <c r="F451" i="2" s="1"/>
  <c r="I495" i="2"/>
  <c r="K38" i="2"/>
  <c r="K39" i="2" s="1"/>
  <c r="M38" i="2"/>
  <c r="AA320" i="1"/>
  <c r="J54" i="2"/>
  <c r="L38" i="2"/>
  <c r="L39" i="2" s="1"/>
  <c r="AA523" i="1"/>
  <c r="AA589" i="1"/>
  <c r="F615" i="2" s="1"/>
  <c r="M615" i="2" s="1"/>
  <c r="I54" i="2"/>
  <c r="L495" i="2"/>
  <c r="AA110" i="1"/>
  <c r="F96" i="2" s="1"/>
  <c r="M96" i="2" s="1"/>
  <c r="G495" i="2"/>
  <c r="AA317" i="1"/>
  <c r="K495" i="2"/>
  <c r="AA583" i="1"/>
  <c r="F438" i="2" s="1"/>
  <c r="N438" i="2" s="1"/>
  <c r="H54" i="2"/>
  <c r="AA591" i="1"/>
  <c r="AH591" i="1"/>
  <c r="AH583" i="1"/>
  <c r="F454" i="2" s="1"/>
  <c r="K454" i="2" s="1"/>
  <c r="X93" i="1"/>
  <c r="X96" i="1" s="1"/>
  <c r="X110" i="1" s="1"/>
  <c r="F90" i="2" s="1"/>
  <c r="X114" i="1"/>
  <c r="X650" i="1"/>
  <c r="AH523" i="1"/>
  <c r="AH526" i="1"/>
  <c r="AH317" i="1"/>
  <c r="AH326" i="1" s="1"/>
  <c r="AH328" i="1" s="1"/>
  <c r="AH330" i="1" s="1"/>
  <c r="AH113" i="1" s="1"/>
  <c r="AH117" i="1" s="1"/>
  <c r="AH145" i="1" s="1"/>
  <c r="F169" i="2" s="1"/>
  <c r="AH589" i="1"/>
  <c r="F631" i="2" s="1"/>
  <c r="L631" i="2" s="1"/>
  <c r="X115" i="1"/>
  <c r="AH110" i="1"/>
  <c r="F112" i="2" s="1"/>
  <c r="G112" i="2" s="1"/>
  <c r="F32" i="2"/>
  <c r="M32" i="2" s="1"/>
  <c r="AF523" i="1"/>
  <c r="K54" i="2"/>
  <c r="L54" i="2"/>
  <c r="K480" i="2"/>
  <c r="I51" i="2"/>
  <c r="F39" i="2"/>
  <c r="I39" i="2"/>
  <c r="J51" i="2"/>
  <c r="H51" i="2"/>
  <c r="G38" i="2"/>
  <c r="G39" i="2" s="1"/>
  <c r="M29" i="2"/>
  <c r="H29" i="2"/>
  <c r="I317" i="2"/>
  <c r="J317" i="2"/>
  <c r="K31" i="2"/>
  <c r="AF110" i="1"/>
  <c r="F109" i="2" s="1"/>
  <c r="H109" i="2" s="1"/>
  <c r="AF591" i="1"/>
  <c r="L480" i="2"/>
  <c r="M317" i="2"/>
  <c r="K317" i="2"/>
  <c r="G317" i="2"/>
  <c r="AF317" i="1"/>
  <c r="AF526" i="1"/>
  <c r="J480" i="2"/>
  <c r="H31" i="2"/>
  <c r="H317" i="2"/>
  <c r="I31" i="2"/>
  <c r="AF320" i="1"/>
  <c r="I480" i="2"/>
  <c r="J31" i="2"/>
  <c r="H89" i="2"/>
  <c r="G51" i="2"/>
  <c r="AF589" i="1"/>
  <c r="F628" i="2" s="1"/>
  <c r="H628" i="2" s="1"/>
  <c r="G480" i="2"/>
  <c r="G31" i="2"/>
  <c r="K51" i="2"/>
  <c r="H480" i="2"/>
  <c r="M31" i="2"/>
  <c r="I29" i="2"/>
  <c r="L89" i="2"/>
  <c r="J89" i="2"/>
  <c r="G89" i="2"/>
  <c r="L325" i="2"/>
  <c r="K89" i="2"/>
  <c r="I89" i="2"/>
  <c r="AB320" i="1"/>
  <c r="AK664" i="1"/>
  <c r="AL664" i="1" s="1"/>
  <c r="L29" i="2"/>
  <c r="K325" i="2"/>
  <c r="T591" i="1"/>
  <c r="K29" i="2"/>
  <c r="J29" i="2"/>
  <c r="T583" i="1"/>
  <c r="F426" i="2" s="1"/>
  <c r="T526" i="1"/>
  <c r="Y93" i="1"/>
  <c r="Y96" i="1" s="1"/>
  <c r="Y591" i="1" s="1"/>
  <c r="H423" i="2"/>
  <c r="T585" i="1"/>
  <c r="F483" i="2" s="1"/>
  <c r="M483" i="2" s="1"/>
  <c r="L423" i="2"/>
  <c r="T589" i="1"/>
  <c r="F603" i="2" s="1"/>
  <c r="I603" i="2" s="1"/>
  <c r="T317" i="1"/>
  <c r="J608" i="2"/>
  <c r="AB585" i="1"/>
  <c r="F499" i="2" s="1"/>
  <c r="J499" i="2" s="1"/>
  <c r="S326" i="1"/>
  <c r="S328" i="1" s="1"/>
  <c r="F195" i="2" s="1"/>
  <c r="AB526" i="1"/>
  <c r="I114" i="1"/>
  <c r="G325" i="2"/>
  <c r="K608" i="2"/>
  <c r="I608" i="2"/>
  <c r="W532" i="1"/>
  <c r="W534" i="1" s="1"/>
  <c r="F260" i="2" s="1"/>
  <c r="I650" i="1"/>
  <c r="I93" i="1"/>
  <c r="I96" i="1" s="1"/>
  <c r="I115" i="1"/>
  <c r="F9" i="2"/>
  <c r="F14" i="2" s="1"/>
  <c r="H608" i="2"/>
  <c r="W593" i="1"/>
  <c r="L608" i="2"/>
  <c r="G608" i="2"/>
  <c r="AK572" i="1"/>
  <c r="AL572" i="1" s="1"/>
  <c r="AB589" i="1"/>
  <c r="F619" i="2" s="1"/>
  <c r="Y650" i="1"/>
  <c r="AB583" i="1"/>
  <c r="F442" i="2" s="1"/>
  <c r="L488" i="2"/>
  <c r="AB591" i="1"/>
  <c r="G488" i="2"/>
  <c r="W326" i="1"/>
  <c r="W328" i="1" s="1"/>
  <c r="W330" i="1" s="1"/>
  <c r="AB317" i="1"/>
  <c r="K488" i="2"/>
  <c r="Y79" i="1"/>
  <c r="Y115" i="1"/>
  <c r="AB523" i="1"/>
  <c r="I488" i="2"/>
  <c r="F33" i="2"/>
  <c r="M488" i="2"/>
  <c r="T320" i="1"/>
  <c r="T523" i="1"/>
  <c r="K81" i="2"/>
  <c r="J488" i="2"/>
  <c r="K30" i="2"/>
  <c r="L600" i="2"/>
  <c r="J30" i="2"/>
  <c r="J81" i="2"/>
  <c r="V583" i="1"/>
  <c r="V526" i="1"/>
  <c r="V523" i="1"/>
  <c r="V591" i="1"/>
  <c r="V585" i="1"/>
  <c r="F487" i="2" s="1"/>
  <c r="V320" i="1"/>
  <c r="V110" i="1"/>
  <c r="F88" i="2" s="1"/>
  <c r="V317" i="1"/>
  <c r="V589" i="1"/>
  <c r="F607" i="2" s="1"/>
  <c r="K423" i="2"/>
  <c r="G423" i="2"/>
  <c r="J423" i="2"/>
  <c r="M423" i="2"/>
  <c r="K600" i="2"/>
  <c r="J600" i="2"/>
  <c r="I600" i="2"/>
  <c r="I30" i="2"/>
  <c r="S593" i="1"/>
  <c r="J84" i="2"/>
  <c r="I81" i="2"/>
  <c r="G600" i="2"/>
  <c r="M30" i="2"/>
  <c r="G81" i="2"/>
  <c r="H600" i="2"/>
  <c r="H30" i="2"/>
  <c r="L81" i="2"/>
  <c r="H81" i="2"/>
  <c r="G30" i="2"/>
  <c r="L84" i="2"/>
  <c r="H84" i="2"/>
  <c r="H319" i="2"/>
  <c r="G84" i="2"/>
  <c r="I84" i="2"/>
  <c r="K84" i="2"/>
  <c r="AD526" i="1"/>
  <c r="AD317" i="1"/>
  <c r="AD320" i="1"/>
  <c r="AD583" i="1"/>
  <c r="AD523" i="1"/>
  <c r="AD585" i="1"/>
  <c r="F505" i="2" s="1"/>
  <c r="AD591" i="1"/>
  <c r="AD589" i="1"/>
  <c r="F625" i="2" s="1"/>
  <c r="AD110" i="1"/>
  <c r="F106" i="2" s="1"/>
  <c r="G48" i="2"/>
  <c r="J48" i="2"/>
  <c r="L48" i="2"/>
  <c r="K48" i="2"/>
  <c r="I48" i="2"/>
  <c r="H48" i="2"/>
  <c r="H343" i="2"/>
  <c r="O591" i="1"/>
  <c r="O585" i="1"/>
  <c r="F474" i="2" s="1"/>
  <c r="O583" i="1"/>
  <c r="O589" i="1"/>
  <c r="F594" i="2" s="1"/>
  <c r="O317" i="1"/>
  <c r="O110" i="1"/>
  <c r="F75" i="2" s="1"/>
  <c r="O320" i="1"/>
  <c r="O523" i="1"/>
  <c r="O526" i="1"/>
  <c r="AK159" i="1"/>
  <c r="AL159" i="1" s="1"/>
  <c r="AL151" i="1"/>
  <c r="H28" i="14"/>
  <c r="I45" i="2"/>
  <c r="K45" i="2"/>
  <c r="L45" i="2"/>
  <c r="H45" i="2"/>
  <c r="M45" i="2"/>
  <c r="J45" i="2"/>
  <c r="AC589" i="1"/>
  <c r="F622" i="2" s="1"/>
  <c r="AC320" i="1"/>
  <c r="AC526" i="1"/>
  <c r="AC523" i="1"/>
  <c r="AC110" i="1"/>
  <c r="F103" i="2" s="1"/>
  <c r="AC591" i="1"/>
  <c r="AC583" i="1"/>
  <c r="AC317" i="1"/>
  <c r="AC585" i="1"/>
  <c r="F502" i="2" s="1"/>
  <c r="F300" i="2"/>
  <c r="S536" i="1"/>
  <c r="F252" i="2"/>
  <c r="S651" i="1"/>
  <c r="S122" i="1"/>
  <c r="J508" i="2"/>
  <c r="L614" i="2"/>
  <c r="M614" i="2"/>
  <c r="H614" i="2"/>
  <c r="I614" i="2"/>
  <c r="K614" i="2"/>
  <c r="J614" i="2"/>
  <c r="G614" i="2"/>
  <c r="L494" i="2"/>
  <c r="H494" i="2"/>
  <c r="G494" i="2"/>
  <c r="I494" i="2"/>
  <c r="M494" i="2"/>
  <c r="F496" i="2"/>
  <c r="J494" i="2"/>
  <c r="K494" i="2"/>
  <c r="L95" i="2"/>
  <c r="H95" i="2"/>
  <c r="M95" i="2"/>
  <c r="I95" i="2"/>
  <c r="K95" i="2"/>
  <c r="G95" i="2"/>
  <c r="J95" i="2"/>
  <c r="F437" i="2"/>
  <c r="Z593" i="1"/>
  <c r="K100" i="2"/>
  <c r="I100" i="2"/>
  <c r="G588" i="2"/>
  <c r="I588" i="2"/>
  <c r="H588" i="2"/>
  <c r="J588" i="2"/>
  <c r="K588" i="2"/>
  <c r="L588" i="2"/>
  <c r="J57" i="2"/>
  <c r="U326" i="1"/>
  <c r="U328" i="1" s="1"/>
  <c r="F201" i="2" s="1"/>
  <c r="I431" i="2"/>
  <c r="K431" i="2"/>
  <c r="G431" i="2"/>
  <c r="L431" i="2"/>
  <c r="H431" i="2"/>
  <c r="J431" i="2"/>
  <c r="M431" i="2"/>
  <c r="Q589" i="1"/>
  <c r="F596" i="2" s="1"/>
  <c r="Q320" i="1"/>
  <c r="Q585" i="1"/>
  <c r="F476" i="2" s="1"/>
  <c r="Q583" i="1"/>
  <c r="Q110" i="1"/>
  <c r="F77" i="2" s="1"/>
  <c r="Q523" i="1"/>
  <c r="Q526" i="1"/>
  <c r="Q317" i="1"/>
  <c r="Q591" i="1"/>
  <c r="I508" i="2"/>
  <c r="G508" i="2"/>
  <c r="K508" i="2"/>
  <c r="L508" i="2"/>
  <c r="L100" i="2"/>
  <c r="M100" i="2"/>
  <c r="H69" i="2"/>
  <c r="K69" i="2"/>
  <c r="J69" i="2"/>
  <c r="I69" i="2"/>
  <c r="G69" i="2"/>
  <c r="L69" i="2"/>
  <c r="F411" i="2"/>
  <c r="K593" i="1"/>
  <c r="J100" i="2"/>
  <c r="G468" i="2"/>
  <c r="I468" i="2"/>
  <c r="H468" i="2"/>
  <c r="J468" i="2"/>
  <c r="K468" i="2"/>
  <c r="L468" i="2"/>
  <c r="J869" i="2"/>
  <c r="J38" i="2"/>
  <c r="J39" i="2" s="1"/>
  <c r="J553" i="2"/>
  <c r="J554" i="2" s="1"/>
  <c r="J495" i="2"/>
  <c r="J381" i="2"/>
  <c r="J382" i="2" s="1"/>
  <c r="J324" i="2"/>
  <c r="P277" i="1"/>
  <c r="P279" i="1"/>
  <c r="AK242" i="1"/>
  <c r="AL242" i="1" s="1"/>
  <c r="G87" i="2"/>
  <c r="H87" i="2"/>
  <c r="I87" i="2"/>
  <c r="J87" i="2"/>
  <c r="K87" i="2"/>
  <c r="L87" i="2"/>
  <c r="M87" i="2"/>
  <c r="AL12" i="1"/>
  <c r="AL66" i="1"/>
  <c r="Z304" i="1"/>
  <c r="Z652" i="1" s="1"/>
  <c r="I12" i="2"/>
  <c r="G12" i="2"/>
  <c r="H12" i="2"/>
  <c r="J12" i="2"/>
  <c r="K12" i="2"/>
  <c r="L12" i="2"/>
  <c r="Z532" i="1"/>
  <c r="Z534" i="1" s="1"/>
  <c r="I319" i="2"/>
  <c r="K319" i="2"/>
  <c r="G319" i="2"/>
  <c r="L319" i="2"/>
  <c r="I29" i="17" s="1"/>
  <c r="M319" i="2"/>
  <c r="G486" i="2"/>
  <c r="H486" i="2"/>
  <c r="I486" i="2"/>
  <c r="J486" i="2"/>
  <c r="K486" i="2"/>
  <c r="L486" i="2"/>
  <c r="M486" i="2"/>
  <c r="G557" i="2"/>
  <c r="G42" i="2"/>
  <c r="G385" i="2"/>
  <c r="V837" i="2"/>
  <c r="W837" i="2" s="1"/>
  <c r="X837" i="2" s="1"/>
  <c r="G100" i="2"/>
  <c r="G328" i="2"/>
  <c r="Z326" i="1"/>
  <c r="Z328" i="1" s="1"/>
  <c r="H429" i="2"/>
  <c r="I429" i="2"/>
  <c r="G429" i="2"/>
  <c r="J429" i="2"/>
  <c r="K429" i="2"/>
  <c r="L429" i="2"/>
  <c r="M429" i="2"/>
  <c r="I298" i="2"/>
  <c r="G298" i="2"/>
  <c r="H298" i="2"/>
  <c r="J298" i="2"/>
  <c r="K298" i="2"/>
  <c r="L298" i="2"/>
  <c r="M110" i="1"/>
  <c r="F71" i="2" s="1"/>
  <c r="M317" i="1"/>
  <c r="M523" i="1"/>
  <c r="M591" i="1"/>
  <c r="M585" i="1"/>
  <c r="F470" i="2" s="1"/>
  <c r="M589" i="1"/>
  <c r="F590" i="2" s="1"/>
  <c r="M583" i="1"/>
  <c r="M526" i="1"/>
  <c r="M320" i="1"/>
  <c r="P574" i="1"/>
  <c r="T868" i="2"/>
  <c r="V868" i="2" s="1"/>
  <c r="W868" i="2" s="1"/>
  <c r="X868" i="2" s="1"/>
  <c r="V856" i="2"/>
  <c r="W856" i="2" s="1"/>
  <c r="X856" i="2" s="1"/>
  <c r="H328" i="2"/>
  <c r="H100" i="2"/>
  <c r="H385" i="2"/>
  <c r="H557" i="2"/>
  <c r="H42" i="2"/>
  <c r="AJ523" i="1"/>
  <c r="AJ591" i="1"/>
  <c r="AJ583" i="1"/>
  <c r="AJ526" i="1"/>
  <c r="AJ585" i="1"/>
  <c r="F514" i="2" s="1"/>
  <c r="AJ320" i="1"/>
  <c r="AJ110" i="1"/>
  <c r="F115" i="2" s="1"/>
  <c r="AJ317" i="1"/>
  <c r="AJ589" i="1"/>
  <c r="F634" i="2" s="1"/>
  <c r="I13" i="2"/>
  <c r="G13" i="2"/>
  <c r="H13" i="2"/>
  <c r="K13" i="2"/>
  <c r="J13" i="2"/>
  <c r="L13" i="2"/>
  <c r="L583" i="1"/>
  <c r="L585" i="1"/>
  <c r="F469" i="2" s="1"/>
  <c r="L589" i="1"/>
  <c r="F589" i="2" s="1"/>
  <c r="L110" i="1"/>
  <c r="F70" i="2" s="1"/>
  <c r="L317" i="1"/>
  <c r="L526" i="1"/>
  <c r="L523" i="1"/>
  <c r="L591" i="1"/>
  <c r="L320" i="1"/>
  <c r="U593" i="1"/>
  <c r="I343" i="2"/>
  <c r="K343" i="2"/>
  <c r="G343" i="2"/>
  <c r="L343" i="2"/>
  <c r="F736" i="2"/>
  <c r="F93" i="30" s="1"/>
  <c r="F673" i="2"/>
  <c r="F30" i="30" s="1"/>
  <c r="P114" i="1"/>
  <c r="F18" i="2"/>
  <c r="P115" i="1"/>
  <c r="P79" i="1"/>
  <c r="P650" i="1"/>
  <c r="P93" i="1"/>
  <c r="P96" i="1" s="1"/>
  <c r="G299" i="2"/>
  <c r="I299" i="2"/>
  <c r="H299" i="2"/>
  <c r="J299" i="2"/>
  <c r="K299" i="2"/>
  <c r="L299" i="2"/>
  <c r="H275" i="1"/>
  <c r="AK258" i="1"/>
  <c r="AL258" i="1" s="1"/>
  <c r="J585" i="1"/>
  <c r="F467" i="2" s="1"/>
  <c r="J110" i="1"/>
  <c r="F68" i="2" s="1"/>
  <c r="J523" i="1"/>
  <c r="J320" i="1"/>
  <c r="J526" i="1"/>
  <c r="J583" i="1"/>
  <c r="J591" i="1"/>
  <c r="J589" i="1"/>
  <c r="F587" i="2" s="1"/>
  <c r="J317" i="1"/>
  <c r="H523" i="1"/>
  <c r="H589" i="1"/>
  <c r="H526" i="1"/>
  <c r="H110" i="1"/>
  <c r="H583" i="1"/>
  <c r="H585" i="1"/>
  <c r="H591" i="1"/>
  <c r="H317" i="1"/>
  <c r="H320" i="1"/>
  <c r="I57" i="2"/>
  <c r="K57" i="2"/>
  <c r="G57" i="2"/>
  <c r="L57" i="2"/>
  <c r="Y212" i="1"/>
  <c r="AK191" i="1"/>
  <c r="AL191" i="1" s="1"/>
  <c r="AL129" i="1"/>
  <c r="AK141" i="1"/>
  <c r="AL141" i="1" s="1"/>
  <c r="F320" i="2"/>
  <c r="G315" i="2"/>
  <c r="I315" i="2"/>
  <c r="H315" i="2"/>
  <c r="J315" i="2"/>
  <c r="K315" i="2"/>
  <c r="L315" i="2"/>
  <c r="M315" i="2"/>
  <c r="U532" i="1"/>
  <c r="U534" i="1" s="1"/>
  <c r="H553" i="2"/>
  <c r="H869" i="2"/>
  <c r="H381" i="2"/>
  <c r="H38" i="2"/>
  <c r="H324" i="2"/>
  <c r="H495" i="2"/>
  <c r="V857" i="2"/>
  <c r="W857" i="2" s="1"/>
  <c r="P510" i="1"/>
  <c r="Y525" i="1"/>
  <c r="Y524" i="1"/>
  <c r="Y521" i="1"/>
  <c r="Y520" i="1"/>
  <c r="Y661" i="1"/>
  <c r="Y318" i="1"/>
  <c r="Y528" i="1"/>
  <c r="Y522" i="1"/>
  <c r="Y315" i="1"/>
  <c r="Y319" i="1"/>
  <c r="Y321" i="1"/>
  <c r="Y313" i="1"/>
  <c r="Y314" i="1"/>
  <c r="Y316" i="1"/>
  <c r="Y322" i="1"/>
  <c r="Y527" i="1"/>
  <c r="Y519" i="1"/>
  <c r="H606" i="2"/>
  <c r="I606" i="2"/>
  <c r="G606" i="2"/>
  <c r="J606" i="2"/>
  <c r="K606" i="2"/>
  <c r="L606" i="2"/>
  <c r="M606" i="2"/>
  <c r="M755" i="2" l="1"/>
  <c r="M112" i="30" s="1"/>
  <c r="M8" i="30"/>
  <c r="I29" i="19"/>
  <c r="H29" i="19"/>
  <c r="I29" i="29"/>
  <c r="I29" i="27"/>
  <c r="M325" i="2"/>
  <c r="N95" i="2"/>
  <c r="N619" i="2"/>
  <c r="N195" i="2"/>
  <c r="N494" i="2"/>
  <c r="N45" i="2"/>
  <c r="N89" i="2"/>
  <c r="M54" i="2"/>
  <c r="M496" i="2"/>
  <c r="N608" i="2"/>
  <c r="N480" i="2"/>
  <c r="N100" i="2"/>
  <c r="N31" i="2"/>
  <c r="N87" i="2"/>
  <c r="N600" i="2"/>
  <c r="N429" i="2"/>
  <c r="N317" i="2"/>
  <c r="N81" i="2"/>
  <c r="N614" i="2"/>
  <c r="N30" i="2"/>
  <c r="N488" i="2"/>
  <c r="N495" i="2"/>
  <c r="N84" i="2"/>
  <c r="N423" i="2"/>
  <c r="N90" i="2"/>
  <c r="N38" i="2"/>
  <c r="N319" i="2"/>
  <c r="N29" i="2"/>
  <c r="N606" i="2"/>
  <c r="M12" i="2"/>
  <c r="M343" i="2"/>
  <c r="M299" i="2"/>
  <c r="M298" i="2"/>
  <c r="M554" i="2"/>
  <c r="M468" i="2"/>
  <c r="M13" i="2"/>
  <c r="M69" i="2"/>
  <c r="M39" i="2"/>
  <c r="M508" i="2"/>
  <c r="M400" i="2"/>
  <c r="M572" i="2"/>
  <c r="N315" i="2"/>
  <c r="M377" i="2"/>
  <c r="M549" i="2"/>
  <c r="M747" i="2"/>
  <c r="M104" i="30" s="1"/>
  <c r="M391" i="2"/>
  <c r="M748" i="2"/>
  <c r="M105" i="30" s="1"/>
  <c r="M746" i="2"/>
  <c r="M103" i="30" s="1"/>
  <c r="M334" i="2"/>
  <c r="M563" i="2"/>
  <c r="M566" i="2"/>
  <c r="M394" i="2"/>
  <c r="M397" i="2"/>
  <c r="M340" i="2"/>
  <c r="M569" i="2"/>
  <c r="M337" i="2"/>
  <c r="M652" i="2"/>
  <c r="M9" i="30" s="1"/>
  <c r="M528" i="2"/>
  <c r="M297" i="2"/>
  <c r="M11" i="2"/>
  <c r="M354" i="2"/>
  <c r="M356" i="2"/>
  <c r="M527" i="2"/>
  <c r="M526" i="2"/>
  <c r="M355" i="2"/>
  <c r="M382" i="2"/>
  <c r="N665" i="2"/>
  <c r="N22" i="30" s="1"/>
  <c r="N657" i="2"/>
  <c r="N14" i="30" s="1"/>
  <c r="N664" i="2"/>
  <c r="N21" i="30" s="1"/>
  <c r="N560" i="2"/>
  <c r="N328" i="2"/>
  <c r="N388" i="2"/>
  <c r="N541" i="2"/>
  <c r="N662" i="2"/>
  <c r="N19" i="30" s="1"/>
  <c r="N840" i="2"/>
  <c r="N511" i="2" s="1"/>
  <c r="N552" i="2"/>
  <c r="N921" i="2"/>
  <c r="N663" i="2"/>
  <c r="N20" i="30" s="1"/>
  <c r="N814" i="2"/>
  <c r="N23" i="2"/>
  <c r="N42" i="2"/>
  <c r="N381" i="2"/>
  <c r="N656" i="2"/>
  <c r="N13" i="30" s="1"/>
  <c r="N37" i="2"/>
  <c r="N544" i="2"/>
  <c r="N833" i="2"/>
  <c r="N70" i="2" s="1"/>
  <c r="N803" i="2"/>
  <c r="N547" i="2"/>
  <c r="N380" i="2"/>
  <c r="N538" i="2"/>
  <c r="N651" i="2"/>
  <c r="N724" i="2"/>
  <c r="N81" i="30" s="1"/>
  <c r="O1" i="2"/>
  <c r="O260" i="2" s="1"/>
  <c r="N366" i="2"/>
  <c r="N312" i="2"/>
  <c r="N318" i="2"/>
  <c r="N372" i="2"/>
  <c r="N373" i="2"/>
  <c r="N655" i="2"/>
  <c r="N12" i="30" s="1"/>
  <c r="N323" i="2"/>
  <c r="N666" i="2"/>
  <c r="N23" i="30" s="1"/>
  <c r="N839" i="2"/>
  <c r="N505" i="2" s="1"/>
  <c r="N661" i="2"/>
  <c r="N18" i="30" s="1"/>
  <c r="N374" i="2"/>
  <c r="N316" i="2"/>
  <c r="N331" i="2"/>
  <c r="N836" i="2"/>
  <c r="N557" i="2"/>
  <c r="N548" i="2"/>
  <c r="N545" i="2"/>
  <c r="N376" i="2"/>
  <c r="N815" i="2"/>
  <c r="N369" i="2"/>
  <c r="N553" i="2"/>
  <c r="N546" i="2"/>
  <c r="N324" i="2"/>
  <c r="N309" i="2"/>
  <c r="N841" i="2"/>
  <c r="N115" i="2" s="1"/>
  <c r="N385" i="2"/>
  <c r="N26" i="2"/>
  <c r="N375" i="2"/>
  <c r="M48" i="2"/>
  <c r="N431" i="2"/>
  <c r="V869" i="2"/>
  <c r="W869" i="2" s="1"/>
  <c r="F740" i="2"/>
  <c r="F97" i="30" s="1"/>
  <c r="K511" i="2"/>
  <c r="J511" i="2"/>
  <c r="M511" i="2"/>
  <c r="I511" i="2"/>
  <c r="H511" i="2"/>
  <c r="L511" i="2"/>
  <c r="L438" i="2"/>
  <c r="I496" i="2"/>
  <c r="M438" i="2"/>
  <c r="J438" i="2"/>
  <c r="G438" i="2"/>
  <c r="H438" i="2"/>
  <c r="K438" i="2"/>
  <c r="I438" i="2"/>
  <c r="AA532" i="1"/>
  <c r="AA534" i="1" s="1"/>
  <c r="AA122" i="1" s="1"/>
  <c r="L496" i="2"/>
  <c r="H96" i="2"/>
  <c r="H97" i="2" s="1"/>
  <c r="AA326" i="1"/>
  <c r="AA328" i="1" s="1"/>
  <c r="AA330" i="1" s="1"/>
  <c r="AA649" i="1" s="1"/>
  <c r="J631" i="2"/>
  <c r="K631" i="2"/>
  <c r="I631" i="2"/>
  <c r="G631" i="2"/>
  <c r="H631" i="2"/>
  <c r="G496" i="2"/>
  <c r="M631" i="2"/>
  <c r="I96" i="2"/>
  <c r="I97" i="2" s="1"/>
  <c r="K32" i="2"/>
  <c r="G615" i="2"/>
  <c r="G616" i="2" s="1"/>
  <c r="AA593" i="1"/>
  <c r="N96" i="2"/>
  <c r="AH649" i="1"/>
  <c r="L90" i="2"/>
  <c r="M97" i="2"/>
  <c r="G96" i="2"/>
  <c r="G97" i="2" s="1"/>
  <c r="J96" i="2"/>
  <c r="J97" i="2" s="1"/>
  <c r="K96" i="2"/>
  <c r="K97" i="2" s="1"/>
  <c r="F226" i="2"/>
  <c r="I226" i="2" s="1"/>
  <c r="F97" i="2"/>
  <c r="L96" i="2"/>
  <c r="L97" i="2" s="1"/>
  <c r="M616" i="2"/>
  <c r="I32" i="2"/>
  <c r="G32" i="2"/>
  <c r="K615" i="2"/>
  <c r="K616" i="2" s="1"/>
  <c r="K496" i="2"/>
  <c r="H32" i="2"/>
  <c r="N32" i="2"/>
  <c r="K112" i="2"/>
  <c r="J615" i="2"/>
  <c r="J616" i="2" s="1"/>
  <c r="H615" i="2"/>
  <c r="H616" i="2" s="1"/>
  <c r="F616" i="2"/>
  <c r="F34" i="2"/>
  <c r="L32" i="2"/>
  <c r="N615" i="2"/>
  <c r="L615" i="2"/>
  <c r="L616" i="2" s="1"/>
  <c r="I615" i="2"/>
  <c r="I616" i="2" s="1"/>
  <c r="J32" i="2"/>
  <c r="G90" i="2"/>
  <c r="L112" i="2"/>
  <c r="I112" i="2"/>
  <c r="I90" i="2"/>
  <c r="X317" i="1"/>
  <c r="J90" i="2"/>
  <c r="X591" i="1"/>
  <c r="H90" i="2"/>
  <c r="H603" i="2"/>
  <c r="X589" i="1"/>
  <c r="F609" i="2" s="1"/>
  <c r="N609" i="2" s="1"/>
  <c r="X523" i="1"/>
  <c r="X585" i="1"/>
  <c r="F489" i="2" s="1"/>
  <c r="K489" i="2" s="1"/>
  <c r="K90" i="2"/>
  <c r="H112" i="2"/>
  <c r="X526" i="1"/>
  <c r="M112" i="2"/>
  <c r="J112" i="2"/>
  <c r="M90" i="2"/>
  <c r="X583" i="1"/>
  <c r="F432" i="2" s="1"/>
  <c r="X320" i="1"/>
  <c r="L454" i="2"/>
  <c r="M454" i="2"/>
  <c r="J454" i="2"/>
  <c r="AH532" i="1"/>
  <c r="AH534" i="1" s="1"/>
  <c r="F283" i="2" s="1"/>
  <c r="I454" i="2"/>
  <c r="H454" i="2"/>
  <c r="AH593" i="1"/>
  <c r="AH595" i="1" s="1"/>
  <c r="G454" i="2"/>
  <c r="AF532" i="1"/>
  <c r="AF534" i="1" s="1"/>
  <c r="AF122" i="1" s="1"/>
  <c r="J109" i="2"/>
  <c r="J320" i="2"/>
  <c r="AF593" i="1"/>
  <c r="M109" i="2"/>
  <c r="L109" i="2"/>
  <c r="AF326" i="1"/>
  <c r="AF328" i="1" s="1"/>
  <c r="AF330" i="1" s="1"/>
  <c r="G109" i="2"/>
  <c r="K109" i="2"/>
  <c r="I109" i="2"/>
  <c r="G426" i="2"/>
  <c r="L628" i="2"/>
  <c r="W536" i="1"/>
  <c r="M628" i="2"/>
  <c r="H483" i="2"/>
  <c r="M426" i="2"/>
  <c r="K603" i="2"/>
  <c r="G628" i="2"/>
  <c r="J628" i="2"/>
  <c r="AB532" i="1"/>
  <c r="AB534" i="1" s="1"/>
  <c r="AB536" i="1" s="1"/>
  <c r="I426" i="2"/>
  <c r="K628" i="2"/>
  <c r="G619" i="2"/>
  <c r="I628" i="2"/>
  <c r="AK114" i="1"/>
  <c r="AL114" i="1" s="1"/>
  <c r="Y585" i="1"/>
  <c r="F490" i="2" s="1"/>
  <c r="H490" i="2" s="1"/>
  <c r="F203" i="2"/>
  <c r="L203" i="2" s="1"/>
  <c r="I195" i="2"/>
  <c r="Y589" i="1"/>
  <c r="F610" i="2" s="1"/>
  <c r="N610" i="2" s="1"/>
  <c r="AB326" i="1"/>
  <c r="AB328" i="1" s="1"/>
  <c r="F214" i="2" s="1"/>
  <c r="L195" i="2"/>
  <c r="Y583" i="1"/>
  <c r="F433" i="2" s="1"/>
  <c r="H433" i="2" s="1"/>
  <c r="K195" i="2"/>
  <c r="S330" i="1"/>
  <c r="S649" i="1" s="1"/>
  <c r="T326" i="1"/>
  <c r="T328" i="1" s="1"/>
  <c r="T330" i="1" s="1"/>
  <c r="T649" i="1" s="1"/>
  <c r="S595" i="1"/>
  <c r="J195" i="2"/>
  <c r="Y320" i="1"/>
  <c r="M195" i="2"/>
  <c r="G195" i="2"/>
  <c r="Y526" i="1"/>
  <c r="H499" i="2"/>
  <c r="H195" i="2"/>
  <c r="Y110" i="1"/>
  <c r="F91" i="2" s="1"/>
  <c r="J91" i="2" s="1"/>
  <c r="Y523" i="1"/>
  <c r="Y317" i="1"/>
  <c r="AK115" i="1"/>
  <c r="AL115" i="1" s="1"/>
  <c r="N426" i="2"/>
  <c r="H426" i="2"/>
  <c r="K426" i="2"/>
  <c r="J603" i="2"/>
  <c r="M499" i="2"/>
  <c r="AK96" i="1"/>
  <c r="AL96" i="1" s="1"/>
  <c r="J426" i="2"/>
  <c r="N499" i="2"/>
  <c r="L426" i="2"/>
  <c r="I499" i="2"/>
  <c r="T593" i="1"/>
  <c r="G499" i="2"/>
  <c r="T532" i="1"/>
  <c r="T534" i="1" s="1"/>
  <c r="T122" i="1" s="1"/>
  <c r="F905" i="2"/>
  <c r="K499" i="2"/>
  <c r="L499" i="2"/>
  <c r="K483" i="2"/>
  <c r="AB593" i="1"/>
  <c r="J619" i="2"/>
  <c r="G483" i="2"/>
  <c r="W595" i="1"/>
  <c r="M619" i="2"/>
  <c r="L619" i="2"/>
  <c r="J483" i="2"/>
  <c r="I483" i="2"/>
  <c r="W122" i="1"/>
  <c r="W651" i="1"/>
  <c r="I619" i="2"/>
  <c r="N483" i="2"/>
  <c r="H619" i="2"/>
  <c r="K619" i="2"/>
  <c r="L483" i="2"/>
  <c r="M603" i="2"/>
  <c r="N603" i="2"/>
  <c r="L603" i="2"/>
  <c r="G603" i="2"/>
  <c r="AD532" i="1"/>
  <c r="AD534" i="1" s="1"/>
  <c r="AD122" i="1" s="1"/>
  <c r="I317" i="1"/>
  <c r="I526" i="1"/>
  <c r="I110" i="1"/>
  <c r="F67" i="2" s="1"/>
  <c r="I591" i="1"/>
  <c r="I583" i="1"/>
  <c r="I585" i="1"/>
  <c r="F466" i="2" s="1"/>
  <c r="I523" i="1"/>
  <c r="I320" i="1"/>
  <c r="I589" i="1"/>
  <c r="F586" i="2" s="1"/>
  <c r="H320" i="2"/>
  <c r="AK650" i="1"/>
  <c r="AL650" i="1" s="1"/>
  <c r="AK79" i="1"/>
  <c r="AL79" i="1" s="1"/>
  <c r="M33" i="2"/>
  <c r="M34" i="2" s="1"/>
  <c r="K33" i="2"/>
  <c r="N33" i="2"/>
  <c r="L33" i="2"/>
  <c r="H33" i="2"/>
  <c r="J33" i="2"/>
  <c r="G33" i="2"/>
  <c r="I33" i="2"/>
  <c r="V532" i="1"/>
  <c r="V534" i="1" s="1"/>
  <c r="L607" i="2"/>
  <c r="J607" i="2"/>
  <c r="G607" i="2"/>
  <c r="M607" i="2"/>
  <c r="N607" i="2"/>
  <c r="K607" i="2"/>
  <c r="I607" i="2"/>
  <c r="H607" i="2"/>
  <c r="V593" i="1"/>
  <c r="F430" i="2"/>
  <c r="V326" i="1"/>
  <c r="V328" i="1" s="1"/>
  <c r="AD326" i="1"/>
  <c r="AD328" i="1" s="1"/>
  <c r="M88" i="2"/>
  <c r="J88" i="2"/>
  <c r="K88" i="2"/>
  <c r="L88" i="2"/>
  <c r="I88" i="2"/>
  <c r="G88" i="2"/>
  <c r="N88" i="2"/>
  <c r="H88" i="2"/>
  <c r="M487" i="2"/>
  <c r="G487" i="2"/>
  <c r="J487" i="2"/>
  <c r="N487" i="2"/>
  <c r="K487" i="2"/>
  <c r="H487" i="2"/>
  <c r="I487" i="2"/>
  <c r="L487" i="2"/>
  <c r="L505" i="2"/>
  <c r="H505" i="2"/>
  <c r="G505" i="2"/>
  <c r="M505" i="2"/>
  <c r="I505" i="2"/>
  <c r="J505" i="2"/>
  <c r="K505" i="2"/>
  <c r="F448" i="2"/>
  <c r="AD593" i="1"/>
  <c r="H106" i="2"/>
  <c r="L106" i="2"/>
  <c r="M106" i="2"/>
  <c r="I106" i="2"/>
  <c r="J106" i="2"/>
  <c r="K106" i="2"/>
  <c r="G106" i="2"/>
  <c r="L625" i="2"/>
  <c r="G625" i="2"/>
  <c r="H625" i="2"/>
  <c r="M625" i="2"/>
  <c r="J625" i="2"/>
  <c r="I625" i="2"/>
  <c r="K625" i="2"/>
  <c r="O326" i="1"/>
  <c r="O328" i="1" s="1"/>
  <c r="F189" i="2" s="1"/>
  <c r="L320" i="2"/>
  <c r="O532" i="1"/>
  <c r="O534" i="1" s="1"/>
  <c r="O651" i="1" s="1"/>
  <c r="F417" i="2"/>
  <c r="O593" i="1"/>
  <c r="M320" i="2"/>
  <c r="Q532" i="1"/>
  <c r="Q534" i="1" s="1"/>
  <c r="Q122" i="1" s="1"/>
  <c r="AC532" i="1"/>
  <c r="AC534" i="1" s="1"/>
  <c r="Q326" i="1"/>
  <c r="Q328" i="1" s="1"/>
  <c r="F191" i="2" s="1"/>
  <c r="M502" i="2"/>
  <c r="K502" i="2"/>
  <c r="L502" i="2"/>
  <c r="J502" i="2"/>
  <c r="N502" i="2"/>
  <c r="G502" i="2"/>
  <c r="H502" i="2"/>
  <c r="I502" i="2"/>
  <c r="J622" i="2"/>
  <c r="M622" i="2"/>
  <c r="I622" i="2"/>
  <c r="K622" i="2"/>
  <c r="H622" i="2"/>
  <c r="L622" i="2"/>
  <c r="G622" i="2"/>
  <c r="N622" i="2"/>
  <c r="AC326" i="1"/>
  <c r="AC328" i="1" s="1"/>
  <c r="AJ532" i="1"/>
  <c r="AJ534" i="1" s="1"/>
  <c r="F286" i="2" s="1"/>
  <c r="AC593" i="1"/>
  <c r="F445" i="2"/>
  <c r="K320" i="2"/>
  <c r="AJ326" i="1"/>
  <c r="AJ328" i="1" s="1"/>
  <c r="AJ330" i="1" s="1"/>
  <c r="M103" i="2"/>
  <c r="L103" i="2"/>
  <c r="K103" i="2"/>
  <c r="H103" i="2"/>
  <c r="I103" i="2"/>
  <c r="J103" i="2"/>
  <c r="G103" i="2"/>
  <c r="N103" i="2"/>
  <c r="U595" i="1"/>
  <c r="M252" i="2"/>
  <c r="J252" i="2"/>
  <c r="G252" i="2"/>
  <c r="I252" i="2"/>
  <c r="K252" i="2"/>
  <c r="L252" i="2"/>
  <c r="H252" i="2"/>
  <c r="N252" i="2"/>
  <c r="J496" i="2"/>
  <c r="AK93" i="1"/>
  <c r="AL93" i="1" s="1"/>
  <c r="U330" i="1"/>
  <c r="U649" i="1" s="1"/>
  <c r="M437" i="2"/>
  <c r="F439" i="2"/>
  <c r="J437" i="2"/>
  <c r="N437" i="2"/>
  <c r="N439" i="2" s="1"/>
  <c r="K437" i="2"/>
  <c r="L437" i="2"/>
  <c r="H437" i="2"/>
  <c r="I437" i="2"/>
  <c r="G437" i="2"/>
  <c r="I320" i="2"/>
  <c r="H411" i="2"/>
  <c r="G411" i="2"/>
  <c r="I411" i="2"/>
  <c r="K411" i="2"/>
  <c r="J411" i="2"/>
  <c r="L411" i="2"/>
  <c r="M411" i="2"/>
  <c r="I442" i="2"/>
  <c r="K442" i="2"/>
  <c r="M442" i="2"/>
  <c r="J442" i="2"/>
  <c r="N442" i="2"/>
  <c r="L442" i="2"/>
  <c r="H442" i="2"/>
  <c r="I451" i="2"/>
  <c r="K451" i="2"/>
  <c r="G451" i="2"/>
  <c r="M451" i="2"/>
  <c r="L451" i="2"/>
  <c r="J451" i="2"/>
  <c r="H451" i="2"/>
  <c r="F419" i="2"/>
  <c r="Q593" i="1"/>
  <c r="G442" i="2"/>
  <c r="Z595" i="1"/>
  <c r="Z330" i="1"/>
  <c r="F209" i="2"/>
  <c r="P322" i="1"/>
  <c r="P321" i="1"/>
  <c r="P524" i="1"/>
  <c r="P519" i="1"/>
  <c r="P661" i="1"/>
  <c r="P522" i="1"/>
  <c r="P520" i="1"/>
  <c r="P527" i="1"/>
  <c r="P314" i="1"/>
  <c r="P521" i="1"/>
  <c r="P318" i="1"/>
  <c r="P313" i="1"/>
  <c r="P316" i="1"/>
  <c r="P528" i="1"/>
  <c r="P315" i="1"/>
  <c r="P319" i="1"/>
  <c r="P525" i="1"/>
  <c r="H39" i="2"/>
  <c r="P591" i="1"/>
  <c r="P585" i="1"/>
  <c r="F475" i="2" s="1"/>
  <c r="P320" i="1"/>
  <c r="P317" i="1"/>
  <c r="P110" i="1"/>
  <c r="F76" i="2" s="1"/>
  <c r="P589" i="1"/>
  <c r="F595" i="2" s="1"/>
  <c r="P526" i="1"/>
  <c r="P523" i="1"/>
  <c r="P583" i="1"/>
  <c r="F418" i="2" s="1"/>
  <c r="I71" i="2"/>
  <c r="G71" i="2"/>
  <c r="H71" i="2"/>
  <c r="J71" i="2"/>
  <c r="K71" i="2"/>
  <c r="L71" i="2"/>
  <c r="M71" i="2"/>
  <c r="Z536" i="1"/>
  <c r="Z122" i="1"/>
  <c r="Z651" i="1"/>
  <c r="F266" i="2"/>
  <c r="G590" i="2"/>
  <c r="I590" i="2"/>
  <c r="H590" i="2"/>
  <c r="J590" i="2"/>
  <c r="K590" i="2"/>
  <c r="L590" i="2"/>
  <c r="M590" i="2"/>
  <c r="H382" i="2"/>
  <c r="I70" i="2"/>
  <c r="G70" i="2"/>
  <c r="J70" i="2"/>
  <c r="H70" i="2"/>
  <c r="K70" i="2"/>
  <c r="L70" i="2"/>
  <c r="M70" i="2"/>
  <c r="F457" i="2"/>
  <c r="AJ593" i="1"/>
  <c r="F585" i="2"/>
  <c r="I634" i="2"/>
  <c r="K634" i="2"/>
  <c r="G634" i="2"/>
  <c r="M634" i="2"/>
  <c r="L634" i="2"/>
  <c r="H634" i="2"/>
  <c r="J634" i="2"/>
  <c r="F413" i="2"/>
  <c r="M593" i="1"/>
  <c r="J325" i="2"/>
  <c r="H277" i="1"/>
  <c r="AK277" i="1" s="1"/>
  <c r="AL277" i="1" s="1"/>
  <c r="AK275" i="1"/>
  <c r="AL275" i="1" s="1"/>
  <c r="F20" i="2"/>
  <c r="F412" i="2"/>
  <c r="L593" i="1"/>
  <c r="I169" i="2"/>
  <c r="K169" i="2"/>
  <c r="G169" i="2"/>
  <c r="M169" i="2"/>
  <c r="L169" i="2"/>
  <c r="H169" i="2"/>
  <c r="J169" i="2"/>
  <c r="I470" i="2"/>
  <c r="G470" i="2"/>
  <c r="H470" i="2"/>
  <c r="K470" i="2"/>
  <c r="J470" i="2"/>
  <c r="L470" i="2"/>
  <c r="M470" i="2"/>
  <c r="H554" i="2"/>
  <c r="H496" i="2"/>
  <c r="F465" i="2"/>
  <c r="F410" i="2"/>
  <c r="J593" i="1"/>
  <c r="I260" i="2"/>
  <c r="G260" i="2"/>
  <c r="K260" i="2"/>
  <c r="L260" i="2"/>
  <c r="H260" i="2"/>
  <c r="J260" i="2"/>
  <c r="M260" i="2"/>
  <c r="N260" i="2"/>
  <c r="I115" i="2"/>
  <c r="K115" i="2"/>
  <c r="G115" i="2"/>
  <c r="L115" i="2"/>
  <c r="M115" i="2"/>
  <c r="J115" i="2"/>
  <c r="H115" i="2"/>
  <c r="P304" i="1"/>
  <c r="P652" i="1" s="1"/>
  <c r="H325" i="2"/>
  <c r="G320" i="2"/>
  <c r="Y224" i="1"/>
  <c r="F408" i="2"/>
  <c r="H593" i="1"/>
  <c r="F304" i="2"/>
  <c r="AK574" i="1"/>
  <c r="AL574" i="1" s="1"/>
  <c r="I28" i="14"/>
  <c r="G589" i="2"/>
  <c r="I589" i="2"/>
  <c r="H589" i="2"/>
  <c r="J589" i="2"/>
  <c r="K589" i="2"/>
  <c r="L589" i="2"/>
  <c r="M589" i="2"/>
  <c r="W649" i="1"/>
  <c r="W113" i="1"/>
  <c r="W117" i="1" s="1"/>
  <c r="W145" i="1" s="1"/>
  <c r="F146" i="2" s="1"/>
  <c r="G469" i="2"/>
  <c r="I469" i="2"/>
  <c r="J469" i="2"/>
  <c r="H469" i="2"/>
  <c r="K469" i="2"/>
  <c r="L469" i="2"/>
  <c r="M469" i="2"/>
  <c r="F258" i="2"/>
  <c r="U536" i="1"/>
  <c r="U651" i="1"/>
  <c r="U122" i="1"/>
  <c r="F66" i="2"/>
  <c r="I514" i="2"/>
  <c r="K514" i="2"/>
  <c r="G514" i="2"/>
  <c r="L514" i="2"/>
  <c r="M514" i="2"/>
  <c r="J514" i="2"/>
  <c r="H514" i="2"/>
  <c r="I201" i="2"/>
  <c r="H201" i="2"/>
  <c r="G201" i="2"/>
  <c r="J201" i="2"/>
  <c r="K201" i="2"/>
  <c r="L201" i="2"/>
  <c r="M201" i="2"/>
  <c r="N201" i="2"/>
  <c r="N755" i="2" l="1"/>
  <c r="N112" i="30" s="1"/>
  <c r="N8" i="30"/>
  <c r="H29" i="20"/>
  <c r="I29" i="20"/>
  <c r="O195" i="2"/>
  <c r="N97" i="2"/>
  <c r="N496" i="2"/>
  <c r="N616" i="2"/>
  <c r="N39" i="2"/>
  <c r="N112" i="2"/>
  <c r="F210" i="2"/>
  <c r="H210" i="2" s="1"/>
  <c r="N109" i="2"/>
  <c r="N454" i="2"/>
  <c r="N169" i="2"/>
  <c r="N451" i="2"/>
  <c r="N628" i="2"/>
  <c r="N631" i="2"/>
  <c r="N549" i="2"/>
  <c r="N320" i="2"/>
  <c r="N469" i="2"/>
  <c r="N71" i="2"/>
  <c r="N411" i="2"/>
  <c r="N554" i="2"/>
  <c r="N589" i="2"/>
  <c r="N590" i="2"/>
  <c r="N382" i="2"/>
  <c r="N470" i="2"/>
  <c r="N634" i="2"/>
  <c r="O438" i="2"/>
  <c r="N748" i="2"/>
  <c r="N105" i="30" s="1"/>
  <c r="N746" i="2"/>
  <c r="N103" i="30" s="1"/>
  <c r="N747" i="2"/>
  <c r="N104" i="30" s="1"/>
  <c r="N391" i="2"/>
  <c r="N48" i="2"/>
  <c r="N563" i="2"/>
  <c r="N334" i="2"/>
  <c r="N356" i="2"/>
  <c r="N11" i="2"/>
  <c r="N527" i="2"/>
  <c r="N69" i="2"/>
  <c r="N652" i="2"/>
  <c r="N9" i="30" s="1"/>
  <c r="N354" i="2"/>
  <c r="N298" i="2"/>
  <c r="N297" i="2"/>
  <c r="N468" i="2"/>
  <c r="N528" i="2"/>
  <c r="N526" i="2"/>
  <c r="N13" i="2"/>
  <c r="N588" i="2"/>
  <c r="N355" i="2"/>
  <c r="N12" i="2"/>
  <c r="N299" i="2"/>
  <c r="O553" i="2"/>
  <c r="O665" i="2"/>
  <c r="O22" i="30" s="1"/>
  <c r="O657" i="2"/>
  <c r="O14" i="30" s="1"/>
  <c r="O309" i="2"/>
  <c r="O423" i="2"/>
  <c r="O836" i="2"/>
  <c r="O385" i="2"/>
  <c r="O31" i="2"/>
  <c r="O331" i="2"/>
  <c r="O495" i="2"/>
  <c r="O538" i="2"/>
  <c r="O547" i="2"/>
  <c r="O814" i="2"/>
  <c r="O557" i="2"/>
  <c r="O606" i="2"/>
  <c r="O608" i="2"/>
  <c r="O661" i="2"/>
  <c r="O18" i="30" s="1"/>
  <c r="O662" i="2"/>
  <c r="O19" i="30" s="1"/>
  <c r="O373" i="2"/>
  <c r="O319" i="2"/>
  <c r="O42" i="2"/>
  <c r="O37" i="2"/>
  <c r="O541" i="2"/>
  <c r="O544" i="2"/>
  <c r="O380" i="2"/>
  <c r="O45" i="2"/>
  <c r="O666" i="2"/>
  <c r="O23" i="30" s="1"/>
  <c r="O841" i="2"/>
  <c r="O57" i="2" s="1"/>
  <c r="O494" i="2"/>
  <c r="O545" i="2"/>
  <c r="O375" i="2"/>
  <c r="O84" i="2"/>
  <c r="O372" i="2"/>
  <c r="O328" i="2"/>
  <c r="O552" i="2"/>
  <c r="O374" i="2"/>
  <c r="O95" i="2"/>
  <c r="O323" i="2"/>
  <c r="O656" i="2"/>
  <c r="O13" i="30" s="1"/>
  <c r="O366" i="2"/>
  <c r="O38" i="2"/>
  <c r="O81" i="2"/>
  <c r="O431" i="2"/>
  <c r="O921" i="2"/>
  <c r="O614" i="2"/>
  <c r="O600" i="2"/>
  <c r="O89" i="2"/>
  <c r="O317" i="2"/>
  <c r="O381" i="2"/>
  <c r="O429" i="2"/>
  <c r="P1" i="2"/>
  <c r="P214" i="2" s="1"/>
  <c r="O724" i="2"/>
  <c r="O81" i="30" s="1"/>
  <c r="O100" i="2"/>
  <c r="O803" i="2"/>
  <c r="O840" i="2"/>
  <c r="O109" i="2" s="1"/>
  <c r="O324" i="2"/>
  <c r="O23" i="2"/>
  <c r="O664" i="2"/>
  <c r="O21" i="30" s="1"/>
  <c r="O548" i="2"/>
  <c r="O369" i="2"/>
  <c r="O560" i="2"/>
  <c r="O30" i="2"/>
  <c r="O87" i="2"/>
  <c r="O833" i="2"/>
  <c r="O355" i="2" s="1"/>
  <c r="O316" i="2"/>
  <c r="O312" i="2"/>
  <c r="O839" i="2"/>
  <c r="O505" i="2" s="1"/>
  <c r="O486" i="2"/>
  <c r="O376" i="2"/>
  <c r="O663" i="2"/>
  <c r="O20" i="30" s="1"/>
  <c r="O655" i="2"/>
  <c r="O12" i="30" s="1"/>
  <c r="O651" i="2"/>
  <c r="O480" i="2"/>
  <c r="O318" i="2"/>
  <c r="O26" i="2"/>
  <c r="O29" i="2"/>
  <c r="O315" i="2"/>
  <c r="O488" i="2"/>
  <c r="O815" i="2"/>
  <c r="O388" i="2"/>
  <c r="O546" i="2"/>
  <c r="O426" i="2"/>
  <c r="O603" i="2"/>
  <c r="O90" i="2"/>
  <c r="N325" i="2"/>
  <c r="O442" i="2"/>
  <c r="O483" i="2"/>
  <c r="N337" i="2"/>
  <c r="N566" i="2"/>
  <c r="N340" i="2"/>
  <c r="N569" i="2"/>
  <c r="N54" i="2"/>
  <c r="N397" i="2"/>
  <c r="N508" i="2"/>
  <c r="N51" i="2"/>
  <c r="N394" i="2"/>
  <c r="O487" i="2"/>
  <c r="O619" i="2"/>
  <c r="O432" i="2"/>
  <c r="N625" i="2"/>
  <c r="O88" i="2"/>
  <c r="N377" i="2"/>
  <c r="O607" i="2"/>
  <c r="N106" i="2"/>
  <c r="O622" i="2"/>
  <c r="O103" i="2"/>
  <c r="O437" i="2"/>
  <c r="O502" i="2"/>
  <c r="O201" i="2"/>
  <c r="P266" i="2"/>
  <c r="O33" i="2"/>
  <c r="O499" i="2"/>
  <c r="O32" i="2"/>
  <c r="O96" i="2"/>
  <c r="O615" i="2"/>
  <c r="N572" i="2"/>
  <c r="N343" i="2"/>
  <c r="N57" i="2"/>
  <c r="N400" i="2"/>
  <c r="O252" i="2"/>
  <c r="N514" i="2"/>
  <c r="G439" i="2"/>
  <c r="L439" i="2"/>
  <c r="AA651" i="1"/>
  <c r="M439" i="2"/>
  <c r="G432" i="2"/>
  <c r="G226" i="2"/>
  <c r="AA113" i="1"/>
  <c r="AA117" i="1" s="1"/>
  <c r="AA145" i="1" s="1"/>
  <c r="F153" i="2" s="1"/>
  <c r="L432" i="2"/>
  <c r="H432" i="2"/>
  <c r="H226" i="2"/>
  <c r="J226" i="2"/>
  <c r="AA595" i="1"/>
  <c r="M226" i="2"/>
  <c r="I432" i="2"/>
  <c r="K226" i="2"/>
  <c r="M432" i="2"/>
  <c r="N432" i="2"/>
  <c r="N226" i="2"/>
  <c r="H34" i="2"/>
  <c r="K432" i="2"/>
  <c r="J432" i="2"/>
  <c r="J439" i="2"/>
  <c r="L226" i="2"/>
  <c r="I439" i="2"/>
  <c r="H439" i="2"/>
  <c r="AA536" i="1"/>
  <c r="F267" i="2"/>
  <c r="J267" i="2" s="1"/>
  <c r="K439" i="2"/>
  <c r="AB330" i="1"/>
  <c r="AB649" i="1" s="1"/>
  <c r="K34" i="2"/>
  <c r="H489" i="2"/>
  <c r="H491" i="2" s="1"/>
  <c r="M489" i="2"/>
  <c r="M490" i="2"/>
  <c r="L34" i="2"/>
  <c r="G609" i="2"/>
  <c r="L609" i="2"/>
  <c r="M609" i="2"/>
  <c r="K609" i="2"/>
  <c r="I609" i="2"/>
  <c r="O609" i="2"/>
  <c r="X532" i="1"/>
  <c r="X534" i="1" s="1"/>
  <c r="X122" i="1" s="1"/>
  <c r="J609" i="2"/>
  <c r="H609" i="2"/>
  <c r="J34" i="2"/>
  <c r="O489" i="2"/>
  <c r="X593" i="1"/>
  <c r="J489" i="2"/>
  <c r="G489" i="2"/>
  <c r="I489" i="2"/>
  <c r="N34" i="2"/>
  <c r="L489" i="2"/>
  <c r="I34" i="2"/>
  <c r="N489" i="2"/>
  <c r="AF536" i="1"/>
  <c r="AH536" i="1"/>
  <c r="G34" i="2"/>
  <c r="AH651" i="1"/>
  <c r="AH122" i="1"/>
  <c r="X326" i="1"/>
  <c r="X328" i="1" s="1"/>
  <c r="F204" i="2" s="1"/>
  <c r="N204" i="2" s="1"/>
  <c r="G283" i="2"/>
  <c r="N283" i="2"/>
  <c r="J283" i="2"/>
  <c r="L283" i="2"/>
  <c r="K283" i="2"/>
  <c r="M283" i="2"/>
  <c r="H283" i="2"/>
  <c r="I283" i="2"/>
  <c r="AF651" i="1"/>
  <c r="F280" i="2"/>
  <c r="I280" i="2" s="1"/>
  <c r="O203" i="2"/>
  <c r="G203" i="2"/>
  <c r="N91" i="2"/>
  <c r="N92" i="2" s="1"/>
  <c r="I203" i="2"/>
  <c r="AF595" i="1"/>
  <c r="K433" i="2"/>
  <c r="P91" i="2"/>
  <c r="N433" i="2"/>
  <c r="F223" i="2"/>
  <c r="J223" i="2" s="1"/>
  <c r="I433" i="2"/>
  <c r="K203" i="2"/>
  <c r="O433" i="2"/>
  <c r="F198" i="2"/>
  <c r="N198" i="2" s="1"/>
  <c r="AB651" i="1"/>
  <c r="Y326" i="1"/>
  <c r="F271" i="2"/>
  <c r="AB122" i="1"/>
  <c r="J490" i="2"/>
  <c r="O490" i="2"/>
  <c r="G490" i="2"/>
  <c r="K490" i="2"/>
  <c r="K491" i="2" s="1"/>
  <c r="AB595" i="1"/>
  <c r="L490" i="2"/>
  <c r="N490" i="2"/>
  <c r="F491" i="2"/>
  <c r="I490" i="2"/>
  <c r="I91" i="2"/>
  <c r="I92" i="2" s="1"/>
  <c r="N203" i="2"/>
  <c r="M433" i="2"/>
  <c r="G91" i="2"/>
  <c r="G92" i="2" s="1"/>
  <c r="O91" i="2"/>
  <c r="J203" i="2"/>
  <c r="J92" i="2"/>
  <c r="T536" i="1"/>
  <c r="K91" i="2"/>
  <c r="K92" i="2" s="1"/>
  <c r="Y532" i="1"/>
  <c r="Y534" i="1" s="1"/>
  <c r="Y536" i="1" s="1"/>
  <c r="H203" i="2"/>
  <c r="L91" i="2"/>
  <c r="L92" i="2" s="1"/>
  <c r="T595" i="1"/>
  <c r="M203" i="2"/>
  <c r="L433" i="2"/>
  <c r="H91" i="2"/>
  <c r="H92" i="2" s="1"/>
  <c r="F92" i="2"/>
  <c r="J433" i="2"/>
  <c r="G433" i="2"/>
  <c r="M91" i="2"/>
  <c r="M92" i="2" s="1"/>
  <c r="Y593" i="1"/>
  <c r="T113" i="1"/>
  <c r="T117" i="1" s="1"/>
  <c r="T145" i="1" s="1"/>
  <c r="F141" i="2" s="1"/>
  <c r="O610" i="2"/>
  <c r="S113" i="1"/>
  <c r="S117" i="1" s="1"/>
  <c r="S145" i="1" s="1"/>
  <c r="F138" i="2" s="1"/>
  <c r="O138" i="2" s="1"/>
  <c r="M610" i="2"/>
  <c r="L610" i="2"/>
  <c r="K610" i="2"/>
  <c r="I610" i="2"/>
  <c r="J610" i="2"/>
  <c r="H610" i="2"/>
  <c r="G610" i="2"/>
  <c r="N611" i="2"/>
  <c r="F611" i="2"/>
  <c r="AK591" i="1"/>
  <c r="AL591" i="1" s="1"/>
  <c r="AD536" i="1"/>
  <c r="AK320" i="1"/>
  <c r="AL320" i="1" s="1"/>
  <c r="F255" i="2"/>
  <c r="AD651" i="1"/>
  <c r="T651" i="1"/>
  <c r="F277" i="2"/>
  <c r="N277" i="2" s="1"/>
  <c r="AK317" i="1"/>
  <c r="AL317" i="1" s="1"/>
  <c r="AK526" i="1"/>
  <c r="AL526" i="1" s="1"/>
  <c r="F409" i="2"/>
  <c r="F414" i="2" s="1"/>
  <c r="I593" i="1"/>
  <c r="AK523" i="1"/>
  <c r="AL523" i="1" s="1"/>
  <c r="AD595" i="1"/>
  <c r="O536" i="1"/>
  <c r="AJ122" i="1"/>
  <c r="AJ536" i="1"/>
  <c r="F434" i="2"/>
  <c r="N430" i="2"/>
  <c r="M430" i="2"/>
  <c r="J430" i="2"/>
  <c r="K430" i="2"/>
  <c r="H430" i="2"/>
  <c r="I430" i="2"/>
  <c r="O430" i="2"/>
  <c r="G430" i="2"/>
  <c r="L430" i="2"/>
  <c r="Q536" i="1"/>
  <c r="Q651" i="1"/>
  <c r="AD330" i="1"/>
  <c r="F220" i="2"/>
  <c r="F248" i="2"/>
  <c r="F202" i="2"/>
  <c r="V330" i="1"/>
  <c r="V595" i="1"/>
  <c r="V122" i="1"/>
  <c r="V536" i="1"/>
  <c r="V651" i="1"/>
  <c r="F259" i="2"/>
  <c r="M448" i="2"/>
  <c r="G448" i="2"/>
  <c r="H448" i="2"/>
  <c r="I448" i="2"/>
  <c r="N448" i="2"/>
  <c r="J448" i="2"/>
  <c r="K448" i="2"/>
  <c r="L448" i="2"/>
  <c r="O122" i="1"/>
  <c r="F246" i="2"/>
  <c r="O595" i="1"/>
  <c r="O330" i="1"/>
  <c r="O649" i="1" s="1"/>
  <c r="Q595" i="1"/>
  <c r="Q330" i="1"/>
  <c r="Q649" i="1" s="1"/>
  <c r="AC595" i="1"/>
  <c r="AK110" i="1"/>
  <c r="AL110" i="1" s="1"/>
  <c r="F229" i="2"/>
  <c r="M229" i="2" s="1"/>
  <c r="AJ595" i="1"/>
  <c r="AK583" i="1"/>
  <c r="AL583" i="1" s="1"/>
  <c r="AJ651" i="1"/>
  <c r="AC122" i="1"/>
  <c r="F274" i="2"/>
  <c r="AC651" i="1"/>
  <c r="AC536" i="1"/>
  <c r="G445" i="2"/>
  <c r="N445" i="2"/>
  <c r="H445" i="2"/>
  <c r="I30" i="27" s="1"/>
  <c r="O445" i="2"/>
  <c r="K445" i="2"/>
  <c r="J445" i="2"/>
  <c r="I445" i="2"/>
  <c r="L445" i="2"/>
  <c r="M445" i="2"/>
  <c r="AC330" i="1"/>
  <c r="F217" i="2"/>
  <c r="AK585" i="1"/>
  <c r="AL585" i="1" s="1"/>
  <c r="N214" i="2"/>
  <c r="J214" i="2"/>
  <c r="L214" i="2"/>
  <c r="M214" i="2"/>
  <c r="H214" i="2"/>
  <c r="O214" i="2"/>
  <c r="K214" i="2"/>
  <c r="G214" i="2"/>
  <c r="I214" i="2"/>
  <c r="U113" i="1"/>
  <c r="U117" i="1" s="1"/>
  <c r="U145" i="1" s="1"/>
  <c r="F144" i="2" s="1"/>
  <c r="AF649" i="1"/>
  <c r="AF113" i="1"/>
  <c r="AF117" i="1" s="1"/>
  <c r="AF145" i="1" s="1"/>
  <c r="F166" i="2" s="1"/>
  <c r="I146" i="2"/>
  <c r="G146" i="2"/>
  <c r="K146" i="2"/>
  <c r="L146" i="2"/>
  <c r="H146" i="2"/>
  <c r="M146" i="2"/>
  <c r="J146" i="2"/>
  <c r="N146" i="2"/>
  <c r="O146" i="2"/>
  <c r="G258" i="2"/>
  <c r="H258" i="2"/>
  <c r="I258" i="2"/>
  <c r="J258" i="2"/>
  <c r="K258" i="2"/>
  <c r="L258" i="2"/>
  <c r="M258" i="2"/>
  <c r="N258" i="2"/>
  <c r="O258" i="2"/>
  <c r="P593" i="1"/>
  <c r="I412" i="2"/>
  <c r="G412" i="2"/>
  <c r="J412" i="2"/>
  <c r="H412" i="2"/>
  <c r="K412" i="2"/>
  <c r="L412" i="2"/>
  <c r="M412" i="2"/>
  <c r="N412" i="2"/>
  <c r="F591" i="2"/>
  <c r="I457" i="2"/>
  <c r="K457" i="2"/>
  <c r="G457" i="2"/>
  <c r="L457" i="2"/>
  <c r="M457" i="2"/>
  <c r="N457" i="2"/>
  <c r="H457" i="2"/>
  <c r="J457" i="2"/>
  <c r="F477" i="2"/>
  <c r="F306" i="2"/>
  <c r="G266" i="2"/>
  <c r="H266" i="2"/>
  <c r="I266" i="2"/>
  <c r="J266" i="2"/>
  <c r="K266" i="2"/>
  <c r="L266" i="2"/>
  <c r="M266" i="2"/>
  <c r="N266" i="2"/>
  <c r="O266" i="2"/>
  <c r="F420" i="2"/>
  <c r="F72" i="2"/>
  <c r="F471" i="2"/>
  <c r="F59" i="2"/>
  <c r="F597" i="2"/>
  <c r="Y279" i="1"/>
  <c r="I413" i="2"/>
  <c r="G413" i="2"/>
  <c r="J413" i="2"/>
  <c r="H413" i="2"/>
  <c r="K413" i="2"/>
  <c r="M413" i="2"/>
  <c r="L413" i="2"/>
  <c r="N413" i="2"/>
  <c r="F78" i="2"/>
  <c r="G209" i="2"/>
  <c r="H209" i="2"/>
  <c r="I209" i="2"/>
  <c r="J209" i="2"/>
  <c r="K209" i="2"/>
  <c r="L209" i="2"/>
  <c r="M209" i="2"/>
  <c r="N209" i="2"/>
  <c r="O209" i="2"/>
  <c r="AJ649" i="1"/>
  <c r="AJ113" i="1"/>
  <c r="AJ117" i="1" s="1"/>
  <c r="AJ145" i="1" s="1"/>
  <c r="F172" i="2" s="1"/>
  <c r="I286" i="2"/>
  <c r="K286" i="2"/>
  <c r="G286" i="2"/>
  <c r="M286" i="2"/>
  <c r="L286" i="2"/>
  <c r="J286" i="2"/>
  <c r="H286" i="2"/>
  <c r="N286" i="2"/>
  <c r="Z113" i="1"/>
  <c r="Z117" i="1" s="1"/>
  <c r="Z145" i="1" s="1"/>
  <c r="F152" i="2" s="1"/>
  <c r="Z649" i="1"/>
  <c r="AK589" i="1"/>
  <c r="AL589" i="1" s="1"/>
  <c r="P326" i="1"/>
  <c r="P328" i="1" s="1"/>
  <c r="P532" i="1"/>
  <c r="P534" i="1" s="1"/>
  <c r="O755" i="2" l="1"/>
  <c r="O112" i="30" s="1"/>
  <c r="O8" i="30"/>
  <c r="H30" i="19"/>
  <c r="I30" i="19"/>
  <c r="H30" i="17"/>
  <c r="I30" i="17"/>
  <c r="H30" i="20"/>
  <c r="H29" i="21"/>
  <c r="H30" i="21"/>
  <c r="I30" i="20"/>
  <c r="I30" i="21"/>
  <c r="I29" i="21"/>
  <c r="I30" i="29"/>
  <c r="H30" i="29"/>
  <c r="H30" i="27"/>
  <c r="J28" i="29"/>
  <c r="P430" i="2"/>
  <c r="I210" i="2"/>
  <c r="P146" i="2"/>
  <c r="P433" i="2"/>
  <c r="K210" i="2"/>
  <c r="K211" i="2" s="1"/>
  <c r="G210" i="2"/>
  <c r="G211" i="2" s="1"/>
  <c r="L210" i="2"/>
  <c r="L211" i="2" s="1"/>
  <c r="M210" i="2"/>
  <c r="M211" i="2" s="1"/>
  <c r="J210" i="2"/>
  <c r="J211" i="2" s="1"/>
  <c r="N210" i="2"/>
  <c r="N211" i="2" s="1"/>
  <c r="F211" i="2"/>
  <c r="O210" i="2"/>
  <c r="O211" i="2" s="1"/>
  <c r="P144" i="2"/>
  <c r="P258" i="2"/>
  <c r="P255" i="2"/>
  <c r="P141" i="2"/>
  <c r="P490" i="2"/>
  <c r="P489" i="2"/>
  <c r="P271" i="2"/>
  <c r="P209" i="2"/>
  <c r="P203" i="2"/>
  <c r="P432" i="2"/>
  <c r="P445" i="2"/>
  <c r="P153" i="2"/>
  <c r="P610" i="2"/>
  <c r="P210" i="2"/>
  <c r="P609" i="2"/>
  <c r="H211" i="2"/>
  <c r="O454" i="2"/>
  <c r="O337" i="2"/>
  <c r="O69" i="2"/>
  <c r="O54" i="2"/>
  <c r="O299" i="2"/>
  <c r="O469" i="2"/>
  <c r="O112" i="2"/>
  <c r="O413" i="2"/>
  <c r="O590" i="2"/>
  <c r="O470" i="2"/>
  <c r="O12" i="2"/>
  <c r="O566" i="2"/>
  <c r="O631" i="2"/>
  <c r="O451" i="2"/>
  <c r="O340" i="2"/>
  <c r="O283" i="2"/>
  <c r="O51" i="2"/>
  <c r="O628" i="2"/>
  <c r="O71" i="2"/>
  <c r="O554" i="2"/>
  <c r="O226" i="2"/>
  <c r="O397" i="2"/>
  <c r="O391" i="2"/>
  <c r="O320" i="2"/>
  <c r="O563" i="2"/>
  <c r="O634" i="2"/>
  <c r="O34" i="2"/>
  <c r="O92" i="2"/>
  <c r="O508" i="2"/>
  <c r="O169" i="2"/>
  <c r="O115" i="2"/>
  <c r="O334" i="2"/>
  <c r="O572" i="2"/>
  <c r="O448" i="2"/>
  <c r="O746" i="2"/>
  <c r="O103" i="30" s="1"/>
  <c r="O48" i="2"/>
  <c r="O286" i="2"/>
  <c r="O457" i="2"/>
  <c r="O400" i="2"/>
  <c r="O514" i="2"/>
  <c r="O343" i="2"/>
  <c r="O297" i="2"/>
  <c r="O652" i="2"/>
  <c r="O9" i="30" s="1"/>
  <c r="O748" i="2"/>
  <c r="O105" i="30" s="1"/>
  <c r="O468" i="2"/>
  <c r="O528" i="2"/>
  <c r="O589" i="2"/>
  <c r="O411" i="2"/>
  <c r="O39" i="2"/>
  <c r="O412" i="2"/>
  <c r="O526" i="2"/>
  <c r="O496" i="2"/>
  <c r="O325" i="2"/>
  <c r="O298" i="2"/>
  <c r="O588" i="2"/>
  <c r="O747" i="2"/>
  <c r="O104" i="30" s="1"/>
  <c r="O106" i="2"/>
  <c r="P657" i="2"/>
  <c r="P14" i="30" s="1"/>
  <c r="P541" i="2"/>
  <c r="P366" i="2"/>
  <c r="P81" i="2"/>
  <c r="P374" i="2"/>
  <c r="P316" i="2"/>
  <c r="P499" i="2"/>
  <c r="P90" i="2"/>
  <c r="P252" i="2"/>
  <c r="P317" i="2"/>
  <c r="P195" i="2"/>
  <c r="P495" i="2"/>
  <c r="P664" i="2"/>
  <c r="P21" i="30" s="1"/>
  <c r="P388" i="2"/>
  <c r="P45" i="2"/>
  <c r="P544" i="2"/>
  <c r="P814" i="2"/>
  <c r="P96" i="2"/>
  <c r="P663" i="2"/>
  <c r="P20" i="30" s="1"/>
  <c r="P921" i="2"/>
  <c r="P548" i="2"/>
  <c r="P600" i="2"/>
  <c r="P318" i="2"/>
  <c r="P26" i="2"/>
  <c r="P319" i="2"/>
  <c r="P426" i="2"/>
  <c r="P487" i="2"/>
  <c r="P89" i="2"/>
  <c r="P622" i="2"/>
  <c r="P840" i="2"/>
  <c r="P546" i="2"/>
  <c r="P560" i="2"/>
  <c r="P839" i="2"/>
  <c r="P220" i="2" s="1"/>
  <c r="P553" i="2"/>
  <c r="P803" i="2"/>
  <c r="P547" i="2"/>
  <c r="P423" i="2"/>
  <c r="P380" i="2"/>
  <c r="P32" i="2"/>
  <c r="P328" i="2"/>
  <c r="P385" i="2"/>
  <c r="P607" i="2"/>
  <c r="P84" i="2"/>
  <c r="P29" i="2"/>
  <c r="P260" i="2"/>
  <c r="P201" i="2"/>
  <c r="P315" i="2"/>
  <c r="P488" i="2"/>
  <c r="P103" i="2"/>
  <c r="P429" i="2"/>
  <c r="P538" i="2"/>
  <c r="P87" i="2"/>
  <c r="P431" i="2"/>
  <c r="P545" i="2"/>
  <c r="P376" i="2"/>
  <c r="Q1" i="2"/>
  <c r="Q277" i="2" s="1"/>
  <c r="P656" i="2"/>
  <c r="P13" i="30" s="1"/>
  <c r="P375" i="2"/>
  <c r="P381" i="2"/>
  <c r="P33" i="2"/>
  <c r="P31" i="2"/>
  <c r="P437" i="2"/>
  <c r="P323" i="2"/>
  <c r="P480" i="2"/>
  <c r="P38" i="2"/>
  <c r="P309" i="2"/>
  <c r="P100" i="2"/>
  <c r="P608" i="2"/>
  <c r="P724" i="2"/>
  <c r="P81" i="30" s="1"/>
  <c r="P833" i="2"/>
  <c r="P836" i="2"/>
  <c r="P662" i="2"/>
  <c r="P19" i="30" s="1"/>
  <c r="P815" i="2"/>
  <c r="P651" i="2"/>
  <c r="P483" i="2"/>
  <c r="P88" i="2"/>
  <c r="P37" i="2"/>
  <c r="P557" i="2"/>
  <c r="P486" i="2"/>
  <c r="P502" i="2"/>
  <c r="P95" i="2"/>
  <c r="P369" i="2"/>
  <c r="P312" i="2"/>
  <c r="P494" i="2"/>
  <c r="P665" i="2"/>
  <c r="P22" i="30" s="1"/>
  <c r="P373" i="2"/>
  <c r="P331" i="2"/>
  <c r="P655" i="2"/>
  <c r="P12" i="30" s="1"/>
  <c r="P23" i="2"/>
  <c r="P552" i="2"/>
  <c r="P554" i="2" s="1"/>
  <c r="P666" i="2"/>
  <c r="P23" i="30" s="1"/>
  <c r="P661" i="2"/>
  <c r="P18" i="30" s="1"/>
  <c r="P372" i="2"/>
  <c r="P841" i="2"/>
  <c r="P229" i="2" s="1"/>
  <c r="P603" i="2"/>
  <c r="P619" i="2"/>
  <c r="P42" i="2"/>
  <c r="P606" i="2"/>
  <c r="P324" i="2"/>
  <c r="P614" i="2"/>
  <c r="P615" i="2"/>
  <c r="P438" i="2"/>
  <c r="P442" i="2"/>
  <c r="P30" i="2"/>
  <c r="O625" i="2"/>
  <c r="O616" i="2"/>
  <c r="O354" i="2"/>
  <c r="O97" i="2"/>
  <c r="O377" i="2"/>
  <c r="O13" i="2"/>
  <c r="O70" i="2"/>
  <c r="O356" i="2"/>
  <c r="O11" i="2"/>
  <c r="O382" i="2"/>
  <c r="O527" i="2"/>
  <c r="O569" i="2"/>
  <c r="O394" i="2"/>
  <c r="O549" i="2"/>
  <c r="O439" i="2"/>
  <c r="O511" i="2"/>
  <c r="P267" i="2"/>
  <c r="P268" i="2" s="1"/>
  <c r="I223" i="2"/>
  <c r="J153" i="2"/>
  <c r="G153" i="2"/>
  <c r="I153" i="2"/>
  <c r="H153" i="2"/>
  <c r="O153" i="2"/>
  <c r="K153" i="2"/>
  <c r="N153" i="2"/>
  <c r="M153" i="2"/>
  <c r="L153" i="2"/>
  <c r="I611" i="2"/>
  <c r="I211" i="2"/>
  <c r="K267" i="2"/>
  <c r="K268" i="2" s="1"/>
  <c r="N267" i="2"/>
  <c r="N268" i="2" s="1"/>
  <c r="H267" i="2"/>
  <c r="H268" i="2" s="1"/>
  <c r="G267" i="2"/>
  <c r="G268" i="2" s="1"/>
  <c r="M267" i="2"/>
  <c r="M268" i="2" s="1"/>
  <c r="I267" i="2"/>
  <c r="I268" i="2" s="1"/>
  <c r="J268" i="2"/>
  <c r="F268" i="2"/>
  <c r="L267" i="2"/>
  <c r="L268" i="2" s="1"/>
  <c r="O267" i="2"/>
  <c r="O268" i="2" s="1"/>
  <c r="AB113" i="1"/>
  <c r="AB117" i="1" s="1"/>
  <c r="AB145" i="1" s="1"/>
  <c r="F157" i="2" s="1"/>
  <c r="L198" i="2"/>
  <c r="J491" i="2"/>
  <c r="K611" i="2"/>
  <c r="N491" i="2"/>
  <c r="M491" i="2"/>
  <c r="X536" i="1"/>
  <c r="X651" i="1"/>
  <c r="I491" i="2"/>
  <c r="F261" i="2"/>
  <c r="P261" i="2" s="1"/>
  <c r="L491" i="2"/>
  <c r="M204" i="2"/>
  <c r="O491" i="2"/>
  <c r="Y651" i="1"/>
  <c r="M611" i="2"/>
  <c r="G223" i="2"/>
  <c r="J27" i="14" s="1"/>
  <c r="L611" i="2"/>
  <c r="P204" i="2"/>
  <c r="G204" i="2"/>
  <c r="N223" i="2"/>
  <c r="J28" i="20" s="1"/>
  <c r="X595" i="1"/>
  <c r="G611" i="2"/>
  <c r="I204" i="2"/>
  <c r="Y122" i="1"/>
  <c r="H223" i="2"/>
  <c r="J28" i="27" s="1"/>
  <c r="H611" i="2"/>
  <c r="X330" i="1"/>
  <c r="X649" i="1" s="1"/>
  <c r="K204" i="2"/>
  <c r="J204" i="2"/>
  <c r="F262" i="2"/>
  <c r="L204" i="2"/>
  <c r="H204" i="2"/>
  <c r="O204" i="2"/>
  <c r="K434" i="2"/>
  <c r="O611" i="2"/>
  <c r="G198" i="2"/>
  <c r="J611" i="2"/>
  <c r="H198" i="2"/>
  <c r="P198" i="2"/>
  <c r="G491" i="2"/>
  <c r="G280" i="2"/>
  <c r="M280" i="2"/>
  <c r="L280" i="2"/>
  <c r="K280" i="2"/>
  <c r="N280" i="2"/>
  <c r="J280" i="2"/>
  <c r="H280" i="2"/>
  <c r="O280" i="2"/>
  <c r="K223" i="2"/>
  <c r="M223" i="2"/>
  <c r="J28" i="19" s="1"/>
  <c r="O223" i="2"/>
  <c r="L223" i="2"/>
  <c r="J28" i="17" s="1"/>
  <c r="J434" i="2"/>
  <c r="J198" i="2"/>
  <c r="O198" i="2"/>
  <c r="K198" i="2"/>
  <c r="O277" i="2"/>
  <c r="M198" i="2"/>
  <c r="I198" i="2"/>
  <c r="N271" i="2"/>
  <c r="I271" i="2"/>
  <c r="I434" i="2"/>
  <c r="J141" i="2"/>
  <c r="I138" i="2"/>
  <c r="O271" i="2"/>
  <c r="G141" i="2"/>
  <c r="K141" i="2"/>
  <c r="L271" i="2"/>
  <c r="I141" i="2"/>
  <c r="O141" i="2"/>
  <c r="H141" i="2"/>
  <c r="M271" i="2"/>
  <c r="J271" i="2"/>
  <c r="N141" i="2"/>
  <c r="K271" i="2"/>
  <c r="M141" i="2"/>
  <c r="H271" i="2"/>
  <c r="L141" i="2"/>
  <c r="G271" i="2"/>
  <c r="I29" i="14"/>
  <c r="H138" i="2"/>
  <c r="K138" i="2"/>
  <c r="M138" i="2"/>
  <c r="J138" i="2"/>
  <c r="G434" i="2"/>
  <c r="L138" i="2"/>
  <c r="P138" i="2"/>
  <c r="G138" i="2"/>
  <c r="N138" i="2"/>
  <c r="L434" i="2"/>
  <c r="L277" i="2"/>
  <c r="M434" i="2"/>
  <c r="J277" i="2"/>
  <c r="O255" i="2"/>
  <c r="G255" i="2"/>
  <c r="AK593" i="1"/>
  <c r="AL593" i="1" s="1"/>
  <c r="L255" i="2"/>
  <c r="N255" i="2"/>
  <c r="I255" i="2"/>
  <c r="H255" i="2"/>
  <c r="M255" i="2"/>
  <c r="J255" i="2"/>
  <c r="K255" i="2"/>
  <c r="I277" i="2"/>
  <c r="K277" i="2"/>
  <c r="M277" i="2"/>
  <c r="H277" i="2"/>
  <c r="G277" i="2"/>
  <c r="N434" i="2"/>
  <c r="H29" i="14"/>
  <c r="O434" i="2"/>
  <c r="H434" i="2"/>
  <c r="AD649" i="1"/>
  <c r="AD113" i="1"/>
  <c r="AD117" i="1" s="1"/>
  <c r="AD145" i="1" s="1"/>
  <c r="F163" i="2" s="1"/>
  <c r="V649" i="1"/>
  <c r="V113" i="1"/>
  <c r="V117" i="1" s="1"/>
  <c r="V145" i="1" s="1"/>
  <c r="F145" i="2" s="1"/>
  <c r="O202" i="2"/>
  <c r="M202" i="2"/>
  <c r="J202" i="2"/>
  <c r="N202" i="2"/>
  <c r="H28" i="20" s="1"/>
  <c r="G202" i="2"/>
  <c r="K202" i="2"/>
  <c r="H202" i="2"/>
  <c r="P202" i="2"/>
  <c r="I202" i="2"/>
  <c r="L202" i="2"/>
  <c r="O259" i="2"/>
  <c r="G259" i="2"/>
  <c r="H259" i="2"/>
  <c r="J259" i="2"/>
  <c r="M259" i="2"/>
  <c r="K259" i="2"/>
  <c r="N259" i="2"/>
  <c r="L259" i="2"/>
  <c r="P259" i="2"/>
  <c r="I259" i="2"/>
  <c r="K220" i="2"/>
  <c r="I220" i="2"/>
  <c r="L220" i="2"/>
  <c r="N220" i="2"/>
  <c r="J220" i="2"/>
  <c r="M220" i="2"/>
  <c r="G220" i="2"/>
  <c r="O220" i="2"/>
  <c r="H220" i="2"/>
  <c r="O113" i="1"/>
  <c r="O117" i="1" s="1"/>
  <c r="O145" i="1" s="1"/>
  <c r="F132" i="2" s="1"/>
  <c r="Q113" i="1"/>
  <c r="Q117" i="1" s="1"/>
  <c r="Q145" i="1" s="1"/>
  <c r="F134" i="2" s="1"/>
  <c r="L229" i="2"/>
  <c r="I229" i="2"/>
  <c r="H144" i="2"/>
  <c r="G229" i="2"/>
  <c r="K229" i="2"/>
  <c r="O229" i="2"/>
  <c r="I144" i="2"/>
  <c r="H229" i="2"/>
  <c r="N229" i="2"/>
  <c r="J229" i="2"/>
  <c r="O144" i="2"/>
  <c r="L217" i="2"/>
  <c r="G217" i="2"/>
  <c r="N217" i="2"/>
  <c r="J217" i="2"/>
  <c r="K217" i="2"/>
  <c r="I217" i="2"/>
  <c r="O217" i="2"/>
  <c r="M217" i="2"/>
  <c r="H217" i="2"/>
  <c r="P217" i="2"/>
  <c r="J274" i="2"/>
  <c r="G274" i="2"/>
  <c r="K274" i="2"/>
  <c r="H274" i="2"/>
  <c r="M274" i="2"/>
  <c r="I274" i="2"/>
  <c r="N274" i="2"/>
  <c r="L274" i="2"/>
  <c r="O274" i="2"/>
  <c r="P274" i="2"/>
  <c r="AC649" i="1"/>
  <c r="AC113" i="1"/>
  <c r="AC117" i="1" s="1"/>
  <c r="AC145" i="1" s="1"/>
  <c r="F160" i="2" s="1"/>
  <c r="M144" i="2"/>
  <c r="L144" i="2"/>
  <c r="N144" i="2"/>
  <c r="K144" i="2"/>
  <c r="J144" i="2"/>
  <c r="G144" i="2"/>
  <c r="N166" i="2"/>
  <c r="J14" i="20" s="1"/>
  <c r="O166" i="2"/>
  <c r="G166" i="2"/>
  <c r="J13" i="14" s="1"/>
  <c r="M166" i="2"/>
  <c r="J14" i="19" s="1"/>
  <c r="K166" i="2"/>
  <c r="L166" i="2"/>
  <c r="J14" i="17" s="1"/>
  <c r="J166" i="2"/>
  <c r="J14" i="29" s="1"/>
  <c r="I166" i="2"/>
  <c r="H166" i="2"/>
  <c r="J14" i="27" s="1"/>
  <c r="F516" i="2"/>
  <c r="F190" i="2"/>
  <c r="P330" i="1"/>
  <c r="P595" i="1"/>
  <c r="F345" i="2"/>
  <c r="P651" i="1"/>
  <c r="P122" i="1"/>
  <c r="F247" i="2"/>
  <c r="P536" i="1"/>
  <c r="F117" i="2"/>
  <c r="F636" i="2"/>
  <c r="F459" i="2"/>
  <c r="I172" i="2"/>
  <c r="K172" i="2"/>
  <c r="G172" i="2"/>
  <c r="L172" i="2"/>
  <c r="M172" i="2"/>
  <c r="J172" i="2"/>
  <c r="H172" i="2"/>
  <c r="N172" i="2"/>
  <c r="O172" i="2"/>
  <c r="I152" i="2"/>
  <c r="G152" i="2"/>
  <c r="H152" i="2"/>
  <c r="F154" i="2"/>
  <c r="J152" i="2"/>
  <c r="K152" i="2"/>
  <c r="L152" i="2"/>
  <c r="M152" i="2"/>
  <c r="N152" i="2"/>
  <c r="O152" i="2"/>
  <c r="P152" i="2"/>
  <c r="Y304" i="1"/>
  <c r="Y652" i="1" s="1"/>
  <c r="Y328" i="1"/>
  <c r="P755" i="2" l="1"/>
  <c r="P112" i="30" s="1"/>
  <c r="P8" i="30"/>
  <c r="H28" i="19"/>
  <c r="H29" i="25"/>
  <c r="H28" i="17"/>
  <c r="I30" i="25"/>
  <c r="H30" i="25"/>
  <c r="I29" i="25"/>
  <c r="H28" i="25"/>
  <c r="H28" i="21"/>
  <c r="J28" i="21"/>
  <c r="J14" i="21"/>
  <c r="H28" i="29"/>
  <c r="H28" i="27"/>
  <c r="P211" i="2"/>
  <c r="Q198" i="2"/>
  <c r="Q202" i="2"/>
  <c r="Q138" i="2"/>
  <c r="Q153" i="2"/>
  <c r="Q255" i="2"/>
  <c r="Q271" i="2"/>
  <c r="Q144" i="2"/>
  <c r="Q204" i="2"/>
  <c r="Q259" i="2"/>
  <c r="Q152" i="2"/>
  <c r="Q267" i="2"/>
  <c r="Q141" i="2"/>
  <c r="Q262" i="2"/>
  <c r="Q274" i="2"/>
  <c r="Q157" i="2"/>
  <c r="Q220" i="2"/>
  <c r="K261" i="2"/>
  <c r="P97" i="2"/>
  <c r="P277" i="2"/>
  <c r="P434" i="2"/>
  <c r="P491" i="2"/>
  <c r="P39" i="2"/>
  <c r="P92" i="2"/>
  <c r="P325" i="2"/>
  <c r="P382" i="2"/>
  <c r="P616" i="2"/>
  <c r="P496" i="2"/>
  <c r="P611" i="2"/>
  <c r="P115" i="2"/>
  <c r="P400" i="2"/>
  <c r="P343" i="2"/>
  <c r="P286" i="2"/>
  <c r="P457" i="2"/>
  <c r="P57" i="2"/>
  <c r="P514" i="2"/>
  <c r="P572" i="2"/>
  <c r="P634" i="2"/>
  <c r="P526" i="2"/>
  <c r="P11" i="2"/>
  <c r="P13" i="2"/>
  <c r="P71" i="2"/>
  <c r="P354" i="2"/>
  <c r="P69" i="2"/>
  <c r="P590" i="2"/>
  <c r="P297" i="2"/>
  <c r="P470" i="2"/>
  <c r="P528" i="2"/>
  <c r="P527" i="2"/>
  <c r="P355" i="2"/>
  <c r="P356" i="2"/>
  <c r="P70" i="2"/>
  <c r="P588" i="2"/>
  <c r="P298" i="2"/>
  <c r="P299" i="2"/>
  <c r="P469" i="2"/>
  <c r="P12" i="2"/>
  <c r="P413" i="2"/>
  <c r="P589" i="2"/>
  <c r="P411" i="2"/>
  <c r="P652" i="2"/>
  <c r="P9" i="30" s="1"/>
  <c r="P412" i="2"/>
  <c r="P468" i="2"/>
  <c r="P439" i="2"/>
  <c r="P337" i="2"/>
  <c r="P51" i="2"/>
  <c r="P508" i="2"/>
  <c r="P566" i="2"/>
  <c r="P631" i="2"/>
  <c r="P451" i="2"/>
  <c r="P454" i="2"/>
  <c r="P112" i="2"/>
  <c r="P511" i="2"/>
  <c r="P109" i="2"/>
  <c r="P169" i="2"/>
  <c r="P397" i="2"/>
  <c r="P394" i="2"/>
  <c r="P569" i="2"/>
  <c r="P54" i="2"/>
  <c r="P226" i="2"/>
  <c r="P283" i="2"/>
  <c r="P628" i="2"/>
  <c r="P340" i="2"/>
  <c r="P549" i="2"/>
  <c r="P377" i="2"/>
  <c r="P34" i="2"/>
  <c r="P172" i="2"/>
  <c r="P223" i="2"/>
  <c r="P280" i="2"/>
  <c r="P166" i="2"/>
  <c r="P748" i="2"/>
  <c r="P105" i="30" s="1"/>
  <c r="P334" i="2"/>
  <c r="P448" i="2"/>
  <c r="P505" i="2"/>
  <c r="P747" i="2"/>
  <c r="P104" i="30" s="1"/>
  <c r="P391" i="2"/>
  <c r="P48" i="2"/>
  <c r="P563" i="2"/>
  <c r="P746" i="2"/>
  <c r="P103" i="30" s="1"/>
  <c r="P625" i="2"/>
  <c r="P106" i="2"/>
  <c r="Q553" i="2"/>
  <c r="Q309" i="2"/>
  <c r="Q547" i="2"/>
  <c r="Q815" i="2"/>
  <c r="Q666" i="2"/>
  <c r="Q23" i="30" s="1"/>
  <c r="Q373" i="2"/>
  <c r="Q33" i="2"/>
  <c r="Q91" i="2"/>
  <c r="Q45" i="2"/>
  <c r="Q318" i="2"/>
  <c r="Q486" i="2"/>
  <c r="Q88" i="2"/>
  <c r="Q430" i="2"/>
  <c r="Q266" i="2"/>
  <c r="Q495" i="2"/>
  <c r="Q210" i="2"/>
  <c r="Q494" i="2"/>
  <c r="Q662" i="2"/>
  <c r="Q19" i="30" s="1"/>
  <c r="Q480" i="2"/>
  <c r="Q841" i="2"/>
  <c r="Q836" i="2"/>
  <c r="Q664" i="2"/>
  <c r="Q21" i="30" s="1"/>
  <c r="Q375" i="2"/>
  <c r="Q380" i="2"/>
  <c r="Q26" i="2"/>
  <c r="Q315" i="2"/>
  <c r="Q252" i="2"/>
  <c r="Q557" i="2"/>
  <c r="Q437" i="2"/>
  <c r="Q95" i="2"/>
  <c r="Q106" i="2"/>
  <c r="Q438" i="2"/>
  <c r="Q608" i="2"/>
  <c r="Q614" i="2"/>
  <c r="Q146" i="2"/>
  <c r="Q656" i="2"/>
  <c r="Q13" i="30" s="1"/>
  <c r="Q803" i="2"/>
  <c r="Q23" i="2"/>
  <c r="Q552" i="2"/>
  <c r="Q372" i="2"/>
  <c r="Q316" i="2"/>
  <c r="Q483" i="2"/>
  <c r="Q42" i="2"/>
  <c r="Q48" i="2"/>
  <c r="Q31" i="2"/>
  <c r="Q319" i="2"/>
  <c r="Q258" i="2"/>
  <c r="Q203" i="2"/>
  <c r="Q89" i="2"/>
  <c r="Q96" i="2"/>
  <c r="Q445" i="2"/>
  <c r="Q546" i="2"/>
  <c r="Q374" i="2"/>
  <c r="Q38" i="2"/>
  <c r="Q37" i="2"/>
  <c r="Q921" i="2"/>
  <c r="Q840" i="2"/>
  <c r="Q600" i="2"/>
  <c r="Q655" i="2"/>
  <c r="Q12" i="30" s="1"/>
  <c r="Q544" i="2"/>
  <c r="Q369" i="2"/>
  <c r="Q609" i="2"/>
  <c r="Q100" i="2"/>
  <c r="Q442" i="2"/>
  <c r="Q499" i="2"/>
  <c r="Q331" i="2"/>
  <c r="Q87" i="2"/>
  <c r="Q429" i="2"/>
  <c r="Q214" i="2"/>
  <c r="Q324" i="2"/>
  <c r="Q334" i="2"/>
  <c r="Q747" i="2"/>
  <c r="Q104" i="30" s="1"/>
  <c r="Q328" i="2"/>
  <c r="Q502" i="2"/>
  <c r="Q541" i="2"/>
  <c r="Q724" i="2"/>
  <c r="Q81" i="30" s="1"/>
  <c r="Q746" i="2"/>
  <c r="Q103" i="30" s="1"/>
  <c r="Q366" i="2"/>
  <c r="Q665" i="2"/>
  <c r="Q22" i="30" s="1"/>
  <c r="Q391" i="2"/>
  <c r="Q312" i="2"/>
  <c r="Q603" i="2"/>
  <c r="Q29" i="2"/>
  <c r="Q432" i="2"/>
  <c r="Q505" i="2"/>
  <c r="Q487" i="2"/>
  <c r="Q448" i="2"/>
  <c r="Q433" i="2"/>
  <c r="Q615" i="2"/>
  <c r="Q622" i="2"/>
  <c r="Q651" i="2"/>
  <c r="Q545" i="2"/>
  <c r="Q423" i="2"/>
  <c r="Q490" i="2"/>
  <c r="Q606" i="2"/>
  <c r="Q610" i="2"/>
  <c r="Q607" i="2"/>
  <c r="Q260" i="2"/>
  <c r="Q209" i="2"/>
  <c r="Q661" i="2"/>
  <c r="Q18" i="30" s="1"/>
  <c r="Q814" i="2"/>
  <c r="Q619" i="2"/>
  <c r="Q90" i="2"/>
  <c r="R1" i="2"/>
  <c r="Q748" i="2"/>
  <c r="Q105" i="30" s="1"/>
  <c r="Q563" i="2"/>
  <c r="Q30" i="2"/>
  <c r="Q195" i="2"/>
  <c r="Q317" i="2"/>
  <c r="Q201" i="2"/>
  <c r="Q548" i="2"/>
  <c r="Q32" i="2"/>
  <c r="Q663" i="2"/>
  <c r="Q20" i="30" s="1"/>
  <c r="Q81" i="2"/>
  <c r="Q657" i="2"/>
  <c r="Q14" i="30" s="1"/>
  <c r="Q376" i="2"/>
  <c r="Q538" i="2"/>
  <c r="Q833" i="2"/>
  <c r="Q381" i="2"/>
  <c r="Q560" i="2"/>
  <c r="Q84" i="2"/>
  <c r="Q489" i="2"/>
  <c r="Q388" i="2"/>
  <c r="Q426" i="2"/>
  <c r="Q385" i="2"/>
  <c r="Q488" i="2"/>
  <c r="Q323" i="2"/>
  <c r="Q103" i="2"/>
  <c r="Q431" i="2"/>
  <c r="Q625" i="2"/>
  <c r="P320" i="2"/>
  <c r="Q217" i="2"/>
  <c r="J154" i="2"/>
  <c r="I154" i="2"/>
  <c r="M154" i="2"/>
  <c r="H154" i="2"/>
  <c r="K154" i="2"/>
  <c r="N154" i="2"/>
  <c r="O154" i="2"/>
  <c r="L154" i="2"/>
  <c r="I261" i="2"/>
  <c r="O261" i="2"/>
  <c r="L157" i="2"/>
  <c r="K157" i="2"/>
  <c r="P157" i="2"/>
  <c r="G157" i="2"/>
  <c r="J157" i="2"/>
  <c r="O157" i="2"/>
  <c r="M157" i="2"/>
  <c r="I157" i="2"/>
  <c r="H157" i="2"/>
  <c r="N157" i="2"/>
  <c r="M261" i="2"/>
  <c r="H261" i="2"/>
  <c r="L261" i="2"/>
  <c r="Q261" i="2"/>
  <c r="G261" i="2"/>
  <c r="N261" i="2"/>
  <c r="J261" i="2"/>
  <c r="F263" i="2"/>
  <c r="M262" i="2"/>
  <c r="J262" i="2"/>
  <c r="L262" i="2"/>
  <c r="K262" i="2"/>
  <c r="P262" i="2"/>
  <c r="P263" i="2" s="1"/>
  <c r="G262" i="2"/>
  <c r="O262" i="2"/>
  <c r="I262" i="2"/>
  <c r="H262" i="2"/>
  <c r="N262" i="2"/>
  <c r="H27" i="14"/>
  <c r="X113" i="1"/>
  <c r="X117" i="1" s="1"/>
  <c r="X145" i="1" s="1"/>
  <c r="F147" i="2" s="1"/>
  <c r="L147" i="2" s="1"/>
  <c r="P145" i="2"/>
  <c r="O145" i="2"/>
  <c r="K145" i="2"/>
  <c r="H145" i="2"/>
  <c r="L145" i="2"/>
  <c r="M145" i="2"/>
  <c r="I145" i="2"/>
  <c r="J145" i="2"/>
  <c r="Q145" i="2"/>
  <c r="N145" i="2"/>
  <c r="G145" i="2"/>
  <c r="O163" i="2"/>
  <c r="H163" i="2"/>
  <c r="N163" i="2"/>
  <c r="Q163" i="2"/>
  <c r="G163" i="2"/>
  <c r="J163" i="2"/>
  <c r="I163" i="2"/>
  <c r="P163" i="2"/>
  <c r="L163" i="2"/>
  <c r="M163" i="2"/>
  <c r="K163" i="2"/>
  <c r="G160" i="2"/>
  <c r="M160" i="2"/>
  <c r="H160" i="2"/>
  <c r="N160" i="2"/>
  <c r="O160" i="2"/>
  <c r="L160" i="2"/>
  <c r="I160" i="2"/>
  <c r="K160" i="2"/>
  <c r="J160" i="2"/>
  <c r="P160" i="2"/>
  <c r="Q160" i="2"/>
  <c r="F787" i="2"/>
  <c r="F705" i="2"/>
  <c r="F62" i="30" s="1"/>
  <c r="F735" i="2"/>
  <c r="F92" i="30" s="1"/>
  <c r="F672" i="2"/>
  <c r="F29" i="30" s="1"/>
  <c r="F192" i="2"/>
  <c r="F205" i="2"/>
  <c r="Y330" i="1"/>
  <c r="Y595" i="1"/>
  <c r="F249" i="2"/>
  <c r="P649" i="1"/>
  <c r="P113" i="1"/>
  <c r="P117" i="1" s="1"/>
  <c r="P145" i="1" s="1"/>
  <c r="F133" i="2" s="1"/>
  <c r="P154" i="2"/>
  <c r="F675" i="2"/>
  <c r="F32" i="30" s="1"/>
  <c r="F738" i="2"/>
  <c r="F95" i="30" s="1"/>
  <c r="F674" i="2"/>
  <c r="F31" i="30" s="1"/>
  <c r="G154" i="2"/>
  <c r="Q755" i="2" l="1"/>
  <c r="Q112" i="30" s="1"/>
  <c r="Q8" i="30"/>
  <c r="J28" i="25"/>
  <c r="H14" i="17"/>
  <c r="J14" i="25"/>
  <c r="I30" i="26"/>
  <c r="H29" i="26"/>
  <c r="H28" i="26"/>
  <c r="H30" i="26"/>
  <c r="I29" i="26"/>
  <c r="Q268" i="2"/>
  <c r="Q154" i="2"/>
  <c r="R145" i="2"/>
  <c r="K263" i="2"/>
  <c r="Q554" i="2"/>
  <c r="Q263" i="2"/>
  <c r="Q211" i="2"/>
  <c r="Q377" i="2"/>
  <c r="Q496" i="2"/>
  <c r="Q439" i="2"/>
  <c r="R261" i="2"/>
  <c r="Q325" i="2"/>
  <c r="Q611" i="2"/>
  <c r="Q39" i="2"/>
  <c r="Q382" i="2"/>
  <c r="Q469" i="2"/>
  <c r="Q526" i="2"/>
  <c r="Q11" i="2"/>
  <c r="Q12" i="2"/>
  <c r="Q412" i="2"/>
  <c r="Q354" i="2"/>
  <c r="Q528" i="2"/>
  <c r="Q470" i="2"/>
  <c r="Q356" i="2"/>
  <c r="Q652" i="2"/>
  <c r="Q9" i="30" s="1"/>
  <c r="Q413" i="2"/>
  <c r="Q13" i="2"/>
  <c r="Q588" i="2"/>
  <c r="Q297" i="2"/>
  <c r="Q468" i="2"/>
  <c r="Q527" i="2"/>
  <c r="Q299" i="2"/>
  <c r="Q411" i="2"/>
  <c r="Q589" i="2"/>
  <c r="Q69" i="2"/>
  <c r="Q355" i="2"/>
  <c r="Q298" i="2"/>
  <c r="Q71" i="2"/>
  <c r="Q590" i="2"/>
  <c r="Q70" i="2"/>
  <c r="Q97" i="2"/>
  <c r="Q434" i="2"/>
  <c r="Q549" i="2"/>
  <c r="Q34" i="2"/>
  <c r="Q92" i="2"/>
  <c r="Q634" i="2"/>
  <c r="Q514" i="2"/>
  <c r="Q229" i="2"/>
  <c r="Q572" i="2"/>
  <c r="Q286" i="2"/>
  <c r="Q115" i="2"/>
  <c r="Q343" i="2"/>
  <c r="Q57" i="2"/>
  <c r="Q457" i="2"/>
  <c r="Q400" i="2"/>
  <c r="Q172" i="2"/>
  <c r="R163" i="2"/>
  <c r="R262" i="2"/>
  <c r="R157" i="2"/>
  <c r="Q491" i="2"/>
  <c r="R160" i="2"/>
  <c r="R552" i="2"/>
  <c r="R921" i="2"/>
  <c r="R547" i="2"/>
  <c r="R803" i="2"/>
  <c r="R376" i="2"/>
  <c r="R836" i="2"/>
  <c r="R553" i="2"/>
  <c r="R328" i="2"/>
  <c r="R29" i="2"/>
  <c r="R610" i="2"/>
  <c r="R426" i="2"/>
  <c r="R259" i="2"/>
  <c r="R331" i="2"/>
  <c r="R138" i="2"/>
  <c r="R87" i="2"/>
  <c r="R203" i="2"/>
  <c r="R38" i="2"/>
  <c r="R198" i="2"/>
  <c r="R267" i="2"/>
  <c r="R656" i="2"/>
  <c r="R13" i="30" s="1"/>
  <c r="R840" i="2"/>
  <c r="R226" i="2" s="1"/>
  <c r="R841" i="2"/>
  <c r="R57" i="2" s="1"/>
  <c r="R372" i="2"/>
  <c r="R319" i="2"/>
  <c r="R88" i="2"/>
  <c r="R37" i="2"/>
  <c r="R274" i="2"/>
  <c r="R431" i="2"/>
  <c r="R541" i="2"/>
  <c r="R545" i="2"/>
  <c r="R662" i="2"/>
  <c r="R19" i="30" s="1"/>
  <c r="R651" i="2"/>
  <c r="R309" i="2"/>
  <c r="R600" i="2"/>
  <c r="R26" i="2"/>
  <c r="R560" i="2"/>
  <c r="R432" i="2"/>
  <c r="R317" i="2"/>
  <c r="R607" i="2"/>
  <c r="R271" i="2"/>
  <c r="R323" i="2"/>
  <c r="R95" i="2"/>
  <c r="R557" i="2"/>
  <c r="R445" i="2"/>
  <c r="R622" i="2"/>
  <c r="R277" i="2"/>
  <c r="R153" i="2"/>
  <c r="R657" i="2"/>
  <c r="R14" i="30" s="1"/>
  <c r="R661" i="2"/>
  <c r="R18" i="30" s="1"/>
  <c r="R100" i="2"/>
  <c r="R490" i="2"/>
  <c r="R204" i="2"/>
  <c r="R260" i="2"/>
  <c r="R106" i="2"/>
  <c r="R209" i="2"/>
  <c r="R747" i="2"/>
  <c r="R104" i="30" s="1"/>
  <c r="R369" i="2"/>
  <c r="R724" i="2"/>
  <c r="R81" i="30" s="1"/>
  <c r="R746" i="2"/>
  <c r="R103" i="30" s="1"/>
  <c r="R548" i="2"/>
  <c r="R374" i="2"/>
  <c r="R499" i="2"/>
  <c r="R619" i="2"/>
  <c r="R606" i="2"/>
  <c r="R45" i="2"/>
  <c r="R603" i="2"/>
  <c r="R334" i="2"/>
  <c r="R214" i="2"/>
  <c r="R96" i="2"/>
  <c r="R258" i="2"/>
  <c r="R495" i="2"/>
  <c r="R141" i="2"/>
  <c r="R210" i="2"/>
  <c r="R563" i="2"/>
  <c r="R366" i="2"/>
  <c r="R373" i="2"/>
  <c r="R625" i="2"/>
  <c r="R48" i="2"/>
  <c r="R448" i="2"/>
  <c r="R438" i="2"/>
  <c r="R815" i="2"/>
  <c r="R655" i="2"/>
  <c r="R12" i="30" s="1"/>
  <c r="R442" i="2"/>
  <c r="R489" i="2"/>
  <c r="R615" i="2"/>
  <c r="R144" i="2"/>
  <c r="S1" i="2"/>
  <c r="R664" i="2"/>
  <c r="R21" i="30" s="1"/>
  <c r="R833" i="2"/>
  <c r="R70" i="2" s="1"/>
  <c r="R665" i="2"/>
  <c r="R22" i="30" s="1"/>
  <c r="R480" i="2"/>
  <c r="R546" i="2"/>
  <c r="R30" i="2"/>
  <c r="R609" i="2"/>
  <c r="R388" i="2"/>
  <c r="R486" i="2"/>
  <c r="R195" i="2"/>
  <c r="R488" i="2"/>
  <c r="R91" i="2"/>
  <c r="R505" i="2"/>
  <c r="R429" i="2"/>
  <c r="R433" i="2"/>
  <c r="R266" i="2"/>
  <c r="R89" i="2"/>
  <c r="R544" i="2"/>
  <c r="R748" i="2"/>
  <c r="R105" i="30" s="1"/>
  <c r="R663" i="2"/>
  <c r="R20" i="30" s="1"/>
  <c r="R423" i="2"/>
  <c r="R312" i="2"/>
  <c r="R84" i="2"/>
  <c r="R483" i="2"/>
  <c r="R202" i="2"/>
  <c r="R614" i="2"/>
  <c r="R502" i="2"/>
  <c r="R324" i="2"/>
  <c r="R814" i="2"/>
  <c r="R538" i="2"/>
  <c r="R391" i="2"/>
  <c r="R380" i="2"/>
  <c r="R33" i="2"/>
  <c r="R255" i="2"/>
  <c r="R430" i="2"/>
  <c r="R494" i="2"/>
  <c r="R608" i="2"/>
  <c r="R201" i="2"/>
  <c r="R81" i="2"/>
  <c r="R666" i="2"/>
  <c r="R23" i="30" s="1"/>
  <c r="R23" i="2"/>
  <c r="R375" i="2"/>
  <c r="R381" i="2"/>
  <c r="R318" i="2"/>
  <c r="R316" i="2"/>
  <c r="R90" i="2"/>
  <c r="R32" i="2"/>
  <c r="R31" i="2"/>
  <c r="R385" i="2"/>
  <c r="R487" i="2"/>
  <c r="R220" i="2"/>
  <c r="R437" i="2"/>
  <c r="R146" i="2"/>
  <c r="R103" i="2"/>
  <c r="R152" i="2"/>
  <c r="R42" i="2"/>
  <c r="R252" i="2"/>
  <c r="R315" i="2"/>
  <c r="R217" i="2"/>
  <c r="Q566" i="2"/>
  <c r="Q54" i="2"/>
  <c r="Q631" i="2"/>
  <c r="Q394" i="2"/>
  <c r="Q109" i="2"/>
  <c r="Q226" i="2"/>
  <c r="Q169" i="2"/>
  <c r="Q340" i="2"/>
  <c r="Q451" i="2"/>
  <c r="Q166" i="2"/>
  <c r="Q569" i="2"/>
  <c r="Q454" i="2"/>
  <c r="Q508" i="2"/>
  <c r="Q112" i="2"/>
  <c r="Q337" i="2"/>
  <c r="Q628" i="2"/>
  <c r="Q280" i="2"/>
  <c r="Q51" i="2"/>
  <c r="Q223" i="2"/>
  <c r="Q397" i="2"/>
  <c r="Q511" i="2"/>
  <c r="Q283" i="2"/>
  <c r="Q616" i="2"/>
  <c r="Q320" i="2"/>
  <c r="I263" i="2"/>
  <c r="N263" i="2"/>
  <c r="O263" i="2"/>
  <c r="L263" i="2"/>
  <c r="M263" i="2"/>
  <c r="H263" i="2"/>
  <c r="G263" i="2"/>
  <c r="J263" i="2"/>
  <c r="M147" i="2"/>
  <c r="H14" i="19" s="1"/>
  <c r="P147" i="2"/>
  <c r="H14" i="25" s="1"/>
  <c r="J147" i="2"/>
  <c r="H14" i="29" s="1"/>
  <c r="N147" i="2"/>
  <c r="H14" i="20" s="1"/>
  <c r="K147" i="2"/>
  <c r="G147" i="2"/>
  <c r="H13" i="14" s="1"/>
  <c r="O147" i="2"/>
  <c r="H14" i="21" s="1"/>
  <c r="Q147" i="2"/>
  <c r="H14" i="26" s="1"/>
  <c r="H147" i="2"/>
  <c r="H14" i="27" s="1"/>
  <c r="R147" i="2"/>
  <c r="I147" i="2"/>
  <c r="F135" i="2"/>
  <c r="Y113" i="1"/>
  <c r="Y117" i="1" s="1"/>
  <c r="Y145" i="1" s="1"/>
  <c r="F148" i="2" s="1"/>
  <c r="Y649" i="1"/>
  <c r="I205" i="2"/>
  <c r="I206" i="2" s="1"/>
  <c r="G205" i="2"/>
  <c r="K205" i="2"/>
  <c r="K206" i="2" s="1"/>
  <c r="L205" i="2"/>
  <c r="I28" i="17" s="1"/>
  <c r="M205" i="2"/>
  <c r="I28" i="19" s="1"/>
  <c r="N205" i="2"/>
  <c r="I28" i="20" s="1"/>
  <c r="H205" i="2"/>
  <c r="I28" i="27" s="1"/>
  <c r="J205" i="2"/>
  <c r="I28" i="29" s="1"/>
  <c r="O205" i="2"/>
  <c r="F206" i="2"/>
  <c r="P205" i="2"/>
  <c r="I28" i="25" s="1"/>
  <c r="Q205" i="2"/>
  <c r="I28" i="26" s="1"/>
  <c r="R205" i="2"/>
  <c r="F737" i="2"/>
  <c r="F94" i="30" s="1"/>
  <c r="R755" i="2" l="1"/>
  <c r="R112" i="30" s="1"/>
  <c r="R8" i="30"/>
  <c r="J28" i="26"/>
  <c r="J14" i="26"/>
  <c r="I28" i="21"/>
  <c r="R154" i="2"/>
  <c r="R451" i="2"/>
  <c r="R51" i="2"/>
  <c r="R511" i="2"/>
  <c r="R39" i="2"/>
  <c r="R263" i="2"/>
  <c r="R652" i="2"/>
  <c r="R9" i="30" s="1"/>
  <c r="R457" i="2"/>
  <c r="R454" i="2"/>
  <c r="R112" i="2"/>
  <c r="R616" i="2"/>
  <c r="R549" i="2"/>
  <c r="R491" i="2"/>
  <c r="R611" i="2"/>
  <c r="R382" i="2"/>
  <c r="R268" i="2"/>
  <c r="R377" i="2"/>
  <c r="R400" i="2"/>
  <c r="R337" i="2"/>
  <c r="R355" i="2"/>
  <c r="R412" i="2"/>
  <c r="R413" i="2"/>
  <c r="R340" i="2"/>
  <c r="R343" i="2"/>
  <c r="R299" i="2"/>
  <c r="R514" i="2"/>
  <c r="R325" i="2"/>
  <c r="R12" i="2"/>
  <c r="R634" i="2"/>
  <c r="R211" i="2"/>
  <c r="R229" i="2"/>
  <c r="R469" i="2"/>
  <c r="S147" i="2"/>
  <c r="R97" i="2"/>
  <c r="R54" i="2"/>
  <c r="R397" i="2"/>
  <c r="R206" i="2"/>
  <c r="R528" i="2"/>
  <c r="R11" i="2"/>
  <c r="R354" i="2"/>
  <c r="R34" i="2"/>
  <c r="R554" i="2"/>
  <c r="R71" i="2"/>
  <c r="R628" i="2"/>
  <c r="S205" i="2"/>
  <c r="R298" i="2"/>
  <c r="R572" i="2"/>
  <c r="R115" i="2"/>
  <c r="R286" i="2"/>
  <c r="R411" i="2"/>
  <c r="R69" i="2"/>
  <c r="R223" i="2"/>
  <c r="R169" i="2"/>
  <c r="R434" i="2"/>
  <c r="R508" i="2"/>
  <c r="R631" i="2"/>
  <c r="R569" i="2"/>
  <c r="R109" i="2"/>
  <c r="R283" i="2"/>
  <c r="R470" i="2"/>
  <c r="R166" i="2"/>
  <c r="R526" i="2"/>
  <c r="R297" i="2"/>
  <c r="R92" i="2"/>
  <c r="R439" i="2"/>
  <c r="R589" i="2"/>
  <c r="R588" i="2"/>
  <c r="R172" i="2"/>
  <c r="R356" i="2"/>
  <c r="R590" i="2"/>
  <c r="R527" i="2"/>
  <c r="S541" i="2"/>
  <c r="S366" i="2"/>
  <c r="S657" i="2"/>
  <c r="S14" i="30" s="1"/>
  <c r="S833" i="2"/>
  <c r="S411" i="2" s="1"/>
  <c r="S665" i="2"/>
  <c r="S22" i="30" s="1"/>
  <c r="S442" i="2"/>
  <c r="S546" i="2"/>
  <c r="S252" i="2"/>
  <c r="S33" i="2"/>
  <c r="S204" i="2"/>
  <c r="S259" i="2"/>
  <c r="S323" i="2"/>
  <c r="S432" i="2"/>
  <c r="S260" i="2"/>
  <c r="S157" i="2"/>
  <c r="S606" i="2"/>
  <c r="S271" i="2"/>
  <c r="S267" i="2"/>
  <c r="S661" i="2"/>
  <c r="S18" i="30" s="1"/>
  <c r="S255" i="2"/>
  <c r="S37" i="2"/>
  <c r="S545" i="2"/>
  <c r="S309" i="2"/>
  <c r="S651" i="2"/>
  <c r="S724" i="2"/>
  <c r="S81" i="30" s="1"/>
  <c r="S423" i="2"/>
  <c r="S26" i="2"/>
  <c r="S483" i="2"/>
  <c r="S317" i="2"/>
  <c r="S376" i="2"/>
  <c r="S195" i="2"/>
  <c r="S437" i="2"/>
  <c r="S836" i="2"/>
  <c r="S95" i="2"/>
  <c r="S489" i="2"/>
  <c r="S141" i="2"/>
  <c r="S202" i="2"/>
  <c r="S266" i="2"/>
  <c r="S103" i="2"/>
  <c r="S203" i="2"/>
  <c r="S552" i="2"/>
  <c r="S45" i="2"/>
  <c r="S160" i="2"/>
  <c r="S23" i="2"/>
  <c r="S662" i="2"/>
  <c r="S19" i="30" s="1"/>
  <c r="S480" i="2"/>
  <c r="S375" i="2"/>
  <c r="S380" i="2"/>
  <c r="S619" i="2"/>
  <c r="S42" i="2"/>
  <c r="S499" i="2"/>
  <c r="S490" i="2"/>
  <c r="S486" i="2"/>
  <c r="S381" i="2"/>
  <c r="S88" i="2"/>
  <c r="S258" i="2"/>
  <c r="S138" i="2"/>
  <c r="S201" i="2"/>
  <c r="S615" i="2"/>
  <c r="S217" i="2"/>
  <c r="S152" i="2"/>
  <c r="S656" i="2"/>
  <c r="S13" i="30" s="1"/>
  <c r="S840" i="2"/>
  <c r="S280" i="2" s="1"/>
  <c r="S100" i="2"/>
  <c r="S487" i="2"/>
  <c r="S839" i="2"/>
  <c r="S391" i="2" s="1"/>
  <c r="S385" i="2"/>
  <c r="S38" i="2"/>
  <c r="S547" i="2"/>
  <c r="S664" i="2"/>
  <c r="S21" i="30" s="1"/>
  <c r="S369" i="2"/>
  <c r="S81" i="2"/>
  <c r="S560" i="2"/>
  <c r="S814" i="2"/>
  <c r="S609" i="2"/>
  <c r="S433" i="2"/>
  <c r="S315" i="2"/>
  <c r="S608" i="2"/>
  <c r="S31" i="2"/>
  <c r="S89" i="2"/>
  <c r="S431" i="2"/>
  <c r="S622" i="2"/>
  <c r="S144" i="2"/>
  <c r="S445" i="2"/>
  <c r="S324" i="2"/>
  <c r="S388" i="2"/>
  <c r="S374" i="2"/>
  <c r="S553" i="2"/>
  <c r="S96" i="2"/>
  <c r="S84" i="2"/>
  <c r="S502" i="2"/>
  <c r="S663" i="2"/>
  <c r="S20" i="30" s="1"/>
  <c r="T1" i="2"/>
  <c r="S921" i="2"/>
  <c r="S600" i="2"/>
  <c r="S312" i="2"/>
  <c r="S328" i="2"/>
  <c r="S30" i="2"/>
  <c r="S610" i="2"/>
  <c r="S91" i="2"/>
  <c r="S426" i="2"/>
  <c r="S331" i="2"/>
  <c r="S198" i="2"/>
  <c r="S614" i="2"/>
  <c r="S494" i="2"/>
  <c r="S145" i="2"/>
  <c r="S429" i="2"/>
  <c r="S209" i="2"/>
  <c r="S655" i="2"/>
  <c r="S12" i="30" s="1"/>
  <c r="S318" i="2"/>
  <c r="S29" i="2"/>
  <c r="S87" i="2"/>
  <c r="S214" i="2"/>
  <c r="S210" i="2"/>
  <c r="S803" i="2"/>
  <c r="S372" i="2"/>
  <c r="S603" i="2"/>
  <c r="S262" i="2"/>
  <c r="S146" i="2"/>
  <c r="S544" i="2"/>
  <c r="S538" i="2"/>
  <c r="S373" i="2"/>
  <c r="S666" i="2"/>
  <c r="S23" i="30" s="1"/>
  <c r="S815" i="2"/>
  <c r="S841" i="2"/>
  <c r="S457" i="2" s="1"/>
  <c r="S557" i="2"/>
  <c r="S319" i="2"/>
  <c r="S90" i="2"/>
  <c r="S32" i="2"/>
  <c r="S607" i="2"/>
  <c r="S488" i="2"/>
  <c r="S261" i="2"/>
  <c r="S548" i="2"/>
  <c r="S438" i="2"/>
  <c r="S274" i="2"/>
  <c r="S495" i="2"/>
  <c r="S153" i="2"/>
  <c r="S316" i="2"/>
  <c r="S430" i="2"/>
  <c r="R320" i="2"/>
  <c r="R496" i="2"/>
  <c r="R468" i="2"/>
  <c r="R394" i="2"/>
  <c r="R13" i="2"/>
  <c r="R280" i="2"/>
  <c r="R566" i="2"/>
  <c r="P206" i="2"/>
  <c r="G206" i="2"/>
  <c r="I27" i="14"/>
  <c r="O206" i="2"/>
  <c r="J206" i="2"/>
  <c r="Q206" i="2"/>
  <c r="H206" i="2"/>
  <c r="N206" i="2"/>
  <c r="I148" i="2"/>
  <c r="I149" i="2" s="1"/>
  <c r="G148" i="2"/>
  <c r="K148" i="2"/>
  <c r="K149" i="2" s="1"/>
  <c r="L148" i="2"/>
  <c r="I14" i="17" s="1"/>
  <c r="M148" i="2"/>
  <c r="I14" i="19" s="1"/>
  <c r="H148" i="2"/>
  <c r="I14" i="27" s="1"/>
  <c r="J148" i="2"/>
  <c r="I14" i="29" s="1"/>
  <c r="N148" i="2"/>
  <c r="I14" i="20" s="1"/>
  <c r="O148" i="2"/>
  <c r="P148" i="2"/>
  <c r="I14" i="25" s="1"/>
  <c r="Q148" i="2"/>
  <c r="I14" i="26" s="1"/>
  <c r="F149" i="2"/>
  <c r="R148" i="2"/>
  <c r="R149" i="2" s="1"/>
  <c r="S148" i="2"/>
  <c r="L206" i="2"/>
  <c r="M206" i="2"/>
  <c r="S755" i="2" l="1"/>
  <c r="S112" i="30" s="1"/>
  <c r="S8" i="30"/>
  <c r="I35" i="19"/>
  <c r="H35" i="19"/>
  <c r="I35" i="17"/>
  <c r="H35" i="17"/>
  <c r="I35" i="26"/>
  <c r="H35" i="26"/>
  <c r="I14" i="21"/>
  <c r="I35" i="21" s="1"/>
  <c r="H35" i="25"/>
  <c r="I35" i="20"/>
  <c r="H35" i="20"/>
  <c r="I35" i="29"/>
  <c r="H35" i="29"/>
  <c r="I35" i="27"/>
  <c r="H35" i="27"/>
  <c r="S588" i="2"/>
  <c r="S70" i="2"/>
  <c r="S355" i="2"/>
  <c r="S71" i="2"/>
  <c r="S356" i="2"/>
  <c r="S51" i="2"/>
  <c r="S337" i="2"/>
  <c r="S616" i="2"/>
  <c r="S340" i="2"/>
  <c r="S39" i="2"/>
  <c r="S590" i="2"/>
  <c r="S149" i="2"/>
  <c r="S434" i="2"/>
  <c r="S206" i="2"/>
  <c r="S97" i="2"/>
  <c r="S163" i="2"/>
  <c r="S106" i="2"/>
  <c r="S115" i="2"/>
  <c r="S469" i="2"/>
  <c r="S563" i="2"/>
  <c r="S220" i="2"/>
  <c r="S343" i="2"/>
  <c r="S514" i="2"/>
  <c r="S57" i="2"/>
  <c r="S229" i="2"/>
  <c r="S268" i="2"/>
  <c r="S286" i="2"/>
  <c r="S508" i="2"/>
  <c r="S468" i="2"/>
  <c r="S748" i="2"/>
  <c r="S105" i="30" s="1"/>
  <c r="S277" i="2"/>
  <c r="S511" i="2"/>
  <c r="T373" i="2"/>
  <c r="V373" i="2" s="1"/>
  <c r="W373" i="2" s="1"/>
  <c r="X373" i="2" s="1"/>
  <c r="T662" i="2"/>
  <c r="T547" i="2"/>
  <c r="V547" i="2" s="1"/>
  <c r="W547" i="2" s="1"/>
  <c r="X547" i="2" s="1"/>
  <c r="T839" i="2"/>
  <c r="T277" i="2" s="1"/>
  <c r="T655" i="2"/>
  <c r="T372" i="2"/>
  <c r="T316" i="2"/>
  <c r="V316" i="2" s="1"/>
  <c r="W316" i="2" s="1"/>
  <c r="X316" i="2" s="1"/>
  <c r="T433" i="2"/>
  <c r="V433" i="2" s="1"/>
  <c r="W433" i="2" s="1"/>
  <c r="X433" i="2" s="1"/>
  <c r="T490" i="2"/>
  <c r="V490" i="2" s="1"/>
  <c r="W490" i="2" s="1"/>
  <c r="X490" i="2" s="1"/>
  <c r="T606" i="2"/>
  <c r="T91" i="2"/>
  <c r="V91" i="2" s="1"/>
  <c r="W91" i="2" s="1"/>
  <c r="X91" i="2" s="1"/>
  <c r="T37" i="2"/>
  <c r="T323" i="2"/>
  <c r="T315" i="2"/>
  <c r="T607" i="2"/>
  <c r="V607" i="2" s="1"/>
  <c r="W607" i="2" s="1"/>
  <c r="X607" i="2" s="1"/>
  <c r="T138" i="2"/>
  <c r="V138" i="2" s="1"/>
  <c r="W138" i="2" s="1"/>
  <c r="X138" i="2" s="1"/>
  <c r="T217" i="2"/>
  <c r="V217" i="2" s="1"/>
  <c r="W217" i="2" s="1"/>
  <c r="X217" i="2" s="1"/>
  <c r="T209" i="2"/>
  <c r="T815" i="2"/>
  <c r="V815" i="2" s="1"/>
  <c r="W815" i="2" s="1"/>
  <c r="T664" i="2"/>
  <c r="T836" i="2"/>
  <c r="V836" i="2" s="1"/>
  <c r="W836" i="2" s="1"/>
  <c r="X836" i="2" s="1"/>
  <c r="T553" i="2"/>
  <c r="V553" i="2" s="1"/>
  <c r="W553" i="2" s="1"/>
  <c r="X553" i="2" s="1"/>
  <c r="T319" i="2"/>
  <c r="V319" i="2" s="1"/>
  <c r="W319" i="2" s="1"/>
  <c r="X319" i="2" s="1"/>
  <c r="T317" i="2"/>
  <c r="V317" i="2" s="1"/>
  <c r="W317" i="2" s="1"/>
  <c r="X317" i="2" s="1"/>
  <c r="T331" i="2"/>
  <c r="V331" i="2" s="1"/>
  <c r="W331" i="2" s="1"/>
  <c r="X331" i="2" s="1"/>
  <c r="T610" i="2"/>
  <c r="V610" i="2" s="1"/>
  <c r="W610" i="2" s="1"/>
  <c r="X610" i="2" s="1"/>
  <c r="T258" i="2"/>
  <c r="T42" i="2"/>
  <c r="V42" i="2" s="1"/>
  <c r="W42" i="2" s="1"/>
  <c r="X42" i="2" s="1"/>
  <c r="T438" i="2"/>
  <c r="V438" i="2" s="1"/>
  <c r="W438" i="2" s="1"/>
  <c r="X438" i="2" s="1"/>
  <c r="T153" i="2"/>
  <c r="V153" i="2" s="1"/>
  <c r="W153" i="2" s="1"/>
  <c r="X153" i="2" s="1"/>
  <c r="T84" i="2"/>
  <c r="V84" i="2" s="1"/>
  <c r="W84" i="2" s="1"/>
  <c r="X84" i="2" s="1"/>
  <c r="T442" i="2"/>
  <c r="V442" i="2" s="1"/>
  <c r="W442" i="2" s="1"/>
  <c r="X442" i="2" s="1"/>
  <c r="T198" i="2"/>
  <c r="V198" i="2" s="1"/>
  <c r="W198" i="2" s="1"/>
  <c r="X198" i="2" s="1"/>
  <c r="T260" i="2"/>
  <c r="V260" i="2" s="1"/>
  <c r="W260" i="2" s="1"/>
  <c r="X260" i="2" s="1"/>
  <c r="T205" i="2"/>
  <c r="V205" i="2" s="1"/>
  <c r="W205" i="2" s="1"/>
  <c r="X205" i="2" s="1"/>
  <c r="T426" i="2"/>
  <c r="V426" i="2" s="1"/>
  <c r="W426" i="2" s="1"/>
  <c r="X426" i="2" s="1"/>
  <c r="T262" i="2"/>
  <c r="V262" i="2" s="1"/>
  <c r="W262" i="2" s="1"/>
  <c r="X262" i="2" s="1"/>
  <c r="T147" i="2"/>
  <c r="V147" i="2" s="1"/>
  <c r="W147" i="2" s="1"/>
  <c r="X147" i="2" s="1"/>
  <c r="T651" i="2"/>
  <c r="T8" i="30" s="1"/>
  <c r="T309" i="2"/>
  <c r="V309" i="2" s="1"/>
  <c r="W309" i="2" s="1"/>
  <c r="X309" i="2" s="1"/>
  <c r="T432" i="2"/>
  <c r="V432" i="2" s="1"/>
  <c r="W432" i="2" s="1"/>
  <c r="X432" i="2" s="1"/>
  <c r="T622" i="2"/>
  <c r="V622" i="2" s="1"/>
  <c r="W622" i="2" s="1"/>
  <c r="X622" i="2" s="1"/>
  <c r="T160" i="2"/>
  <c r="V160" i="2" s="1"/>
  <c r="W160" i="2" s="1"/>
  <c r="X160" i="2" s="1"/>
  <c r="T724" i="2"/>
  <c r="T45" i="2"/>
  <c r="V45" i="2" s="1"/>
  <c r="W45" i="2" s="1"/>
  <c r="X45" i="2" s="1"/>
  <c r="T494" i="2"/>
  <c r="T201" i="2"/>
  <c r="V201" i="2" s="1"/>
  <c r="W201" i="2" s="1"/>
  <c r="X201" i="2" s="1"/>
  <c r="T544" i="2"/>
  <c r="T552" i="2"/>
  <c r="T557" i="2"/>
  <c r="V557" i="2" s="1"/>
  <c r="W557" i="2" s="1"/>
  <c r="X557" i="2" s="1"/>
  <c r="T487" i="2"/>
  <c r="V487" i="2" s="1"/>
  <c r="W487" i="2" s="1"/>
  <c r="X487" i="2" s="1"/>
  <c r="T437" i="2"/>
  <c r="T259" i="2"/>
  <c r="V259" i="2" s="1"/>
  <c r="W259" i="2" s="1"/>
  <c r="X259" i="2" s="1"/>
  <c r="T100" i="2"/>
  <c r="V100" i="2" s="1"/>
  <c r="W100" i="2" s="1"/>
  <c r="X100" i="2" s="1"/>
  <c r="T499" i="2"/>
  <c r="V499" i="2" s="1"/>
  <c r="W499" i="2" s="1"/>
  <c r="X499" i="2" s="1"/>
  <c r="T430" i="2"/>
  <c r="V430" i="2" s="1"/>
  <c r="W430" i="2" s="1"/>
  <c r="X430" i="2" s="1"/>
  <c r="T202" i="2"/>
  <c r="V202" i="2" s="1"/>
  <c r="W202" i="2" s="1"/>
  <c r="X202" i="2" s="1"/>
  <c r="T152" i="2"/>
  <c r="T483" i="2"/>
  <c r="V483" i="2" s="1"/>
  <c r="W483" i="2" s="1"/>
  <c r="X483" i="2" s="1"/>
  <c r="T486" i="2"/>
  <c r="T144" i="2"/>
  <c r="T538" i="2"/>
  <c r="V538" i="2" s="1"/>
  <c r="W538" i="2" s="1"/>
  <c r="X538" i="2" s="1"/>
  <c r="T30" i="2"/>
  <c r="V30" i="2" s="1"/>
  <c r="W30" i="2" s="1"/>
  <c r="X30" i="2" s="1"/>
  <c r="T210" i="2"/>
  <c r="V210" i="2" s="1"/>
  <c r="W210" i="2" s="1"/>
  <c r="X210" i="2" s="1"/>
  <c r="T661" i="2"/>
  <c r="T375" i="2"/>
  <c r="V375" i="2" s="1"/>
  <c r="W375" i="2" s="1"/>
  <c r="X375" i="2" s="1"/>
  <c r="T374" i="2"/>
  <c r="V374" i="2" s="1"/>
  <c r="W374" i="2" s="1"/>
  <c r="X374" i="2" s="1"/>
  <c r="T840" i="2"/>
  <c r="T511" i="2" s="1"/>
  <c r="T600" i="2"/>
  <c r="V600" i="2" s="1"/>
  <c r="W600" i="2" s="1"/>
  <c r="X600" i="2" s="1"/>
  <c r="T814" i="2"/>
  <c r="V814" i="2" s="1"/>
  <c r="W814" i="2" s="1"/>
  <c r="T609" i="2"/>
  <c r="V609" i="2" s="1"/>
  <c r="W609" i="2" s="1"/>
  <c r="X609" i="2" s="1"/>
  <c r="T261" i="2"/>
  <c r="V261" i="2" s="1"/>
  <c r="W261" i="2" s="1"/>
  <c r="X261" i="2" s="1"/>
  <c r="T87" i="2"/>
  <c r="T103" i="2"/>
  <c r="V103" i="2" s="1"/>
  <c r="W103" i="2" s="1"/>
  <c r="X103" i="2" s="1"/>
  <c r="T608" i="2"/>
  <c r="V608" i="2" s="1"/>
  <c r="W608" i="2" s="1"/>
  <c r="X608" i="2" s="1"/>
  <c r="T615" i="2"/>
  <c r="V615" i="2" s="1"/>
  <c r="W615" i="2" s="1"/>
  <c r="X615" i="2" s="1"/>
  <c r="T81" i="2"/>
  <c r="V81" i="2" s="1"/>
  <c r="W81" i="2" s="1"/>
  <c r="X81" i="2" s="1"/>
  <c r="T31" i="2"/>
  <c r="V31" i="2" s="1"/>
  <c r="W31" i="2" s="1"/>
  <c r="X31" i="2" s="1"/>
  <c r="T502" i="2"/>
  <c r="V502" i="2" s="1"/>
  <c r="W502" i="2" s="1"/>
  <c r="X502" i="2" s="1"/>
  <c r="T23" i="2"/>
  <c r="V23" i="2" s="1"/>
  <c r="W23" i="2" s="1"/>
  <c r="X23" i="2" s="1"/>
  <c r="T488" i="2"/>
  <c r="V488" i="2" s="1"/>
  <c r="W488" i="2" s="1"/>
  <c r="X488" i="2" s="1"/>
  <c r="T324" i="2"/>
  <c r="V324" i="2" s="1"/>
  <c r="W324" i="2" s="1"/>
  <c r="X324" i="2" s="1"/>
  <c r="T541" i="2"/>
  <c r="V541" i="2" s="1"/>
  <c r="W541" i="2" s="1"/>
  <c r="X541" i="2" s="1"/>
  <c r="T665" i="2"/>
  <c r="T376" i="2"/>
  <c r="V376" i="2" s="1"/>
  <c r="W376" i="2" s="1"/>
  <c r="X376" i="2" s="1"/>
  <c r="T545" i="2"/>
  <c r="V545" i="2" s="1"/>
  <c r="W545" i="2" s="1"/>
  <c r="X545" i="2" s="1"/>
  <c r="T381" i="2"/>
  <c r="V381" i="2" s="1"/>
  <c r="W381" i="2" s="1"/>
  <c r="X381" i="2" s="1"/>
  <c r="T312" i="2"/>
  <c r="V312" i="2" s="1"/>
  <c r="W312" i="2" s="1"/>
  <c r="X312" i="2" s="1"/>
  <c r="T603" i="2"/>
  <c r="V603" i="2" s="1"/>
  <c r="W603" i="2" s="1"/>
  <c r="X603" i="2" s="1"/>
  <c r="T90" i="2"/>
  <c r="V90" i="2" s="1"/>
  <c r="W90" i="2" s="1"/>
  <c r="X90" i="2" s="1"/>
  <c r="T318" i="2"/>
  <c r="V318" i="2" s="1"/>
  <c r="W318" i="2" s="1"/>
  <c r="X318" i="2" s="1"/>
  <c r="T96" i="2"/>
  <c r="V96" i="2" s="1"/>
  <c r="W96" i="2" s="1"/>
  <c r="X96" i="2" s="1"/>
  <c r="T663" i="2"/>
  <c r="T252" i="2"/>
  <c r="V252" i="2" s="1"/>
  <c r="W252" i="2" s="1"/>
  <c r="X252" i="2" s="1"/>
  <c r="T141" i="2"/>
  <c r="V141" i="2" s="1"/>
  <c r="W141" i="2" s="1"/>
  <c r="X141" i="2" s="1"/>
  <c r="T546" i="2"/>
  <c r="V546" i="2" s="1"/>
  <c r="W546" i="2" s="1"/>
  <c r="X546" i="2" s="1"/>
  <c r="T255" i="2"/>
  <c r="V255" i="2" s="1"/>
  <c r="W255" i="2" s="1"/>
  <c r="X255" i="2" s="1"/>
  <c r="T366" i="2"/>
  <c r="V366" i="2" s="1"/>
  <c r="W366" i="2" s="1"/>
  <c r="X366" i="2" s="1"/>
  <c r="T921" i="2"/>
  <c r="V921" i="2" s="1"/>
  <c r="W921" i="2" s="1"/>
  <c r="X921" i="2" s="1"/>
  <c r="T803" i="2"/>
  <c r="T480" i="2"/>
  <c r="V480" i="2" s="1"/>
  <c r="W480" i="2" s="1"/>
  <c r="X480" i="2" s="1"/>
  <c r="T380" i="2"/>
  <c r="T32" i="2"/>
  <c r="V32" i="2" s="1"/>
  <c r="W32" i="2" s="1"/>
  <c r="X32" i="2" s="1"/>
  <c r="T560" i="2"/>
  <c r="V560" i="2" s="1"/>
  <c r="W560" i="2" s="1"/>
  <c r="X560" i="2" s="1"/>
  <c r="T619" i="2"/>
  <c r="V619" i="2" s="1"/>
  <c r="W619" i="2" s="1"/>
  <c r="X619" i="2" s="1"/>
  <c r="T195" i="2"/>
  <c r="V195" i="2" s="1"/>
  <c r="W195" i="2" s="1"/>
  <c r="X195" i="2" s="1"/>
  <c r="T489" i="2"/>
  <c r="V489" i="2" s="1"/>
  <c r="W489" i="2" s="1"/>
  <c r="X489" i="2" s="1"/>
  <c r="T429" i="2"/>
  <c r="T95" i="2"/>
  <c r="T266" i="2"/>
  <c r="T146" i="2"/>
  <c r="V146" i="2" s="1"/>
  <c r="W146" i="2" s="1"/>
  <c r="X146" i="2" s="1"/>
  <c r="T614" i="2"/>
  <c r="T203" i="2"/>
  <c r="V203" i="2" s="1"/>
  <c r="W203" i="2" s="1"/>
  <c r="X203" i="2" s="1"/>
  <c r="T656" i="2"/>
  <c r="T388" i="2"/>
  <c r="V388" i="2" s="1"/>
  <c r="W388" i="2" s="1"/>
  <c r="X388" i="2" s="1"/>
  <c r="T274" i="2"/>
  <c r="V274" i="2" s="1"/>
  <c r="W274" i="2" s="1"/>
  <c r="X274" i="2" s="1"/>
  <c r="T548" i="2"/>
  <c r="V548" i="2" s="1"/>
  <c r="W548" i="2" s="1"/>
  <c r="X548" i="2" s="1"/>
  <c r="T841" i="2"/>
  <c r="T229" i="2" s="1"/>
  <c r="T666" i="2"/>
  <c r="T833" i="2"/>
  <c r="T590" i="2" s="1"/>
  <c r="T369" i="2"/>
  <c r="V369" i="2" s="1"/>
  <c r="W369" i="2" s="1"/>
  <c r="X369" i="2" s="1"/>
  <c r="T33" i="2"/>
  <c r="V33" i="2" s="1"/>
  <c r="W33" i="2" s="1"/>
  <c r="X33" i="2" s="1"/>
  <c r="T385" i="2"/>
  <c r="V385" i="2" s="1"/>
  <c r="W385" i="2" s="1"/>
  <c r="X385" i="2" s="1"/>
  <c r="T328" i="2"/>
  <c r="V328" i="2" s="1"/>
  <c r="W328" i="2" s="1"/>
  <c r="X328" i="2" s="1"/>
  <c r="T88" i="2"/>
  <c r="V88" i="2" s="1"/>
  <c r="W88" i="2" s="1"/>
  <c r="X88" i="2" s="1"/>
  <c r="T204" i="2"/>
  <c r="V204" i="2" s="1"/>
  <c r="W204" i="2" s="1"/>
  <c r="X204" i="2" s="1"/>
  <c r="T29" i="2"/>
  <c r="T271" i="2"/>
  <c r="V271" i="2" s="1"/>
  <c r="W271" i="2" s="1"/>
  <c r="X271" i="2" s="1"/>
  <c r="T89" i="2"/>
  <c r="V89" i="2" s="1"/>
  <c r="W89" i="2" s="1"/>
  <c r="X89" i="2" s="1"/>
  <c r="T157" i="2"/>
  <c r="V157" i="2" s="1"/>
  <c r="W157" i="2" s="1"/>
  <c r="X157" i="2" s="1"/>
  <c r="T267" i="2"/>
  <c r="V267" i="2" s="1"/>
  <c r="W267" i="2" s="1"/>
  <c r="X267" i="2" s="1"/>
  <c r="T214" i="2"/>
  <c r="V214" i="2" s="1"/>
  <c r="W214" i="2" s="1"/>
  <c r="X214" i="2" s="1"/>
  <c r="T495" i="2"/>
  <c r="V495" i="2" s="1"/>
  <c r="W495" i="2" s="1"/>
  <c r="X495" i="2" s="1"/>
  <c r="T657" i="2"/>
  <c r="T26" i="2"/>
  <c r="V26" i="2" s="1"/>
  <c r="W26" i="2" s="1"/>
  <c r="X26" i="2" s="1"/>
  <c r="T431" i="2"/>
  <c r="V431" i="2" s="1"/>
  <c r="W431" i="2" s="1"/>
  <c r="X431" i="2" s="1"/>
  <c r="T445" i="2"/>
  <c r="V445" i="2" s="1"/>
  <c r="W445" i="2" s="1"/>
  <c r="X445" i="2" s="1"/>
  <c r="T423" i="2"/>
  <c r="V423" i="2" s="1"/>
  <c r="W423" i="2" s="1"/>
  <c r="X423" i="2" s="1"/>
  <c r="T38" i="2"/>
  <c r="V38" i="2" s="1"/>
  <c r="W38" i="2" s="1"/>
  <c r="X38" i="2" s="1"/>
  <c r="T145" i="2"/>
  <c r="V145" i="2" s="1"/>
  <c r="W145" i="2" s="1"/>
  <c r="X145" i="2" s="1"/>
  <c r="S320" i="2"/>
  <c r="S154" i="2"/>
  <c r="S491" i="2"/>
  <c r="S172" i="2"/>
  <c r="S354" i="2"/>
  <c r="S451" i="2"/>
  <c r="S569" i="2"/>
  <c r="S394" i="2"/>
  <c r="S283" i="2"/>
  <c r="S454" i="2"/>
  <c r="S628" i="2"/>
  <c r="S634" i="2"/>
  <c r="S377" i="2"/>
  <c r="S211" i="2"/>
  <c r="S325" i="2"/>
  <c r="S652" i="2"/>
  <c r="S9" i="30" s="1"/>
  <c r="S298" i="2"/>
  <c r="S13" i="2"/>
  <c r="S589" i="2"/>
  <c r="S527" i="2"/>
  <c r="S299" i="2"/>
  <c r="S470" i="2"/>
  <c r="S11" i="2"/>
  <c r="S526" i="2"/>
  <c r="S12" i="2"/>
  <c r="S572" i="2"/>
  <c r="S412" i="2"/>
  <c r="S297" i="2"/>
  <c r="T148" i="2"/>
  <c r="V148" i="2" s="1"/>
  <c r="W148" i="2" s="1"/>
  <c r="X148" i="2" s="1"/>
  <c r="S169" i="2"/>
  <c r="S413" i="2"/>
  <c r="S528" i="2"/>
  <c r="S566" i="2"/>
  <c r="S505" i="2"/>
  <c r="S334" i="2"/>
  <c r="S746" i="2"/>
  <c r="S103" i="30" s="1"/>
  <c r="S625" i="2"/>
  <c r="S397" i="2"/>
  <c r="S631" i="2"/>
  <c r="S226" i="2"/>
  <c r="S109" i="2"/>
  <c r="S54" i="2"/>
  <c r="S549" i="2"/>
  <c r="S92" i="2"/>
  <c r="S496" i="2"/>
  <c r="S554" i="2"/>
  <c r="S223" i="2"/>
  <c r="S166" i="2"/>
  <c r="S747" i="2"/>
  <c r="S104" i="30" s="1"/>
  <c r="S34" i="2"/>
  <c r="S263" i="2"/>
  <c r="S382" i="2"/>
  <c r="S439" i="2"/>
  <c r="S611" i="2"/>
  <c r="S448" i="2"/>
  <c r="S48" i="2"/>
  <c r="S112" i="2"/>
  <c r="S400" i="2"/>
  <c r="S69" i="2"/>
  <c r="J149" i="2"/>
  <c r="O149" i="2"/>
  <c r="H149" i="2"/>
  <c r="N149" i="2"/>
  <c r="M149" i="2"/>
  <c r="L149" i="2"/>
  <c r="Q149" i="2"/>
  <c r="P149" i="2"/>
  <c r="I13" i="14"/>
  <c r="G149" i="2"/>
  <c r="V666" i="2" l="1"/>
  <c r="W666" i="2" s="1"/>
  <c r="X666" i="2" s="1"/>
  <c r="T23" i="30"/>
  <c r="V657" i="2"/>
  <c r="W657" i="2" s="1"/>
  <c r="X657" i="2" s="1"/>
  <c r="T14" i="30"/>
  <c r="V663" i="2"/>
  <c r="W663" i="2" s="1"/>
  <c r="X663" i="2" s="1"/>
  <c r="T20" i="30"/>
  <c r="V655" i="2"/>
  <c r="W655" i="2" s="1"/>
  <c r="X655" i="2" s="1"/>
  <c r="T12" i="30"/>
  <c r="V665" i="2"/>
  <c r="W665" i="2" s="1"/>
  <c r="X665" i="2" s="1"/>
  <c r="T22" i="30"/>
  <c r="V724" i="2"/>
  <c r="W724" i="2" s="1"/>
  <c r="X724" i="2" s="1"/>
  <c r="T81" i="30"/>
  <c r="V664" i="2"/>
  <c r="W664" i="2" s="1"/>
  <c r="X664" i="2" s="1"/>
  <c r="T21" i="30"/>
  <c r="V656" i="2"/>
  <c r="W656" i="2" s="1"/>
  <c r="X656" i="2" s="1"/>
  <c r="T13" i="30"/>
  <c r="V662" i="2"/>
  <c r="W662" i="2" s="1"/>
  <c r="X662" i="2" s="1"/>
  <c r="T19" i="30"/>
  <c r="V661" i="2"/>
  <c r="W661" i="2" s="1"/>
  <c r="X661" i="2" s="1"/>
  <c r="T18" i="30"/>
  <c r="K35" i="19"/>
  <c r="L35" i="19" s="1"/>
  <c r="K35" i="17"/>
  <c r="L35" i="17" s="1"/>
  <c r="K35" i="26"/>
  <c r="L35" i="26" s="1"/>
  <c r="H35" i="21"/>
  <c r="K35" i="21" s="1"/>
  <c r="L35" i="21" s="1"/>
  <c r="I35" i="25"/>
  <c r="K35" i="20"/>
  <c r="L35" i="20" s="1"/>
  <c r="K35" i="29"/>
  <c r="L35" i="29" s="1"/>
  <c r="K35" i="27"/>
  <c r="L35" i="27" s="1"/>
  <c r="V511" i="2"/>
  <c r="W511" i="2" s="1"/>
  <c r="X511" i="2" s="1"/>
  <c r="T469" i="2"/>
  <c r="V469" i="2" s="1"/>
  <c r="W469" i="2" s="1"/>
  <c r="X469" i="2" s="1"/>
  <c r="V229" i="2"/>
  <c r="W229" i="2" s="1"/>
  <c r="X229" i="2" s="1"/>
  <c r="V590" i="2"/>
  <c r="W590" i="2" s="1"/>
  <c r="X590" i="2" s="1"/>
  <c r="T616" i="2"/>
  <c r="V616" i="2" s="1"/>
  <c r="W616" i="2" s="1"/>
  <c r="X616" i="2" s="1"/>
  <c r="V277" i="2"/>
  <c r="W277" i="2" s="1"/>
  <c r="X277" i="2" s="1"/>
  <c r="V209" i="2"/>
  <c r="W209" i="2" s="1"/>
  <c r="X209" i="2" s="1"/>
  <c r="T211" i="2"/>
  <c r="V211" i="2" s="1"/>
  <c r="W211" i="2" s="1"/>
  <c r="X211" i="2" s="1"/>
  <c r="T92" i="2"/>
  <c r="V92" i="2" s="1"/>
  <c r="W92" i="2" s="1"/>
  <c r="X92" i="2" s="1"/>
  <c r="V87" i="2"/>
  <c r="W87" i="2" s="1"/>
  <c r="X87" i="2" s="1"/>
  <c r="T554" i="2"/>
  <c r="V554" i="2" s="1"/>
  <c r="W554" i="2" s="1"/>
  <c r="X554" i="2" s="1"/>
  <c r="V552" i="2"/>
  <c r="W552" i="2" s="1"/>
  <c r="X552" i="2" s="1"/>
  <c r="T411" i="2"/>
  <c r="V411" i="2" s="1"/>
  <c r="W411" i="2" s="1"/>
  <c r="X411" i="2" s="1"/>
  <c r="V841" i="2"/>
  <c r="W841" i="2" s="1"/>
  <c r="X841" i="2" s="1"/>
  <c r="T286" i="2"/>
  <c r="V286" i="2" s="1"/>
  <c r="W286" i="2" s="1"/>
  <c r="X286" i="2" s="1"/>
  <c r="T400" i="2"/>
  <c r="V400" i="2" s="1"/>
  <c r="W400" i="2" s="1"/>
  <c r="X400" i="2" s="1"/>
  <c r="T572" i="2"/>
  <c r="V572" i="2" s="1"/>
  <c r="W572" i="2" s="1"/>
  <c r="X572" i="2" s="1"/>
  <c r="T514" i="2"/>
  <c r="V514" i="2" s="1"/>
  <c r="W514" i="2" s="1"/>
  <c r="X514" i="2" s="1"/>
  <c r="T457" i="2"/>
  <c r="V457" i="2" s="1"/>
  <c r="W457" i="2" s="1"/>
  <c r="X457" i="2" s="1"/>
  <c r="T57" i="2"/>
  <c r="V57" i="2" s="1"/>
  <c r="W57" i="2" s="1"/>
  <c r="X57" i="2" s="1"/>
  <c r="T172" i="2"/>
  <c r="V172" i="2" s="1"/>
  <c r="W172" i="2" s="1"/>
  <c r="X172" i="2" s="1"/>
  <c r="T634" i="2"/>
  <c r="V634" i="2" s="1"/>
  <c r="W634" i="2" s="1"/>
  <c r="X634" i="2" s="1"/>
  <c r="T343" i="2"/>
  <c r="V343" i="2" s="1"/>
  <c r="W343" i="2" s="1"/>
  <c r="X343" i="2" s="1"/>
  <c r="T115" i="2"/>
  <c r="V115" i="2" s="1"/>
  <c r="W115" i="2" s="1"/>
  <c r="X115" i="2" s="1"/>
  <c r="V266" i="2"/>
  <c r="W266" i="2" s="1"/>
  <c r="X266" i="2" s="1"/>
  <c r="T268" i="2"/>
  <c r="V268" i="2" s="1"/>
  <c r="W268" i="2" s="1"/>
  <c r="X268" i="2" s="1"/>
  <c r="T382" i="2"/>
  <c r="V382" i="2" s="1"/>
  <c r="W382" i="2" s="1"/>
  <c r="X382" i="2" s="1"/>
  <c r="V380" i="2"/>
  <c r="W380" i="2" s="1"/>
  <c r="X380" i="2" s="1"/>
  <c r="V544" i="2"/>
  <c r="W544" i="2" s="1"/>
  <c r="X544" i="2" s="1"/>
  <c r="T549" i="2"/>
  <c r="V549" i="2" s="1"/>
  <c r="W549" i="2" s="1"/>
  <c r="X549" i="2" s="1"/>
  <c r="V258" i="2"/>
  <c r="W258" i="2" s="1"/>
  <c r="X258" i="2" s="1"/>
  <c r="T263" i="2"/>
  <c r="V263" i="2" s="1"/>
  <c r="W263" i="2" s="1"/>
  <c r="X263" i="2" s="1"/>
  <c r="V95" i="2"/>
  <c r="W95" i="2" s="1"/>
  <c r="X95" i="2" s="1"/>
  <c r="T97" i="2"/>
  <c r="V97" i="2" s="1"/>
  <c r="W97" i="2" s="1"/>
  <c r="X97" i="2" s="1"/>
  <c r="T206" i="2"/>
  <c r="V206" i="2" s="1"/>
  <c r="W206" i="2" s="1"/>
  <c r="X206" i="2" s="1"/>
  <c r="T755" i="2"/>
  <c r="V651" i="2"/>
  <c r="W651" i="2" s="1"/>
  <c r="X651" i="2" s="1"/>
  <c r="V833" i="2"/>
  <c r="W833" i="2" s="1"/>
  <c r="X833" i="2" s="1"/>
  <c r="T527" i="2"/>
  <c r="V527" i="2" s="1"/>
  <c r="W527" i="2" s="1"/>
  <c r="X527" i="2" s="1"/>
  <c r="T356" i="2"/>
  <c r="V356" i="2" s="1"/>
  <c r="W356" i="2" s="1"/>
  <c r="X356" i="2" s="1"/>
  <c r="T69" i="2"/>
  <c r="V69" i="2" s="1"/>
  <c r="W69" i="2" s="1"/>
  <c r="X69" i="2" s="1"/>
  <c r="T588" i="2"/>
  <c r="V588" i="2" s="1"/>
  <c r="W588" i="2" s="1"/>
  <c r="X588" i="2" s="1"/>
  <c r="T11" i="2"/>
  <c r="V11" i="2" s="1"/>
  <c r="W11" i="2" s="1"/>
  <c r="X11" i="2" s="1"/>
  <c r="T354" i="2"/>
  <c r="V354" i="2" s="1"/>
  <c r="W354" i="2" s="1"/>
  <c r="X354" i="2" s="1"/>
  <c r="T413" i="2"/>
  <c r="V413" i="2" s="1"/>
  <c r="W413" i="2" s="1"/>
  <c r="X413" i="2" s="1"/>
  <c r="T528" i="2"/>
  <c r="V528" i="2" s="1"/>
  <c r="W528" i="2" s="1"/>
  <c r="X528" i="2" s="1"/>
  <c r="T71" i="2"/>
  <c r="V71" i="2" s="1"/>
  <c r="W71" i="2" s="1"/>
  <c r="X71" i="2" s="1"/>
  <c r="T298" i="2"/>
  <c r="V298" i="2" s="1"/>
  <c r="W298" i="2" s="1"/>
  <c r="X298" i="2" s="1"/>
  <c r="T652" i="2"/>
  <c r="T13" i="2"/>
  <c r="V13" i="2" s="1"/>
  <c r="W13" i="2" s="1"/>
  <c r="X13" i="2" s="1"/>
  <c r="T589" i="2"/>
  <c r="V589" i="2" s="1"/>
  <c r="W589" i="2" s="1"/>
  <c r="X589" i="2" s="1"/>
  <c r="T12" i="2"/>
  <c r="V12" i="2" s="1"/>
  <c r="W12" i="2" s="1"/>
  <c r="X12" i="2" s="1"/>
  <c r="T70" i="2"/>
  <c r="V70" i="2" s="1"/>
  <c r="W70" i="2" s="1"/>
  <c r="X70" i="2" s="1"/>
  <c r="T355" i="2"/>
  <c r="V355" i="2" s="1"/>
  <c r="W355" i="2" s="1"/>
  <c r="X355" i="2" s="1"/>
  <c r="T297" i="2"/>
  <c r="V297" i="2" s="1"/>
  <c r="W297" i="2" s="1"/>
  <c r="X297" i="2" s="1"/>
  <c r="T468" i="2"/>
  <c r="V468" i="2" s="1"/>
  <c r="W468" i="2" s="1"/>
  <c r="X468" i="2" s="1"/>
  <c r="T299" i="2"/>
  <c r="V299" i="2" s="1"/>
  <c r="W299" i="2" s="1"/>
  <c r="X299" i="2" s="1"/>
  <c r="T470" i="2"/>
  <c r="V470" i="2" s="1"/>
  <c r="W470" i="2" s="1"/>
  <c r="X470" i="2" s="1"/>
  <c r="T526" i="2"/>
  <c r="V526" i="2" s="1"/>
  <c r="W526" i="2" s="1"/>
  <c r="X526" i="2" s="1"/>
  <c r="T412" i="2"/>
  <c r="V412" i="2" s="1"/>
  <c r="W412" i="2" s="1"/>
  <c r="X412" i="2" s="1"/>
  <c r="V429" i="2"/>
  <c r="W429" i="2" s="1"/>
  <c r="X429" i="2" s="1"/>
  <c r="T434" i="2"/>
  <c r="V434" i="2" s="1"/>
  <c r="W434" i="2" s="1"/>
  <c r="X434" i="2" s="1"/>
  <c r="V803" i="2"/>
  <c r="W803" i="2" s="1"/>
  <c r="T496" i="2"/>
  <c r="V496" i="2" s="1"/>
  <c r="W496" i="2" s="1"/>
  <c r="X496" i="2" s="1"/>
  <c r="V494" i="2"/>
  <c r="W494" i="2" s="1"/>
  <c r="X494" i="2" s="1"/>
  <c r="T320" i="2"/>
  <c r="V320" i="2" s="1"/>
  <c r="W320" i="2" s="1"/>
  <c r="X320" i="2" s="1"/>
  <c r="V315" i="2"/>
  <c r="W315" i="2" s="1"/>
  <c r="X315" i="2" s="1"/>
  <c r="T377" i="2"/>
  <c r="V377" i="2" s="1"/>
  <c r="W377" i="2" s="1"/>
  <c r="X377" i="2" s="1"/>
  <c r="V372" i="2"/>
  <c r="W372" i="2" s="1"/>
  <c r="X372" i="2" s="1"/>
  <c r="V152" i="2"/>
  <c r="W152" i="2" s="1"/>
  <c r="X152" i="2" s="1"/>
  <c r="T154" i="2"/>
  <c r="V154" i="2" s="1"/>
  <c r="W154" i="2" s="1"/>
  <c r="X154" i="2" s="1"/>
  <c r="V606" i="2"/>
  <c r="W606" i="2" s="1"/>
  <c r="X606" i="2" s="1"/>
  <c r="T611" i="2"/>
  <c r="V611" i="2" s="1"/>
  <c r="W611" i="2" s="1"/>
  <c r="X611" i="2" s="1"/>
  <c r="V614" i="2"/>
  <c r="W614" i="2" s="1"/>
  <c r="X614" i="2" s="1"/>
  <c r="V144" i="2"/>
  <c r="W144" i="2" s="1"/>
  <c r="X144" i="2" s="1"/>
  <c r="T149" i="2"/>
  <c r="V149" i="2" s="1"/>
  <c r="W149" i="2" s="1"/>
  <c r="X149" i="2" s="1"/>
  <c r="T325" i="2"/>
  <c r="V325" i="2" s="1"/>
  <c r="W325" i="2" s="1"/>
  <c r="X325" i="2" s="1"/>
  <c r="V323" i="2"/>
  <c r="W323" i="2" s="1"/>
  <c r="X323" i="2" s="1"/>
  <c r="V29" i="2"/>
  <c r="W29" i="2" s="1"/>
  <c r="X29" i="2" s="1"/>
  <c r="T34" i="2"/>
  <c r="V34" i="2" s="1"/>
  <c r="W34" i="2" s="1"/>
  <c r="X34" i="2" s="1"/>
  <c r="V840" i="2"/>
  <c r="W840" i="2" s="1"/>
  <c r="X840" i="2" s="1"/>
  <c r="T628" i="2"/>
  <c r="V628" i="2" s="1"/>
  <c r="W628" i="2" s="1"/>
  <c r="X628" i="2" s="1"/>
  <c r="T569" i="2"/>
  <c r="V569" i="2" s="1"/>
  <c r="W569" i="2" s="1"/>
  <c r="X569" i="2" s="1"/>
  <c r="T631" i="2"/>
  <c r="V631" i="2" s="1"/>
  <c r="W631" i="2" s="1"/>
  <c r="X631" i="2" s="1"/>
  <c r="T337" i="2"/>
  <c r="V337" i="2" s="1"/>
  <c r="W337" i="2" s="1"/>
  <c r="X337" i="2" s="1"/>
  <c r="T54" i="2"/>
  <c r="V54" i="2" s="1"/>
  <c r="W54" i="2" s="1"/>
  <c r="X54" i="2" s="1"/>
  <c r="T166" i="2"/>
  <c r="V166" i="2" s="1"/>
  <c r="W166" i="2" s="1"/>
  <c r="X166" i="2" s="1"/>
  <c r="T508" i="2"/>
  <c r="V508" i="2" s="1"/>
  <c r="W508" i="2" s="1"/>
  <c r="X508" i="2" s="1"/>
  <c r="T397" i="2"/>
  <c r="V397" i="2" s="1"/>
  <c r="W397" i="2" s="1"/>
  <c r="X397" i="2" s="1"/>
  <c r="T51" i="2"/>
  <c r="V51" i="2" s="1"/>
  <c r="W51" i="2" s="1"/>
  <c r="X51" i="2" s="1"/>
  <c r="T454" i="2"/>
  <c r="V454" i="2" s="1"/>
  <c r="W454" i="2" s="1"/>
  <c r="X454" i="2" s="1"/>
  <c r="T169" i="2"/>
  <c r="V169" i="2" s="1"/>
  <c r="W169" i="2" s="1"/>
  <c r="X169" i="2" s="1"/>
  <c r="T223" i="2"/>
  <c r="V223" i="2" s="1"/>
  <c r="W223" i="2" s="1"/>
  <c r="X223" i="2" s="1"/>
  <c r="T226" i="2"/>
  <c r="V226" i="2" s="1"/>
  <c r="W226" i="2" s="1"/>
  <c r="X226" i="2" s="1"/>
  <c r="T394" i="2"/>
  <c r="V394" i="2" s="1"/>
  <c r="W394" i="2" s="1"/>
  <c r="X394" i="2" s="1"/>
  <c r="T109" i="2"/>
  <c r="V109" i="2" s="1"/>
  <c r="W109" i="2" s="1"/>
  <c r="X109" i="2" s="1"/>
  <c r="T451" i="2"/>
  <c r="V451" i="2" s="1"/>
  <c r="W451" i="2" s="1"/>
  <c r="X451" i="2" s="1"/>
  <c r="T566" i="2"/>
  <c r="V566" i="2" s="1"/>
  <c r="W566" i="2" s="1"/>
  <c r="X566" i="2" s="1"/>
  <c r="T340" i="2"/>
  <c r="V340" i="2" s="1"/>
  <c r="W340" i="2" s="1"/>
  <c r="X340" i="2" s="1"/>
  <c r="T283" i="2"/>
  <c r="V283" i="2" s="1"/>
  <c r="W283" i="2" s="1"/>
  <c r="X283" i="2" s="1"/>
  <c r="T280" i="2"/>
  <c r="V280" i="2" s="1"/>
  <c r="W280" i="2" s="1"/>
  <c r="X280" i="2" s="1"/>
  <c r="T112" i="2"/>
  <c r="V112" i="2" s="1"/>
  <c r="W112" i="2" s="1"/>
  <c r="X112" i="2" s="1"/>
  <c r="T491" i="2"/>
  <c r="V491" i="2" s="1"/>
  <c r="W491" i="2" s="1"/>
  <c r="X491" i="2" s="1"/>
  <c r="V486" i="2"/>
  <c r="W486" i="2" s="1"/>
  <c r="X486" i="2" s="1"/>
  <c r="V437" i="2"/>
  <c r="W437" i="2" s="1"/>
  <c r="X437" i="2" s="1"/>
  <c r="T439" i="2"/>
  <c r="V439" i="2" s="1"/>
  <c r="W439" i="2" s="1"/>
  <c r="X439" i="2" s="1"/>
  <c r="T39" i="2"/>
  <c r="V39" i="2" s="1"/>
  <c r="W39" i="2" s="1"/>
  <c r="X39" i="2" s="1"/>
  <c r="V37" i="2"/>
  <c r="W37" i="2" s="1"/>
  <c r="X37" i="2" s="1"/>
  <c r="V839" i="2"/>
  <c r="W839" i="2" s="1"/>
  <c r="X839" i="2" s="1"/>
  <c r="T748" i="2"/>
  <c r="T563" i="2"/>
  <c r="V563" i="2" s="1"/>
  <c r="W563" i="2" s="1"/>
  <c r="X563" i="2" s="1"/>
  <c r="T391" i="2"/>
  <c r="V391" i="2" s="1"/>
  <c r="W391" i="2" s="1"/>
  <c r="X391" i="2" s="1"/>
  <c r="T106" i="2"/>
  <c r="V106" i="2" s="1"/>
  <c r="W106" i="2" s="1"/>
  <c r="X106" i="2" s="1"/>
  <c r="T747" i="2"/>
  <c r="T448" i="2"/>
  <c r="V448" i="2" s="1"/>
  <c r="W448" i="2" s="1"/>
  <c r="X448" i="2" s="1"/>
  <c r="T505" i="2"/>
  <c r="V505" i="2" s="1"/>
  <c r="W505" i="2" s="1"/>
  <c r="X505" i="2" s="1"/>
  <c r="T220" i="2"/>
  <c r="V220" i="2" s="1"/>
  <c r="W220" i="2" s="1"/>
  <c r="X220" i="2" s="1"/>
  <c r="T746" i="2"/>
  <c r="T163" i="2"/>
  <c r="V163" i="2" s="1"/>
  <c r="W163" i="2" s="1"/>
  <c r="X163" i="2" s="1"/>
  <c r="T625" i="2"/>
  <c r="V625" i="2" s="1"/>
  <c r="W625" i="2" s="1"/>
  <c r="X625" i="2" s="1"/>
  <c r="T48" i="2"/>
  <c r="V48" i="2" s="1"/>
  <c r="W48" i="2" s="1"/>
  <c r="X48" i="2" s="1"/>
  <c r="T334" i="2"/>
  <c r="V334" i="2" s="1"/>
  <c r="W334" i="2" s="1"/>
  <c r="X334" i="2" s="1"/>
  <c r="I34" i="14"/>
  <c r="H34" i="14"/>
  <c r="V747" i="2" l="1"/>
  <c r="W747" i="2" s="1"/>
  <c r="X747" i="2" s="1"/>
  <c r="T104" i="30"/>
  <c r="V652" i="2"/>
  <c r="W652" i="2" s="1"/>
  <c r="X652" i="2" s="1"/>
  <c r="T9" i="30"/>
  <c r="V746" i="2"/>
  <c r="W746" i="2" s="1"/>
  <c r="X746" i="2" s="1"/>
  <c r="T103" i="30"/>
  <c r="V748" i="2"/>
  <c r="W748" i="2" s="1"/>
  <c r="X748" i="2" s="1"/>
  <c r="T105" i="30"/>
  <c r="V755" i="2"/>
  <c r="W755" i="2" s="1"/>
  <c r="X755" i="2" s="1"/>
  <c r="T112" i="30"/>
  <c r="K35" i="25"/>
  <c r="L35" i="25" s="1"/>
  <c r="K34" i="14"/>
  <c r="L34" i="14" s="1"/>
  <c r="AK628" i="1" l="1"/>
  <c r="AL628" i="1" s="1"/>
  <c r="L369" i="1"/>
  <c r="L375" i="1" s="1"/>
  <c r="L162" i="1" s="1"/>
  <c r="L168" i="1" s="1"/>
  <c r="L170" i="1" s="1"/>
  <c r="L212" i="1" s="1"/>
  <c r="L224" i="1" s="1"/>
  <c r="L279" i="1" s="1"/>
  <c r="K369" i="1"/>
  <c r="K375" i="1" s="1"/>
  <c r="H369" i="1"/>
  <c r="H375" i="1" s="1"/>
  <c r="H162" i="1" s="1"/>
  <c r="I369" i="1"/>
  <c r="M369" i="1"/>
  <c r="M375" i="1" s="1"/>
  <c r="M162" i="1" s="1"/>
  <c r="M168" i="1" s="1"/>
  <c r="M170" i="1" s="1"/>
  <c r="M212" i="1" s="1"/>
  <c r="M224" i="1" s="1"/>
  <c r="M279" i="1" s="1"/>
  <c r="J369" i="1"/>
  <c r="J375" i="1" s="1"/>
  <c r="K654" i="1" l="1"/>
  <c r="K162" i="1"/>
  <c r="K168" i="1" s="1"/>
  <c r="K170" i="1" s="1"/>
  <c r="K212" i="1" s="1"/>
  <c r="K224" i="1" s="1"/>
  <c r="K279" i="1" s="1"/>
  <c r="K304" i="1" s="1"/>
  <c r="K652" i="1" s="1"/>
  <c r="AK369" i="1"/>
  <c r="AL369" i="1" s="1"/>
  <c r="I375" i="1"/>
  <c r="I377" i="1" s="1"/>
  <c r="I419" i="1" s="1"/>
  <c r="I485" i="1" s="1"/>
  <c r="I510" i="1" s="1"/>
  <c r="M304" i="1"/>
  <c r="M652" i="1" s="1"/>
  <c r="L304" i="1"/>
  <c r="L652" i="1" s="1"/>
  <c r="J377" i="1"/>
  <c r="J419" i="1" s="1"/>
  <c r="J485" i="1" s="1"/>
  <c r="J654" i="1"/>
  <c r="H654" i="1"/>
  <c r="H377" i="1"/>
  <c r="M654" i="1"/>
  <c r="M377" i="1"/>
  <c r="M419" i="1" s="1"/>
  <c r="M485" i="1" s="1"/>
  <c r="K377" i="1"/>
  <c r="K419" i="1" s="1"/>
  <c r="K485" i="1" s="1"/>
  <c r="L654" i="1"/>
  <c r="L377" i="1"/>
  <c r="L419" i="1" s="1"/>
  <c r="L485" i="1" s="1"/>
  <c r="H168" i="1"/>
  <c r="J162" i="1"/>
  <c r="J168" i="1" s="1"/>
  <c r="J170" i="1" s="1"/>
  <c r="J212" i="1" s="1"/>
  <c r="J224" i="1" s="1"/>
  <c r="J279" i="1" s="1"/>
  <c r="I162" i="1" l="1"/>
  <c r="I168" i="1" s="1"/>
  <c r="I170" i="1" s="1"/>
  <c r="I212" i="1" s="1"/>
  <c r="I224" i="1" s="1"/>
  <c r="I279" i="1" s="1"/>
  <c r="I304" i="1" s="1"/>
  <c r="I652" i="1" s="1"/>
  <c r="AK375" i="1"/>
  <c r="AL375" i="1" s="1"/>
  <c r="I654" i="1"/>
  <c r="AK654" i="1" s="1"/>
  <c r="AL654" i="1" s="1"/>
  <c r="I319" i="1"/>
  <c r="I522" i="1"/>
  <c r="I527" i="1"/>
  <c r="I314" i="1"/>
  <c r="I520" i="1"/>
  <c r="I521" i="1"/>
  <c r="I519" i="1"/>
  <c r="I525" i="1"/>
  <c r="I315" i="1"/>
  <c r="I313" i="1"/>
  <c r="I524" i="1"/>
  <c r="I661" i="1"/>
  <c r="I322" i="1"/>
  <c r="I316" i="1"/>
  <c r="I528" i="1"/>
  <c r="I321" i="1"/>
  <c r="I318" i="1"/>
  <c r="H170" i="1"/>
  <c r="AK377" i="1"/>
  <c r="AL377" i="1" s="1"/>
  <c r="H419" i="1"/>
  <c r="J304" i="1"/>
  <c r="J652" i="1" s="1"/>
  <c r="L510" i="1"/>
  <c r="K510" i="1"/>
  <c r="M510" i="1"/>
  <c r="J510" i="1"/>
  <c r="AK168" i="1" l="1"/>
  <c r="AL168" i="1" s="1"/>
  <c r="AK162" i="1"/>
  <c r="AL162" i="1" s="1"/>
  <c r="I326" i="1"/>
  <c r="I328" i="1" s="1"/>
  <c r="I595" i="1" s="1"/>
  <c r="I532" i="1"/>
  <c r="I534" i="1" s="1"/>
  <c r="I651" i="1" s="1"/>
  <c r="M315" i="1"/>
  <c r="M528" i="1"/>
  <c r="M521" i="1"/>
  <c r="M525" i="1"/>
  <c r="M520" i="1"/>
  <c r="M322" i="1"/>
  <c r="M318" i="1"/>
  <c r="M527" i="1"/>
  <c r="M314" i="1"/>
  <c r="M319" i="1"/>
  <c r="M321" i="1"/>
  <c r="M519" i="1"/>
  <c r="M522" i="1"/>
  <c r="M661" i="1"/>
  <c r="M316" i="1"/>
  <c r="M524" i="1"/>
  <c r="M313" i="1"/>
  <c r="AK419" i="1"/>
  <c r="AL419" i="1" s="1"/>
  <c r="H485" i="1"/>
  <c r="J661" i="1"/>
  <c r="J321" i="1"/>
  <c r="J520" i="1"/>
  <c r="J525" i="1"/>
  <c r="J322" i="1"/>
  <c r="J315" i="1"/>
  <c r="J316" i="1"/>
  <c r="J521" i="1"/>
  <c r="J319" i="1"/>
  <c r="J313" i="1"/>
  <c r="J524" i="1"/>
  <c r="J519" i="1"/>
  <c r="J522" i="1"/>
  <c r="J527" i="1"/>
  <c r="J314" i="1"/>
  <c r="J318" i="1"/>
  <c r="J528" i="1"/>
  <c r="H212" i="1"/>
  <c r="AK170" i="1"/>
  <c r="AL170" i="1" s="1"/>
  <c r="K520" i="1"/>
  <c r="K524" i="1"/>
  <c r="K318" i="1"/>
  <c r="K322" i="1"/>
  <c r="K315" i="1"/>
  <c r="K519" i="1"/>
  <c r="K527" i="1"/>
  <c r="K316" i="1"/>
  <c r="K525" i="1"/>
  <c r="K314" i="1"/>
  <c r="K521" i="1"/>
  <c r="K319" i="1"/>
  <c r="K528" i="1"/>
  <c r="K313" i="1"/>
  <c r="K661" i="1"/>
  <c r="K321" i="1"/>
  <c r="K522" i="1"/>
  <c r="L522" i="1"/>
  <c r="L661" i="1"/>
  <c r="L315" i="1"/>
  <c r="L527" i="1"/>
  <c r="L321" i="1"/>
  <c r="L313" i="1"/>
  <c r="L525" i="1"/>
  <c r="L520" i="1"/>
  <c r="L314" i="1"/>
  <c r="L528" i="1"/>
  <c r="L319" i="1"/>
  <c r="L322" i="1"/>
  <c r="L316" i="1"/>
  <c r="L524" i="1"/>
  <c r="L519" i="1"/>
  <c r="L521" i="1"/>
  <c r="L318" i="1"/>
  <c r="I330" i="1" l="1"/>
  <c r="I649" i="1" s="1"/>
  <c r="F181" i="2"/>
  <c r="F882" i="2" s="1"/>
  <c r="I122" i="1"/>
  <c r="F238" i="2"/>
  <c r="I536" i="1"/>
  <c r="K326" i="1"/>
  <c r="K328" i="1" s="1"/>
  <c r="K330" i="1" s="1"/>
  <c r="K532" i="1"/>
  <c r="K534" i="1" s="1"/>
  <c r="K651" i="1" s="1"/>
  <c r="J532" i="1"/>
  <c r="J534" i="1" s="1"/>
  <c r="J536" i="1" s="1"/>
  <c r="J326" i="1"/>
  <c r="J328" i="1" s="1"/>
  <c r="J330" i="1" s="1"/>
  <c r="L532" i="1"/>
  <c r="L534" i="1" s="1"/>
  <c r="AK212" i="1"/>
  <c r="AL212" i="1" s="1"/>
  <c r="H224" i="1"/>
  <c r="L326" i="1"/>
  <c r="L328" i="1" s="1"/>
  <c r="M532" i="1"/>
  <c r="M534" i="1" s="1"/>
  <c r="F183" i="2"/>
  <c r="AK485" i="1"/>
  <c r="AL485" i="1" s="1"/>
  <c r="H510" i="1"/>
  <c r="M326" i="1"/>
  <c r="M328" i="1" s="1"/>
  <c r="I113" i="1" l="1"/>
  <c r="I117" i="1" s="1"/>
  <c r="I145" i="1" s="1"/>
  <c r="F124" i="2" s="1"/>
  <c r="F240" i="2"/>
  <c r="N240" i="2" s="1"/>
  <c r="F239" i="2"/>
  <c r="K595" i="1"/>
  <c r="K122" i="1"/>
  <c r="J122" i="1"/>
  <c r="K536" i="1"/>
  <c r="J651" i="1"/>
  <c r="F182" i="2"/>
  <c r="F889" i="2" s="1"/>
  <c r="J595" i="1"/>
  <c r="K113" i="1"/>
  <c r="K117" i="1" s="1"/>
  <c r="K145" i="1" s="1"/>
  <c r="F126" i="2" s="1"/>
  <c r="K649" i="1"/>
  <c r="AK224" i="1"/>
  <c r="AL224" i="1" s="1"/>
  <c r="H279" i="1"/>
  <c r="H661" i="1"/>
  <c r="AK661" i="1" s="1"/>
  <c r="AL661" i="1" s="1"/>
  <c r="AK510" i="1"/>
  <c r="AL510" i="1" s="1"/>
  <c r="H318" i="1"/>
  <c r="AK318" i="1" s="1"/>
  <c r="AL318" i="1" s="1"/>
  <c r="H316" i="1"/>
  <c r="AK316" i="1" s="1"/>
  <c r="AL316" i="1" s="1"/>
  <c r="H321" i="1"/>
  <c r="AK321" i="1" s="1"/>
  <c r="AL321" i="1" s="1"/>
  <c r="H520" i="1"/>
  <c r="AK520" i="1" s="1"/>
  <c r="AL520" i="1" s="1"/>
  <c r="H525" i="1"/>
  <c r="AK525" i="1" s="1"/>
  <c r="AL525" i="1" s="1"/>
  <c r="H527" i="1"/>
  <c r="AK527" i="1" s="1"/>
  <c r="AL527" i="1" s="1"/>
  <c r="H315" i="1"/>
  <c r="AK315" i="1" s="1"/>
  <c r="AL315" i="1" s="1"/>
  <c r="H319" i="1"/>
  <c r="AK319" i="1" s="1"/>
  <c r="AL319" i="1" s="1"/>
  <c r="H524" i="1"/>
  <c r="AK524" i="1" s="1"/>
  <c r="AL524" i="1" s="1"/>
  <c r="H519" i="1"/>
  <c r="H322" i="1"/>
  <c r="AK322" i="1" s="1"/>
  <c r="AL322" i="1" s="1"/>
  <c r="H314" i="1"/>
  <c r="AK314" i="1" s="1"/>
  <c r="AL314" i="1" s="1"/>
  <c r="H521" i="1"/>
  <c r="AK521" i="1" s="1"/>
  <c r="AL521" i="1" s="1"/>
  <c r="H522" i="1"/>
  <c r="AK522" i="1" s="1"/>
  <c r="AL522" i="1" s="1"/>
  <c r="H313" i="1"/>
  <c r="H528" i="1"/>
  <c r="AK528" i="1" s="1"/>
  <c r="AL528" i="1" s="1"/>
  <c r="F884" i="2"/>
  <c r="V882" i="2"/>
  <c r="W882" i="2" s="1"/>
  <c r="X882" i="2" s="1"/>
  <c r="M595" i="1"/>
  <c r="F185" i="2"/>
  <c r="M330" i="1"/>
  <c r="P240" i="2"/>
  <c r="O240" i="2"/>
  <c r="S183" i="2"/>
  <c r="K183" i="2"/>
  <c r="T183" i="2"/>
  <c r="Q183" i="2"/>
  <c r="F28" i="26" s="1"/>
  <c r="P183" i="2"/>
  <c r="F28" i="25" s="1"/>
  <c r="I183" i="2"/>
  <c r="R183" i="2"/>
  <c r="G183" i="2"/>
  <c r="N183" i="2"/>
  <c r="F28" i="20" s="1"/>
  <c r="J183" i="2"/>
  <c r="F28" i="29" s="1"/>
  <c r="L183" i="2"/>
  <c r="F28" i="17" s="1"/>
  <c r="M183" i="2"/>
  <c r="F28" i="19" s="1"/>
  <c r="H183" i="2"/>
  <c r="F28" i="27" s="1"/>
  <c r="O183" i="2"/>
  <c r="L536" i="1"/>
  <c r="L651" i="1"/>
  <c r="L122" i="1"/>
  <c r="F241" i="2"/>
  <c r="F242" i="2"/>
  <c r="M536" i="1"/>
  <c r="M122" i="1"/>
  <c r="M651" i="1"/>
  <c r="L595" i="1"/>
  <c r="L330" i="1"/>
  <c r="F184" i="2"/>
  <c r="J113" i="1"/>
  <c r="J117" i="1" s="1"/>
  <c r="J145" i="1" s="1"/>
  <c r="F125" i="2" s="1"/>
  <c r="J649" i="1"/>
  <c r="F28" i="21" l="1"/>
  <c r="S240" i="2"/>
  <c r="R240" i="2"/>
  <c r="T240" i="2"/>
  <c r="M240" i="2"/>
  <c r="I240" i="2"/>
  <c r="L240" i="2"/>
  <c r="Q240" i="2"/>
  <c r="H240" i="2"/>
  <c r="J240" i="2"/>
  <c r="K240" i="2"/>
  <c r="G240" i="2"/>
  <c r="V183" i="2"/>
  <c r="W183" i="2" s="1"/>
  <c r="X183" i="2" s="1"/>
  <c r="F27" i="14"/>
  <c r="V889" i="2"/>
  <c r="W889" i="2" s="1"/>
  <c r="X889" i="2" s="1"/>
  <c r="F891" i="2"/>
  <c r="AK313" i="1"/>
  <c r="AL313" i="1" s="1"/>
  <c r="H326" i="1"/>
  <c r="AK326" i="1" s="1"/>
  <c r="AL326" i="1" s="1"/>
  <c r="M649" i="1"/>
  <c r="M113" i="1"/>
  <c r="M117" i="1" s="1"/>
  <c r="M145" i="1" s="1"/>
  <c r="F128" i="2" s="1"/>
  <c r="H304" i="1"/>
  <c r="H652" i="1" s="1"/>
  <c r="AK652" i="1" s="1"/>
  <c r="AL652" i="1" s="1"/>
  <c r="AK279" i="1"/>
  <c r="L113" i="1"/>
  <c r="L117" i="1" s="1"/>
  <c r="L145" i="1" s="1"/>
  <c r="F127" i="2" s="1"/>
  <c r="L649" i="1"/>
  <c r="K185" i="2"/>
  <c r="O185" i="2"/>
  <c r="P185" i="2"/>
  <c r="T185" i="2"/>
  <c r="S185" i="2"/>
  <c r="M185" i="2"/>
  <c r="J185" i="2"/>
  <c r="I185" i="2"/>
  <c r="R185" i="2"/>
  <c r="N185" i="2"/>
  <c r="L185" i="2"/>
  <c r="H185" i="2"/>
  <c r="Q185" i="2"/>
  <c r="G185" i="2"/>
  <c r="L884" i="2"/>
  <c r="L885" i="2" s="1"/>
  <c r="R884" i="2"/>
  <c r="R885" i="2" s="1"/>
  <c r="Q884" i="2"/>
  <c r="Q885" i="2" s="1"/>
  <c r="K884" i="2"/>
  <c r="K885" i="2" s="1"/>
  <c r="N884" i="2"/>
  <c r="N885" i="2" s="1"/>
  <c r="O884" i="2"/>
  <c r="O885" i="2" s="1"/>
  <c r="M884" i="2"/>
  <c r="M885" i="2" s="1"/>
  <c r="J884" i="2"/>
  <c r="J885" i="2" s="1"/>
  <c r="T884" i="2"/>
  <c r="T885" i="2" s="1"/>
  <c r="G884" i="2"/>
  <c r="P884" i="2"/>
  <c r="P885" i="2" s="1"/>
  <c r="I884" i="2"/>
  <c r="I885" i="2" s="1"/>
  <c r="S884" i="2"/>
  <c r="S885" i="2" s="1"/>
  <c r="F885" i="2"/>
  <c r="H884" i="2"/>
  <c r="H885" i="2" s="1"/>
  <c r="T242" i="2"/>
  <c r="Q242" i="2"/>
  <c r="M242" i="2"/>
  <c r="R242" i="2"/>
  <c r="I242" i="2"/>
  <c r="P242" i="2"/>
  <c r="G242" i="2"/>
  <c r="L242" i="2"/>
  <c r="O242" i="2"/>
  <c r="K242" i="2"/>
  <c r="H242" i="2"/>
  <c r="N242" i="2"/>
  <c r="S242" i="2"/>
  <c r="J242" i="2"/>
  <c r="G241" i="2"/>
  <c r="L241" i="2"/>
  <c r="Q241" i="2"/>
  <c r="I241" i="2"/>
  <c r="H241" i="2"/>
  <c r="S241" i="2"/>
  <c r="O241" i="2"/>
  <c r="R241" i="2"/>
  <c r="T241" i="2"/>
  <c r="P241" i="2"/>
  <c r="K241" i="2"/>
  <c r="M241" i="2"/>
  <c r="N241" i="2"/>
  <c r="J241" i="2"/>
  <c r="K126" i="2"/>
  <c r="J126" i="2"/>
  <c r="F14" i="29" s="1"/>
  <c r="G126" i="2"/>
  <c r="T126" i="2"/>
  <c r="I126" i="2"/>
  <c r="R126" i="2"/>
  <c r="S126" i="2"/>
  <c r="Q126" i="2"/>
  <c r="F14" i="26" s="1"/>
  <c r="L126" i="2"/>
  <c r="F14" i="17" s="1"/>
  <c r="P126" i="2"/>
  <c r="F14" i="25" s="1"/>
  <c r="H126" i="2"/>
  <c r="F14" i="27" s="1"/>
  <c r="N126" i="2"/>
  <c r="F14" i="20" s="1"/>
  <c r="O126" i="2"/>
  <c r="M126" i="2"/>
  <c r="F14" i="19" s="1"/>
  <c r="J184" i="2"/>
  <c r="I184" i="2"/>
  <c r="N184" i="2"/>
  <c r="T184" i="2"/>
  <c r="M184" i="2"/>
  <c r="S184" i="2"/>
  <c r="Q184" i="2"/>
  <c r="P184" i="2"/>
  <c r="K184" i="2"/>
  <c r="H184" i="2"/>
  <c r="L184" i="2"/>
  <c r="R184" i="2"/>
  <c r="G184" i="2"/>
  <c r="O184" i="2"/>
  <c r="H532" i="1"/>
  <c r="AK519" i="1"/>
  <c r="AL519" i="1" s="1"/>
  <c r="F14" i="21" l="1"/>
  <c r="V240" i="2"/>
  <c r="W240" i="2" s="1"/>
  <c r="X240" i="2" s="1"/>
  <c r="V184" i="2"/>
  <c r="W184" i="2" s="1"/>
  <c r="X184" i="2" s="1"/>
  <c r="V185" i="2"/>
  <c r="W185" i="2" s="1"/>
  <c r="X185" i="2" s="1"/>
  <c r="AL279" i="1"/>
  <c r="AK304" i="1"/>
  <c r="AL304" i="1" s="1"/>
  <c r="J891" i="2"/>
  <c r="J892" i="2" s="1"/>
  <c r="P891" i="2"/>
  <c r="P892" i="2" s="1"/>
  <c r="O891" i="2"/>
  <c r="O892" i="2" s="1"/>
  <c r="G891" i="2"/>
  <c r="I891" i="2"/>
  <c r="I892" i="2" s="1"/>
  <c r="L891" i="2"/>
  <c r="L892" i="2" s="1"/>
  <c r="K891" i="2"/>
  <c r="K892" i="2" s="1"/>
  <c r="M891" i="2"/>
  <c r="M892" i="2" s="1"/>
  <c r="H891" i="2"/>
  <c r="H892" i="2" s="1"/>
  <c r="N891" i="2"/>
  <c r="N892" i="2" s="1"/>
  <c r="Q891" i="2"/>
  <c r="Q892" i="2" s="1"/>
  <c r="S891" i="2"/>
  <c r="S892" i="2" s="1"/>
  <c r="T891" i="2"/>
  <c r="T892" i="2" s="1"/>
  <c r="R891" i="2"/>
  <c r="R892" i="2" s="1"/>
  <c r="F892" i="2"/>
  <c r="V126" i="2"/>
  <c r="W126" i="2" s="1"/>
  <c r="X126" i="2" s="1"/>
  <c r="F13" i="14"/>
  <c r="H328" i="1"/>
  <c r="V884" i="2"/>
  <c r="W884" i="2" s="1"/>
  <c r="X884" i="2" s="1"/>
  <c r="G885" i="2"/>
  <c r="V885" i="2" s="1"/>
  <c r="W885" i="2" s="1"/>
  <c r="X885" i="2" s="1"/>
  <c r="V241" i="2"/>
  <c r="W241" i="2" s="1"/>
  <c r="X241" i="2" s="1"/>
  <c r="G128" i="2"/>
  <c r="M128" i="2"/>
  <c r="P128" i="2"/>
  <c r="L128" i="2"/>
  <c r="Q128" i="2"/>
  <c r="S128" i="2"/>
  <c r="O128" i="2"/>
  <c r="R128" i="2"/>
  <c r="H128" i="2"/>
  <c r="K128" i="2"/>
  <c r="T128" i="2"/>
  <c r="I128" i="2"/>
  <c r="J128" i="2"/>
  <c r="N128" i="2"/>
  <c r="R886" i="2"/>
  <c r="J886" i="2"/>
  <c r="I886" i="2"/>
  <c r="H886" i="2"/>
  <c r="Q886" i="2"/>
  <c r="P886" i="2"/>
  <c r="O886" i="2"/>
  <c r="N886" i="2"/>
  <c r="G886" i="2"/>
  <c r="T886" i="2"/>
  <c r="K886" i="2"/>
  <c r="M886" i="2"/>
  <c r="L886" i="2"/>
  <c r="S886" i="2"/>
  <c r="AK532" i="1"/>
  <c r="AL532" i="1" s="1"/>
  <c r="H534" i="1"/>
  <c r="S127" i="2"/>
  <c r="N127" i="2"/>
  <c r="K127" i="2"/>
  <c r="J127" i="2"/>
  <c r="H127" i="2"/>
  <c r="M127" i="2"/>
  <c r="O127" i="2"/>
  <c r="R127" i="2"/>
  <c r="Q127" i="2"/>
  <c r="T127" i="2"/>
  <c r="P127" i="2"/>
  <c r="I127" i="2"/>
  <c r="L127" i="2"/>
  <c r="G127" i="2"/>
  <c r="V242" i="2"/>
  <c r="W242" i="2" s="1"/>
  <c r="X242" i="2" s="1"/>
  <c r="H595" i="1" l="1"/>
  <c r="AK595" i="1" s="1"/>
  <c r="AL595" i="1" s="1"/>
  <c r="AK328" i="1"/>
  <c r="AL328" i="1" s="1"/>
  <c r="H330" i="1"/>
  <c r="F180" i="2"/>
  <c r="J893" i="2"/>
  <c r="Q893" i="2"/>
  <c r="N893" i="2"/>
  <c r="R893" i="2"/>
  <c r="K893" i="2"/>
  <c r="L893" i="2"/>
  <c r="H893" i="2"/>
  <c r="S893" i="2"/>
  <c r="M893" i="2"/>
  <c r="T893" i="2"/>
  <c r="P893" i="2"/>
  <c r="I893" i="2"/>
  <c r="O893" i="2"/>
  <c r="J352" i="2"/>
  <c r="J18" i="2"/>
  <c r="J595" i="2"/>
  <c r="J247" i="2"/>
  <c r="J190" i="2"/>
  <c r="J295" i="2"/>
  <c r="J133" i="2"/>
  <c r="J475" i="2"/>
  <c r="J533" i="2"/>
  <c r="J418" i="2"/>
  <c r="J304" i="2"/>
  <c r="J409" i="2"/>
  <c r="J124" i="2"/>
  <c r="J76" i="2"/>
  <c r="J466" i="2"/>
  <c r="J524" i="2"/>
  <c r="J586" i="2"/>
  <c r="J67" i="2"/>
  <c r="J361" i="2"/>
  <c r="J181" i="2"/>
  <c r="J882" i="2" s="1"/>
  <c r="J238" i="2"/>
  <c r="J9" i="2"/>
  <c r="S524" i="2"/>
  <c r="S18" i="2"/>
  <c r="S418" i="2"/>
  <c r="S466" i="2"/>
  <c r="S586" i="2"/>
  <c r="S533" i="2"/>
  <c r="S595" i="2"/>
  <c r="S67" i="2"/>
  <c r="S238" i="2"/>
  <c r="S124" i="2"/>
  <c r="S475" i="2"/>
  <c r="S190" i="2"/>
  <c r="S247" i="2"/>
  <c r="S9" i="2"/>
  <c r="S352" i="2"/>
  <c r="S76" i="2"/>
  <c r="S409" i="2"/>
  <c r="S361" i="2"/>
  <c r="S295" i="2"/>
  <c r="S181" i="2"/>
  <c r="S882" i="2" s="1"/>
  <c r="S133" i="2"/>
  <c r="S304" i="2"/>
  <c r="G892" i="2"/>
  <c r="V892" i="2" s="1"/>
  <c r="W892" i="2" s="1"/>
  <c r="X892" i="2" s="1"/>
  <c r="V891" i="2"/>
  <c r="W891" i="2" s="1"/>
  <c r="X891" i="2" s="1"/>
  <c r="I67" i="2"/>
  <c r="I409" i="2"/>
  <c r="I595" i="2"/>
  <c r="I238" i="2"/>
  <c r="I533" i="2"/>
  <c r="I466" i="2"/>
  <c r="I304" i="2"/>
  <c r="I524" i="2"/>
  <c r="I352" i="2"/>
  <c r="I18" i="2"/>
  <c r="I361" i="2"/>
  <c r="I475" i="2"/>
  <c r="I9" i="2"/>
  <c r="I418" i="2"/>
  <c r="I124" i="2"/>
  <c r="I133" i="2"/>
  <c r="I76" i="2"/>
  <c r="I247" i="2"/>
  <c r="I190" i="2"/>
  <c r="I586" i="2"/>
  <c r="I181" i="2"/>
  <c r="I882" i="2" s="1"/>
  <c r="I295" i="2"/>
  <c r="V128" i="2"/>
  <c r="W128" i="2" s="1"/>
  <c r="X128" i="2" s="1"/>
  <c r="H651" i="1"/>
  <c r="AK651" i="1" s="1"/>
  <c r="AL651" i="1" s="1"/>
  <c r="AK534" i="1"/>
  <c r="AL534" i="1" s="1"/>
  <c r="H122" i="1"/>
  <c r="AK122" i="1" s="1"/>
  <c r="AL122" i="1" s="1"/>
  <c r="H536" i="1"/>
  <c r="AK536" i="1" s="1"/>
  <c r="AL536" i="1" s="1"/>
  <c r="F237" i="2"/>
  <c r="P533" i="2"/>
  <c r="P361" i="2"/>
  <c r="P76" i="2"/>
  <c r="P247" i="2"/>
  <c r="P190" i="2"/>
  <c r="P133" i="2"/>
  <c r="P238" i="2"/>
  <c r="P124" i="2"/>
  <c r="P418" i="2"/>
  <c r="P475" i="2"/>
  <c r="P524" i="2"/>
  <c r="P466" i="2"/>
  <c r="P18" i="2"/>
  <c r="P352" i="2"/>
  <c r="P304" i="2"/>
  <c r="P409" i="2"/>
  <c r="P295" i="2"/>
  <c r="P67" i="2"/>
  <c r="P586" i="2"/>
  <c r="P181" i="2"/>
  <c r="P882" i="2" s="1"/>
  <c r="P9" i="2"/>
  <c r="P595" i="2"/>
  <c r="T361" i="2"/>
  <c r="T304" i="2"/>
  <c r="T238" i="2"/>
  <c r="T133" i="2"/>
  <c r="T475" i="2"/>
  <c r="T586" i="2"/>
  <c r="T466" i="2"/>
  <c r="T181" i="2"/>
  <c r="T882" i="2" s="1"/>
  <c r="T67" i="2"/>
  <c r="T524" i="2"/>
  <c r="T247" i="2"/>
  <c r="T352" i="2"/>
  <c r="T409" i="2"/>
  <c r="T418" i="2"/>
  <c r="T190" i="2"/>
  <c r="T595" i="2"/>
  <c r="T18" i="2"/>
  <c r="T295" i="2"/>
  <c r="T9" i="2"/>
  <c r="T124" i="2"/>
  <c r="T76" i="2"/>
  <c r="T533" i="2"/>
  <c r="N67" i="2"/>
  <c r="N361" i="2"/>
  <c r="N76" i="2"/>
  <c r="N18" i="2"/>
  <c r="N295" i="2"/>
  <c r="N190" i="2"/>
  <c r="N466" i="2"/>
  <c r="N133" i="2"/>
  <c r="N238" i="2"/>
  <c r="N418" i="2"/>
  <c r="N304" i="2"/>
  <c r="N533" i="2"/>
  <c r="N247" i="2"/>
  <c r="N475" i="2"/>
  <c r="N9" i="2"/>
  <c r="N409" i="2"/>
  <c r="N586" i="2"/>
  <c r="N181" i="2"/>
  <c r="N882" i="2" s="1"/>
  <c r="N595" i="2"/>
  <c r="N124" i="2"/>
  <c r="N524" i="2"/>
  <c r="N352" i="2"/>
  <c r="O133" i="2"/>
  <c r="O361" i="2"/>
  <c r="O304" i="2"/>
  <c r="O67" i="2"/>
  <c r="O352" i="2"/>
  <c r="O76" i="2"/>
  <c r="O295" i="2"/>
  <c r="O475" i="2"/>
  <c r="O238" i="2"/>
  <c r="O595" i="2"/>
  <c r="O466" i="2"/>
  <c r="O524" i="2"/>
  <c r="O124" i="2"/>
  <c r="O586" i="2"/>
  <c r="O409" i="2"/>
  <c r="O18" i="2"/>
  <c r="O247" i="2"/>
  <c r="O190" i="2"/>
  <c r="O418" i="2"/>
  <c r="O181" i="2"/>
  <c r="O882" i="2" s="1"/>
  <c r="O9" i="2"/>
  <c r="O533" i="2"/>
  <c r="L133" i="2"/>
  <c r="L418" i="2"/>
  <c r="L595" i="2"/>
  <c r="L295" i="2"/>
  <c r="L304" i="2"/>
  <c r="L9" i="2"/>
  <c r="L361" i="2"/>
  <c r="L190" i="2"/>
  <c r="L18" i="2"/>
  <c r="L466" i="2"/>
  <c r="L247" i="2"/>
  <c r="L67" i="2"/>
  <c r="L238" i="2"/>
  <c r="L475" i="2"/>
  <c r="L524" i="2"/>
  <c r="L124" i="2"/>
  <c r="L352" i="2"/>
  <c r="L409" i="2"/>
  <c r="L586" i="2"/>
  <c r="L76" i="2"/>
  <c r="L533" i="2"/>
  <c r="L181" i="2"/>
  <c r="L882" i="2" s="1"/>
  <c r="V127" i="2"/>
  <c r="W127" i="2" s="1"/>
  <c r="X127" i="2" s="1"/>
  <c r="G124" i="2"/>
  <c r="G238" i="2"/>
  <c r="G247" i="2"/>
  <c r="G76" i="2"/>
  <c r="G586" i="2"/>
  <c r="G466" i="2"/>
  <c r="G418" i="2"/>
  <c r="G361" i="2"/>
  <c r="G524" i="2"/>
  <c r="G475" i="2"/>
  <c r="G352" i="2"/>
  <c r="G67" i="2"/>
  <c r="G304" i="2"/>
  <c r="G533" i="2"/>
  <c r="G190" i="2"/>
  <c r="G133" i="2"/>
  <c r="G18" i="2"/>
  <c r="G295" i="2"/>
  <c r="G409" i="2"/>
  <c r="G595" i="2"/>
  <c r="G181" i="2"/>
  <c r="G9" i="2"/>
  <c r="V886" i="2"/>
  <c r="W886" i="2" s="1"/>
  <c r="X886" i="2" s="1"/>
  <c r="R181" i="2"/>
  <c r="R882" i="2" s="1"/>
  <c r="R475" i="2"/>
  <c r="R190" i="2"/>
  <c r="R295" i="2"/>
  <c r="R533" i="2"/>
  <c r="R18" i="2"/>
  <c r="R238" i="2"/>
  <c r="R466" i="2"/>
  <c r="R76" i="2"/>
  <c r="R67" i="2"/>
  <c r="R595" i="2"/>
  <c r="R304" i="2"/>
  <c r="R247" i="2"/>
  <c r="R361" i="2"/>
  <c r="R586" i="2"/>
  <c r="R524" i="2"/>
  <c r="R418" i="2"/>
  <c r="R124" i="2"/>
  <c r="R133" i="2"/>
  <c r="R409" i="2"/>
  <c r="R9" i="2"/>
  <c r="R352" i="2"/>
  <c r="M361" i="2"/>
  <c r="M352" i="2"/>
  <c r="M475" i="2"/>
  <c r="M466" i="2"/>
  <c r="M133" i="2"/>
  <c r="M586" i="2"/>
  <c r="M247" i="2"/>
  <c r="M595" i="2"/>
  <c r="M533" i="2"/>
  <c r="M524" i="2"/>
  <c r="M409" i="2"/>
  <c r="M67" i="2"/>
  <c r="M124" i="2"/>
  <c r="M190" i="2"/>
  <c r="M295" i="2"/>
  <c r="M418" i="2"/>
  <c r="M238" i="2"/>
  <c r="M76" i="2"/>
  <c r="M304" i="2"/>
  <c r="M18" i="2"/>
  <c r="M9" i="2"/>
  <c r="M181" i="2"/>
  <c r="M882" i="2" s="1"/>
  <c r="Q67" i="2"/>
  <c r="Q18" i="2"/>
  <c r="Q524" i="2"/>
  <c r="Q133" i="2"/>
  <c r="Q76" i="2"/>
  <c r="Q181" i="2"/>
  <c r="Q882" i="2" s="1"/>
  <c r="Q595" i="2"/>
  <c r="Q418" i="2"/>
  <c r="Q475" i="2"/>
  <c r="Q533" i="2"/>
  <c r="Q352" i="2"/>
  <c r="Q304" i="2"/>
  <c r="Q361" i="2"/>
  <c r="Q190" i="2"/>
  <c r="Q466" i="2"/>
  <c r="Q9" i="2"/>
  <c r="Q586" i="2"/>
  <c r="Q409" i="2"/>
  <c r="Q238" i="2"/>
  <c r="Q124" i="2"/>
  <c r="Q247" i="2"/>
  <c r="Q295" i="2"/>
  <c r="K67" i="2"/>
  <c r="K409" i="2"/>
  <c r="K533" i="2"/>
  <c r="K295" i="2"/>
  <c r="K18" i="2"/>
  <c r="K418" i="2"/>
  <c r="K238" i="2"/>
  <c r="K475" i="2"/>
  <c r="K595" i="2"/>
  <c r="K190" i="2"/>
  <c r="K76" i="2"/>
  <c r="K586" i="2"/>
  <c r="K247" i="2"/>
  <c r="K361" i="2"/>
  <c r="K466" i="2"/>
  <c r="K352" i="2"/>
  <c r="K304" i="2"/>
  <c r="K524" i="2"/>
  <c r="K133" i="2"/>
  <c r="K9" i="2"/>
  <c r="K124" i="2"/>
  <c r="K181" i="2"/>
  <c r="K882" i="2" s="1"/>
  <c r="H475" i="2"/>
  <c r="H18" i="2"/>
  <c r="H586" i="2"/>
  <c r="H238" i="2"/>
  <c r="H295" i="2"/>
  <c r="H133" i="2"/>
  <c r="H67" i="2"/>
  <c r="H352" i="2"/>
  <c r="H124" i="2"/>
  <c r="H533" i="2"/>
  <c r="H247" i="2"/>
  <c r="H190" i="2"/>
  <c r="H466" i="2"/>
  <c r="H418" i="2"/>
  <c r="H181" i="2"/>
  <c r="H882" i="2" s="1"/>
  <c r="H409" i="2"/>
  <c r="H595" i="2"/>
  <c r="H524" i="2"/>
  <c r="H361" i="2"/>
  <c r="H76" i="2"/>
  <c r="H9" i="2"/>
  <c r="H304" i="2"/>
  <c r="V304" i="2" l="1"/>
  <c r="W304" i="2" s="1"/>
  <c r="X304" i="2" s="1"/>
  <c r="V586" i="2"/>
  <c r="W586" i="2" s="1"/>
  <c r="X586" i="2" s="1"/>
  <c r="V595" i="2"/>
  <c r="W595" i="2" s="1"/>
  <c r="X595" i="2" s="1"/>
  <c r="V67" i="2"/>
  <c r="W67" i="2" s="1"/>
  <c r="X67" i="2" s="1"/>
  <c r="V76" i="2"/>
  <c r="W76" i="2" s="1"/>
  <c r="X76" i="2" s="1"/>
  <c r="G893" i="2"/>
  <c r="G239" i="2" s="1"/>
  <c r="V409" i="2"/>
  <c r="W409" i="2" s="1"/>
  <c r="X409" i="2" s="1"/>
  <c r="V352" i="2"/>
  <c r="W352" i="2" s="1"/>
  <c r="X352" i="2" s="1"/>
  <c r="V247" i="2"/>
  <c r="W247" i="2" s="1"/>
  <c r="X247" i="2" s="1"/>
  <c r="V295" i="2"/>
  <c r="W295" i="2" s="1"/>
  <c r="X295" i="2" s="1"/>
  <c r="V475" i="2"/>
  <c r="W475" i="2" s="1"/>
  <c r="X475" i="2" s="1"/>
  <c r="V238" i="2"/>
  <c r="W238" i="2" s="1"/>
  <c r="X238" i="2" s="1"/>
  <c r="V524" i="2"/>
  <c r="W524" i="2" s="1"/>
  <c r="X524" i="2" s="1"/>
  <c r="V18" i="2"/>
  <c r="W18" i="2" s="1"/>
  <c r="X18" i="2" s="1"/>
  <c r="V133" i="2"/>
  <c r="W133" i="2" s="1"/>
  <c r="X133" i="2" s="1"/>
  <c r="V190" i="2"/>
  <c r="W190" i="2" s="1"/>
  <c r="X190" i="2" s="1"/>
  <c r="V418" i="2"/>
  <c r="W418" i="2" s="1"/>
  <c r="X418" i="2" s="1"/>
  <c r="V124" i="2"/>
  <c r="W124" i="2" s="1"/>
  <c r="X124" i="2" s="1"/>
  <c r="V361" i="2"/>
  <c r="W361" i="2" s="1"/>
  <c r="X361" i="2" s="1"/>
  <c r="V533" i="2"/>
  <c r="W533" i="2" s="1"/>
  <c r="X533" i="2" s="1"/>
  <c r="V466" i="2"/>
  <c r="W466" i="2" s="1"/>
  <c r="X466" i="2" s="1"/>
  <c r="R419" i="2"/>
  <c r="R305" i="2"/>
  <c r="R596" i="2"/>
  <c r="R525" i="2"/>
  <c r="R239" i="2"/>
  <c r="R134" i="2"/>
  <c r="R353" i="2"/>
  <c r="R77" i="2"/>
  <c r="R10" i="2"/>
  <c r="R905" i="2" s="1"/>
  <c r="R802" i="2" s="1"/>
  <c r="R817" i="2" s="1"/>
  <c r="R296" i="2"/>
  <c r="R125" i="2"/>
  <c r="R68" i="2"/>
  <c r="R410" i="2"/>
  <c r="R191" i="2"/>
  <c r="R248" i="2"/>
  <c r="R182" i="2"/>
  <c r="R889" i="2" s="1"/>
  <c r="R19" i="2"/>
  <c r="R467" i="2"/>
  <c r="R587" i="2"/>
  <c r="R362" i="2"/>
  <c r="R534" i="2"/>
  <c r="R476" i="2"/>
  <c r="V9" i="2"/>
  <c r="W9" i="2" s="1"/>
  <c r="X9" i="2" s="1"/>
  <c r="T419" i="2"/>
  <c r="T353" i="2"/>
  <c r="T305" i="2"/>
  <c r="T362" i="2"/>
  <c r="T134" i="2"/>
  <c r="T19" i="2"/>
  <c r="T467" i="2"/>
  <c r="T191" i="2"/>
  <c r="T296" i="2"/>
  <c r="T239" i="2"/>
  <c r="T182" i="2"/>
  <c r="T889" i="2" s="1"/>
  <c r="T77" i="2"/>
  <c r="T596" i="2"/>
  <c r="T248" i="2"/>
  <c r="T10" i="2"/>
  <c r="T905" i="2" s="1"/>
  <c r="T802" i="2" s="1"/>
  <c r="T817" i="2" s="1"/>
  <c r="T410" i="2"/>
  <c r="T68" i="2"/>
  <c r="T534" i="2"/>
  <c r="T587" i="2"/>
  <c r="T476" i="2"/>
  <c r="T125" i="2"/>
  <c r="T525" i="2"/>
  <c r="N134" i="2"/>
  <c r="N467" i="2"/>
  <c r="N19" i="2"/>
  <c r="N248" i="2"/>
  <c r="N125" i="2"/>
  <c r="N296" i="2"/>
  <c r="N419" i="2"/>
  <c r="N476" i="2"/>
  <c r="N191" i="2"/>
  <c r="N587" i="2"/>
  <c r="N534" i="2"/>
  <c r="N525" i="2"/>
  <c r="N353" i="2"/>
  <c r="N182" i="2"/>
  <c r="N889" i="2" s="1"/>
  <c r="N410" i="2"/>
  <c r="N77" i="2"/>
  <c r="N596" i="2"/>
  <c r="N305" i="2"/>
  <c r="N10" i="2"/>
  <c r="N905" i="2" s="1"/>
  <c r="N802" i="2" s="1"/>
  <c r="N239" i="2"/>
  <c r="N362" i="2"/>
  <c r="N68" i="2"/>
  <c r="V181" i="2"/>
  <c r="W181" i="2" s="1"/>
  <c r="X181" i="2" s="1"/>
  <c r="G882" i="2"/>
  <c r="M305" i="2"/>
  <c r="M534" i="2"/>
  <c r="M134" i="2"/>
  <c r="M410" i="2"/>
  <c r="M239" i="2"/>
  <c r="M191" i="2"/>
  <c r="M467" i="2"/>
  <c r="M596" i="2"/>
  <c r="M587" i="2"/>
  <c r="M476" i="2"/>
  <c r="M19" i="2"/>
  <c r="M525" i="2"/>
  <c r="M296" i="2"/>
  <c r="M10" i="2"/>
  <c r="M905" i="2" s="1"/>
  <c r="M802" i="2" s="1"/>
  <c r="M77" i="2"/>
  <c r="M353" i="2"/>
  <c r="M362" i="2"/>
  <c r="M68" i="2"/>
  <c r="M248" i="2"/>
  <c r="M125" i="2"/>
  <c r="M419" i="2"/>
  <c r="M182" i="2"/>
  <c r="M889" i="2" s="1"/>
  <c r="Q305" i="2"/>
  <c r="Q10" i="2"/>
  <c r="Q905" i="2" s="1"/>
  <c r="Q802" i="2" s="1"/>
  <c r="Q134" i="2"/>
  <c r="Q525" i="2"/>
  <c r="Q467" i="2"/>
  <c r="Q125" i="2"/>
  <c r="Q248" i="2"/>
  <c r="Q476" i="2"/>
  <c r="Q410" i="2"/>
  <c r="Q68" i="2"/>
  <c r="Q239" i="2"/>
  <c r="Q191" i="2"/>
  <c r="Q19" i="2"/>
  <c r="Q587" i="2"/>
  <c r="Q534" i="2"/>
  <c r="Q77" i="2"/>
  <c r="Q353" i="2"/>
  <c r="Q596" i="2"/>
  <c r="Q362" i="2"/>
  <c r="Q419" i="2"/>
  <c r="Q296" i="2"/>
  <c r="Q182" i="2"/>
  <c r="Q889" i="2" s="1"/>
  <c r="F243" i="2"/>
  <c r="S239" i="2"/>
  <c r="S467" i="2"/>
  <c r="S534" i="2"/>
  <c r="S68" i="2"/>
  <c r="S362" i="2"/>
  <c r="S19" i="2"/>
  <c r="S77" i="2"/>
  <c r="S596" i="2"/>
  <c r="S419" i="2"/>
  <c r="S10" i="2"/>
  <c r="S905" i="2" s="1"/>
  <c r="S802" i="2" s="1"/>
  <c r="S817" i="2" s="1"/>
  <c r="S191" i="2"/>
  <c r="S134" i="2"/>
  <c r="S410" i="2"/>
  <c r="S296" i="2"/>
  <c r="S305" i="2"/>
  <c r="S525" i="2"/>
  <c r="S248" i="2"/>
  <c r="S476" i="2"/>
  <c r="S182" i="2"/>
  <c r="S889" i="2" s="1"/>
  <c r="S353" i="2"/>
  <c r="S587" i="2"/>
  <c r="S125" i="2"/>
  <c r="J239" i="2"/>
  <c r="J305" i="2"/>
  <c r="J362" i="2"/>
  <c r="J125" i="2"/>
  <c r="J10" i="2"/>
  <c r="J905" i="2" s="1"/>
  <c r="J802" i="2" s="1"/>
  <c r="J587" i="2"/>
  <c r="J596" i="2"/>
  <c r="J19" i="2"/>
  <c r="J248" i="2"/>
  <c r="J191" i="2"/>
  <c r="J534" i="2"/>
  <c r="J525" i="2"/>
  <c r="J353" i="2"/>
  <c r="J68" i="2"/>
  <c r="J182" i="2"/>
  <c r="J889" i="2" s="1"/>
  <c r="J410" i="2"/>
  <c r="J77" i="2"/>
  <c r="J467" i="2"/>
  <c r="J419" i="2"/>
  <c r="J134" i="2"/>
  <c r="J296" i="2"/>
  <c r="J476" i="2"/>
  <c r="H248" i="2"/>
  <c r="H467" i="2"/>
  <c r="H476" i="2"/>
  <c r="H419" i="2"/>
  <c r="H353" i="2"/>
  <c r="H125" i="2"/>
  <c r="H134" i="2"/>
  <c r="H410" i="2"/>
  <c r="H296" i="2"/>
  <c r="H191" i="2"/>
  <c r="H534" i="2"/>
  <c r="H68" i="2"/>
  <c r="H525" i="2"/>
  <c r="H362" i="2"/>
  <c r="H77" i="2"/>
  <c r="H19" i="2"/>
  <c r="H239" i="2"/>
  <c r="H587" i="2"/>
  <c r="H305" i="2"/>
  <c r="H182" i="2"/>
  <c r="H889" i="2" s="1"/>
  <c r="H10" i="2"/>
  <c r="H905" i="2" s="1"/>
  <c r="H802" i="2" s="1"/>
  <c r="H596" i="2"/>
  <c r="O77" i="2"/>
  <c r="O305" i="2"/>
  <c r="O125" i="2"/>
  <c r="O68" i="2"/>
  <c r="O353" i="2"/>
  <c r="O248" i="2"/>
  <c r="O410" i="2"/>
  <c r="O596" i="2"/>
  <c r="O467" i="2"/>
  <c r="O296" i="2"/>
  <c r="O239" i="2"/>
  <c r="O534" i="2"/>
  <c r="O19" i="2"/>
  <c r="O419" i="2"/>
  <c r="O587" i="2"/>
  <c r="O476" i="2"/>
  <c r="O10" i="2"/>
  <c r="O905" i="2" s="1"/>
  <c r="O802" i="2" s="1"/>
  <c r="O134" i="2"/>
  <c r="O191" i="2"/>
  <c r="O525" i="2"/>
  <c r="O362" i="2"/>
  <c r="O182" i="2"/>
  <c r="O889" i="2" s="1"/>
  <c r="L467" i="2"/>
  <c r="L134" i="2"/>
  <c r="L125" i="2"/>
  <c r="L596" i="2"/>
  <c r="L305" i="2"/>
  <c r="L296" i="2"/>
  <c r="L362" i="2"/>
  <c r="L10" i="2"/>
  <c r="L905" i="2" s="1"/>
  <c r="L802" i="2" s="1"/>
  <c r="L182" i="2"/>
  <c r="L889" i="2" s="1"/>
  <c r="L476" i="2"/>
  <c r="L525" i="2"/>
  <c r="L19" i="2"/>
  <c r="L239" i="2"/>
  <c r="L587" i="2"/>
  <c r="L534" i="2"/>
  <c r="L353" i="2"/>
  <c r="L77" i="2"/>
  <c r="L191" i="2"/>
  <c r="L419" i="2"/>
  <c r="L248" i="2"/>
  <c r="L68" i="2"/>
  <c r="L410" i="2"/>
  <c r="H649" i="1"/>
  <c r="AK649" i="1" s="1"/>
  <c r="AL649" i="1" s="1"/>
  <c r="AK330" i="1"/>
  <c r="AL330" i="1" s="1"/>
  <c r="H113" i="1"/>
  <c r="I476" i="2"/>
  <c r="I305" i="2"/>
  <c r="I419" i="2"/>
  <c r="I296" i="2"/>
  <c r="I587" i="2"/>
  <c r="I191" i="2"/>
  <c r="I248" i="2"/>
  <c r="I182" i="2"/>
  <c r="I889" i="2" s="1"/>
  <c r="I467" i="2"/>
  <c r="I77" i="2"/>
  <c r="I410" i="2"/>
  <c r="I353" i="2"/>
  <c r="I534" i="2"/>
  <c r="I525" i="2"/>
  <c r="I125" i="2"/>
  <c r="I68" i="2"/>
  <c r="I596" i="2"/>
  <c r="I239" i="2"/>
  <c r="I362" i="2"/>
  <c r="I19" i="2"/>
  <c r="I134" i="2"/>
  <c r="I10" i="2"/>
  <c r="I905" i="2" s="1"/>
  <c r="I802" i="2" s="1"/>
  <c r="I817" i="2" s="1"/>
  <c r="F896" i="2"/>
  <c r="F186" i="2"/>
  <c r="P19" i="2"/>
  <c r="P587" i="2"/>
  <c r="P77" i="2"/>
  <c r="P362" i="2"/>
  <c r="P534" i="2"/>
  <c r="P191" i="2"/>
  <c r="P248" i="2"/>
  <c r="P419" i="2"/>
  <c r="P239" i="2"/>
  <c r="P125" i="2"/>
  <c r="P353" i="2"/>
  <c r="P410" i="2"/>
  <c r="P134" i="2"/>
  <c r="P305" i="2"/>
  <c r="P68" i="2"/>
  <c r="P10" i="2"/>
  <c r="P905" i="2" s="1"/>
  <c r="P802" i="2" s="1"/>
  <c r="P596" i="2"/>
  <c r="P296" i="2"/>
  <c r="P476" i="2"/>
  <c r="P467" i="2"/>
  <c r="P525" i="2"/>
  <c r="P182" i="2"/>
  <c r="P889" i="2" s="1"/>
  <c r="K134" i="2"/>
  <c r="K362" i="2"/>
  <c r="K410" i="2"/>
  <c r="K239" i="2"/>
  <c r="K296" i="2"/>
  <c r="K305" i="2"/>
  <c r="K476" i="2"/>
  <c r="K77" i="2"/>
  <c r="K10" i="2"/>
  <c r="K905" i="2" s="1"/>
  <c r="K802" i="2" s="1"/>
  <c r="K817" i="2" s="1"/>
  <c r="K467" i="2"/>
  <c r="K596" i="2"/>
  <c r="K534" i="2"/>
  <c r="K191" i="2"/>
  <c r="K587" i="2"/>
  <c r="K182" i="2"/>
  <c r="K889" i="2" s="1"/>
  <c r="K19" i="2"/>
  <c r="K353" i="2"/>
  <c r="K419" i="2"/>
  <c r="K525" i="2"/>
  <c r="K125" i="2"/>
  <c r="K68" i="2"/>
  <c r="K248" i="2"/>
  <c r="M817" i="2" l="1"/>
  <c r="D37" i="19"/>
  <c r="L817" i="2"/>
  <c r="D37" i="17"/>
  <c r="Q817" i="2"/>
  <c r="D37" i="26"/>
  <c r="P817" i="2"/>
  <c r="D37" i="25"/>
  <c r="O817" i="2"/>
  <c r="D37" i="21"/>
  <c r="N817" i="2"/>
  <c r="D37" i="20"/>
  <c r="J817" i="2"/>
  <c r="D37" i="29"/>
  <c r="H817" i="2"/>
  <c r="D37" i="27"/>
  <c r="I654" i="2"/>
  <c r="I11" i="30" s="1"/>
  <c r="I679" i="2"/>
  <c r="I36" i="30" s="1"/>
  <c r="P654" i="2"/>
  <c r="P679" i="2"/>
  <c r="H654" i="2"/>
  <c r="H679" i="2"/>
  <c r="M654" i="2"/>
  <c r="M679" i="2"/>
  <c r="K654" i="2"/>
  <c r="K11" i="30" s="1"/>
  <c r="K679" i="2"/>
  <c r="K36" i="30" s="1"/>
  <c r="L654" i="2"/>
  <c r="L679" i="2"/>
  <c r="R654" i="2"/>
  <c r="R11" i="30" s="1"/>
  <c r="R679" i="2"/>
  <c r="R36" i="30" s="1"/>
  <c r="T654" i="2"/>
  <c r="T11" i="30" s="1"/>
  <c r="T679" i="2"/>
  <c r="T36" i="30" s="1"/>
  <c r="O654" i="2"/>
  <c r="O11" i="30" s="1"/>
  <c r="O679" i="2"/>
  <c r="O36" i="30" s="1"/>
  <c r="J654" i="2"/>
  <c r="J679" i="2"/>
  <c r="Q654" i="2"/>
  <c r="Q679" i="2"/>
  <c r="N654" i="2"/>
  <c r="N679" i="2"/>
  <c r="S654" i="2"/>
  <c r="S11" i="30" s="1"/>
  <c r="S679" i="2"/>
  <c r="S36" i="30" s="1"/>
  <c r="G125" i="2"/>
  <c r="V125" i="2" s="1"/>
  <c r="W125" i="2" s="1"/>
  <c r="X125" i="2" s="1"/>
  <c r="G587" i="2"/>
  <c r="V587" i="2" s="1"/>
  <c r="W587" i="2" s="1"/>
  <c r="X587" i="2" s="1"/>
  <c r="G353" i="2"/>
  <c r="V353" i="2" s="1"/>
  <c r="W353" i="2" s="1"/>
  <c r="X353" i="2" s="1"/>
  <c r="G191" i="2"/>
  <c r="V191" i="2" s="1"/>
  <c r="W191" i="2" s="1"/>
  <c r="X191" i="2" s="1"/>
  <c r="G467" i="2"/>
  <c r="V467" i="2" s="1"/>
  <c r="W467" i="2" s="1"/>
  <c r="X467" i="2" s="1"/>
  <c r="G296" i="2"/>
  <c r="V296" i="2" s="1"/>
  <c r="W296" i="2" s="1"/>
  <c r="X296" i="2" s="1"/>
  <c r="V893" i="2"/>
  <c r="W893" i="2" s="1"/>
  <c r="X893" i="2" s="1"/>
  <c r="G596" i="2"/>
  <c r="V596" i="2" s="1"/>
  <c r="W596" i="2" s="1"/>
  <c r="X596" i="2" s="1"/>
  <c r="G248" i="2"/>
  <c r="V248" i="2" s="1"/>
  <c r="W248" i="2" s="1"/>
  <c r="X248" i="2" s="1"/>
  <c r="G19" i="2"/>
  <c r="V19" i="2" s="1"/>
  <c r="W19" i="2" s="1"/>
  <c r="X19" i="2" s="1"/>
  <c r="G362" i="2"/>
  <c r="V362" i="2" s="1"/>
  <c r="W362" i="2" s="1"/>
  <c r="X362" i="2" s="1"/>
  <c r="G525" i="2"/>
  <c r="V525" i="2" s="1"/>
  <c r="W525" i="2" s="1"/>
  <c r="X525" i="2" s="1"/>
  <c r="G10" i="2"/>
  <c r="G905" i="2" s="1"/>
  <c r="G802" i="2" s="1"/>
  <c r="V239" i="2"/>
  <c r="W239" i="2" s="1"/>
  <c r="X239" i="2" s="1"/>
  <c r="G410" i="2"/>
  <c r="V410" i="2" s="1"/>
  <c r="W410" i="2" s="1"/>
  <c r="X410" i="2" s="1"/>
  <c r="G419" i="2"/>
  <c r="V419" i="2" s="1"/>
  <c r="W419" i="2" s="1"/>
  <c r="X419" i="2" s="1"/>
  <c r="G305" i="2"/>
  <c r="V305" i="2" s="1"/>
  <c r="W305" i="2" s="1"/>
  <c r="X305" i="2" s="1"/>
  <c r="G476" i="2"/>
  <c r="V476" i="2" s="1"/>
  <c r="W476" i="2" s="1"/>
  <c r="X476" i="2" s="1"/>
  <c r="G534" i="2"/>
  <c r="V534" i="2" s="1"/>
  <c r="W534" i="2" s="1"/>
  <c r="X534" i="2" s="1"/>
  <c r="G68" i="2"/>
  <c r="V68" i="2" s="1"/>
  <c r="W68" i="2" s="1"/>
  <c r="X68" i="2" s="1"/>
  <c r="G182" i="2"/>
  <c r="G889" i="2" s="1"/>
  <c r="G77" i="2"/>
  <c r="V77" i="2" s="1"/>
  <c r="W77" i="2" s="1"/>
  <c r="X77" i="2" s="1"/>
  <c r="G134" i="2"/>
  <c r="V134" i="2" s="1"/>
  <c r="W134" i="2" s="1"/>
  <c r="X134" i="2" s="1"/>
  <c r="J742" i="2"/>
  <c r="J99" i="30" s="1"/>
  <c r="S742" i="2"/>
  <c r="S99" i="30" s="1"/>
  <c r="H742" i="2"/>
  <c r="H99" i="30" s="1"/>
  <c r="T742" i="2"/>
  <c r="T99" i="30" s="1"/>
  <c r="I742" i="2"/>
  <c r="I99" i="30" s="1"/>
  <c r="M742" i="2"/>
  <c r="M99" i="30" s="1"/>
  <c r="O742" i="2"/>
  <c r="O99" i="30" s="1"/>
  <c r="F231" i="2"/>
  <c r="N742" i="2"/>
  <c r="N99" i="30" s="1"/>
  <c r="P742" i="2"/>
  <c r="P99" i="30" s="1"/>
  <c r="AK113" i="1"/>
  <c r="H117" i="1"/>
  <c r="F898" i="2"/>
  <c r="V896" i="2"/>
  <c r="W896" i="2" s="1"/>
  <c r="Q742" i="2"/>
  <c r="Q99" i="30" s="1"/>
  <c r="F288" i="2"/>
  <c r="R742" i="2"/>
  <c r="R99" i="30" s="1"/>
  <c r="K742" i="2"/>
  <c r="K99" i="30" s="1"/>
  <c r="L742" i="2"/>
  <c r="L99" i="30" s="1"/>
  <c r="D31" i="20" l="1"/>
  <c r="E31" i="20" s="1"/>
  <c r="K31" i="20" s="1"/>
  <c r="L31" i="20" s="1"/>
  <c r="N36" i="30"/>
  <c r="D31" i="19"/>
  <c r="E31" i="19" s="1"/>
  <c r="K31" i="19" s="1"/>
  <c r="L31" i="19" s="1"/>
  <c r="M36" i="30"/>
  <c r="D43" i="20"/>
  <c r="N11" i="30"/>
  <c r="D43" i="19"/>
  <c r="M11" i="30"/>
  <c r="D31" i="26"/>
  <c r="E31" i="26" s="1"/>
  <c r="K31" i="26" s="1"/>
  <c r="L31" i="26" s="1"/>
  <c r="Q36" i="30"/>
  <c r="D31" i="27"/>
  <c r="E31" i="27" s="1"/>
  <c r="K31" i="27" s="1"/>
  <c r="L31" i="27" s="1"/>
  <c r="H36" i="30"/>
  <c r="D43" i="26"/>
  <c r="Q11" i="30"/>
  <c r="D43" i="27"/>
  <c r="E43" i="27" s="1"/>
  <c r="H11" i="30"/>
  <c r="D31" i="29"/>
  <c r="E31" i="29" s="1"/>
  <c r="K31" i="29" s="1"/>
  <c r="L31" i="29" s="1"/>
  <c r="J36" i="30"/>
  <c r="D31" i="17"/>
  <c r="E31" i="17" s="1"/>
  <c r="K31" i="17" s="1"/>
  <c r="L31" i="17" s="1"/>
  <c r="L36" i="30"/>
  <c r="D31" i="25"/>
  <c r="P36" i="30"/>
  <c r="D43" i="29"/>
  <c r="E43" i="29" s="1"/>
  <c r="J11" i="30"/>
  <c r="D43" i="17"/>
  <c r="E43" i="17" s="1"/>
  <c r="K43" i="17" s="1"/>
  <c r="L43" i="17" s="1"/>
  <c r="L11" i="30"/>
  <c r="D43" i="25"/>
  <c r="P11" i="30"/>
  <c r="E43" i="19"/>
  <c r="E43" i="26"/>
  <c r="D31" i="21"/>
  <c r="E31" i="21" s="1"/>
  <c r="K31" i="21" s="1"/>
  <c r="L31" i="21" s="1"/>
  <c r="E31" i="25"/>
  <c r="K31" i="25" s="1"/>
  <c r="L31" i="25" s="1"/>
  <c r="D43" i="21"/>
  <c r="E43" i="21" s="1"/>
  <c r="E43" i="25"/>
  <c r="E43" i="20"/>
  <c r="K43" i="27"/>
  <c r="L43" i="27" s="1"/>
  <c r="D36" i="14"/>
  <c r="V802" i="2"/>
  <c r="W802" i="2" s="1"/>
  <c r="G817" i="2"/>
  <c r="V817" i="2" s="1"/>
  <c r="W817" i="2" s="1"/>
  <c r="G654" i="2"/>
  <c r="G11" i="30" s="1"/>
  <c r="G679" i="2"/>
  <c r="G742" i="2"/>
  <c r="V905" i="2"/>
  <c r="W905" i="2" s="1"/>
  <c r="X905" i="2" s="1"/>
  <c r="V10" i="2"/>
  <c r="W10" i="2" s="1"/>
  <c r="X10" i="2" s="1"/>
  <c r="V182" i="2"/>
  <c r="W182" i="2" s="1"/>
  <c r="X182" i="2" s="1"/>
  <c r="F671" i="2"/>
  <c r="F28" i="30" s="1"/>
  <c r="F914" i="2"/>
  <c r="F734" i="2"/>
  <c r="F91" i="30" s="1"/>
  <c r="F125" i="30" s="1"/>
  <c r="F127" i="30" s="1"/>
  <c r="AK117" i="1"/>
  <c r="H145" i="1"/>
  <c r="Q898" i="2"/>
  <c r="Q899" i="2" s="1"/>
  <c r="R898" i="2"/>
  <c r="R899" i="2" s="1"/>
  <c r="I898" i="2"/>
  <c r="I899" i="2" s="1"/>
  <c r="P898" i="2"/>
  <c r="P899" i="2" s="1"/>
  <c r="H898" i="2"/>
  <c r="H899" i="2" s="1"/>
  <c r="S898" i="2"/>
  <c r="S899" i="2" s="1"/>
  <c r="L898" i="2"/>
  <c r="L899" i="2" s="1"/>
  <c r="O898" i="2"/>
  <c r="O899" i="2" s="1"/>
  <c r="N898" i="2"/>
  <c r="N899" i="2" s="1"/>
  <c r="M898" i="2"/>
  <c r="M899" i="2" s="1"/>
  <c r="T898" i="2"/>
  <c r="T899" i="2" s="1"/>
  <c r="K898" i="2"/>
  <c r="K899" i="2" s="1"/>
  <c r="F899" i="2"/>
  <c r="G898" i="2"/>
  <c r="J898" i="2"/>
  <c r="J899" i="2" s="1"/>
  <c r="AL113" i="1"/>
  <c r="AM113" i="1"/>
  <c r="F60" i="30" l="1"/>
  <c r="F64" i="30" s="1"/>
  <c r="F38" i="30"/>
  <c r="F40" i="30" s="1"/>
  <c r="V742" i="2"/>
  <c r="W742" i="2" s="1"/>
  <c r="X742" i="2" s="1"/>
  <c r="G99" i="30"/>
  <c r="V679" i="2"/>
  <c r="W679" i="2" s="1"/>
  <c r="X679" i="2" s="1"/>
  <c r="G36" i="30"/>
  <c r="K43" i="19"/>
  <c r="L43" i="19" s="1"/>
  <c r="K43" i="26"/>
  <c r="L43" i="26" s="1"/>
  <c r="K43" i="25"/>
  <c r="L43" i="25" s="1"/>
  <c r="K43" i="21"/>
  <c r="L43" i="21" s="1"/>
  <c r="K43" i="20"/>
  <c r="L43" i="20" s="1"/>
  <c r="K43" i="29"/>
  <c r="L43" i="29" s="1"/>
  <c r="V654" i="2"/>
  <c r="W654" i="2" s="1"/>
  <c r="D42" i="14"/>
  <c r="E42" i="14" s="1"/>
  <c r="D30" i="14"/>
  <c r="E30" i="14" s="1"/>
  <c r="K30" i="14" s="1"/>
  <c r="L30" i="14" s="1"/>
  <c r="H900" i="2"/>
  <c r="P900" i="2"/>
  <c r="O900" i="2"/>
  <c r="L900" i="2"/>
  <c r="S900" i="2"/>
  <c r="Q900" i="2"/>
  <c r="K900" i="2"/>
  <c r="J900" i="2"/>
  <c r="I900" i="2"/>
  <c r="T900" i="2"/>
  <c r="R900" i="2"/>
  <c r="M900" i="2"/>
  <c r="N900" i="2"/>
  <c r="F785" i="2"/>
  <c r="F768" i="2"/>
  <c r="AK145" i="1"/>
  <c r="F123" i="2"/>
  <c r="F681" i="2"/>
  <c r="F703" i="2"/>
  <c r="G899" i="2"/>
  <c r="V899" i="2" s="1"/>
  <c r="W899" i="2" s="1"/>
  <c r="V898" i="2"/>
  <c r="W898" i="2" s="1"/>
  <c r="AM117" i="1"/>
  <c r="AL117" i="1"/>
  <c r="G900" i="2" l="1"/>
  <c r="G585" i="2" s="1"/>
  <c r="F791" i="2"/>
  <c r="N189" i="2"/>
  <c r="N192" i="2" s="1"/>
  <c r="G28" i="20" s="1"/>
  <c r="N465" i="2"/>
  <c r="N471" i="2" s="1"/>
  <c r="N180" i="2"/>
  <c r="E28" i="20" s="1"/>
  <c r="N594" i="2"/>
  <c r="N597" i="2" s="1"/>
  <c r="N132" i="2"/>
  <c r="N135" i="2" s="1"/>
  <c r="G14" i="20" s="1"/>
  <c r="N585" i="2"/>
  <c r="N591" i="2" s="1"/>
  <c r="N417" i="2"/>
  <c r="N420" i="2" s="1"/>
  <c r="N294" i="2"/>
  <c r="N300" i="2" s="1"/>
  <c r="E29" i="20" s="1"/>
  <c r="N474" i="2"/>
  <c r="N477" i="2" s="1"/>
  <c r="N523" i="2"/>
  <c r="N529" i="2" s="1"/>
  <c r="F30" i="20" s="1"/>
  <c r="N17" i="2"/>
  <c r="N20" i="2" s="1"/>
  <c r="N351" i="2"/>
  <c r="N357" i="2" s="1"/>
  <c r="N408" i="2"/>
  <c r="N414" i="2" s="1"/>
  <c r="N66" i="2"/>
  <c r="N72" i="2" s="1"/>
  <c r="N8" i="2"/>
  <c r="N14" i="2" s="1"/>
  <c r="N532" i="2"/>
  <c r="N535" i="2" s="1"/>
  <c r="N123" i="2"/>
  <c r="E14" i="20" s="1"/>
  <c r="N75" i="2"/>
  <c r="N78" i="2" s="1"/>
  <c r="N303" i="2"/>
  <c r="N306" i="2" s="1"/>
  <c r="G29" i="20" s="1"/>
  <c r="N360" i="2"/>
  <c r="N363" i="2" s="1"/>
  <c r="N246" i="2"/>
  <c r="N249" i="2" s="1"/>
  <c r="N237" i="2"/>
  <c r="N243" i="2" s="1"/>
  <c r="F811" i="2"/>
  <c r="F683" i="2"/>
  <c r="M189" i="2"/>
  <c r="M192" i="2" s="1"/>
  <c r="G28" i="19" s="1"/>
  <c r="M180" i="2"/>
  <c r="E28" i="19" s="1"/>
  <c r="M408" i="2"/>
  <c r="M414" i="2" s="1"/>
  <c r="M532" i="2"/>
  <c r="M535" i="2" s="1"/>
  <c r="M132" i="2"/>
  <c r="M135" i="2" s="1"/>
  <c r="G14" i="19" s="1"/>
  <c r="M417" i="2"/>
  <c r="M420" i="2" s="1"/>
  <c r="M66" i="2"/>
  <c r="M72" i="2" s="1"/>
  <c r="M360" i="2"/>
  <c r="M363" i="2" s="1"/>
  <c r="M594" i="2"/>
  <c r="M597" i="2" s="1"/>
  <c r="M123" i="2"/>
  <c r="E14" i="19" s="1"/>
  <c r="M523" i="2"/>
  <c r="M529" i="2" s="1"/>
  <c r="F30" i="19" s="1"/>
  <c r="M246" i="2"/>
  <c r="M249" i="2" s="1"/>
  <c r="M303" i="2"/>
  <c r="M306" i="2" s="1"/>
  <c r="G29" i="19" s="1"/>
  <c r="M294" i="2"/>
  <c r="M300" i="2" s="1"/>
  <c r="E29" i="19" s="1"/>
  <c r="M17" i="2"/>
  <c r="M20" i="2" s="1"/>
  <c r="M585" i="2"/>
  <c r="M591" i="2" s="1"/>
  <c r="M465" i="2"/>
  <c r="M471" i="2" s="1"/>
  <c r="M8" i="2"/>
  <c r="M14" i="2" s="1"/>
  <c r="M351" i="2"/>
  <c r="M357" i="2" s="1"/>
  <c r="M474" i="2"/>
  <c r="M477" i="2" s="1"/>
  <c r="M237" i="2"/>
  <c r="M243" i="2" s="1"/>
  <c r="M75" i="2"/>
  <c r="M78" i="2" s="1"/>
  <c r="S180" i="2"/>
  <c r="S186" i="2" s="1"/>
  <c r="S75" i="2"/>
  <c r="S78" i="2" s="1"/>
  <c r="S17" i="2"/>
  <c r="S20" i="2" s="1"/>
  <c r="S465" i="2"/>
  <c r="S471" i="2" s="1"/>
  <c r="S132" i="2"/>
  <c r="S135" i="2" s="1"/>
  <c r="S351" i="2"/>
  <c r="S357" i="2" s="1"/>
  <c r="S8" i="2"/>
  <c r="S14" i="2" s="1"/>
  <c r="S360" i="2"/>
  <c r="S363" i="2" s="1"/>
  <c r="S189" i="2"/>
  <c r="S192" i="2" s="1"/>
  <c r="S237" i="2"/>
  <c r="S243" i="2" s="1"/>
  <c r="S417" i="2"/>
  <c r="S420" i="2" s="1"/>
  <c r="S585" i="2"/>
  <c r="S591" i="2" s="1"/>
  <c r="S303" i="2"/>
  <c r="S306" i="2" s="1"/>
  <c r="S66" i="2"/>
  <c r="S72" i="2" s="1"/>
  <c r="S594" i="2"/>
  <c r="S597" i="2" s="1"/>
  <c r="S532" i="2"/>
  <c r="S535" i="2" s="1"/>
  <c r="S408" i="2"/>
  <c r="S414" i="2" s="1"/>
  <c r="S474" i="2"/>
  <c r="S477" i="2" s="1"/>
  <c r="S123" i="2"/>
  <c r="S129" i="2" s="1"/>
  <c r="S294" i="2"/>
  <c r="S300" i="2" s="1"/>
  <c r="S523" i="2"/>
  <c r="S529" i="2" s="1"/>
  <c r="S246" i="2"/>
  <c r="S249" i="2" s="1"/>
  <c r="R180" i="2"/>
  <c r="R186" i="2" s="1"/>
  <c r="R465" i="2"/>
  <c r="R471" i="2" s="1"/>
  <c r="R585" i="2"/>
  <c r="R591" i="2" s="1"/>
  <c r="R123" i="2"/>
  <c r="R129" i="2" s="1"/>
  <c r="R360" i="2"/>
  <c r="R363" i="2" s="1"/>
  <c r="R294" i="2"/>
  <c r="R300" i="2" s="1"/>
  <c r="R532" i="2"/>
  <c r="R535" i="2" s="1"/>
  <c r="R17" i="2"/>
  <c r="R20" i="2" s="1"/>
  <c r="R75" i="2"/>
  <c r="R78" i="2" s="1"/>
  <c r="R237" i="2"/>
  <c r="R243" i="2" s="1"/>
  <c r="R474" i="2"/>
  <c r="R477" i="2" s="1"/>
  <c r="R303" i="2"/>
  <c r="R306" i="2" s="1"/>
  <c r="R523" i="2"/>
  <c r="R529" i="2" s="1"/>
  <c r="R594" i="2"/>
  <c r="R597" i="2" s="1"/>
  <c r="R351" i="2"/>
  <c r="R357" i="2" s="1"/>
  <c r="R66" i="2"/>
  <c r="R72" i="2" s="1"/>
  <c r="R417" i="2"/>
  <c r="R420" i="2" s="1"/>
  <c r="R8" i="2"/>
  <c r="R14" i="2" s="1"/>
  <c r="R132" i="2"/>
  <c r="R135" i="2" s="1"/>
  <c r="R246" i="2"/>
  <c r="R249" i="2" s="1"/>
  <c r="R408" i="2"/>
  <c r="R414" i="2" s="1"/>
  <c r="R189" i="2"/>
  <c r="R192" i="2" s="1"/>
  <c r="L180" i="2"/>
  <c r="E28" i="17" s="1"/>
  <c r="L132" i="2"/>
  <c r="L135" i="2" s="1"/>
  <c r="G14" i="17" s="1"/>
  <c r="L189" i="2"/>
  <c r="L192" i="2" s="1"/>
  <c r="G28" i="17" s="1"/>
  <c r="L246" i="2"/>
  <c r="L249" i="2" s="1"/>
  <c r="L237" i="2"/>
  <c r="L243" i="2" s="1"/>
  <c r="L585" i="2"/>
  <c r="L591" i="2" s="1"/>
  <c r="L532" i="2"/>
  <c r="L535" i="2" s="1"/>
  <c r="L408" i="2"/>
  <c r="L414" i="2" s="1"/>
  <c r="L523" i="2"/>
  <c r="L529" i="2" s="1"/>
  <c r="F30" i="17" s="1"/>
  <c r="L17" i="2"/>
  <c r="L20" i="2" s="1"/>
  <c r="L75" i="2"/>
  <c r="L78" i="2" s="1"/>
  <c r="L8" i="2"/>
  <c r="L14" i="2" s="1"/>
  <c r="L351" i="2"/>
  <c r="L357" i="2" s="1"/>
  <c r="L417" i="2"/>
  <c r="L420" i="2" s="1"/>
  <c r="L360" i="2"/>
  <c r="L363" i="2" s="1"/>
  <c r="L294" i="2"/>
  <c r="L300" i="2" s="1"/>
  <c r="E29" i="17" s="1"/>
  <c r="L594" i="2"/>
  <c r="L597" i="2" s="1"/>
  <c r="L66" i="2"/>
  <c r="L72" i="2" s="1"/>
  <c r="L303" i="2"/>
  <c r="L306" i="2" s="1"/>
  <c r="G29" i="17" s="1"/>
  <c r="L123" i="2"/>
  <c r="E14" i="17" s="1"/>
  <c r="L465" i="2"/>
  <c r="L471" i="2" s="1"/>
  <c r="L474" i="2"/>
  <c r="L477" i="2" s="1"/>
  <c r="F707" i="2"/>
  <c r="O351" i="2"/>
  <c r="O357" i="2" s="1"/>
  <c r="O180" i="2"/>
  <c r="O408" i="2"/>
  <c r="O414" i="2" s="1"/>
  <c r="O417" i="2"/>
  <c r="O420" i="2" s="1"/>
  <c r="O75" i="2"/>
  <c r="O78" i="2" s="1"/>
  <c r="O303" i="2"/>
  <c r="O306" i="2" s="1"/>
  <c r="O585" i="2"/>
  <c r="O591" i="2" s="1"/>
  <c r="O189" i="2"/>
  <c r="O192" i="2" s="1"/>
  <c r="O66" i="2"/>
  <c r="O72" i="2" s="1"/>
  <c r="O523" i="2"/>
  <c r="O529" i="2" s="1"/>
  <c r="O474" i="2"/>
  <c r="O477" i="2" s="1"/>
  <c r="O594" i="2"/>
  <c r="O597" i="2" s="1"/>
  <c r="O132" i="2"/>
  <c r="O135" i="2" s="1"/>
  <c r="O360" i="2"/>
  <c r="O363" i="2" s="1"/>
  <c r="O532" i="2"/>
  <c r="O535" i="2" s="1"/>
  <c r="O8" i="2"/>
  <c r="O14" i="2" s="1"/>
  <c r="O246" i="2"/>
  <c r="O249" i="2" s="1"/>
  <c r="O294" i="2"/>
  <c r="O300" i="2" s="1"/>
  <c r="O237" i="2"/>
  <c r="O243" i="2" s="1"/>
  <c r="O17" i="2"/>
  <c r="O20" i="2" s="1"/>
  <c r="O465" i="2"/>
  <c r="O471" i="2" s="1"/>
  <c r="O123" i="2"/>
  <c r="AM145" i="1"/>
  <c r="AL145" i="1"/>
  <c r="G180" i="2"/>
  <c r="G532" i="2"/>
  <c r="G8" i="2"/>
  <c r="G523" i="2"/>
  <c r="G474" i="2"/>
  <c r="G132" i="2"/>
  <c r="G303" i="2"/>
  <c r="G417" i="2"/>
  <c r="G75" i="2"/>
  <c r="G17" i="2"/>
  <c r="G123" i="2"/>
  <c r="G360" i="2"/>
  <c r="G408" i="2"/>
  <c r="G246" i="2"/>
  <c r="G189" i="2"/>
  <c r="V900" i="2"/>
  <c r="W900" i="2" s="1"/>
  <c r="G594" i="2"/>
  <c r="P189" i="2"/>
  <c r="P192" i="2" s="1"/>
  <c r="G28" i="25" s="1"/>
  <c r="P75" i="2"/>
  <c r="P78" i="2" s="1"/>
  <c r="P180" i="2"/>
  <c r="E28" i="25" s="1"/>
  <c r="P351" i="2"/>
  <c r="P357" i="2" s="1"/>
  <c r="P408" i="2"/>
  <c r="P414" i="2" s="1"/>
  <c r="P585" i="2"/>
  <c r="P591" i="2" s="1"/>
  <c r="P17" i="2"/>
  <c r="P20" i="2" s="1"/>
  <c r="P417" i="2"/>
  <c r="P420" i="2" s="1"/>
  <c r="P8" i="2"/>
  <c r="P14" i="2" s="1"/>
  <c r="P360" i="2"/>
  <c r="P363" i="2" s="1"/>
  <c r="P246" i="2"/>
  <c r="P249" i="2" s="1"/>
  <c r="P465" i="2"/>
  <c r="P471" i="2" s="1"/>
  <c r="P66" i="2"/>
  <c r="P72" i="2" s="1"/>
  <c r="P237" i="2"/>
  <c r="P243" i="2" s="1"/>
  <c r="P474" i="2"/>
  <c r="P477" i="2" s="1"/>
  <c r="P303" i="2"/>
  <c r="P306" i="2" s="1"/>
  <c r="G29" i="25" s="1"/>
  <c r="P294" i="2"/>
  <c r="P300" i="2" s="1"/>
  <c r="E29" i="25" s="1"/>
  <c r="P132" i="2"/>
  <c r="P135" i="2" s="1"/>
  <c r="G14" i="25" s="1"/>
  <c r="P523" i="2"/>
  <c r="P529" i="2" s="1"/>
  <c r="F30" i="25" s="1"/>
  <c r="P532" i="2"/>
  <c r="P535" i="2" s="1"/>
  <c r="P123" i="2"/>
  <c r="E14" i="25" s="1"/>
  <c r="P594" i="2"/>
  <c r="P597" i="2" s="1"/>
  <c r="F129" i="2"/>
  <c r="F770" i="2"/>
  <c r="I585" i="2"/>
  <c r="I591" i="2" s="1"/>
  <c r="I303" i="2"/>
  <c r="I306" i="2" s="1"/>
  <c r="I132" i="2"/>
  <c r="I135" i="2" s="1"/>
  <c r="I66" i="2"/>
  <c r="I72" i="2" s="1"/>
  <c r="I523" i="2"/>
  <c r="I529" i="2" s="1"/>
  <c r="I465" i="2"/>
  <c r="I471" i="2" s="1"/>
  <c r="I237" i="2"/>
  <c r="I243" i="2" s="1"/>
  <c r="I594" i="2"/>
  <c r="I597" i="2" s="1"/>
  <c r="I351" i="2"/>
  <c r="I357" i="2" s="1"/>
  <c r="I180" i="2"/>
  <c r="I186" i="2" s="1"/>
  <c r="I123" i="2"/>
  <c r="I129" i="2" s="1"/>
  <c r="I408" i="2"/>
  <c r="I414" i="2" s="1"/>
  <c r="I417" i="2"/>
  <c r="I420" i="2" s="1"/>
  <c r="I8" i="2"/>
  <c r="I14" i="2" s="1"/>
  <c r="I532" i="2"/>
  <c r="I535" i="2" s="1"/>
  <c r="I246" i="2"/>
  <c r="I249" i="2" s="1"/>
  <c r="I360" i="2"/>
  <c r="I363" i="2" s="1"/>
  <c r="I75" i="2"/>
  <c r="I78" i="2" s="1"/>
  <c r="I474" i="2"/>
  <c r="I477" i="2" s="1"/>
  <c r="I189" i="2"/>
  <c r="I192" i="2" s="1"/>
  <c r="I294" i="2"/>
  <c r="I300" i="2" s="1"/>
  <c r="I17" i="2"/>
  <c r="I20" i="2" s="1"/>
  <c r="H189" i="2"/>
  <c r="H192" i="2" s="1"/>
  <c r="G28" i="27" s="1"/>
  <c r="H585" i="2"/>
  <c r="H591" i="2" s="1"/>
  <c r="H180" i="2"/>
  <c r="E28" i="27" s="1"/>
  <c r="H66" i="2"/>
  <c r="H72" i="2" s="1"/>
  <c r="H294" i="2"/>
  <c r="H300" i="2" s="1"/>
  <c r="E29" i="27" s="1"/>
  <c r="H351" i="2"/>
  <c r="H357" i="2" s="1"/>
  <c r="H594" i="2"/>
  <c r="H597" i="2" s="1"/>
  <c r="H523" i="2"/>
  <c r="H529" i="2" s="1"/>
  <c r="F30" i="27" s="1"/>
  <c r="H132" i="2"/>
  <c r="H135" i="2" s="1"/>
  <c r="G14" i="27" s="1"/>
  <c r="H123" i="2"/>
  <c r="E14" i="27" s="1"/>
  <c r="H532" i="2"/>
  <c r="H535" i="2" s="1"/>
  <c r="H237" i="2"/>
  <c r="H243" i="2" s="1"/>
  <c r="H465" i="2"/>
  <c r="H471" i="2" s="1"/>
  <c r="H246" i="2"/>
  <c r="H249" i="2" s="1"/>
  <c r="H17" i="2"/>
  <c r="H20" i="2" s="1"/>
  <c r="H417" i="2"/>
  <c r="H420" i="2" s="1"/>
  <c r="H474" i="2"/>
  <c r="H477" i="2" s="1"/>
  <c r="H8" i="2"/>
  <c r="H14" i="2" s="1"/>
  <c r="H408" i="2"/>
  <c r="H414" i="2" s="1"/>
  <c r="H360" i="2"/>
  <c r="H363" i="2" s="1"/>
  <c r="H303" i="2"/>
  <c r="H306" i="2" s="1"/>
  <c r="G29" i="27" s="1"/>
  <c r="H75" i="2"/>
  <c r="H78" i="2" s="1"/>
  <c r="K8" i="2"/>
  <c r="K14" i="2" s="1"/>
  <c r="K303" i="2"/>
  <c r="K306" i="2" s="1"/>
  <c r="K66" i="2"/>
  <c r="K72" i="2" s="1"/>
  <c r="K180" i="2"/>
  <c r="K186" i="2" s="1"/>
  <c r="K585" i="2"/>
  <c r="K591" i="2" s="1"/>
  <c r="K351" i="2"/>
  <c r="K357" i="2" s="1"/>
  <c r="K17" i="2"/>
  <c r="K20" i="2" s="1"/>
  <c r="K408" i="2"/>
  <c r="K414" i="2" s="1"/>
  <c r="K465" i="2"/>
  <c r="K471" i="2" s="1"/>
  <c r="K294" i="2"/>
  <c r="K300" i="2" s="1"/>
  <c r="K417" i="2"/>
  <c r="K420" i="2" s="1"/>
  <c r="K132" i="2"/>
  <c r="K135" i="2" s="1"/>
  <c r="K474" i="2"/>
  <c r="K477" i="2" s="1"/>
  <c r="K123" i="2"/>
  <c r="K129" i="2" s="1"/>
  <c r="K360" i="2"/>
  <c r="K363" i="2" s="1"/>
  <c r="K523" i="2"/>
  <c r="K529" i="2" s="1"/>
  <c r="K594" i="2"/>
  <c r="K597" i="2" s="1"/>
  <c r="K237" i="2"/>
  <c r="K243" i="2" s="1"/>
  <c r="K246" i="2"/>
  <c r="K249" i="2" s="1"/>
  <c r="K532" i="2"/>
  <c r="K535" i="2" s="1"/>
  <c r="K189" i="2"/>
  <c r="K192" i="2" s="1"/>
  <c r="K75" i="2"/>
  <c r="K78" i="2" s="1"/>
  <c r="Q189" i="2"/>
  <c r="Q192" i="2" s="1"/>
  <c r="G28" i="26" s="1"/>
  <c r="Q180" i="2"/>
  <c r="E28" i="26" s="1"/>
  <c r="Q532" i="2"/>
  <c r="Q535" i="2" s="1"/>
  <c r="Q303" i="2"/>
  <c r="Q306" i="2" s="1"/>
  <c r="G29" i="26" s="1"/>
  <c r="Q360" i="2"/>
  <c r="Q363" i="2" s="1"/>
  <c r="Q132" i="2"/>
  <c r="Q135" i="2" s="1"/>
  <c r="G14" i="26" s="1"/>
  <c r="Q17" i="2"/>
  <c r="Q20" i="2" s="1"/>
  <c r="Q465" i="2"/>
  <c r="Q471" i="2" s="1"/>
  <c r="Q351" i="2"/>
  <c r="Q357" i="2" s="1"/>
  <c r="Q237" i="2"/>
  <c r="Q243" i="2" s="1"/>
  <c r="Q8" i="2"/>
  <c r="Q14" i="2" s="1"/>
  <c r="Q523" i="2"/>
  <c r="Q529" i="2" s="1"/>
  <c r="F30" i="26" s="1"/>
  <c r="Q474" i="2"/>
  <c r="Q477" i="2" s="1"/>
  <c r="Q417" i="2"/>
  <c r="Q420" i="2" s="1"/>
  <c r="Q246" i="2"/>
  <c r="Q249" i="2" s="1"/>
  <c r="Q75" i="2"/>
  <c r="Q78" i="2" s="1"/>
  <c r="Q585" i="2"/>
  <c r="Q591" i="2" s="1"/>
  <c r="Q408" i="2"/>
  <c r="Q414" i="2" s="1"/>
  <c r="Q66" i="2"/>
  <c r="Q72" i="2" s="1"/>
  <c r="Q123" i="2"/>
  <c r="E14" i="26" s="1"/>
  <c r="Q294" i="2"/>
  <c r="Q300" i="2" s="1"/>
  <c r="E29" i="26" s="1"/>
  <c r="Q594" i="2"/>
  <c r="Q597" i="2" s="1"/>
  <c r="T474" i="2"/>
  <c r="T477" i="2" s="1"/>
  <c r="T523" i="2"/>
  <c r="T529" i="2" s="1"/>
  <c r="T465" i="2"/>
  <c r="T471" i="2" s="1"/>
  <c r="T66" i="2"/>
  <c r="T72" i="2" s="1"/>
  <c r="T594" i="2"/>
  <c r="T597" i="2" s="1"/>
  <c r="T532" i="2"/>
  <c r="T535" i="2" s="1"/>
  <c r="T17" i="2"/>
  <c r="T20" i="2" s="1"/>
  <c r="T360" i="2"/>
  <c r="T363" i="2" s="1"/>
  <c r="T189" i="2"/>
  <c r="T192" i="2" s="1"/>
  <c r="T180" i="2"/>
  <c r="T186" i="2" s="1"/>
  <c r="T585" i="2"/>
  <c r="T591" i="2" s="1"/>
  <c r="T294" i="2"/>
  <c r="T300" i="2" s="1"/>
  <c r="T123" i="2"/>
  <c r="T129" i="2" s="1"/>
  <c r="T246" i="2"/>
  <c r="T249" i="2" s="1"/>
  <c r="T408" i="2"/>
  <c r="T414" i="2" s="1"/>
  <c r="T303" i="2"/>
  <c r="T306" i="2" s="1"/>
  <c r="T237" i="2"/>
  <c r="T243" i="2" s="1"/>
  <c r="T417" i="2"/>
  <c r="T420" i="2" s="1"/>
  <c r="T75" i="2"/>
  <c r="T78" i="2" s="1"/>
  <c r="T351" i="2"/>
  <c r="T357" i="2" s="1"/>
  <c r="T8" i="2"/>
  <c r="T14" i="2" s="1"/>
  <c r="T132" i="2"/>
  <c r="T135" i="2" s="1"/>
  <c r="J132" i="2"/>
  <c r="J135" i="2" s="1"/>
  <c r="G14" i="29" s="1"/>
  <c r="J189" i="2"/>
  <c r="J192" i="2" s="1"/>
  <c r="G28" i="29" s="1"/>
  <c r="J180" i="2"/>
  <c r="E28" i="29" s="1"/>
  <c r="J8" i="2"/>
  <c r="J14" i="2" s="1"/>
  <c r="J585" i="2"/>
  <c r="J591" i="2" s="1"/>
  <c r="J351" i="2"/>
  <c r="J357" i="2" s="1"/>
  <c r="J465" i="2"/>
  <c r="J471" i="2" s="1"/>
  <c r="J303" i="2"/>
  <c r="J306" i="2" s="1"/>
  <c r="G29" i="29" s="1"/>
  <c r="J294" i="2"/>
  <c r="J300" i="2" s="1"/>
  <c r="E29" i="29" s="1"/>
  <c r="J532" i="2"/>
  <c r="J535" i="2" s="1"/>
  <c r="J123" i="2"/>
  <c r="E14" i="29" s="1"/>
  <c r="J594" i="2"/>
  <c r="J597" i="2" s="1"/>
  <c r="J66" i="2"/>
  <c r="J72" i="2" s="1"/>
  <c r="J417" i="2"/>
  <c r="J420" i="2" s="1"/>
  <c r="J360" i="2"/>
  <c r="J363" i="2" s="1"/>
  <c r="J523" i="2"/>
  <c r="J529" i="2" s="1"/>
  <c r="F30" i="29" s="1"/>
  <c r="J246" i="2"/>
  <c r="J249" i="2" s="1"/>
  <c r="J474" i="2"/>
  <c r="J477" i="2" s="1"/>
  <c r="J17" i="2"/>
  <c r="J20" i="2" s="1"/>
  <c r="J75" i="2"/>
  <c r="J78" i="2" s="1"/>
  <c r="J237" i="2"/>
  <c r="J243" i="2" s="1"/>
  <c r="J408" i="2"/>
  <c r="J414" i="2" s="1"/>
  <c r="G66" i="2" l="1"/>
  <c r="V66" i="2" s="1"/>
  <c r="W66" i="2" s="1"/>
  <c r="X66" i="2" s="1"/>
  <c r="G237" i="2"/>
  <c r="V237" i="2" s="1"/>
  <c r="W237" i="2" s="1"/>
  <c r="X237" i="2" s="1"/>
  <c r="K29" i="19"/>
  <c r="G30" i="19"/>
  <c r="E30" i="19"/>
  <c r="K14" i="19"/>
  <c r="K28" i="19"/>
  <c r="G30" i="26"/>
  <c r="E30" i="27"/>
  <c r="K29" i="17"/>
  <c r="E30" i="20"/>
  <c r="G30" i="17"/>
  <c r="K14" i="17"/>
  <c r="K28" i="17"/>
  <c r="E30" i="17"/>
  <c r="K29" i="26"/>
  <c r="K14" i="26"/>
  <c r="E30" i="25"/>
  <c r="E30" i="26"/>
  <c r="K28" i="26"/>
  <c r="G30" i="25"/>
  <c r="G30" i="21"/>
  <c r="E30" i="21"/>
  <c r="G14" i="21"/>
  <c r="E29" i="21"/>
  <c r="K29" i="25"/>
  <c r="E28" i="21"/>
  <c r="F30" i="21"/>
  <c r="G28" i="21"/>
  <c r="E14" i="21"/>
  <c r="G29" i="21"/>
  <c r="K14" i="20"/>
  <c r="K28" i="20"/>
  <c r="K29" i="20"/>
  <c r="G30" i="20"/>
  <c r="K30" i="20" s="1"/>
  <c r="K28" i="29"/>
  <c r="K29" i="29"/>
  <c r="E30" i="29"/>
  <c r="G30" i="29"/>
  <c r="K14" i="29"/>
  <c r="G30" i="27"/>
  <c r="K30" i="27" s="1"/>
  <c r="K14" i="27"/>
  <c r="K28" i="27"/>
  <c r="K29" i="27"/>
  <c r="G465" i="2"/>
  <c r="V465" i="2" s="1"/>
  <c r="W465" i="2" s="1"/>
  <c r="X465" i="2" s="1"/>
  <c r="G294" i="2"/>
  <c r="G300" i="2" s="1"/>
  <c r="G351" i="2"/>
  <c r="V351" i="2" s="1"/>
  <c r="W351" i="2" s="1"/>
  <c r="X351" i="2" s="1"/>
  <c r="M402" i="2"/>
  <c r="M673" i="2" s="1"/>
  <c r="M30" i="30" s="1"/>
  <c r="I174" i="2"/>
  <c r="I685" i="2" s="1"/>
  <c r="R402" i="2"/>
  <c r="R736" i="2" s="1"/>
  <c r="R93" i="30" s="1"/>
  <c r="I636" i="2"/>
  <c r="I705" i="2" s="1"/>
  <c r="N636" i="2"/>
  <c r="N705" i="2" s="1"/>
  <c r="T231" i="2"/>
  <c r="K174" i="2"/>
  <c r="K685" i="2" s="1"/>
  <c r="S117" i="2"/>
  <c r="N288" i="2"/>
  <c r="N117" i="2"/>
  <c r="P402" i="2"/>
  <c r="P673" i="2" s="1"/>
  <c r="P30" i="30" s="1"/>
  <c r="O288" i="2"/>
  <c r="T636" i="2"/>
  <c r="T705" i="2" s="1"/>
  <c r="S516" i="2"/>
  <c r="S675" i="2" s="1"/>
  <c r="S32" i="30" s="1"/>
  <c r="T174" i="2"/>
  <c r="T685" i="2" s="1"/>
  <c r="R231" i="2"/>
  <c r="M288" i="2"/>
  <c r="S402" i="2"/>
  <c r="S736" i="2" s="1"/>
  <c r="S93" i="30" s="1"/>
  <c r="S574" i="2"/>
  <c r="S676" i="2" s="1"/>
  <c r="P516" i="2"/>
  <c r="P675" i="2" s="1"/>
  <c r="P32" i="30" s="1"/>
  <c r="T574" i="2"/>
  <c r="T676" i="2" s="1"/>
  <c r="Q516" i="2"/>
  <c r="Q675" i="2" s="1"/>
  <c r="Q32" i="30" s="1"/>
  <c r="K402" i="2"/>
  <c r="K736" i="2" s="1"/>
  <c r="K93" i="30" s="1"/>
  <c r="H288" i="2"/>
  <c r="H117" i="2"/>
  <c r="O117" i="2"/>
  <c r="O753" i="2" s="1"/>
  <c r="O110" i="30" s="1"/>
  <c r="O402" i="2"/>
  <c r="O673" i="2" s="1"/>
  <c r="O30" i="30" s="1"/>
  <c r="T288" i="2"/>
  <c r="K636" i="2"/>
  <c r="K705" i="2" s="1"/>
  <c r="H636" i="2"/>
  <c r="H705" i="2" s="1"/>
  <c r="O636" i="2"/>
  <c r="O787" i="2" s="1"/>
  <c r="M636" i="2"/>
  <c r="M787" i="2" s="1"/>
  <c r="J186" i="2"/>
  <c r="L117" i="2"/>
  <c r="R660" i="2"/>
  <c r="R17" i="30" s="1"/>
  <c r="R659" i="2"/>
  <c r="R16" i="30" s="1"/>
  <c r="R759" i="2"/>
  <c r="R116" i="30" s="1"/>
  <c r="R756" i="2"/>
  <c r="R113" i="30" s="1"/>
  <c r="N459" i="2"/>
  <c r="N674" i="2" s="1"/>
  <c r="N31" i="30" s="1"/>
  <c r="K231" i="2"/>
  <c r="K187" i="2"/>
  <c r="L574" i="2"/>
  <c r="L676" i="2" s="1"/>
  <c r="N402" i="2"/>
  <c r="K117" i="2"/>
  <c r="N186" i="2"/>
  <c r="J574" i="2"/>
  <c r="J676" i="2" s="1"/>
  <c r="Q129" i="2"/>
  <c r="Q174" i="2" s="1"/>
  <c r="D14" i="26" s="1"/>
  <c r="Q574" i="2"/>
  <c r="Q676" i="2" s="1"/>
  <c r="K288" i="2"/>
  <c r="K745" i="2"/>
  <c r="K102" i="30" s="1"/>
  <c r="K345" i="2"/>
  <c r="H574" i="2"/>
  <c r="H676" i="2" s="1"/>
  <c r="I759" i="2"/>
  <c r="I116" i="30" s="1"/>
  <c r="I659" i="2"/>
  <c r="I16" i="30" s="1"/>
  <c r="I756" i="2"/>
  <c r="I113" i="30" s="1"/>
  <c r="I660" i="2"/>
  <c r="I17" i="30" s="1"/>
  <c r="I773" i="2"/>
  <c r="I130" i="30" s="1"/>
  <c r="I15" i="2"/>
  <c r="I59" i="2"/>
  <c r="I516" i="2"/>
  <c r="T918" i="2"/>
  <c r="R918" i="2"/>
  <c r="K922" i="2"/>
  <c r="K923" i="2" s="1"/>
  <c r="S922" i="2"/>
  <c r="S923" i="2" s="1"/>
  <c r="R922" i="2"/>
  <c r="R923" i="2" s="1"/>
  <c r="K918" i="2"/>
  <c r="T922" i="2"/>
  <c r="T923" i="2" s="1"/>
  <c r="I918" i="2"/>
  <c r="S918" i="2"/>
  <c r="F174" i="2"/>
  <c r="I922" i="2"/>
  <c r="I923" i="2" s="1"/>
  <c r="G597" i="2"/>
  <c r="V597" i="2" s="1"/>
  <c r="W597" i="2" s="1"/>
  <c r="X597" i="2" s="1"/>
  <c r="V594" i="2"/>
  <c r="W594" i="2" s="1"/>
  <c r="X594" i="2" s="1"/>
  <c r="V360" i="2"/>
  <c r="W360" i="2" s="1"/>
  <c r="X360" i="2" s="1"/>
  <c r="G363" i="2"/>
  <c r="V363" i="2" s="1"/>
  <c r="W363" i="2" s="1"/>
  <c r="X363" i="2" s="1"/>
  <c r="V585" i="2"/>
  <c r="W585" i="2" s="1"/>
  <c r="X585" i="2" s="1"/>
  <c r="G591" i="2"/>
  <c r="R459" i="2"/>
  <c r="R674" i="2" s="1"/>
  <c r="R574" i="2"/>
  <c r="R676" i="2" s="1"/>
  <c r="S174" i="2"/>
  <c r="S685" i="2" s="1"/>
  <c r="S42" i="30" s="1"/>
  <c r="S129" i="30" s="1"/>
  <c r="S759" i="2"/>
  <c r="S116" i="30" s="1"/>
  <c r="S756" i="2"/>
  <c r="S113" i="30" s="1"/>
  <c r="S660" i="2"/>
  <c r="S17" i="30" s="1"/>
  <c r="S659" i="2"/>
  <c r="S16" i="30" s="1"/>
  <c r="M516" i="2"/>
  <c r="N574" i="2"/>
  <c r="N676" i="2" s="1"/>
  <c r="N516" i="2"/>
  <c r="J59" i="2"/>
  <c r="J773" i="2"/>
  <c r="J130" i="30" s="1"/>
  <c r="J15" i="2"/>
  <c r="I231" i="2"/>
  <c r="I187" i="2"/>
  <c r="J129" i="2"/>
  <c r="J174" i="2" s="1"/>
  <c r="D14" i="29" s="1"/>
  <c r="H186" i="2"/>
  <c r="P574" i="2"/>
  <c r="P676" i="2" s="1"/>
  <c r="G306" i="2"/>
  <c r="V303" i="2"/>
  <c r="W303" i="2" s="1"/>
  <c r="X303" i="2" s="1"/>
  <c r="O186" i="2"/>
  <c r="R117" i="2"/>
  <c r="V180" i="2"/>
  <c r="W180" i="2" s="1"/>
  <c r="X180" i="2" s="1"/>
  <c r="G186" i="2"/>
  <c r="E27" i="14"/>
  <c r="M574" i="2"/>
  <c r="M676" i="2" s="1"/>
  <c r="T459" i="2"/>
  <c r="T674" i="2" s="1"/>
  <c r="I288" i="2"/>
  <c r="G477" i="2"/>
  <c r="V477" i="2" s="1"/>
  <c r="W477" i="2" s="1"/>
  <c r="X477" i="2" s="1"/>
  <c r="V474" i="2"/>
  <c r="W474" i="2" s="1"/>
  <c r="X474" i="2" s="1"/>
  <c r="L459" i="2"/>
  <c r="L674" i="2" s="1"/>
  <c r="L31" i="30" s="1"/>
  <c r="S345" i="2"/>
  <c r="S745" i="2"/>
  <c r="S102" i="30" s="1"/>
  <c r="M129" i="2"/>
  <c r="M174" i="2" s="1"/>
  <c r="D14" i="19" s="1"/>
  <c r="J516" i="2"/>
  <c r="T59" i="2"/>
  <c r="T773" i="2"/>
  <c r="T130" i="30" s="1"/>
  <c r="Q117" i="2"/>
  <c r="Q773" i="2"/>
  <c r="Q130" i="30" s="1"/>
  <c r="Q59" i="2"/>
  <c r="K516" i="2"/>
  <c r="K773" i="2"/>
  <c r="K130" i="30" s="1"/>
  <c r="K59" i="2"/>
  <c r="K15" i="2"/>
  <c r="H759" i="2"/>
  <c r="H116" i="30" s="1"/>
  <c r="H660" i="2"/>
  <c r="H17" i="30" s="1"/>
  <c r="H756" i="2"/>
  <c r="H113" i="30" s="1"/>
  <c r="H659" i="2"/>
  <c r="H16" i="30" s="1"/>
  <c r="I745" i="2"/>
  <c r="I102" i="30" s="1"/>
  <c r="I345" i="2"/>
  <c r="I574" i="2"/>
  <c r="I676" i="2" s="1"/>
  <c r="P756" i="2"/>
  <c r="P113" i="30" s="1"/>
  <c r="P759" i="2"/>
  <c r="P116" i="30" s="1"/>
  <c r="P659" i="2"/>
  <c r="P16" i="30" s="1"/>
  <c r="P660" i="2"/>
  <c r="P17" i="30" s="1"/>
  <c r="E13" i="14"/>
  <c r="V123" i="2"/>
  <c r="W123" i="2" s="1"/>
  <c r="X123" i="2" s="1"/>
  <c r="G129" i="2"/>
  <c r="G918" i="2" s="1"/>
  <c r="G529" i="2"/>
  <c r="V523" i="2"/>
  <c r="W523" i="2" s="1"/>
  <c r="X523" i="2" s="1"/>
  <c r="O129" i="2"/>
  <c r="O174" i="2" s="1"/>
  <c r="L636" i="2"/>
  <c r="R174" i="2"/>
  <c r="R685" i="2" s="1"/>
  <c r="R42" i="30" s="1"/>
  <c r="R129" i="30" s="1"/>
  <c r="S288" i="2"/>
  <c r="N129" i="2"/>
  <c r="N174" i="2" s="1"/>
  <c r="D14" i="20" s="1"/>
  <c r="Q660" i="2"/>
  <c r="Q17" i="30" s="1"/>
  <c r="Q759" i="2"/>
  <c r="Q116" i="30" s="1"/>
  <c r="Q659" i="2"/>
  <c r="Q16" i="30" s="1"/>
  <c r="Q756" i="2"/>
  <c r="Q113" i="30" s="1"/>
  <c r="H459" i="2"/>
  <c r="H674" i="2" s="1"/>
  <c r="H31" i="30" s="1"/>
  <c r="I402" i="2"/>
  <c r="P186" i="2"/>
  <c r="O345" i="2"/>
  <c r="O745" i="2"/>
  <c r="O102" i="30" s="1"/>
  <c r="L660" i="2"/>
  <c r="L17" i="30" s="1"/>
  <c r="L759" i="2"/>
  <c r="L116" i="30" s="1"/>
  <c r="L756" i="2"/>
  <c r="L113" i="30" s="1"/>
  <c r="L659" i="2"/>
  <c r="L16" i="30" s="1"/>
  <c r="H773" i="2"/>
  <c r="H130" i="30" s="1"/>
  <c r="H59" i="2"/>
  <c r="H15" i="2"/>
  <c r="G414" i="2"/>
  <c r="V408" i="2"/>
  <c r="W408" i="2" s="1"/>
  <c r="X408" i="2" s="1"/>
  <c r="L186" i="2"/>
  <c r="M459" i="2"/>
  <c r="M674" i="2" s="1"/>
  <c r="M31" i="30" s="1"/>
  <c r="T756" i="2"/>
  <c r="T113" i="30" s="1"/>
  <c r="T660" i="2"/>
  <c r="T17" i="30" s="1"/>
  <c r="T759" i="2"/>
  <c r="T116" i="30" s="1"/>
  <c r="T659" i="2"/>
  <c r="T16" i="30" s="1"/>
  <c r="P745" i="2"/>
  <c r="P345" i="2"/>
  <c r="L745" i="2"/>
  <c r="L345" i="2"/>
  <c r="R745" i="2"/>
  <c r="R102" i="30" s="1"/>
  <c r="R345" i="2"/>
  <c r="M15" i="2"/>
  <c r="M59" i="2"/>
  <c r="M773" i="2"/>
  <c r="M130" i="30" s="1"/>
  <c r="N759" i="2"/>
  <c r="N116" i="30" s="1"/>
  <c r="N660" i="2"/>
  <c r="N17" i="30" s="1"/>
  <c r="N756" i="2"/>
  <c r="N113" i="30" s="1"/>
  <c r="N659" i="2"/>
  <c r="N16" i="30" s="1"/>
  <c r="J459" i="2"/>
  <c r="J674" i="2" s="1"/>
  <c r="J31" i="30" s="1"/>
  <c r="J402" i="2"/>
  <c r="T402" i="2"/>
  <c r="T745" i="2"/>
  <c r="T102" i="30" s="1"/>
  <c r="T345" i="2"/>
  <c r="T117" i="2"/>
  <c r="Q459" i="2"/>
  <c r="Q674" i="2" s="1"/>
  <c r="Q31" i="30" s="1"/>
  <c r="Q288" i="2"/>
  <c r="Q186" i="2"/>
  <c r="K574" i="2"/>
  <c r="K676" i="2" s="1"/>
  <c r="K459" i="2"/>
  <c r="K674" i="2" s="1"/>
  <c r="H402" i="2"/>
  <c r="I459" i="2"/>
  <c r="I674" i="2" s="1"/>
  <c r="I117" i="2"/>
  <c r="P288" i="2"/>
  <c r="P636" i="2"/>
  <c r="G20" i="2"/>
  <c r="V17" i="2"/>
  <c r="W17" i="2" s="1"/>
  <c r="X17" i="2" s="1"/>
  <c r="G14" i="2"/>
  <c r="V8" i="2"/>
  <c r="W8" i="2" s="1"/>
  <c r="X8" i="2" s="1"/>
  <c r="O516" i="2"/>
  <c r="L516" i="2"/>
  <c r="L402" i="2"/>
  <c r="L288" i="2"/>
  <c r="R636" i="2"/>
  <c r="S459" i="2"/>
  <c r="S674" i="2" s="1"/>
  <c r="S231" i="2"/>
  <c r="M660" i="2"/>
  <c r="M17" i="30" s="1"/>
  <c r="M759" i="2"/>
  <c r="M116" i="30" s="1"/>
  <c r="M659" i="2"/>
  <c r="M16" i="30" s="1"/>
  <c r="M756" i="2"/>
  <c r="M113" i="30" s="1"/>
  <c r="M117" i="2"/>
  <c r="N745" i="2"/>
  <c r="N345" i="2"/>
  <c r="G420" i="2"/>
  <c r="V417" i="2"/>
  <c r="W417" i="2" s="1"/>
  <c r="X417" i="2" s="1"/>
  <c r="O459" i="2"/>
  <c r="O674" i="2" s="1"/>
  <c r="O31" i="30" s="1"/>
  <c r="S59" i="2"/>
  <c r="S773" i="2"/>
  <c r="S130" i="30" s="1"/>
  <c r="J759" i="2"/>
  <c r="J116" i="30" s="1"/>
  <c r="J660" i="2"/>
  <c r="J17" i="30" s="1"/>
  <c r="J659" i="2"/>
  <c r="J16" i="30" s="1"/>
  <c r="J756" i="2"/>
  <c r="J113" i="30" s="1"/>
  <c r="G249" i="2"/>
  <c r="V249" i="2" s="1"/>
  <c r="W249" i="2" s="1"/>
  <c r="X249" i="2" s="1"/>
  <c r="V246" i="2"/>
  <c r="W246" i="2" s="1"/>
  <c r="X246" i="2" s="1"/>
  <c r="O574" i="2"/>
  <c r="O676" i="2" s="1"/>
  <c r="H129" i="2"/>
  <c r="H174" i="2" s="1"/>
  <c r="D14" i="27" s="1"/>
  <c r="G135" i="2"/>
  <c r="V132" i="2"/>
  <c r="W132" i="2" s="1"/>
  <c r="X132" i="2" s="1"/>
  <c r="J745" i="2"/>
  <c r="J345" i="2"/>
  <c r="Q745" i="2"/>
  <c r="Q345" i="2"/>
  <c r="P773" i="2"/>
  <c r="P130" i="30" s="1"/>
  <c r="P59" i="2"/>
  <c r="O59" i="2"/>
  <c r="O773" i="2"/>
  <c r="O130" i="30" s="1"/>
  <c r="S636" i="2"/>
  <c r="M186" i="2"/>
  <c r="J288" i="2"/>
  <c r="J117" i="2"/>
  <c r="J636" i="2"/>
  <c r="T516" i="2"/>
  <c r="Q636" i="2"/>
  <c r="Q402" i="2"/>
  <c r="K759" i="2"/>
  <c r="K116" i="30" s="1"/>
  <c r="K660" i="2"/>
  <c r="K17" i="30" s="1"/>
  <c r="K659" i="2"/>
  <c r="K16" i="30" s="1"/>
  <c r="K756" i="2"/>
  <c r="K113" i="30" s="1"/>
  <c r="H516" i="2"/>
  <c r="H345" i="2"/>
  <c r="H745" i="2"/>
  <c r="P129" i="2"/>
  <c r="P174" i="2" s="1"/>
  <c r="D14" i="25" s="1"/>
  <c r="E37" i="25" s="1"/>
  <c r="P117" i="2"/>
  <c r="P459" i="2"/>
  <c r="P674" i="2" s="1"/>
  <c r="P31" i="30" s="1"/>
  <c r="G192" i="2"/>
  <c r="V189" i="2"/>
  <c r="W189" i="2" s="1"/>
  <c r="X189" i="2" s="1"/>
  <c r="V75" i="2"/>
  <c r="W75" i="2" s="1"/>
  <c r="X75" i="2" s="1"/>
  <c r="G78" i="2"/>
  <c r="V78" i="2" s="1"/>
  <c r="W78" i="2" s="1"/>
  <c r="X78" i="2" s="1"/>
  <c r="G535" i="2"/>
  <c r="V535" i="2" s="1"/>
  <c r="W535" i="2" s="1"/>
  <c r="X535" i="2" s="1"/>
  <c r="V532" i="2"/>
  <c r="W532" i="2" s="1"/>
  <c r="X532" i="2" s="1"/>
  <c r="O759" i="2"/>
  <c r="O116" i="30" s="1"/>
  <c r="O660" i="2"/>
  <c r="O17" i="30" s="1"/>
  <c r="O659" i="2"/>
  <c r="O16" i="30" s="1"/>
  <c r="O756" i="2"/>
  <c r="O113" i="30" s="1"/>
  <c r="L129" i="2"/>
  <c r="L174" i="2" s="1"/>
  <c r="D14" i="17" s="1"/>
  <c r="L773" i="2"/>
  <c r="L130" i="30" s="1"/>
  <c r="L15" i="2"/>
  <c r="L59" i="2"/>
  <c r="R59" i="2"/>
  <c r="R773" i="2"/>
  <c r="R130" i="30" s="1"/>
  <c r="R288" i="2"/>
  <c r="R516" i="2"/>
  <c r="M745" i="2"/>
  <c r="M345" i="2"/>
  <c r="F819" i="2"/>
  <c r="N15" i="2"/>
  <c r="N59" i="2"/>
  <c r="N773" i="2"/>
  <c r="N130" i="30" s="1"/>
  <c r="D32" i="27" l="1"/>
  <c r="H102" i="30"/>
  <c r="D32" i="19"/>
  <c r="M102" i="30"/>
  <c r="O739" i="2"/>
  <c r="O96" i="30" s="1"/>
  <c r="O33" i="30"/>
  <c r="D32" i="17"/>
  <c r="L102" i="30"/>
  <c r="I737" i="2"/>
  <c r="I94" i="30" s="1"/>
  <c r="I31" i="30"/>
  <c r="I739" i="2"/>
  <c r="I96" i="30" s="1"/>
  <c r="I33" i="30"/>
  <c r="T737" i="2"/>
  <c r="T94" i="30" s="1"/>
  <c r="T31" i="30"/>
  <c r="Q739" i="2"/>
  <c r="Q96" i="30" s="1"/>
  <c r="Q33" i="30"/>
  <c r="D32" i="25"/>
  <c r="P102" i="30"/>
  <c r="M739" i="2"/>
  <c r="M96" i="30" s="1"/>
  <c r="M33" i="30"/>
  <c r="P739" i="2"/>
  <c r="P96" i="30" s="1"/>
  <c r="P33" i="30"/>
  <c r="R739" i="2"/>
  <c r="R96" i="30" s="1"/>
  <c r="R33" i="30"/>
  <c r="T772" i="2"/>
  <c r="T42" i="30"/>
  <c r="T129" i="30" s="1"/>
  <c r="K772" i="2"/>
  <c r="K42" i="30"/>
  <c r="K129" i="30" s="1"/>
  <c r="D32" i="26"/>
  <c r="E32" i="26" s="1"/>
  <c r="Q102" i="30"/>
  <c r="R737" i="2"/>
  <c r="R94" i="30" s="1"/>
  <c r="R31" i="30"/>
  <c r="J739" i="2"/>
  <c r="J96" i="30" s="1"/>
  <c r="J33" i="30"/>
  <c r="D22" i="27"/>
  <c r="H62" i="30"/>
  <c r="K737" i="2"/>
  <c r="K94" i="30" s="1"/>
  <c r="K31" i="30"/>
  <c r="N739" i="2"/>
  <c r="N96" i="30" s="1"/>
  <c r="N33" i="30"/>
  <c r="D32" i="29"/>
  <c r="E32" i="29" s="1"/>
  <c r="J102" i="30"/>
  <c r="S737" i="2"/>
  <c r="S94" i="30" s="1"/>
  <c r="S31" i="30"/>
  <c r="K739" i="2"/>
  <c r="K96" i="30" s="1"/>
  <c r="K33" i="30"/>
  <c r="K789" i="2"/>
  <c r="K62" i="30"/>
  <c r="T739" i="2"/>
  <c r="T96" i="30" s="1"/>
  <c r="T33" i="30"/>
  <c r="T789" i="2"/>
  <c r="T62" i="30"/>
  <c r="D22" i="20"/>
  <c r="N62" i="30"/>
  <c r="D32" i="20"/>
  <c r="N102" i="30"/>
  <c r="H739" i="2"/>
  <c r="H96" i="30" s="1"/>
  <c r="H33" i="30"/>
  <c r="I789" i="2"/>
  <c r="I62" i="30"/>
  <c r="S739" i="2"/>
  <c r="S96" i="30" s="1"/>
  <c r="S33" i="30"/>
  <c r="L739" i="2"/>
  <c r="L96" i="30" s="1"/>
  <c r="L33" i="30"/>
  <c r="I772" i="2"/>
  <c r="I42" i="30"/>
  <c r="I129" i="30" s="1"/>
  <c r="G72" i="2"/>
  <c r="G243" i="2"/>
  <c r="G288" i="2" s="1"/>
  <c r="K30" i="19"/>
  <c r="D34" i="19"/>
  <c r="G34" i="19" s="1"/>
  <c r="K34" i="19" s="1"/>
  <c r="L34" i="19" s="1"/>
  <c r="K30" i="26"/>
  <c r="E37" i="19"/>
  <c r="G37" i="19"/>
  <c r="E32" i="19"/>
  <c r="J37" i="17"/>
  <c r="H37" i="17"/>
  <c r="I37" i="17"/>
  <c r="F37" i="17"/>
  <c r="J37" i="19"/>
  <c r="H37" i="19"/>
  <c r="I37" i="19"/>
  <c r="F37" i="19"/>
  <c r="L14" i="19"/>
  <c r="K30" i="17"/>
  <c r="G37" i="17"/>
  <c r="E37" i="17"/>
  <c r="D34" i="17"/>
  <c r="G34" i="17" s="1"/>
  <c r="K34" i="17" s="1"/>
  <c r="L34" i="17" s="1"/>
  <c r="D34" i="26"/>
  <c r="G34" i="26" s="1"/>
  <c r="K34" i="26" s="1"/>
  <c r="L34" i="26" s="1"/>
  <c r="L14" i="17"/>
  <c r="E32" i="17"/>
  <c r="K30" i="21"/>
  <c r="K30" i="25"/>
  <c r="K29" i="21"/>
  <c r="L14" i="26"/>
  <c r="E37" i="26"/>
  <c r="G37" i="26"/>
  <c r="K28" i="21"/>
  <c r="K32" i="26"/>
  <c r="L32" i="26" s="1"/>
  <c r="H37" i="26"/>
  <c r="I37" i="26"/>
  <c r="J37" i="26"/>
  <c r="F37" i="26"/>
  <c r="D30" i="25"/>
  <c r="D34" i="25"/>
  <c r="G34" i="25" s="1"/>
  <c r="K34" i="25" s="1"/>
  <c r="L34" i="25" s="1"/>
  <c r="K14" i="21"/>
  <c r="J37" i="25"/>
  <c r="H37" i="25"/>
  <c r="I37" i="25"/>
  <c r="F37" i="25"/>
  <c r="G37" i="25"/>
  <c r="D34" i="20"/>
  <c r="G34" i="20" s="1"/>
  <c r="K34" i="20" s="1"/>
  <c r="L34" i="20" s="1"/>
  <c r="D14" i="21"/>
  <c r="E37" i="21" s="1"/>
  <c r="K14" i="25"/>
  <c r="G22" i="20"/>
  <c r="D34" i="21"/>
  <c r="G34" i="21" s="1"/>
  <c r="K34" i="21" s="1"/>
  <c r="L34" i="21" s="1"/>
  <c r="D32" i="21"/>
  <c r="E32" i="21" s="1"/>
  <c r="K28" i="25"/>
  <c r="J22" i="20"/>
  <c r="J37" i="20"/>
  <c r="H22" i="20"/>
  <c r="H37" i="20"/>
  <c r="I22" i="20"/>
  <c r="I37" i="20"/>
  <c r="F22" i="20"/>
  <c r="F37" i="20"/>
  <c r="L14" i="20"/>
  <c r="E37" i="20"/>
  <c r="E32" i="20"/>
  <c r="E22" i="20"/>
  <c r="G37" i="20"/>
  <c r="E37" i="29"/>
  <c r="G37" i="29"/>
  <c r="L14" i="29"/>
  <c r="D34" i="27"/>
  <c r="G34" i="27" s="1"/>
  <c r="K34" i="27" s="1"/>
  <c r="L34" i="27" s="1"/>
  <c r="J37" i="29"/>
  <c r="H37" i="29"/>
  <c r="I37" i="29"/>
  <c r="F37" i="29"/>
  <c r="D34" i="29"/>
  <c r="G34" i="29" s="1"/>
  <c r="K32" i="29"/>
  <c r="L32" i="29" s="1"/>
  <c r="K30" i="29"/>
  <c r="L14" i="27"/>
  <c r="J22" i="27"/>
  <c r="J37" i="27"/>
  <c r="H22" i="27"/>
  <c r="H37" i="27"/>
  <c r="I22" i="27"/>
  <c r="I37" i="27"/>
  <c r="F22" i="27"/>
  <c r="F37" i="27"/>
  <c r="E22" i="27"/>
  <c r="G37" i="27"/>
  <c r="G22" i="27"/>
  <c r="E32" i="27"/>
  <c r="E37" i="27"/>
  <c r="G471" i="2"/>
  <c r="V294" i="2"/>
  <c r="W294" i="2" s="1"/>
  <c r="X294" i="2" s="1"/>
  <c r="G357" i="2"/>
  <c r="S658" i="2"/>
  <c r="S15" i="30" s="1"/>
  <c r="N658" i="2"/>
  <c r="H658" i="2"/>
  <c r="H789" i="2"/>
  <c r="N789" i="2"/>
  <c r="M736" i="2"/>
  <c r="M93" i="30" s="1"/>
  <c r="R673" i="2"/>
  <c r="R30" i="30" s="1"/>
  <c r="O658" i="2"/>
  <c r="O15" i="30" s="1"/>
  <c r="Q922" i="2"/>
  <c r="Q923" i="2" s="1"/>
  <c r="Q918" i="2"/>
  <c r="O918" i="2"/>
  <c r="G922" i="2"/>
  <c r="G923" i="2" s="1"/>
  <c r="G925" i="2" s="1"/>
  <c r="O922" i="2"/>
  <c r="O923" i="2" s="1"/>
  <c r="I760" i="2"/>
  <c r="I117" i="30" s="1"/>
  <c r="I757" i="2"/>
  <c r="I114" i="30" s="1"/>
  <c r="R752" i="2"/>
  <c r="R109" i="30" s="1"/>
  <c r="R751" i="2"/>
  <c r="R108" i="30" s="1"/>
  <c r="L751" i="2"/>
  <c r="L108" i="30" s="1"/>
  <c r="L752" i="2"/>
  <c r="L109" i="30" s="1"/>
  <c r="J918" i="2"/>
  <c r="N922" i="2"/>
  <c r="N923" i="2" s="1"/>
  <c r="M752" i="2"/>
  <c r="M109" i="30" s="1"/>
  <c r="M751" i="2"/>
  <c r="M108" i="30" s="1"/>
  <c r="N752" i="2"/>
  <c r="N109" i="30" s="1"/>
  <c r="N751" i="2"/>
  <c r="N108" i="30" s="1"/>
  <c r="P752" i="2"/>
  <c r="P109" i="30" s="1"/>
  <c r="P751" i="2"/>
  <c r="P108" i="30" s="1"/>
  <c r="Q751" i="2"/>
  <c r="Q108" i="30" s="1"/>
  <c r="Q752" i="2"/>
  <c r="Q109" i="30" s="1"/>
  <c r="I752" i="2"/>
  <c r="I109" i="30" s="1"/>
  <c r="I751" i="2"/>
  <c r="I108" i="30" s="1"/>
  <c r="M922" i="2"/>
  <c r="M923" i="2" s="1"/>
  <c r="L918" i="2"/>
  <c r="H751" i="2"/>
  <c r="H108" i="30" s="1"/>
  <c r="H752" i="2"/>
  <c r="H109" i="30" s="1"/>
  <c r="R914" i="2"/>
  <c r="R775" i="2" s="1"/>
  <c r="R132" i="30" s="1"/>
  <c r="R760" i="2"/>
  <c r="R117" i="30" s="1"/>
  <c r="R757" i="2"/>
  <c r="R114" i="30" s="1"/>
  <c r="K760" i="2"/>
  <c r="K117" i="30" s="1"/>
  <c r="K757" i="2"/>
  <c r="K114" i="30" s="1"/>
  <c r="J752" i="2"/>
  <c r="J109" i="30" s="1"/>
  <c r="J751" i="2"/>
  <c r="J108" i="30" s="1"/>
  <c r="P918" i="2"/>
  <c r="T914" i="2"/>
  <c r="T775" i="2" s="1"/>
  <c r="T132" i="30" s="1"/>
  <c r="T760" i="2"/>
  <c r="T117" i="30" s="1"/>
  <c r="T757" i="2"/>
  <c r="T114" i="30" s="1"/>
  <c r="S760" i="2"/>
  <c r="S117" i="30" s="1"/>
  <c r="S757" i="2"/>
  <c r="S114" i="30" s="1"/>
  <c r="P922" i="2"/>
  <c r="P923" i="2" s="1"/>
  <c r="N918" i="2"/>
  <c r="T751" i="2"/>
  <c r="T108" i="30" s="1"/>
  <c r="T752" i="2"/>
  <c r="T109" i="30" s="1"/>
  <c r="O752" i="2"/>
  <c r="O109" i="30" s="1"/>
  <c r="O751" i="2"/>
  <c r="O108" i="30" s="1"/>
  <c r="K752" i="2"/>
  <c r="K109" i="30" s="1"/>
  <c r="K751" i="2"/>
  <c r="K108" i="30" s="1"/>
  <c r="H922" i="2"/>
  <c r="H923" i="2" s="1"/>
  <c r="L922" i="2"/>
  <c r="L923" i="2" s="1"/>
  <c r="M918" i="2"/>
  <c r="S751" i="2"/>
  <c r="S108" i="30" s="1"/>
  <c r="S752" i="2"/>
  <c r="S109" i="30" s="1"/>
  <c r="H918" i="2"/>
  <c r="J922" i="2"/>
  <c r="J923" i="2" s="1"/>
  <c r="T787" i="2"/>
  <c r="T671" i="2"/>
  <c r="T28" i="30" s="1"/>
  <c r="T734" i="2"/>
  <c r="T91" i="30" s="1"/>
  <c r="O705" i="2"/>
  <c r="O62" i="30" s="1"/>
  <c r="N787" i="2"/>
  <c r="H753" i="2"/>
  <c r="H110" i="30" s="1"/>
  <c r="I787" i="2"/>
  <c r="O758" i="2"/>
  <c r="O115" i="30" s="1"/>
  <c r="S673" i="2"/>
  <c r="S30" i="30" s="1"/>
  <c r="N753" i="2"/>
  <c r="N110" i="30" s="1"/>
  <c r="S753" i="2"/>
  <c r="S110" i="30" s="1"/>
  <c r="S758" i="2"/>
  <c r="S115" i="30" s="1"/>
  <c r="H758" i="2"/>
  <c r="H115" i="30" s="1"/>
  <c r="R671" i="2"/>
  <c r="R28" i="30" s="1"/>
  <c r="R734" i="2"/>
  <c r="R91" i="30" s="1"/>
  <c r="M705" i="2"/>
  <c r="P738" i="2"/>
  <c r="P95" i="30" s="1"/>
  <c r="H787" i="2"/>
  <c r="N758" i="2"/>
  <c r="N115" i="30" s="1"/>
  <c r="P736" i="2"/>
  <c r="P93" i="30" s="1"/>
  <c r="F19" i="23"/>
  <c r="S738" i="2"/>
  <c r="S95" i="30" s="1"/>
  <c r="K787" i="2"/>
  <c r="K673" i="2"/>
  <c r="K30" i="30" s="1"/>
  <c r="O736" i="2"/>
  <c r="O93" i="30" s="1"/>
  <c r="Q738" i="2"/>
  <c r="Q95" i="30" s="1"/>
  <c r="I925" i="2"/>
  <c r="I653" i="2" s="1"/>
  <c r="I10" i="30" s="1"/>
  <c r="I25" i="30" s="1"/>
  <c r="T925" i="2"/>
  <c r="T653" i="2" s="1"/>
  <c r="T10" i="30" s="1"/>
  <c r="K734" i="2"/>
  <c r="K91" i="30" s="1"/>
  <c r="K671" i="2"/>
  <c r="K28" i="30" s="1"/>
  <c r="K914" i="2"/>
  <c r="K775" i="2" s="1"/>
  <c r="K132" i="30" s="1"/>
  <c r="L658" i="2"/>
  <c r="L753" i="2"/>
  <c r="L110" i="30" s="1"/>
  <c r="L758" i="2"/>
  <c r="L115" i="30" s="1"/>
  <c r="M758" i="2"/>
  <c r="M115" i="30" s="1"/>
  <c r="M753" i="2"/>
  <c r="M110" i="30" s="1"/>
  <c r="M658" i="2"/>
  <c r="O675" i="2"/>
  <c r="O738" i="2"/>
  <c r="O95" i="30" s="1"/>
  <c r="J737" i="2"/>
  <c r="J94" i="30" s="1"/>
  <c r="H735" i="2"/>
  <c r="H92" i="30" s="1"/>
  <c r="H774" i="2"/>
  <c r="H131" i="30" s="1"/>
  <c r="H750" i="2"/>
  <c r="H107" i="30" s="1"/>
  <c r="H672" i="2"/>
  <c r="V129" i="2"/>
  <c r="W129" i="2" s="1"/>
  <c r="X129" i="2" s="1"/>
  <c r="G174" i="2"/>
  <c r="G754" i="2" s="1"/>
  <c r="G111" i="30" s="1"/>
  <c r="H231" i="2"/>
  <c r="H187" i="2"/>
  <c r="I734" i="2"/>
  <c r="I91" i="30" s="1"/>
  <c r="I671" i="2"/>
  <c r="I28" i="30" s="1"/>
  <c r="I914" i="2"/>
  <c r="I775" i="2" s="1"/>
  <c r="I132" i="30" s="1"/>
  <c r="N673" i="2"/>
  <c r="N30" i="30" s="1"/>
  <c r="N736" i="2"/>
  <c r="N93" i="30" s="1"/>
  <c r="N737" i="2"/>
  <c r="N94" i="30" s="1"/>
  <c r="E28" i="14"/>
  <c r="G745" i="2"/>
  <c r="G102" i="30" s="1"/>
  <c r="V300" i="2"/>
  <c r="W300" i="2" s="1"/>
  <c r="X300" i="2" s="1"/>
  <c r="G345" i="2"/>
  <c r="F821" i="2"/>
  <c r="G27" i="14"/>
  <c r="K27" i="14" s="1"/>
  <c r="V192" i="2"/>
  <c r="W192" i="2" s="1"/>
  <c r="X192" i="2" s="1"/>
  <c r="Q787" i="2"/>
  <c r="Q705" i="2"/>
  <c r="H685" i="2"/>
  <c r="H42" i="30" s="1"/>
  <c r="H129" i="30" s="1"/>
  <c r="L675" i="2"/>
  <c r="L32" i="30" s="1"/>
  <c r="L738" i="2"/>
  <c r="L95" i="30" s="1"/>
  <c r="G15" i="2"/>
  <c r="V14" i="2"/>
  <c r="W14" i="2" s="1"/>
  <c r="X14" i="2" s="1"/>
  <c r="G59" i="2"/>
  <c r="V59" i="2" s="1"/>
  <c r="W59" i="2" s="1"/>
  <c r="X59" i="2" s="1"/>
  <c r="G773" i="2"/>
  <c r="G130" i="30" s="1"/>
  <c r="T735" i="2"/>
  <c r="T92" i="30" s="1"/>
  <c r="T774" i="2"/>
  <c r="T131" i="30" s="1"/>
  <c r="T672" i="2"/>
  <c r="T29" i="30" s="1"/>
  <c r="T750" i="2"/>
  <c r="T107" i="30" s="1"/>
  <c r="I736" i="2"/>
  <c r="I93" i="30" s="1"/>
  <c r="I673" i="2"/>
  <c r="I30" i="30" s="1"/>
  <c r="F17" i="23"/>
  <c r="R772" i="2"/>
  <c r="L737" i="2"/>
  <c r="L94" i="30" s="1"/>
  <c r="R758" i="2"/>
  <c r="R115" i="30" s="1"/>
  <c r="R753" i="2"/>
  <c r="R110" i="30" s="1"/>
  <c r="R658" i="2"/>
  <c r="R15" i="30" s="1"/>
  <c r="O727" i="2"/>
  <c r="O84" i="30" s="1"/>
  <c r="H754" i="2"/>
  <c r="H111" i="30" s="1"/>
  <c r="K754" i="2"/>
  <c r="K111" i="30" s="1"/>
  <c r="I727" i="2"/>
  <c r="I84" i="30" s="1"/>
  <c r="J727" i="2"/>
  <c r="J84" i="30" s="1"/>
  <c r="I754" i="2"/>
  <c r="I111" i="30" s="1"/>
  <c r="Q754" i="2"/>
  <c r="Q111" i="30" s="1"/>
  <c r="H727" i="2"/>
  <c r="H84" i="30" s="1"/>
  <c r="L727" i="2"/>
  <c r="L84" i="30" s="1"/>
  <c r="M754" i="2"/>
  <c r="M111" i="30" s="1"/>
  <c r="S727" i="2"/>
  <c r="S84" i="30" s="1"/>
  <c r="R727" i="2"/>
  <c r="R84" i="30" s="1"/>
  <c r="S754" i="2"/>
  <c r="S111" i="30" s="1"/>
  <c r="K727" i="2"/>
  <c r="K84" i="30" s="1"/>
  <c r="M727" i="2"/>
  <c r="M84" i="30" s="1"/>
  <c r="Q727" i="2"/>
  <c r="Q84" i="30" s="1"/>
  <c r="J754" i="2"/>
  <c r="J111" i="30" s="1"/>
  <c r="P727" i="2"/>
  <c r="P84" i="30" s="1"/>
  <c r="P754" i="2"/>
  <c r="P111" i="30" s="1"/>
  <c r="R754" i="2"/>
  <c r="R111" i="30" s="1"/>
  <c r="O754" i="2"/>
  <c r="O111" i="30" s="1"/>
  <c r="T727" i="2"/>
  <c r="T84" i="30" s="1"/>
  <c r="N754" i="2"/>
  <c r="N111" i="30" s="1"/>
  <c r="N727" i="2"/>
  <c r="N84" i="30" s="1"/>
  <c r="T754" i="2"/>
  <c r="T111" i="30" s="1"/>
  <c r="L754" i="2"/>
  <c r="L111" i="30" s="1"/>
  <c r="F685" i="2"/>
  <c r="F42" i="30" s="1"/>
  <c r="F129" i="30" s="1"/>
  <c r="F133" i="30" s="1"/>
  <c r="F135" i="30" s="1"/>
  <c r="I675" i="2"/>
  <c r="I32" i="30" s="1"/>
  <c r="I738" i="2"/>
  <c r="I95" i="30" s="1"/>
  <c r="Q685" i="2"/>
  <c r="Q42" i="30" s="1"/>
  <c r="Q129" i="30" s="1"/>
  <c r="Q737" i="2"/>
  <c r="Q94" i="30" s="1"/>
  <c r="F29" i="14"/>
  <c r="V529" i="2"/>
  <c r="W529" i="2" s="1"/>
  <c r="X529" i="2" s="1"/>
  <c r="G574" i="2"/>
  <c r="S672" i="2"/>
  <c r="S29" i="30" s="1"/>
  <c r="S774" i="2"/>
  <c r="S131" i="30" s="1"/>
  <c r="S133" i="30" s="1"/>
  <c r="S735" i="2"/>
  <c r="S92" i="30" s="1"/>
  <c r="S750" i="2"/>
  <c r="S107" i="30" s="1"/>
  <c r="L736" i="2"/>
  <c r="L93" i="30" s="1"/>
  <c r="L673" i="2"/>
  <c r="L30" i="30" s="1"/>
  <c r="L774" i="2"/>
  <c r="L131" i="30" s="1"/>
  <c r="L750" i="2"/>
  <c r="L107" i="30" s="1"/>
  <c r="L735" i="2"/>
  <c r="L92" i="30" s="1"/>
  <c r="L672" i="2"/>
  <c r="M737" i="2"/>
  <c r="M94" i="30" s="1"/>
  <c r="G459" i="2"/>
  <c r="V414" i="2"/>
  <c r="W414" i="2" s="1"/>
  <c r="X414" i="2" s="1"/>
  <c r="H737" i="2"/>
  <c r="H94" i="30" s="1"/>
  <c r="L787" i="2"/>
  <c r="L705" i="2"/>
  <c r="I774" i="2"/>
  <c r="I131" i="30" s="1"/>
  <c r="I735" i="2"/>
  <c r="I92" i="30" s="1"/>
  <c r="I672" i="2"/>
  <c r="I29" i="30" s="1"/>
  <c r="I750" i="2"/>
  <c r="I107" i="30" s="1"/>
  <c r="O187" i="2"/>
  <c r="O231" i="2"/>
  <c r="J685" i="2"/>
  <c r="J42" i="30" s="1"/>
  <c r="J129" i="30" s="1"/>
  <c r="M675" i="2"/>
  <c r="M738" i="2"/>
  <c r="M95" i="30" s="1"/>
  <c r="K753" i="2"/>
  <c r="K110" i="30" s="1"/>
  <c r="K758" i="2"/>
  <c r="K115" i="30" s="1"/>
  <c r="K658" i="2"/>
  <c r="K15" i="30" s="1"/>
  <c r="R675" i="2"/>
  <c r="R32" i="30" s="1"/>
  <c r="R738" i="2"/>
  <c r="R95" i="30" s="1"/>
  <c r="V420" i="2"/>
  <c r="W420" i="2" s="1"/>
  <c r="X420" i="2" s="1"/>
  <c r="G29" i="14"/>
  <c r="R735" i="2"/>
  <c r="R92" i="30" s="1"/>
  <c r="R672" i="2"/>
  <c r="R29" i="30" s="1"/>
  <c r="R750" i="2"/>
  <c r="R107" i="30" s="1"/>
  <c r="R774" i="2"/>
  <c r="R131" i="30" s="1"/>
  <c r="R133" i="30" s="1"/>
  <c r="F18" i="23"/>
  <c r="S772" i="2"/>
  <c r="Q736" i="2"/>
  <c r="Q93" i="30" s="1"/>
  <c r="Q673" i="2"/>
  <c r="M187" i="2"/>
  <c r="M231" i="2"/>
  <c r="Q774" i="2"/>
  <c r="Q131" i="30" s="1"/>
  <c r="Q735" i="2"/>
  <c r="Q92" i="30" s="1"/>
  <c r="Q750" i="2"/>
  <c r="Q107" i="30" s="1"/>
  <c r="Q672" i="2"/>
  <c r="H736" i="2"/>
  <c r="H93" i="30" s="1"/>
  <c r="H673" i="2"/>
  <c r="H30" i="30" s="1"/>
  <c r="T753" i="2"/>
  <c r="T110" i="30" s="1"/>
  <c r="T758" i="2"/>
  <c r="T115" i="30" s="1"/>
  <c r="T658" i="2"/>
  <c r="T15" i="30" s="1"/>
  <c r="P737" i="2"/>
  <c r="P94" i="30" s="1"/>
  <c r="T738" i="2"/>
  <c r="T95" i="30" s="1"/>
  <c r="T675" i="2"/>
  <c r="T32" i="30" s="1"/>
  <c r="S705" i="2"/>
  <c r="S787" i="2"/>
  <c r="G756" i="2"/>
  <c r="G113" i="30" s="1"/>
  <c r="G759" i="2"/>
  <c r="G659" i="2"/>
  <c r="G16" i="30" s="1"/>
  <c r="V20" i="2"/>
  <c r="W20" i="2" s="1"/>
  <c r="X20" i="2" s="1"/>
  <c r="G660" i="2"/>
  <c r="Q187" i="2"/>
  <c r="Q231" i="2"/>
  <c r="T736" i="2"/>
  <c r="T93" i="30" s="1"/>
  <c r="T673" i="2"/>
  <c r="T30" i="30" s="1"/>
  <c r="N685" i="2"/>
  <c r="N42" i="30" s="1"/>
  <c r="N129" i="30" s="1"/>
  <c r="V72" i="2"/>
  <c r="W72" i="2" s="1"/>
  <c r="X72" i="2" s="1"/>
  <c r="G117" i="2"/>
  <c r="K675" i="2"/>
  <c r="K32" i="30" s="1"/>
  <c r="K738" i="2"/>
  <c r="K95" i="30" s="1"/>
  <c r="J675" i="2"/>
  <c r="J32" i="30" s="1"/>
  <c r="J738" i="2"/>
  <c r="J95" i="30" s="1"/>
  <c r="G187" i="2"/>
  <c r="V186" i="2"/>
  <c r="W186" i="2" s="1"/>
  <c r="X186" i="2" s="1"/>
  <c r="G231" i="2"/>
  <c r="S925" i="2"/>
  <c r="J753" i="2"/>
  <c r="J110" i="30" s="1"/>
  <c r="J758" i="2"/>
  <c r="J115" i="30" s="1"/>
  <c r="J658" i="2"/>
  <c r="R705" i="2"/>
  <c r="R787" i="2"/>
  <c r="I753" i="2"/>
  <c r="I110" i="30" s="1"/>
  <c r="I658" i="2"/>
  <c r="I15" i="30" s="1"/>
  <c r="I758" i="2"/>
  <c r="I115" i="30" s="1"/>
  <c r="P774" i="2"/>
  <c r="P131" i="30" s="1"/>
  <c r="P735" i="2"/>
  <c r="P92" i="30" s="1"/>
  <c r="P750" i="2"/>
  <c r="P107" i="30" s="1"/>
  <c r="P672" i="2"/>
  <c r="O774" i="2"/>
  <c r="O131" i="30" s="1"/>
  <c r="O750" i="2"/>
  <c r="O107" i="30" s="1"/>
  <c r="O735" i="2"/>
  <c r="O92" i="30" s="1"/>
  <c r="O672" i="2"/>
  <c r="O29" i="30" s="1"/>
  <c r="Q753" i="2"/>
  <c r="Q110" i="30" s="1"/>
  <c r="Q758" i="2"/>
  <c r="Q115" i="30" s="1"/>
  <c r="Q658" i="2"/>
  <c r="N675" i="2"/>
  <c r="N32" i="30" s="1"/>
  <c r="N738" i="2"/>
  <c r="N95" i="30" s="1"/>
  <c r="P187" i="2"/>
  <c r="P231" i="2"/>
  <c r="H675" i="2"/>
  <c r="H32" i="30" s="1"/>
  <c r="H738" i="2"/>
  <c r="H95" i="30" s="1"/>
  <c r="G13" i="14"/>
  <c r="V135" i="2"/>
  <c r="W135" i="2" s="1"/>
  <c r="X135" i="2" s="1"/>
  <c r="M750" i="2"/>
  <c r="M107" i="30" s="1"/>
  <c r="M735" i="2"/>
  <c r="M92" i="30" s="1"/>
  <c r="M774" i="2"/>
  <c r="M131" i="30" s="1"/>
  <c r="M672" i="2"/>
  <c r="P758" i="2"/>
  <c r="P115" i="30" s="1"/>
  <c r="P753" i="2"/>
  <c r="P110" i="30" s="1"/>
  <c r="P658" i="2"/>
  <c r="J774" i="2"/>
  <c r="J131" i="30" s="1"/>
  <c r="J735" i="2"/>
  <c r="J92" i="30" s="1"/>
  <c r="J750" i="2"/>
  <c r="J107" i="30" s="1"/>
  <c r="J672" i="2"/>
  <c r="O737" i="2"/>
  <c r="O94" i="30" s="1"/>
  <c r="S734" i="2"/>
  <c r="S91" i="30" s="1"/>
  <c r="S914" i="2"/>
  <c r="S775" i="2" s="1"/>
  <c r="S132" i="30" s="1"/>
  <c r="S671" i="2"/>
  <c r="S28" i="30" s="1"/>
  <c r="P787" i="2"/>
  <c r="P705" i="2"/>
  <c r="J736" i="2"/>
  <c r="J93" i="30" s="1"/>
  <c r="J673" i="2"/>
  <c r="J30" i="30" s="1"/>
  <c r="L231" i="2"/>
  <c r="L187" i="2"/>
  <c r="O685" i="2"/>
  <c r="O42" i="30" s="1"/>
  <c r="O129" i="30" s="1"/>
  <c r="M685" i="2"/>
  <c r="M42" i="30" s="1"/>
  <c r="M129" i="30" s="1"/>
  <c r="V591" i="2"/>
  <c r="W591" i="2" s="1"/>
  <c r="X591" i="2" s="1"/>
  <c r="G636" i="2"/>
  <c r="K925" i="2"/>
  <c r="K672" i="2"/>
  <c r="K29" i="30" s="1"/>
  <c r="K774" i="2"/>
  <c r="K131" i="30" s="1"/>
  <c r="K750" i="2"/>
  <c r="K107" i="30" s="1"/>
  <c r="K735" i="2"/>
  <c r="K92" i="30" s="1"/>
  <c r="J231" i="2"/>
  <c r="J187" i="2"/>
  <c r="N187" i="2"/>
  <c r="N231" i="2"/>
  <c r="L685" i="2"/>
  <c r="L42" i="30" s="1"/>
  <c r="L129" i="30" s="1"/>
  <c r="P685" i="2"/>
  <c r="P42" i="30" s="1"/>
  <c r="P129" i="30" s="1"/>
  <c r="J787" i="2"/>
  <c r="J705" i="2"/>
  <c r="N735" i="2"/>
  <c r="N92" i="30" s="1"/>
  <c r="N750" i="2"/>
  <c r="N107" i="30" s="1"/>
  <c r="N774" i="2"/>
  <c r="N131" i="30" s="1"/>
  <c r="N672" i="2"/>
  <c r="V306" i="2"/>
  <c r="W306" i="2" s="1"/>
  <c r="X306" i="2" s="1"/>
  <c r="G28" i="14"/>
  <c r="R925" i="2"/>
  <c r="S60" i="30" l="1"/>
  <c r="D45" i="25"/>
  <c r="J45" i="25" s="1"/>
  <c r="J46" i="25" s="1"/>
  <c r="P15" i="30"/>
  <c r="D29" i="26"/>
  <c r="L29" i="26" s="1"/>
  <c r="Q29" i="30"/>
  <c r="I60" i="30"/>
  <c r="T60" i="30"/>
  <c r="D45" i="26"/>
  <c r="G45" i="26" s="1"/>
  <c r="G46" i="26" s="1"/>
  <c r="Q15" i="30"/>
  <c r="D22" i="29"/>
  <c r="G22" i="29" s="1"/>
  <c r="J62" i="30"/>
  <c r="V660" i="2"/>
  <c r="W660" i="2" s="1"/>
  <c r="X660" i="2" s="1"/>
  <c r="G17" i="30"/>
  <c r="K133" i="30"/>
  <c r="D45" i="17"/>
  <c r="G45" i="17" s="1"/>
  <c r="G46" i="17" s="1"/>
  <c r="L15" i="30"/>
  <c r="D22" i="19"/>
  <c r="E22" i="19" s="1"/>
  <c r="M62" i="30"/>
  <c r="D45" i="29"/>
  <c r="F45" i="29" s="1"/>
  <c r="J15" i="30"/>
  <c r="S789" i="2"/>
  <c r="S62" i="30"/>
  <c r="D29" i="19"/>
  <c r="L29" i="19" s="1"/>
  <c r="M29" i="30"/>
  <c r="D22" i="26"/>
  <c r="J22" i="26" s="1"/>
  <c r="Q62" i="30"/>
  <c r="T133" i="30"/>
  <c r="D29" i="29"/>
  <c r="L29" i="29" s="1"/>
  <c r="J29" i="30"/>
  <c r="V759" i="2"/>
  <c r="W759" i="2" s="1"/>
  <c r="G116" i="30"/>
  <c r="D29" i="17"/>
  <c r="L29" i="17" s="1"/>
  <c r="L29" i="30"/>
  <c r="D30" i="21"/>
  <c r="L30" i="21" s="1"/>
  <c r="O32" i="30"/>
  <c r="K60" i="30"/>
  <c r="R60" i="30"/>
  <c r="D45" i="19"/>
  <c r="H45" i="19" s="1"/>
  <c r="H46" i="19" s="1"/>
  <c r="M15" i="30"/>
  <c r="I133" i="30"/>
  <c r="D29" i="20"/>
  <c r="L29" i="20" s="1"/>
  <c r="N29" i="30"/>
  <c r="D22" i="25"/>
  <c r="J22" i="25" s="1"/>
  <c r="P62" i="30"/>
  <c r="D29" i="25"/>
  <c r="L29" i="25" s="1"/>
  <c r="P29" i="30"/>
  <c r="R789" i="2"/>
  <c r="R62" i="30"/>
  <c r="D30" i="26"/>
  <c r="Q30" i="30"/>
  <c r="D30" i="19"/>
  <c r="M32" i="30"/>
  <c r="D22" i="17"/>
  <c r="J22" i="17" s="1"/>
  <c r="L62" i="30"/>
  <c r="D29" i="27"/>
  <c r="L29" i="27" s="1"/>
  <c r="H29" i="30"/>
  <c r="T25" i="30"/>
  <c r="D45" i="27"/>
  <c r="J45" i="27" s="1"/>
  <c r="J46" i="27" s="1"/>
  <c r="H15" i="30"/>
  <c r="I58" i="30"/>
  <c r="I64" i="30" s="1"/>
  <c r="I71" i="30"/>
  <c r="D45" i="20"/>
  <c r="G45" i="20" s="1"/>
  <c r="G46" i="20" s="1"/>
  <c r="N15" i="30"/>
  <c r="L30" i="19"/>
  <c r="V243" i="2"/>
  <c r="W243" i="2" s="1"/>
  <c r="X243" i="2" s="1"/>
  <c r="L30" i="26"/>
  <c r="K32" i="19"/>
  <c r="L32" i="19" s="1"/>
  <c r="I22" i="19"/>
  <c r="J22" i="19"/>
  <c r="G45" i="19"/>
  <c r="G46" i="19" s="1"/>
  <c r="K37" i="19"/>
  <c r="L37" i="19" s="1"/>
  <c r="G22" i="19"/>
  <c r="F22" i="17"/>
  <c r="H45" i="17"/>
  <c r="H46" i="17" s="1"/>
  <c r="K37" i="17"/>
  <c r="L37" i="17" s="1"/>
  <c r="D30" i="17"/>
  <c r="L30" i="17" s="1"/>
  <c r="H22" i="17"/>
  <c r="F45" i="17"/>
  <c r="E22" i="17"/>
  <c r="K32" i="17"/>
  <c r="L32" i="17" s="1"/>
  <c r="E45" i="17"/>
  <c r="I22" i="26"/>
  <c r="E22" i="26"/>
  <c r="I37" i="21"/>
  <c r="H45" i="26"/>
  <c r="H46" i="26" s="1"/>
  <c r="F22" i="26"/>
  <c r="H22" i="26"/>
  <c r="K37" i="26"/>
  <c r="L37" i="26" s="1"/>
  <c r="G22" i="26"/>
  <c r="F45" i="26"/>
  <c r="E45" i="26"/>
  <c r="I45" i="26"/>
  <c r="I46" i="26" s="1"/>
  <c r="J37" i="21"/>
  <c r="D22" i="21"/>
  <c r="E22" i="21" s="1"/>
  <c r="D29" i="21"/>
  <c r="L29" i="21" s="1"/>
  <c r="H45" i="20"/>
  <c r="H46" i="20" s="1"/>
  <c r="G37" i="21"/>
  <c r="L14" i="25"/>
  <c r="D30" i="29"/>
  <c r="L30" i="29" s="1"/>
  <c r="F37" i="21"/>
  <c r="L30" i="25"/>
  <c r="E32" i="25"/>
  <c r="D45" i="21"/>
  <c r="I45" i="21" s="1"/>
  <c r="I46" i="21" s="1"/>
  <c r="F45" i="25"/>
  <c r="D30" i="20"/>
  <c r="L30" i="20" s="1"/>
  <c r="L14" i="21"/>
  <c r="I45" i="25"/>
  <c r="I46" i="25" s="1"/>
  <c r="I22" i="25"/>
  <c r="F22" i="25"/>
  <c r="K37" i="25"/>
  <c r="L37" i="25" s="1"/>
  <c r="H37" i="21"/>
  <c r="K32" i="21"/>
  <c r="L32" i="21" s="1"/>
  <c r="J45" i="20"/>
  <c r="J46" i="20" s="1"/>
  <c r="J45" i="29"/>
  <c r="J46" i="29" s="1"/>
  <c r="K22" i="20"/>
  <c r="L22" i="20" s="1"/>
  <c r="K37" i="20"/>
  <c r="L37" i="20" s="1"/>
  <c r="E45" i="20"/>
  <c r="K32" i="20"/>
  <c r="L32" i="20" s="1"/>
  <c r="K34" i="29"/>
  <c r="L34" i="29" s="1"/>
  <c r="F22" i="29"/>
  <c r="H45" i="29"/>
  <c r="H46" i="29" s="1"/>
  <c r="K37" i="29"/>
  <c r="L37" i="29" s="1"/>
  <c r="H22" i="29"/>
  <c r="E22" i="29"/>
  <c r="D30" i="27"/>
  <c r="L30" i="27" s="1"/>
  <c r="I22" i="29"/>
  <c r="J22" i="29"/>
  <c r="K32" i="27"/>
  <c r="L32" i="27" s="1"/>
  <c r="K13" i="14"/>
  <c r="K22" i="27"/>
  <c r="L22" i="27" s="1"/>
  <c r="K37" i="27"/>
  <c r="L37" i="27" s="1"/>
  <c r="G45" i="27"/>
  <c r="G46" i="27" s="1"/>
  <c r="G516" i="2"/>
  <c r="G738" i="2" s="1"/>
  <c r="V471" i="2"/>
  <c r="W471" i="2" s="1"/>
  <c r="X471" i="2" s="1"/>
  <c r="N925" i="2"/>
  <c r="N722" i="2" s="1"/>
  <c r="N79" i="30" s="1"/>
  <c r="E29" i="14"/>
  <c r="K29" i="14" s="1"/>
  <c r="G402" i="2"/>
  <c r="G673" i="2" s="1"/>
  <c r="V357" i="2"/>
  <c r="W357" i="2" s="1"/>
  <c r="X357" i="2" s="1"/>
  <c r="Q789" i="2"/>
  <c r="J789" i="2"/>
  <c r="P789" i="2"/>
  <c r="O789" i="2"/>
  <c r="L789" i="2"/>
  <c r="M789" i="2"/>
  <c r="G727" i="2"/>
  <c r="O925" i="2"/>
  <c r="O653" i="2" s="1"/>
  <c r="O10" i="30" s="1"/>
  <c r="O25" i="30" s="1"/>
  <c r="K776" i="2"/>
  <c r="K823" i="2" s="1"/>
  <c r="M925" i="2"/>
  <c r="M653" i="2" s="1"/>
  <c r="J925" i="2"/>
  <c r="J721" i="2" s="1"/>
  <c r="J78" i="30" s="1"/>
  <c r="H925" i="2"/>
  <c r="H722" i="2" s="1"/>
  <c r="H79" i="30" s="1"/>
  <c r="Q925" i="2"/>
  <c r="Q722" i="2" s="1"/>
  <c r="Q79" i="30" s="1"/>
  <c r="P925" i="2"/>
  <c r="P722" i="2" s="1"/>
  <c r="P79" i="30" s="1"/>
  <c r="T776" i="2"/>
  <c r="F40" i="23" s="1"/>
  <c r="L925" i="2"/>
  <c r="L722" i="2" s="1"/>
  <c r="L79" i="30" s="1"/>
  <c r="I668" i="2"/>
  <c r="I701" i="2" s="1"/>
  <c r="V918" i="2"/>
  <c r="W918" i="2" s="1"/>
  <c r="X918" i="2" s="1"/>
  <c r="T668" i="2"/>
  <c r="C19" i="23" s="1"/>
  <c r="V754" i="2"/>
  <c r="W754" i="2" s="1"/>
  <c r="I776" i="2"/>
  <c r="I823" i="2" s="1"/>
  <c r="K28" i="14"/>
  <c r="G760" i="2"/>
  <c r="G117" i="30" s="1"/>
  <c r="G757" i="2"/>
  <c r="G114" i="30" s="1"/>
  <c r="V288" i="2"/>
  <c r="W288" i="2" s="1"/>
  <c r="X288" i="2" s="1"/>
  <c r="G752" i="2"/>
  <c r="G751" i="2"/>
  <c r="R776" i="2"/>
  <c r="F38" i="23" s="1"/>
  <c r="N760" i="2"/>
  <c r="N117" i="30" s="1"/>
  <c r="N757" i="2"/>
  <c r="N114" i="30" s="1"/>
  <c r="V922" i="2"/>
  <c r="W922" i="2" s="1"/>
  <c r="X922" i="2" s="1"/>
  <c r="J760" i="2"/>
  <c r="J117" i="30" s="1"/>
  <c r="J757" i="2"/>
  <c r="J114" i="30" s="1"/>
  <c r="S776" i="2"/>
  <c r="F39" i="23" s="1"/>
  <c r="F16" i="23"/>
  <c r="O760" i="2"/>
  <c r="O117" i="30" s="1"/>
  <c r="O757" i="2"/>
  <c r="O114" i="30" s="1"/>
  <c r="L760" i="2"/>
  <c r="L117" i="30" s="1"/>
  <c r="L757" i="2"/>
  <c r="L114" i="30" s="1"/>
  <c r="Q757" i="2"/>
  <c r="Q114" i="30" s="1"/>
  <c r="Q760" i="2"/>
  <c r="Q117" i="30" s="1"/>
  <c r="M760" i="2"/>
  <c r="M117" i="30" s="1"/>
  <c r="M757" i="2"/>
  <c r="M114" i="30" s="1"/>
  <c r="H760" i="2"/>
  <c r="H117" i="30" s="1"/>
  <c r="H757" i="2"/>
  <c r="H114" i="30" s="1"/>
  <c r="P757" i="2"/>
  <c r="P114" i="30" s="1"/>
  <c r="P760" i="2"/>
  <c r="P117" i="30" s="1"/>
  <c r="I721" i="2"/>
  <c r="I78" i="30" s="1"/>
  <c r="I722" i="2"/>
  <c r="I79" i="30" s="1"/>
  <c r="N723" i="2"/>
  <c r="N80" i="30" s="1"/>
  <c r="N721" i="2"/>
  <c r="N78" i="30" s="1"/>
  <c r="R703" i="2"/>
  <c r="N653" i="2"/>
  <c r="T703" i="2"/>
  <c r="T721" i="2"/>
  <c r="T78" i="30" s="1"/>
  <c r="T722" i="2"/>
  <c r="T79" i="30" s="1"/>
  <c r="T723" i="2"/>
  <c r="T80" i="30" s="1"/>
  <c r="I723" i="2"/>
  <c r="I80" i="30" s="1"/>
  <c r="G735" i="2"/>
  <c r="G92" i="30" s="1"/>
  <c r="G750" i="2"/>
  <c r="G107" i="30" s="1"/>
  <c r="G672" i="2"/>
  <c r="G29" i="30" s="1"/>
  <c r="G774" i="2"/>
  <c r="V345" i="2"/>
  <c r="V574" i="2"/>
  <c r="W574" i="2" s="1"/>
  <c r="X574" i="2" s="1"/>
  <c r="G676" i="2"/>
  <c r="G33" i="30" s="1"/>
  <c r="V659" i="2"/>
  <c r="W659" i="2" s="1"/>
  <c r="X659" i="2" s="1"/>
  <c r="M914" i="2"/>
  <c r="M775" i="2" s="1"/>
  <c r="M734" i="2"/>
  <c r="M91" i="30" s="1"/>
  <c r="M671" i="2"/>
  <c r="F13" i="23"/>
  <c r="O772" i="2"/>
  <c r="V773" i="2"/>
  <c r="W773" i="2" s="1"/>
  <c r="N671" i="2"/>
  <c r="N734" i="2"/>
  <c r="N91" i="30" s="1"/>
  <c r="N914" i="2"/>
  <c r="N775" i="2" s="1"/>
  <c r="G705" i="2"/>
  <c r="V636" i="2"/>
  <c r="W636" i="2" s="1"/>
  <c r="X636" i="2" s="1"/>
  <c r="G787" i="2"/>
  <c r="V787" i="2" s="1"/>
  <c r="W787" i="2" s="1"/>
  <c r="X787" i="2" s="1"/>
  <c r="S721" i="2"/>
  <c r="S78" i="30" s="1"/>
  <c r="S722" i="2"/>
  <c r="S79" i="30" s="1"/>
  <c r="S723" i="2"/>
  <c r="S80" i="30" s="1"/>
  <c r="S653" i="2"/>
  <c r="G753" i="2"/>
  <c r="G658" i="2"/>
  <c r="V117" i="2"/>
  <c r="W117" i="2" s="1"/>
  <c r="X117" i="2" s="1"/>
  <c r="G758" i="2"/>
  <c r="D33" i="14"/>
  <c r="G33" i="14" s="1"/>
  <c r="V756" i="2"/>
  <c r="W756" i="2" s="1"/>
  <c r="O734" i="2"/>
  <c r="O91" i="30" s="1"/>
  <c r="O671" i="2"/>
  <c r="O28" i="30" s="1"/>
  <c r="O914" i="2"/>
  <c r="O775" i="2" s="1"/>
  <c r="F8" i="23"/>
  <c r="H772" i="2"/>
  <c r="H914" i="2"/>
  <c r="H775" i="2" s="1"/>
  <c r="H671" i="2"/>
  <c r="H734" i="2"/>
  <c r="H91" i="30" s="1"/>
  <c r="K703" i="2"/>
  <c r="F14" i="23"/>
  <c r="P772" i="2"/>
  <c r="K722" i="2"/>
  <c r="K79" i="30" s="1"/>
  <c r="K723" i="2"/>
  <c r="K80" i="30" s="1"/>
  <c r="K653" i="2"/>
  <c r="K721" i="2"/>
  <c r="K78" i="30" s="1"/>
  <c r="F11" i="23"/>
  <c r="M772" i="2"/>
  <c r="I703" i="2"/>
  <c r="V174" i="2"/>
  <c r="W174" i="2" s="1"/>
  <c r="X174" i="2" s="1"/>
  <c r="G685" i="2"/>
  <c r="G42" i="30" s="1"/>
  <c r="G129" i="30" s="1"/>
  <c r="D13" i="14"/>
  <c r="G36" i="14" s="1"/>
  <c r="F772" i="2"/>
  <c r="G734" i="2"/>
  <c r="G91" i="30" s="1"/>
  <c r="G914" i="2"/>
  <c r="G671" i="2"/>
  <c r="G28" i="30" s="1"/>
  <c r="V231" i="2"/>
  <c r="F15" i="23"/>
  <c r="Q772" i="2"/>
  <c r="G674" i="2"/>
  <c r="G31" i="30" s="1"/>
  <c r="V459" i="2"/>
  <c r="W459" i="2" s="1"/>
  <c r="X459" i="2" s="1"/>
  <c r="D31" i="14"/>
  <c r="V745" i="2"/>
  <c r="W745" i="2" s="1"/>
  <c r="X745" i="2" s="1"/>
  <c r="P914" i="2"/>
  <c r="P775" i="2" s="1"/>
  <c r="P671" i="2"/>
  <c r="P734" i="2"/>
  <c r="P91" i="30" s="1"/>
  <c r="F9" i="23"/>
  <c r="J772" i="2"/>
  <c r="L914" i="2"/>
  <c r="L775" i="2" s="1"/>
  <c r="L671" i="2"/>
  <c r="L734" i="2"/>
  <c r="L91" i="30" s="1"/>
  <c r="Q671" i="2"/>
  <c r="Q914" i="2"/>
  <c r="Q775" i="2" s="1"/>
  <c r="Q734" i="2"/>
  <c r="Q91" i="30" s="1"/>
  <c r="R723" i="2"/>
  <c r="R80" i="30" s="1"/>
  <c r="R722" i="2"/>
  <c r="R79" i="30" s="1"/>
  <c r="R653" i="2"/>
  <c r="R721" i="2"/>
  <c r="R78" i="30" s="1"/>
  <c r="J914" i="2"/>
  <c r="J775" i="2" s="1"/>
  <c r="J671" i="2"/>
  <c r="J734" i="2"/>
  <c r="J91" i="30" s="1"/>
  <c r="L772" i="2"/>
  <c r="F10" i="23"/>
  <c r="G722" i="2"/>
  <c r="G79" i="30" s="1"/>
  <c r="G721" i="2"/>
  <c r="G78" i="30" s="1"/>
  <c r="G653" i="2"/>
  <c r="G723" i="2"/>
  <c r="G80" i="30" s="1"/>
  <c r="S703" i="2"/>
  <c r="N772" i="2"/>
  <c r="F12" i="23"/>
  <c r="D15" i="20" l="1"/>
  <c r="N132" i="30"/>
  <c r="N133" i="30" s="1"/>
  <c r="D15" i="25"/>
  <c r="P132" i="30"/>
  <c r="P133" i="30" s="1"/>
  <c r="I45" i="27"/>
  <c r="I46" i="27" s="1"/>
  <c r="H22" i="19"/>
  <c r="D15" i="29"/>
  <c r="J132" i="30"/>
  <c r="J133" i="30" s="1"/>
  <c r="O58" i="30"/>
  <c r="O71" i="30"/>
  <c r="E45" i="29"/>
  <c r="I45" i="29"/>
  <c r="I46" i="29" s="1"/>
  <c r="H22" i="25"/>
  <c r="J45" i="26"/>
  <c r="J46" i="26" s="1"/>
  <c r="E45" i="19"/>
  <c r="I45" i="19"/>
  <c r="I46" i="19" s="1"/>
  <c r="T58" i="30"/>
  <c r="T64" i="30" s="1"/>
  <c r="T71" i="30"/>
  <c r="T86" i="30" s="1"/>
  <c r="D28" i="19"/>
  <c r="M28" i="30"/>
  <c r="G789" i="2"/>
  <c r="V789" i="2" s="1"/>
  <c r="W789" i="2" s="1"/>
  <c r="X789" i="2" s="1"/>
  <c r="G62" i="30"/>
  <c r="D15" i="26"/>
  <c r="Q132" i="30"/>
  <c r="Q133" i="30" s="1"/>
  <c r="D28" i="25"/>
  <c r="P28" i="30"/>
  <c r="D44" i="19"/>
  <c r="M10" i="30"/>
  <c r="M25" i="30" s="1"/>
  <c r="F45" i="19"/>
  <c r="D28" i="29"/>
  <c r="J28" i="30"/>
  <c r="D28" i="26"/>
  <c r="L28" i="26" s="1"/>
  <c r="Q28" i="30"/>
  <c r="D28" i="20"/>
  <c r="N28" i="30"/>
  <c r="D43" i="14"/>
  <c r="G10" i="30"/>
  <c r="D28" i="17"/>
  <c r="L28" i="30"/>
  <c r="L60" i="30" s="1"/>
  <c r="D28" i="27"/>
  <c r="H28" i="30"/>
  <c r="V727" i="2"/>
  <c r="W727" i="2" s="1"/>
  <c r="G84" i="30"/>
  <c r="V673" i="2"/>
  <c r="W673" i="2" s="1"/>
  <c r="X673" i="2" s="1"/>
  <c r="G30" i="30"/>
  <c r="H45" i="27"/>
  <c r="H46" i="27" s="1"/>
  <c r="F45" i="20"/>
  <c r="I45" i="20"/>
  <c r="I46" i="20" s="1"/>
  <c r="J45" i="17"/>
  <c r="J46" i="17" s="1"/>
  <c r="I22" i="17"/>
  <c r="J45" i="19"/>
  <c r="J46" i="19" s="1"/>
  <c r="I86" i="30"/>
  <c r="D15" i="19"/>
  <c r="M132" i="30"/>
  <c r="M133" i="30" s="1"/>
  <c r="S668" i="2"/>
  <c r="S10" i="30"/>
  <c r="S25" i="30" s="1"/>
  <c r="R668" i="2"/>
  <c r="R10" i="30"/>
  <c r="R25" i="30" s="1"/>
  <c r="D15" i="17"/>
  <c r="L132" i="30"/>
  <c r="L133" i="30" s="1"/>
  <c r="K668" i="2"/>
  <c r="K10" i="30"/>
  <c r="K25" i="30" s="1"/>
  <c r="D15" i="27"/>
  <c r="H132" i="30"/>
  <c r="H133" i="30" s="1"/>
  <c r="V758" i="2"/>
  <c r="W758" i="2" s="1"/>
  <c r="X758" i="2" s="1"/>
  <c r="G115" i="30"/>
  <c r="V774" i="2"/>
  <c r="W774" i="2" s="1"/>
  <c r="G131" i="30"/>
  <c r="F45" i="27"/>
  <c r="G45" i="29"/>
  <c r="G46" i="29" s="1"/>
  <c r="E45" i="27"/>
  <c r="E46" i="27" s="1"/>
  <c r="I45" i="17"/>
  <c r="I46" i="17" s="1"/>
  <c r="F22" i="19"/>
  <c r="K22" i="19" s="1"/>
  <c r="L22" i="19" s="1"/>
  <c r="O60" i="30"/>
  <c r="D44" i="20"/>
  <c r="N10" i="30"/>
  <c r="N25" i="30" s="1"/>
  <c r="D44" i="14"/>
  <c r="G15" i="30"/>
  <c r="V738" i="2"/>
  <c r="W738" i="2" s="1"/>
  <c r="X738" i="2" s="1"/>
  <c r="G95" i="30"/>
  <c r="G22" i="17"/>
  <c r="D15" i="21"/>
  <c r="O132" i="30"/>
  <c r="O133" i="30" s="1"/>
  <c r="V753" i="2"/>
  <c r="W753" i="2" s="1"/>
  <c r="G110" i="30"/>
  <c r="V751" i="2"/>
  <c r="W751" i="2" s="1"/>
  <c r="X751" i="2" s="1"/>
  <c r="G108" i="30"/>
  <c r="V752" i="2"/>
  <c r="W752" i="2" s="1"/>
  <c r="X752" i="2" s="1"/>
  <c r="G109" i="30"/>
  <c r="G15" i="19"/>
  <c r="G16" i="19" s="1"/>
  <c r="E15" i="19"/>
  <c r="D16" i="19"/>
  <c r="H15" i="19"/>
  <c r="H16" i="19" s="1"/>
  <c r="F15" i="19"/>
  <c r="F16" i="19" s="1"/>
  <c r="J15" i="19"/>
  <c r="J16" i="19" s="1"/>
  <c r="I15" i="19"/>
  <c r="I16" i="19" s="1"/>
  <c r="F44" i="19"/>
  <c r="D46" i="19"/>
  <c r="E46" i="19"/>
  <c r="L28" i="19"/>
  <c r="K22" i="17"/>
  <c r="L22" i="17" s="1"/>
  <c r="L28" i="17"/>
  <c r="E46" i="17"/>
  <c r="I15" i="17"/>
  <c r="I16" i="17" s="1"/>
  <c r="G15" i="17"/>
  <c r="G16" i="17" s="1"/>
  <c r="E15" i="17"/>
  <c r="D16" i="17"/>
  <c r="J15" i="17"/>
  <c r="J16" i="17" s="1"/>
  <c r="F15" i="17"/>
  <c r="F16" i="17" s="1"/>
  <c r="H15" i="17"/>
  <c r="H16" i="17" s="1"/>
  <c r="K22" i="26"/>
  <c r="L22" i="26" s="1"/>
  <c r="J22" i="21"/>
  <c r="J45" i="21"/>
  <c r="J46" i="21" s="1"/>
  <c r="K37" i="21"/>
  <c r="L37" i="21" s="1"/>
  <c r="G22" i="21"/>
  <c r="G15" i="26"/>
  <c r="G16" i="26" s="1"/>
  <c r="H15" i="26"/>
  <c r="H16" i="26" s="1"/>
  <c r="D16" i="26"/>
  <c r="E15" i="26"/>
  <c r="I15" i="26"/>
  <c r="I16" i="26" s="1"/>
  <c r="J15" i="26"/>
  <c r="J16" i="26" s="1"/>
  <c r="F15" i="26"/>
  <c r="F16" i="26" s="1"/>
  <c r="K45" i="26"/>
  <c r="L45" i="26" s="1"/>
  <c r="E46" i="26"/>
  <c r="E45" i="21"/>
  <c r="E46" i="21" s="1"/>
  <c r="D28" i="21"/>
  <c r="L28" i="21" s="1"/>
  <c r="G45" i="21"/>
  <c r="G46" i="21" s="1"/>
  <c r="F22" i="21"/>
  <c r="H22" i="21"/>
  <c r="I22" i="21"/>
  <c r="K32" i="25"/>
  <c r="L32" i="25" s="1"/>
  <c r="E22" i="25"/>
  <c r="G22" i="25"/>
  <c r="H45" i="21"/>
  <c r="H46" i="21" s="1"/>
  <c r="D44" i="21"/>
  <c r="F44" i="21" s="1"/>
  <c r="G45" i="25"/>
  <c r="G46" i="25" s="1"/>
  <c r="E45" i="25"/>
  <c r="F45" i="21"/>
  <c r="H45" i="25"/>
  <c r="H46" i="25" s="1"/>
  <c r="E15" i="21"/>
  <c r="I15" i="21"/>
  <c r="I16" i="21" s="1"/>
  <c r="H15" i="21"/>
  <c r="H16" i="21" s="1"/>
  <c r="G15" i="21"/>
  <c r="G16" i="21" s="1"/>
  <c r="D16" i="21"/>
  <c r="F15" i="21"/>
  <c r="F16" i="21" s="1"/>
  <c r="J15" i="21"/>
  <c r="J16" i="21" s="1"/>
  <c r="H15" i="20"/>
  <c r="H16" i="20" s="1"/>
  <c r="G15" i="20"/>
  <c r="G16" i="20" s="1"/>
  <c r="E15" i="20"/>
  <c r="I15" i="20"/>
  <c r="I16" i="20" s="1"/>
  <c r="J15" i="20"/>
  <c r="J16" i="20" s="1"/>
  <c r="D16" i="20"/>
  <c r="F15" i="20"/>
  <c r="F16" i="20" s="1"/>
  <c r="F44" i="20"/>
  <c r="D46" i="20"/>
  <c r="L28" i="20"/>
  <c r="K45" i="20"/>
  <c r="L45" i="20" s="1"/>
  <c r="E46" i="20"/>
  <c r="L28" i="29"/>
  <c r="K22" i="29"/>
  <c r="L22" i="29" s="1"/>
  <c r="E15" i="29"/>
  <c r="I15" i="29"/>
  <c r="I16" i="29" s="1"/>
  <c r="H15" i="29"/>
  <c r="H16" i="29" s="1"/>
  <c r="G15" i="29"/>
  <c r="G16" i="29" s="1"/>
  <c r="F15" i="29"/>
  <c r="F16" i="29" s="1"/>
  <c r="D16" i="29"/>
  <c r="J15" i="29"/>
  <c r="J16" i="29" s="1"/>
  <c r="K45" i="29"/>
  <c r="L45" i="29" s="1"/>
  <c r="E46" i="29"/>
  <c r="L28" i="27"/>
  <c r="H15" i="27"/>
  <c r="H16" i="27" s="1"/>
  <c r="F15" i="27"/>
  <c r="F16" i="27" s="1"/>
  <c r="J15" i="27"/>
  <c r="J16" i="27" s="1"/>
  <c r="E15" i="27"/>
  <c r="I15" i="27"/>
  <c r="I16" i="27" s="1"/>
  <c r="G15" i="27"/>
  <c r="G16" i="27" s="1"/>
  <c r="D16" i="27"/>
  <c r="L13" i="14"/>
  <c r="J36" i="14"/>
  <c r="H36" i="14"/>
  <c r="I36" i="14"/>
  <c r="F36" i="14"/>
  <c r="E36" i="14"/>
  <c r="V516" i="2"/>
  <c r="W516" i="2" s="1"/>
  <c r="X516" i="2" s="1"/>
  <c r="K45" i="27"/>
  <c r="L45" i="27" s="1"/>
  <c r="E31" i="14"/>
  <c r="K31" i="14" s="1"/>
  <c r="L31" i="14" s="1"/>
  <c r="G675" i="2"/>
  <c r="M668" i="2"/>
  <c r="C11" i="23" s="1"/>
  <c r="V402" i="2"/>
  <c r="W402" i="2" s="1"/>
  <c r="X402" i="2" s="1"/>
  <c r="G736" i="2"/>
  <c r="O723" i="2"/>
  <c r="O80" i="30" s="1"/>
  <c r="O722" i="2"/>
  <c r="O79" i="30" s="1"/>
  <c r="M722" i="2"/>
  <c r="M79" i="30" s="1"/>
  <c r="O721" i="2"/>
  <c r="O78" i="30" s="1"/>
  <c r="J723" i="2"/>
  <c r="J80" i="30" s="1"/>
  <c r="J653" i="2"/>
  <c r="M721" i="2"/>
  <c r="M78" i="30" s="1"/>
  <c r="M723" i="2"/>
  <c r="M80" i="30" s="1"/>
  <c r="Q723" i="2"/>
  <c r="Q80" i="30" s="1"/>
  <c r="Q653" i="2"/>
  <c r="H723" i="2"/>
  <c r="H80" i="30" s="1"/>
  <c r="H721" i="2"/>
  <c r="H78" i="30" s="1"/>
  <c r="H653" i="2"/>
  <c r="T823" i="2"/>
  <c r="F61" i="23" s="1"/>
  <c r="J722" i="2"/>
  <c r="J79" i="30" s="1"/>
  <c r="P723" i="2"/>
  <c r="P80" i="30" s="1"/>
  <c r="L721" i="2"/>
  <c r="L78" i="30" s="1"/>
  <c r="L653" i="2"/>
  <c r="L723" i="2"/>
  <c r="L80" i="30" s="1"/>
  <c r="P721" i="2"/>
  <c r="P78" i="30" s="1"/>
  <c r="P653" i="2"/>
  <c r="V925" i="2"/>
  <c r="W925" i="2" s="1"/>
  <c r="X925" i="2" s="1"/>
  <c r="Q721" i="2"/>
  <c r="Q78" i="30" s="1"/>
  <c r="T714" i="2"/>
  <c r="T729" i="2" s="1"/>
  <c r="C40" i="23" s="1"/>
  <c r="I714" i="2"/>
  <c r="I729" i="2" s="1"/>
  <c r="T701" i="2"/>
  <c r="T707" i="2" s="1"/>
  <c r="R823" i="2"/>
  <c r="F59" i="23" s="1"/>
  <c r="J776" i="2"/>
  <c r="J823" i="2" s="1"/>
  <c r="F51" i="23" s="1"/>
  <c r="L776" i="2"/>
  <c r="F31" i="23" s="1"/>
  <c r="V757" i="2"/>
  <c r="W757" i="2" s="1"/>
  <c r="X757" i="2" s="1"/>
  <c r="V760" i="2"/>
  <c r="W760" i="2" s="1"/>
  <c r="X760" i="2" s="1"/>
  <c r="N776" i="2"/>
  <c r="F33" i="23" s="1"/>
  <c r="Q776" i="2"/>
  <c r="F36" i="23" s="1"/>
  <c r="P776" i="2"/>
  <c r="P823" i="2" s="1"/>
  <c r="F56" i="23" s="1"/>
  <c r="H776" i="2"/>
  <c r="H823" i="2" s="1"/>
  <c r="F50" i="23" s="1"/>
  <c r="V914" i="2"/>
  <c r="W914" i="2" s="1"/>
  <c r="X914" i="2" s="1"/>
  <c r="G775" i="2"/>
  <c r="M776" i="2"/>
  <c r="M823" i="2" s="1"/>
  <c r="F53" i="23" s="1"/>
  <c r="S823" i="2"/>
  <c r="F60" i="23" s="1"/>
  <c r="F37" i="23"/>
  <c r="O776" i="2"/>
  <c r="F34" i="23" s="1"/>
  <c r="N668" i="2"/>
  <c r="C12" i="23" s="1"/>
  <c r="H703" i="2"/>
  <c r="K33" i="14"/>
  <c r="L33" i="14" s="1"/>
  <c r="W345" i="2"/>
  <c r="X345" i="2" s="1"/>
  <c r="V735" i="2"/>
  <c r="W735" i="2" s="1"/>
  <c r="X735" i="2" s="1"/>
  <c r="Q703" i="2"/>
  <c r="I44" i="14"/>
  <c r="I45" i="14" s="1"/>
  <c r="V658" i="2"/>
  <c r="W658" i="2" s="1"/>
  <c r="X658" i="2" s="1"/>
  <c r="V705" i="2"/>
  <c r="W705" i="2" s="1"/>
  <c r="X705" i="2" s="1"/>
  <c r="D21" i="14"/>
  <c r="I21" i="14" s="1"/>
  <c r="G739" i="2"/>
  <c r="G96" i="30" s="1"/>
  <c r="V676" i="2"/>
  <c r="O668" i="2"/>
  <c r="C17" i="23"/>
  <c r="R701" i="2"/>
  <c r="R707" i="2" s="1"/>
  <c r="R714" i="2"/>
  <c r="R729" i="2" s="1"/>
  <c r="P703" i="2"/>
  <c r="V674" i="2"/>
  <c r="W674" i="2" s="1"/>
  <c r="X674" i="2" s="1"/>
  <c r="G737" i="2"/>
  <c r="I707" i="2"/>
  <c r="D28" i="14"/>
  <c r="L28" i="14" s="1"/>
  <c r="V672" i="2"/>
  <c r="W672" i="2" s="1"/>
  <c r="X672" i="2" s="1"/>
  <c r="J703" i="2"/>
  <c r="F776" i="2"/>
  <c r="F7" i="23"/>
  <c r="F20" i="23" s="1"/>
  <c r="V685" i="2"/>
  <c r="W685" i="2" s="1"/>
  <c r="X685" i="2" s="1"/>
  <c r="G772" i="2"/>
  <c r="K701" i="2"/>
  <c r="K707" i="2" s="1"/>
  <c r="K714" i="2"/>
  <c r="K729" i="2" s="1"/>
  <c r="C18" i="23"/>
  <c r="S701" i="2"/>
  <c r="S707" i="2" s="1"/>
  <c r="S714" i="2"/>
  <c r="S729" i="2" s="1"/>
  <c r="V750" i="2"/>
  <c r="W750" i="2" s="1"/>
  <c r="X750" i="2" s="1"/>
  <c r="M703" i="2"/>
  <c r="L703" i="2"/>
  <c r="V734" i="2"/>
  <c r="W734" i="2" s="1"/>
  <c r="X734" i="2" s="1"/>
  <c r="W231" i="2"/>
  <c r="X231" i="2" s="1"/>
  <c r="N703" i="2"/>
  <c r="F43" i="14"/>
  <c r="G668" i="2"/>
  <c r="V671" i="2"/>
  <c r="W671" i="2" s="1"/>
  <c r="X671" i="2" s="1"/>
  <c r="D27" i="14"/>
  <c r="O703" i="2"/>
  <c r="D44" i="29" l="1"/>
  <c r="J10" i="30"/>
  <c r="J25" i="30" s="1"/>
  <c r="V775" i="2"/>
  <c r="W775" i="2" s="1"/>
  <c r="G132" i="30"/>
  <c r="G133" i="30" s="1"/>
  <c r="D44" i="25"/>
  <c r="P10" i="30"/>
  <c r="P25" i="30" s="1"/>
  <c r="D44" i="27"/>
  <c r="H10" i="30"/>
  <c r="H25" i="30" s="1"/>
  <c r="R71" i="30"/>
  <c r="R86" i="30" s="1"/>
  <c r="R58" i="30"/>
  <c r="R64" i="30" s="1"/>
  <c r="G25" i="30"/>
  <c r="V675" i="2"/>
  <c r="W675" i="2" s="1"/>
  <c r="X675" i="2" s="1"/>
  <c r="G32" i="30"/>
  <c r="G60" i="30" s="1"/>
  <c r="M71" i="30"/>
  <c r="M86" i="30" s="1"/>
  <c r="M58" i="30"/>
  <c r="N60" i="30"/>
  <c r="M60" i="30"/>
  <c r="V737" i="2"/>
  <c r="W737" i="2" s="1"/>
  <c r="X737" i="2" s="1"/>
  <c r="G94" i="30"/>
  <c r="D44" i="17"/>
  <c r="L10" i="30"/>
  <c r="L25" i="30" s="1"/>
  <c r="D44" i="26"/>
  <c r="D46" i="26" s="1"/>
  <c r="Q10" i="30"/>
  <c r="Q25" i="30" s="1"/>
  <c r="K45" i="19"/>
  <c r="L45" i="19" s="1"/>
  <c r="S58" i="30"/>
  <c r="S64" i="30" s="1"/>
  <c r="S71" i="30"/>
  <c r="S86" i="30" s="1"/>
  <c r="K58" i="30"/>
  <c r="K64" i="30" s="1"/>
  <c r="K71" i="30"/>
  <c r="K86" i="30" s="1"/>
  <c r="H60" i="30"/>
  <c r="Q60" i="30"/>
  <c r="P60" i="30"/>
  <c r="O86" i="30"/>
  <c r="V736" i="2"/>
  <c r="W736" i="2" s="1"/>
  <c r="X736" i="2" s="1"/>
  <c r="G93" i="30"/>
  <c r="K45" i="17"/>
  <c r="L45" i="17" s="1"/>
  <c r="N58" i="30"/>
  <c r="N71" i="30"/>
  <c r="N86" i="30" s="1"/>
  <c r="J60" i="30"/>
  <c r="O64" i="30"/>
  <c r="F46" i="19"/>
  <c r="K46" i="19" s="1"/>
  <c r="L46" i="19" s="1"/>
  <c r="K44" i="19"/>
  <c r="L44" i="19" s="1"/>
  <c r="E16" i="19"/>
  <c r="K15" i="19"/>
  <c r="D46" i="17"/>
  <c r="F44" i="17"/>
  <c r="K15" i="17"/>
  <c r="E16" i="17"/>
  <c r="K45" i="21"/>
  <c r="L45" i="21" s="1"/>
  <c r="K22" i="21"/>
  <c r="L22" i="21" s="1"/>
  <c r="K15" i="26"/>
  <c r="E16" i="26"/>
  <c r="D46" i="21"/>
  <c r="K45" i="25"/>
  <c r="L45" i="25" s="1"/>
  <c r="E46" i="25"/>
  <c r="D46" i="25"/>
  <c r="F44" i="25"/>
  <c r="L28" i="25"/>
  <c r="E15" i="25"/>
  <c r="G15" i="25"/>
  <c r="G16" i="25" s="1"/>
  <c r="I15" i="25"/>
  <c r="I16" i="25" s="1"/>
  <c r="H15" i="25"/>
  <c r="H16" i="25" s="1"/>
  <c r="D16" i="25"/>
  <c r="J15" i="25"/>
  <c r="J16" i="25" s="1"/>
  <c r="F15" i="25"/>
  <c r="F16" i="25" s="1"/>
  <c r="K22" i="25"/>
  <c r="L22" i="25" s="1"/>
  <c r="E16" i="21"/>
  <c r="K15" i="21"/>
  <c r="K36" i="14"/>
  <c r="L36" i="14" s="1"/>
  <c r="F46" i="21"/>
  <c r="K46" i="21" s="1"/>
  <c r="K44" i="21"/>
  <c r="L44" i="21" s="1"/>
  <c r="K44" i="20"/>
  <c r="L44" i="20" s="1"/>
  <c r="F46" i="20"/>
  <c r="K46" i="20" s="1"/>
  <c r="L46" i="20" s="1"/>
  <c r="E16" i="20"/>
  <c r="K15" i="20"/>
  <c r="E16" i="29"/>
  <c r="K15" i="29"/>
  <c r="F44" i="29"/>
  <c r="D46" i="29"/>
  <c r="K15" i="27"/>
  <c r="E16" i="27"/>
  <c r="F44" i="27"/>
  <c r="D46" i="27"/>
  <c r="M714" i="2"/>
  <c r="M729" i="2" s="1"/>
  <c r="C32" i="23" s="1"/>
  <c r="D29" i="14"/>
  <c r="L29" i="14" s="1"/>
  <c r="G703" i="2"/>
  <c r="V703" i="2" s="1"/>
  <c r="W703" i="2" s="1"/>
  <c r="X703" i="2" s="1"/>
  <c r="M701" i="2"/>
  <c r="M707" i="2" s="1"/>
  <c r="J668" i="2"/>
  <c r="J714" i="2" s="1"/>
  <c r="J729" i="2" s="1"/>
  <c r="H668" i="2"/>
  <c r="H701" i="2" s="1"/>
  <c r="H707" i="2" s="1"/>
  <c r="V722" i="2"/>
  <c r="W722" i="2" s="1"/>
  <c r="X722" i="2" s="1"/>
  <c r="Q668" i="2"/>
  <c r="C15" i="23" s="1"/>
  <c r="L668" i="2"/>
  <c r="L701" i="2" s="1"/>
  <c r="L707" i="2" s="1"/>
  <c r="V653" i="2"/>
  <c r="W653" i="2" s="1"/>
  <c r="F35" i="23"/>
  <c r="V723" i="2"/>
  <c r="W723" i="2" s="1"/>
  <c r="X723" i="2" s="1"/>
  <c r="N823" i="2"/>
  <c r="F54" i="23" s="1"/>
  <c r="F32" i="23"/>
  <c r="F29" i="23"/>
  <c r="V721" i="2"/>
  <c r="W721" i="2" s="1"/>
  <c r="X721" i="2" s="1"/>
  <c r="P668" i="2"/>
  <c r="P701" i="2" s="1"/>
  <c r="P707" i="2" s="1"/>
  <c r="I800" i="2"/>
  <c r="I806" i="2" s="1"/>
  <c r="I783" i="2"/>
  <c r="F58" i="23"/>
  <c r="O823" i="2"/>
  <c r="F55" i="23" s="1"/>
  <c r="F30" i="23"/>
  <c r="T800" i="2"/>
  <c r="T806" i="2" s="1"/>
  <c r="C61" i="23" s="1"/>
  <c r="Q823" i="2"/>
  <c r="F57" i="23" s="1"/>
  <c r="D14" i="14"/>
  <c r="F14" i="14" s="1"/>
  <c r="F15" i="14" s="1"/>
  <c r="L823" i="2"/>
  <c r="F52" i="23" s="1"/>
  <c r="T783" i="2"/>
  <c r="D45" i="14"/>
  <c r="K763" i="2"/>
  <c r="K120" i="30" s="1"/>
  <c r="K740" i="2"/>
  <c r="K97" i="30" s="1"/>
  <c r="K762" i="2"/>
  <c r="K119" i="30" s="1"/>
  <c r="K677" i="2"/>
  <c r="K761" i="2"/>
  <c r="K118" i="30" s="1"/>
  <c r="T763" i="2"/>
  <c r="T120" i="30" s="1"/>
  <c r="T740" i="2"/>
  <c r="T97" i="30" s="1"/>
  <c r="T762" i="2"/>
  <c r="T119" i="30" s="1"/>
  <c r="T761" i="2"/>
  <c r="T118" i="30" s="1"/>
  <c r="T677" i="2"/>
  <c r="S677" i="2"/>
  <c r="S762" i="2"/>
  <c r="S119" i="30" s="1"/>
  <c r="S740" i="2"/>
  <c r="S97" i="30" s="1"/>
  <c r="S125" i="30" s="1"/>
  <c r="S763" i="2"/>
  <c r="S120" i="30" s="1"/>
  <c r="S761" i="2"/>
  <c r="S118" i="30" s="1"/>
  <c r="I761" i="2"/>
  <c r="I118" i="30" s="1"/>
  <c r="I762" i="2"/>
  <c r="I119" i="30" s="1"/>
  <c r="I677" i="2"/>
  <c r="I763" i="2"/>
  <c r="I120" i="30" s="1"/>
  <c r="I121" i="30" s="1"/>
  <c r="I740" i="2"/>
  <c r="I97" i="30" s="1"/>
  <c r="R762" i="2"/>
  <c r="R119" i="30" s="1"/>
  <c r="R761" i="2"/>
  <c r="R118" i="30" s="1"/>
  <c r="R740" i="2"/>
  <c r="R97" i="30" s="1"/>
  <c r="R125" i="30" s="1"/>
  <c r="R763" i="2"/>
  <c r="R120" i="30" s="1"/>
  <c r="R677" i="2"/>
  <c r="N701" i="2"/>
  <c r="N707" i="2" s="1"/>
  <c r="E44" i="14"/>
  <c r="E45" i="14" s="1"/>
  <c r="N714" i="2"/>
  <c r="N729" i="2" s="1"/>
  <c r="F44" i="14"/>
  <c r="F45" i="14" s="1"/>
  <c r="G44" i="14"/>
  <c r="G45" i="14" s="1"/>
  <c r="H21" i="14"/>
  <c r="H44" i="14"/>
  <c r="H45" i="14" s="1"/>
  <c r="J44" i="14"/>
  <c r="J45" i="14" s="1"/>
  <c r="S783" i="2"/>
  <c r="C39" i="23"/>
  <c r="S800" i="2"/>
  <c r="S806" i="2" s="1"/>
  <c r="L27" i="14"/>
  <c r="C7" i="23"/>
  <c r="G714" i="2"/>
  <c r="G701" i="2"/>
  <c r="E21" i="14"/>
  <c r="K783" i="2"/>
  <c r="K800" i="2"/>
  <c r="K806" i="2" s="1"/>
  <c r="O714" i="2"/>
  <c r="O729" i="2" s="1"/>
  <c r="O701" i="2"/>
  <c r="O707" i="2" s="1"/>
  <c r="C13" i="23"/>
  <c r="K42" i="14"/>
  <c r="L42" i="14" s="1"/>
  <c r="G21" i="14"/>
  <c r="F21" i="14"/>
  <c r="V772" i="2"/>
  <c r="W772" i="2" s="1"/>
  <c r="X772" i="2" s="1"/>
  <c r="G776" i="2"/>
  <c r="C16" i="23"/>
  <c r="F823" i="2"/>
  <c r="F778" i="2"/>
  <c r="J21" i="14"/>
  <c r="K43" i="14"/>
  <c r="L43" i="14" s="1"/>
  <c r="R783" i="2"/>
  <c r="C38" i="23"/>
  <c r="R800" i="2"/>
  <c r="R806" i="2" s="1"/>
  <c r="V739" i="2"/>
  <c r="W739" i="2" s="1"/>
  <c r="X739" i="2" s="1"/>
  <c r="W676" i="2"/>
  <c r="X676" i="2" s="1"/>
  <c r="I681" i="2" l="1"/>
  <c r="I34" i="30"/>
  <c r="I38" i="30" s="1"/>
  <c r="I40" i="30" s="1"/>
  <c r="T681" i="2"/>
  <c r="T34" i="30"/>
  <c r="T38" i="30" s="1"/>
  <c r="T40" i="30" s="1"/>
  <c r="K125" i="30"/>
  <c r="F44" i="26"/>
  <c r="K44" i="26" s="1"/>
  <c r="L44" i="26" s="1"/>
  <c r="S127" i="30"/>
  <c r="S135" i="30" s="1"/>
  <c r="R681" i="2"/>
  <c r="R34" i="30"/>
  <c r="R38" i="30" s="1"/>
  <c r="R40" i="30" s="1"/>
  <c r="K121" i="30"/>
  <c r="P71" i="30"/>
  <c r="P86" i="30" s="1"/>
  <c r="P58" i="30"/>
  <c r="P64" i="30" s="1"/>
  <c r="R121" i="30"/>
  <c r="T125" i="30"/>
  <c r="T127" i="30" s="1"/>
  <c r="T135" i="30" s="1"/>
  <c r="S121" i="30"/>
  <c r="T121" i="30"/>
  <c r="Q58" i="30"/>
  <c r="Q64" i="30" s="1"/>
  <c r="Q71" i="30"/>
  <c r="Q86" i="30" s="1"/>
  <c r="G58" i="30"/>
  <c r="G64" i="30" s="1"/>
  <c r="G71" i="30"/>
  <c r="G86" i="30" s="1"/>
  <c r="K127" i="30"/>
  <c r="K135" i="30" s="1"/>
  <c r="J71" i="30"/>
  <c r="J86" i="30" s="1"/>
  <c r="J58" i="30"/>
  <c r="J64" i="30" s="1"/>
  <c r="I125" i="30"/>
  <c r="I127" i="30" s="1"/>
  <c r="I135" i="30" s="1"/>
  <c r="K681" i="2"/>
  <c r="K34" i="30"/>
  <c r="K38" i="30" s="1"/>
  <c r="K40" i="30" s="1"/>
  <c r="L58" i="30"/>
  <c r="L64" i="30" s="1"/>
  <c r="L71" i="30"/>
  <c r="L86" i="30" s="1"/>
  <c r="R127" i="30"/>
  <c r="R135" i="30" s="1"/>
  <c r="S681" i="2"/>
  <c r="S34" i="30"/>
  <c r="S38" i="30" s="1"/>
  <c r="S40" i="30" s="1"/>
  <c r="N64" i="30"/>
  <c r="M64" i="30"/>
  <c r="H58" i="30"/>
  <c r="H64" i="30" s="1"/>
  <c r="H71" i="30"/>
  <c r="H86" i="30" s="1"/>
  <c r="L15" i="19"/>
  <c r="K16" i="19"/>
  <c r="L16" i="19" s="1"/>
  <c r="K44" i="17"/>
  <c r="L44" i="17" s="1"/>
  <c r="F46" i="17"/>
  <c r="K46" i="17" s="1"/>
  <c r="L46" i="17" s="1"/>
  <c r="L15" i="17"/>
  <c r="K16" i="17"/>
  <c r="L16" i="17" s="1"/>
  <c r="L15" i="26"/>
  <c r="K16" i="26"/>
  <c r="L16" i="26" s="1"/>
  <c r="F46" i="26"/>
  <c r="K46" i="26" s="1"/>
  <c r="L46" i="26" s="1"/>
  <c r="L46" i="21"/>
  <c r="K44" i="25"/>
  <c r="L44" i="25" s="1"/>
  <c r="F46" i="25"/>
  <c r="K46" i="25" s="1"/>
  <c r="L46" i="25" s="1"/>
  <c r="K15" i="25"/>
  <c r="E16" i="25"/>
  <c r="L15" i="21"/>
  <c r="K16" i="21"/>
  <c r="L16" i="21" s="1"/>
  <c r="L15" i="20"/>
  <c r="K16" i="20"/>
  <c r="L16" i="20" s="1"/>
  <c r="K44" i="29"/>
  <c r="L44" i="29" s="1"/>
  <c r="F46" i="29"/>
  <c r="K46" i="29" s="1"/>
  <c r="L46" i="29" s="1"/>
  <c r="L15" i="29"/>
  <c r="K16" i="29"/>
  <c r="L16" i="29" s="1"/>
  <c r="K44" i="27"/>
  <c r="L44" i="27" s="1"/>
  <c r="F46" i="27"/>
  <c r="K46" i="27" s="1"/>
  <c r="L46" i="27" s="1"/>
  <c r="L15" i="27"/>
  <c r="K16" i="27"/>
  <c r="L16" i="27" s="1"/>
  <c r="C9" i="23"/>
  <c r="J701" i="2"/>
  <c r="J707" i="2" s="1"/>
  <c r="J762" i="2" s="1"/>
  <c r="J119" i="30" s="1"/>
  <c r="H714" i="2"/>
  <c r="H729" i="2" s="1"/>
  <c r="H800" i="2" s="1"/>
  <c r="H806" i="2" s="1"/>
  <c r="C48" i="27" s="1"/>
  <c r="C8" i="23"/>
  <c r="M783" i="2"/>
  <c r="Q701" i="2"/>
  <c r="Q707" i="2" s="1"/>
  <c r="Q763" i="2" s="1"/>
  <c r="Q120" i="30" s="1"/>
  <c r="Q714" i="2"/>
  <c r="Q729" i="2" s="1"/>
  <c r="C36" i="23" s="1"/>
  <c r="C10" i="23"/>
  <c r="L714" i="2"/>
  <c r="L729" i="2" s="1"/>
  <c r="L783" i="2" s="1"/>
  <c r="M800" i="2"/>
  <c r="M806" i="2" s="1"/>
  <c r="C48" i="19" s="1"/>
  <c r="H14" i="14"/>
  <c r="H15" i="14" s="1"/>
  <c r="C14" i="23"/>
  <c r="P714" i="2"/>
  <c r="P729" i="2" s="1"/>
  <c r="P800" i="2" s="1"/>
  <c r="P806" i="2" s="1"/>
  <c r="C48" i="25" s="1"/>
  <c r="V668" i="2"/>
  <c r="W668" i="2" s="1"/>
  <c r="X668" i="2" s="1"/>
  <c r="E14" i="14"/>
  <c r="E15" i="14" s="1"/>
  <c r="J14" i="14"/>
  <c r="J15" i="14" s="1"/>
  <c r="I14" i="14"/>
  <c r="I15" i="14" s="1"/>
  <c r="G14" i="14"/>
  <c r="G15" i="14" s="1"/>
  <c r="D15" i="14"/>
  <c r="K764" i="2"/>
  <c r="K813" i="2" s="1"/>
  <c r="S764" i="2"/>
  <c r="S813" i="2" s="1"/>
  <c r="I768" i="2"/>
  <c r="I770" i="2" s="1"/>
  <c r="I778" i="2" s="1"/>
  <c r="I764" i="2"/>
  <c r="I813" i="2" s="1"/>
  <c r="R764" i="2"/>
  <c r="R813" i="2" s="1"/>
  <c r="T764" i="2"/>
  <c r="T813" i="2" s="1"/>
  <c r="S768" i="2"/>
  <c r="T683" i="2"/>
  <c r="T811" i="2"/>
  <c r="D19" i="23"/>
  <c r="E19" i="23" s="1"/>
  <c r="G19" i="23" s="1"/>
  <c r="L761" i="2"/>
  <c r="L118" i="30" s="1"/>
  <c r="L740" i="2"/>
  <c r="L762" i="2"/>
  <c r="L119" i="30" s="1"/>
  <c r="L677" i="2"/>
  <c r="L763" i="2"/>
  <c r="L120" i="30" s="1"/>
  <c r="D18" i="23"/>
  <c r="E18" i="23" s="1"/>
  <c r="G18" i="23" s="1"/>
  <c r="S683" i="2"/>
  <c r="S811" i="2"/>
  <c r="T768" i="2"/>
  <c r="K811" i="2"/>
  <c r="K683" i="2"/>
  <c r="O763" i="2"/>
  <c r="O120" i="30" s="1"/>
  <c r="O762" i="2"/>
  <c r="O119" i="30" s="1"/>
  <c r="O677" i="2"/>
  <c r="O740" i="2"/>
  <c r="O97" i="30" s="1"/>
  <c r="O761" i="2"/>
  <c r="O118" i="30" s="1"/>
  <c r="N763" i="2"/>
  <c r="N120" i="30" s="1"/>
  <c r="N677" i="2"/>
  <c r="N740" i="2"/>
  <c r="N762" i="2"/>
  <c r="N119" i="30" s="1"/>
  <c r="N761" i="2"/>
  <c r="N118" i="30" s="1"/>
  <c r="N121" i="30" s="1"/>
  <c r="I811" i="2"/>
  <c r="I683" i="2"/>
  <c r="H762" i="2"/>
  <c r="H119" i="30" s="1"/>
  <c r="H763" i="2"/>
  <c r="H120" i="30" s="1"/>
  <c r="H677" i="2"/>
  <c r="H761" i="2"/>
  <c r="H118" i="30" s="1"/>
  <c r="H121" i="30" s="1"/>
  <c r="H740" i="2"/>
  <c r="D17" i="23"/>
  <c r="R811" i="2"/>
  <c r="R683" i="2"/>
  <c r="K768" i="2"/>
  <c r="K770" i="2" s="1"/>
  <c r="K778" i="2" s="1"/>
  <c r="M740" i="2"/>
  <c r="M761" i="2"/>
  <c r="M118" i="30" s="1"/>
  <c r="M677" i="2"/>
  <c r="M763" i="2"/>
  <c r="M120" i="30" s="1"/>
  <c r="M762" i="2"/>
  <c r="M119" i="30" s="1"/>
  <c r="K45" i="14"/>
  <c r="L45" i="14" s="1"/>
  <c r="K44" i="14"/>
  <c r="L44" i="14" s="1"/>
  <c r="P761" i="2"/>
  <c r="P118" i="30" s="1"/>
  <c r="P740" i="2"/>
  <c r="P762" i="2"/>
  <c r="P119" i="30" s="1"/>
  <c r="P677" i="2"/>
  <c r="P763" i="2"/>
  <c r="P120" i="30" s="1"/>
  <c r="R768" i="2"/>
  <c r="N783" i="2"/>
  <c r="N800" i="2"/>
  <c r="N806" i="2" s="1"/>
  <c r="C48" i="20" s="1"/>
  <c r="C33" i="23"/>
  <c r="C59" i="23"/>
  <c r="C34" i="23"/>
  <c r="O783" i="2"/>
  <c r="O800" i="2"/>
  <c r="O806" i="2" s="1"/>
  <c r="F825" i="2"/>
  <c r="K21" i="14"/>
  <c r="L21" i="14" s="1"/>
  <c r="G729" i="2"/>
  <c r="F28" i="23"/>
  <c r="F41" i="23" s="1"/>
  <c r="G823" i="2"/>
  <c r="F49" i="23" s="1"/>
  <c r="F62" i="23" s="1"/>
  <c r="V776" i="2"/>
  <c r="G707" i="2"/>
  <c r="J800" i="2"/>
  <c r="J806" i="2" s="1"/>
  <c r="C48" i="29" s="1"/>
  <c r="J783" i="2"/>
  <c r="C30" i="23"/>
  <c r="C60" i="23"/>
  <c r="C37" i="23"/>
  <c r="D26" i="27" l="1"/>
  <c r="H97" i="30"/>
  <c r="H125" i="30" s="1"/>
  <c r="L681" i="2"/>
  <c r="L34" i="30"/>
  <c r="L38" i="30" s="1"/>
  <c r="L40" i="30" s="1"/>
  <c r="D26" i="20"/>
  <c r="N97" i="30"/>
  <c r="N125" i="30" s="1"/>
  <c r="N127" i="30" s="1"/>
  <c r="N135" i="30" s="1"/>
  <c r="H681" i="2"/>
  <c r="H34" i="30"/>
  <c r="H38" i="30" s="1"/>
  <c r="H40" i="30" s="1"/>
  <c r="N681" i="2"/>
  <c r="N34" i="30"/>
  <c r="N38" i="30" s="1"/>
  <c r="N40" i="30" s="1"/>
  <c r="D26" i="17"/>
  <c r="L97" i="30"/>
  <c r="L125" i="30" s="1"/>
  <c r="L127" i="30" s="1"/>
  <c r="L135" i="30" s="1"/>
  <c r="M681" i="2"/>
  <c r="M34" i="30"/>
  <c r="M38" i="30" s="1"/>
  <c r="M40" i="30" s="1"/>
  <c r="D26" i="19"/>
  <c r="M97" i="30"/>
  <c r="M125" i="30" s="1"/>
  <c r="M127" i="30" s="1"/>
  <c r="M135" i="30" s="1"/>
  <c r="L121" i="30"/>
  <c r="O121" i="30"/>
  <c r="P681" i="2"/>
  <c r="P34" i="30"/>
  <c r="P38" i="30" s="1"/>
  <c r="P40" i="30" s="1"/>
  <c r="D26" i="25"/>
  <c r="P97" i="30"/>
  <c r="P125" i="30" s="1"/>
  <c r="P127" i="30" s="1"/>
  <c r="P135" i="30" s="1"/>
  <c r="P121" i="30"/>
  <c r="O125" i="30"/>
  <c r="O127" i="30" s="1"/>
  <c r="O135" i="30" s="1"/>
  <c r="M121" i="30"/>
  <c r="O681" i="2"/>
  <c r="O34" i="30"/>
  <c r="O38" i="30" s="1"/>
  <c r="O40" i="30" s="1"/>
  <c r="H127" i="30"/>
  <c r="H135" i="30" s="1"/>
  <c r="L15" i="25"/>
  <c r="K16" i="25"/>
  <c r="L16" i="25" s="1"/>
  <c r="C48" i="21"/>
  <c r="D26" i="21"/>
  <c r="J677" i="2"/>
  <c r="J763" i="2"/>
  <c r="J120" i="30" s="1"/>
  <c r="J761" i="2"/>
  <c r="J118" i="30" s="1"/>
  <c r="J740" i="2"/>
  <c r="C53" i="23"/>
  <c r="C54" i="23"/>
  <c r="C29" i="23"/>
  <c r="H783" i="2"/>
  <c r="Q762" i="2"/>
  <c r="Q119" i="30" s="1"/>
  <c r="Q677" i="2"/>
  <c r="Q740" i="2"/>
  <c r="Q761" i="2"/>
  <c r="Q118" i="30" s="1"/>
  <c r="Q121" i="30" s="1"/>
  <c r="V701" i="2"/>
  <c r="W701" i="2" s="1"/>
  <c r="X701" i="2" s="1"/>
  <c r="Q783" i="2"/>
  <c r="Q800" i="2"/>
  <c r="Q806" i="2" s="1"/>
  <c r="C48" i="26" s="1"/>
  <c r="C31" i="23"/>
  <c r="C20" i="23"/>
  <c r="L800" i="2"/>
  <c r="L806" i="2" s="1"/>
  <c r="C48" i="17" s="1"/>
  <c r="C35" i="23"/>
  <c r="P783" i="2"/>
  <c r="V714" i="2"/>
  <c r="W714" i="2" s="1"/>
  <c r="X714" i="2" s="1"/>
  <c r="K14" i="14"/>
  <c r="L14" i="14" s="1"/>
  <c r="I785" i="2"/>
  <c r="I791" i="2" s="1"/>
  <c r="K785" i="2"/>
  <c r="K791" i="2" s="1"/>
  <c r="S785" i="2"/>
  <c r="S791" i="2" s="1"/>
  <c r="S819" i="2"/>
  <c r="D60" i="23" s="1"/>
  <c r="E60" i="23" s="1"/>
  <c r="G60" i="23" s="1"/>
  <c r="R819" i="2"/>
  <c r="K819" i="2"/>
  <c r="K821" i="2" s="1"/>
  <c r="K825" i="2" s="1"/>
  <c r="T785" i="2"/>
  <c r="T791" i="2" s="1"/>
  <c r="R785" i="2"/>
  <c r="R791" i="2" s="1"/>
  <c r="P768" i="2"/>
  <c r="L764" i="2"/>
  <c r="N768" i="2"/>
  <c r="O764" i="2"/>
  <c r="D39" i="23"/>
  <c r="E39" i="23" s="1"/>
  <c r="G39" i="23" s="1"/>
  <c r="S770" i="2"/>
  <c r="S778" i="2" s="1"/>
  <c r="V707" i="2"/>
  <c r="W707" i="2" s="1"/>
  <c r="X707" i="2" s="1"/>
  <c r="G740" i="2"/>
  <c r="G97" i="30" s="1"/>
  <c r="G677" i="2"/>
  <c r="G34" i="30" s="1"/>
  <c r="G38" i="30" s="1"/>
  <c r="G40" i="30" s="1"/>
  <c r="G763" i="2"/>
  <c r="G120" i="30" s="1"/>
  <c r="G762" i="2"/>
  <c r="G119" i="30" s="1"/>
  <c r="G761" i="2"/>
  <c r="G118" i="30" s="1"/>
  <c r="G121" i="30" s="1"/>
  <c r="N683" i="2"/>
  <c r="N811" i="2"/>
  <c r="D12" i="23"/>
  <c r="E12" i="23" s="1"/>
  <c r="G12" i="23" s="1"/>
  <c r="O811" i="2"/>
  <c r="O683" i="2"/>
  <c r="D13" i="23"/>
  <c r="E13" i="23" s="1"/>
  <c r="G13" i="23" s="1"/>
  <c r="M811" i="2"/>
  <c r="D11" i="23"/>
  <c r="E11" i="23" s="1"/>
  <c r="G11" i="23" s="1"/>
  <c r="M683" i="2"/>
  <c r="N764" i="2"/>
  <c r="H764" i="2"/>
  <c r="D8" i="23"/>
  <c r="E8" i="23" s="1"/>
  <c r="G8" i="23" s="1"/>
  <c r="H811" i="2"/>
  <c r="H683" i="2"/>
  <c r="P764" i="2"/>
  <c r="M764" i="2"/>
  <c r="I819" i="2"/>
  <c r="I821" i="2" s="1"/>
  <c r="I825" i="2" s="1"/>
  <c r="D38" i="23"/>
  <c r="R770" i="2"/>
  <c r="R778" i="2" s="1"/>
  <c r="D14" i="23"/>
  <c r="E14" i="23" s="1"/>
  <c r="G14" i="23" s="1"/>
  <c r="P683" i="2"/>
  <c r="P811" i="2"/>
  <c r="M768" i="2"/>
  <c r="D16" i="23"/>
  <c r="E17" i="23"/>
  <c r="D10" i="23"/>
  <c r="E10" i="23" s="1"/>
  <c r="G10" i="23" s="1"/>
  <c r="L811" i="2"/>
  <c r="L683" i="2"/>
  <c r="L768" i="2"/>
  <c r="H768" i="2"/>
  <c r="O768" i="2"/>
  <c r="D40" i="23"/>
  <c r="E40" i="23" s="1"/>
  <c r="G40" i="23" s="1"/>
  <c r="T770" i="2"/>
  <c r="T778" i="2" s="1"/>
  <c r="T819" i="2"/>
  <c r="C51" i="23"/>
  <c r="G783" i="2"/>
  <c r="G800" i="2"/>
  <c r="C28" i="23"/>
  <c r="V729" i="2"/>
  <c r="C55" i="23"/>
  <c r="C58" i="23"/>
  <c r="C56" i="23"/>
  <c r="C50" i="23"/>
  <c r="V823" i="2"/>
  <c r="W823" i="2" s="1"/>
  <c r="W776" i="2"/>
  <c r="X776" i="2" s="1"/>
  <c r="D26" i="26" l="1"/>
  <c r="Q97" i="30"/>
  <c r="Q125" i="30" s="1"/>
  <c r="Q127" i="30" s="1"/>
  <c r="Q135" i="30" s="1"/>
  <c r="J121" i="30"/>
  <c r="J681" i="2"/>
  <c r="J811" i="2" s="1"/>
  <c r="J34" i="30"/>
  <c r="J38" i="30" s="1"/>
  <c r="J40" i="30" s="1"/>
  <c r="Q681" i="2"/>
  <c r="Q811" i="2" s="1"/>
  <c r="Q34" i="30"/>
  <c r="Q38" i="30" s="1"/>
  <c r="Q40" i="30" s="1"/>
  <c r="G125" i="30"/>
  <c r="G127" i="30" s="1"/>
  <c r="G135" i="30" s="1"/>
  <c r="D26" i="29"/>
  <c r="J97" i="30"/>
  <c r="J125" i="30" s="1"/>
  <c r="J127" i="30" s="1"/>
  <c r="J135" i="30" s="1"/>
  <c r="J764" i="2"/>
  <c r="J813" i="2" s="1"/>
  <c r="D36" i="29" s="1"/>
  <c r="J768" i="2"/>
  <c r="J770" i="2" s="1"/>
  <c r="J778" i="2" s="1"/>
  <c r="J683" i="2"/>
  <c r="D9" i="23"/>
  <c r="E9" i="23" s="1"/>
  <c r="G9" i="23" s="1"/>
  <c r="V763" i="2"/>
  <c r="W763" i="2" s="1"/>
  <c r="C57" i="23"/>
  <c r="C52" i="23"/>
  <c r="V762" i="2"/>
  <c r="W762" i="2" s="1"/>
  <c r="Q764" i="2"/>
  <c r="Q813" i="2" s="1"/>
  <c r="D36" i="26" s="1"/>
  <c r="D15" i="23"/>
  <c r="E15" i="23" s="1"/>
  <c r="G15" i="23" s="1"/>
  <c r="Q768" i="2"/>
  <c r="D36" i="23" s="1"/>
  <c r="E36" i="23" s="1"/>
  <c r="G36" i="23" s="1"/>
  <c r="K15" i="14"/>
  <c r="L15" i="14" s="1"/>
  <c r="S821" i="2"/>
  <c r="S825" i="2" s="1"/>
  <c r="D59" i="23"/>
  <c r="E59" i="23" s="1"/>
  <c r="G59" i="23" s="1"/>
  <c r="R821" i="2"/>
  <c r="R825" i="2" s="1"/>
  <c r="M813" i="2"/>
  <c r="D36" i="19" s="1"/>
  <c r="M785" i="2"/>
  <c r="M791" i="2" s="1"/>
  <c r="D29" i="23"/>
  <c r="E29" i="23" s="1"/>
  <c r="G29" i="23" s="1"/>
  <c r="H770" i="2"/>
  <c r="H778" i="2" s="1"/>
  <c r="V740" i="2"/>
  <c r="W740" i="2" s="1"/>
  <c r="X740" i="2" s="1"/>
  <c r="D25" i="14"/>
  <c r="G768" i="2"/>
  <c r="D61" i="23"/>
  <c r="T821" i="2"/>
  <c r="T825" i="2" s="1"/>
  <c r="D31" i="23"/>
  <c r="E31" i="23" s="1"/>
  <c r="G31" i="23" s="1"/>
  <c r="L770" i="2"/>
  <c r="L778" i="2" s="1"/>
  <c r="E16" i="23"/>
  <c r="G16" i="23" s="1"/>
  <c r="G17" i="23"/>
  <c r="P813" i="2"/>
  <c r="D36" i="25" s="1"/>
  <c r="P785" i="2"/>
  <c r="P791" i="2" s="1"/>
  <c r="N813" i="2"/>
  <c r="D36" i="20" s="1"/>
  <c r="N785" i="2"/>
  <c r="N791" i="2" s="1"/>
  <c r="V677" i="2"/>
  <c r="W677" i="2" s="1"/>
  <c r="X677" i="2" s="1"/>
  <c r="G681" i="2"/>
  <c r="D37" i="23"/>
  <c r="E38" i="23"/>
  <c r="H813" i="2"/>
  <c r="D36" i="27" s="1"/>
  <c r="H785" i="2"/>
  <c r="H791" i="2" s="1"/>
  <c r="L813" i="2"/>
  <c r="D36" i="17" s="1"/>
  <c r="L785" i="2"/>
  <c r="L791" i="2" s="1"/>
  <c r="D33" i="23"/>
  <c r="E33" i="23" s="1"/>
  <c r="G33" i="23" s="1"/>
  <c r="N770" i="2"/>
  <c r="N778" i="2" s="1"/>
  <c r="D32" i="23"/>
  <c r="E32" i="23" s="1"/>
  <c r="G32" i="23" s="1"/>
  <c r="M770" i="2"/>
  <c r="M778" i="2" s="1"/>
  <c r="D35" i="23"/>
  <c r="E35" i="23" s="1"/>
  <c r="G35" i="23" s="1"/>
  <c r="P770" i="2"/>
  <c r="P778" i="2" s="1"/>
  <c r="D34" i="23"/>
  <c r="E34" i="23" s="1"/>
  <c r="G34" i="23" s="1"/>
  <c r="O770" i="2"/>
  <c r="O778" i="2" s="1"/>
  <c r="V761" i="2"/>
  <c r="W761" i="2" s="1"/>
  <c r="G764" i="2"/>
  <c r="O813" i="2"/>
  <c r="O785" i="2"/>
  <c r="O791" i="2" s="1"/>
  <c r="C41" i="23"/>
  <c r="V783" i="2"/>
  <c r="W783" i="2" s="1"/>
  <c r="X783" i="2" s="1"/>
  <c r="W729" i="2"/>
  <c r="X729" i="2" s="1"/>
  <c r="V800" i="2"/>
  <c r="G806" i="2"/>
  <c r="C47" i="14" s="1"/>
  <c r="Q683" i="2" l="1"/>
  <c r="J36" i="19"/>
  <c r="J39" i="19" s="1"/>
  <c r="G36" i="19"/>
  <c r="G39" i="19" s="1"/>
  <c r="H36" i="19"/>
  <c r="H39" i="19" s="1"/>
  <c r="F36" i="19"/>
  <c r="F39" i="19" s="1"/>
  <c r="I36" i="19"/>
  <c r="I39" i="19" s="1"/>
  <c r="D39" i="19"/>
  <c r="E36" i="19"/>
  <c r="J36" i="17"/>
  <c r="J39" i="17" s="1"/>
  <c r="H36" i="17"/>
  <c r="H39" i="17" s="1"/>
  <c r="F36" i="17"/>
  <c r="F39" i="17" s="1"/>
  <c r="E36" i="17"/>
  <c r="D39" i="17"/>
  <c r="I36" i="17"/>
  <c r="I39" i="17" s="1"/>
  <c r="G36" i="17"/>
  <c r="G39" i="17" s="1"/>
  <c r="D39" i="26"/>
  <c r="J36" i="26"/>
  <c r="J39" i="26" s="1"/>
  <c r="I36" i="26"/>
  <c r="I39" i="26" s="1"/>
  <c r="F36" i="26"/>
  <c r="F39" i="26" s="1"/>
  <c r="G36" i="26"/>
  <c r="G39" i="26" s="1"/>
  <c r="H36" i="26"/>
  <c r="H39" i="26" s="1"/>
  <c r="E36" i="26"/>
  <c r="J785" i="2"/>
  <c r="J791" i="2" s="1"/>
  <c r="D36" i="21"/>
  <c r="D39" i="21" s="1"/>
  <c r="E36" i="20"/>
  <c r="J36" i="20"/>
  <c r="J39" i="20" s="1"/>
  <c r="D39" i="20"/>
  <c r="I36" i="20"/>
  <c r="I39" i="20" s="1"/>
  <c r="H36" i="20"/>
  <c r="H39" i="20" s="1"/>
  <c r="G36" i="20"/>
  <c r="G39" i="20" s="1"/>
  <c r="F36" i="20"/>
  <c r="F39" i="20" s="1"/>
  <c r="D30" i="23"/>
  <c r="E30" i="23" s="1"/>
  <c r="G30" i="23" s="1"/>
  <c r="D39" i="29"/>
  <c r="G36" i="29"/>
  <c r="G39" i="29" s="1"/>
  <c r="E36" i="29"/>
  <c r="I36" i="29"/>
  <c r="I39" i="29" s="1"/>
  <c r="H36" i="29"/>
  <c r="H39" i="29" s="1"/>
  <c r="J36" i="29"/>
  <c r="J39" i="29" s="1"/>
  <c r="F36" i="29"/>
  <c r="F39" i="29" s="1"/>
  <c r="G36" i="27"/>
  <c r="G39" i="27" s="1"/>
  <c r="E36" i="27"/>
  <c r="J36" i="27"/>
  <c r="J39" i="27" s="1"/>
  <c r="F36" i="27"/>
  <c r="F39" i="27" s="1"/>
  <c r="I36" i="27"/>
  <c r="I39" i="27" s="1"/>
  <c r="H36" i="27"/>
  <c r="H39" i="27" s="1"/>
  <c r="D39" i="27"/>
  <c r="Q785" i="2"/>
  <c r="Q791" i="2" s="1"/>
  <c r="Q770" i="2"/>
  <c r="Q778" i="2" s="1"/>
  <c r="P819" i="2"/>
  <c r="D56" i="23" s="1"/>
  <c r="E56" i="23" s="1"/>
  <c r="G56" i="23" s="1"/>
  <c r="H819" i="2"/>
  <c r="H821" i="2" s="1"/>
  <c r="H825" i="2" s="1"/>
  <c r="D18" i="27" s="1"/>
  <c r="Q819" i="2"/>
  <c r="D57" i="23" s="1"/>
  <c r="E57" i="23" s="1"/>
  <c r="G57" i="23" s="1"/>
  <c r="M819" i="2"/>
  <c r="D7" i="23"/>
  <c r="G811" i="2"/>
  <c r="V681" i="2"/>
  <c r="W681" i="2" s="1"/>
  <c r="X681" i="2" s="1"/>
  <c r="G683" i="2"/>
  <c r="L819" i="2"/>
  <c r="O819" i="2"/>
  <c r="G38" i="23"/>
  <c r="E37" i="23"/>
  <c r="G37" i="23" s="1"/>
  <c r="N819" i="2"/>
  <c r="V764" i="2"/>
  <c r="W764" i="2" s="1"/>
  <c r="X764" i="2" s="1"/>
  <c r="G813" i="2"/>
  <c r="D35" i="14" s="1"/>
  <c r="D38" i="14" s="1"/>
  <c r="G785" i="2"/>
  <c r="V768" i="2"/>
  <c r="D28" i="23"/>
  <c r="G770" i="2"/>
  <c r="G778" i="2" s="1"/>
  <c r="E61" i="23"/>
  <c r="D58" i="23"/>
  <c r="J819" i="2"/>
  <c r="V806" i="2"/>
  <c r="W806" i="2" s="1"/>
  <c r="W800" i="2"/>
  <c r="C49" i="23"/>
  <c r="V683" i="2" l="1"/>
  <c r="W683" i="2" s="1"/>
  <c r="X683" i="2" s="1"/>
  <c r="K36" i="19"/>
  <c r="L36" i="19" s="1"/>
  <c r="E39" i="19"/>
  <c r="K39" i="19" s="1"/>
  <c r="L39" i="19" s="1"/>
  <c r="K36" i="17"/>
  <c r="L36" i="17" s="1"/>
  <c r="E39" i="17"/>
  <c r="K39" i="17" s="1"/>
  <c r="L39" i="17" s="1"/>
  <c r="H36" i="21"/>
  <c r="H39" i="21" s="1"/>
  <c r="K36" i="26"/>
  <c r="L36" i="26" s="1"/>
  <c r="E39" i="26"/>
  <c r="K39" i="26" s="1"/>
  <c r="L39" i="26" s="1"/>
  <c r="F36" i="21"/>
  <c r="F39" i="21" s="1"/>
  <c r="G36" i="21"/>
  <c r="G39" i="21" s="1"/>
  <c r="E36" i="21"/>
  <c r="E39" i="21" s="1"/>
  <c r="J36" i="21"/>
  <c r="J39" i="21" s="1"/>
  <c r="I36" i="21"/>
  <c r="I39" i="21" s="1"/>
  <c r="E36" i="25"/>
  <c r="G36" i="25"/>
  <c r="G39" i="25" s="1"/>
  <c r="I36" i="25"/>
  <c r="I39" i="25" s="1"/>
  <c r="D39" i="25"/>
  <c r="F36" i="25"/>
  <c r="F39" i="25" s="1"/>
  <c r="H36" i="25"/>
  <c r="H39" i="25" s="1"/>
  <c r="J36" i="25"/>
  <c r="J39" i="25" s="1"/>
  <c r="K36" i="20"/>
  <c r="L36" i="20" s="1"/>
  <c r="E39" i="20"/>
  <c r="K39" i="20" s="1"/>
  <c r="L39" i="20" s="1"/>
  <c r="K36" i="29"/>
  <c r="L36" i="29" s="1"/>
  <c r="E39" i="29"/>
  <c r="K39" i="29" s="1"/>
  <c r="L39" i="29" s="1"/>
  <c r="E18" i="27"/>
  <c r="D20" i="27"/>
  <c r="D24" i="27" s="1"/>
  <c r="D41" i="27" s="1"/>
  <c r="D48" i="27" s="1"/>
  <c r="K36" i="27"/>
  <c r="L36" i="27" s="1"/>
  <c r="E39" i="27"/>
  <c r="K39" i="27" s="1"/>
  <c r="L39" i="27" s="1"/>
  <c r="J35" i="14"/>
  <c r="J38" i="14" s="1"/>
  <c r="E35" i="14"/>
  <c r="E38" i="14" s="1"/>
  <c r="G35" i="14"/>
  <c r="G38" i="14" s="1"/>
  <c r="H35" i="14"/>
  <c r="H38" i="14" s="1"/>
  <c r="I35" i="14"/>
  <c r="I38" i="14" s="1"/>
  <c r="F35" i="14"/>
  <c r="F38" i="14" s="1"/>
  <c r="D50" i="23"/>
  <c r="E50" i="23" s="1"/>
  <c r="G50" i="23" s="1"/>
  <c r="P821" i="2"/>
  <c r="P825" i="2" s="1"/>
  <c r="D18" i="25" s="1"/>
  <c r="Q821" i="2"/>
  <c r="Q825" i="2" s="1"/>
  <c r="D18" i="26" s="1"/>
  <c r="D53" i="23"/>
  <c r="E53" i="23" s="1"/>
  <c r="G53" i="23" s="1"/>
  <c r="M821" i="2"/>
  <c r="M825" i="2" s="1"/>
  <c r="D18" i="19" s="1"/>
  <c r="D54" i="23"/>
  <c r="E54" i="23" s="1"/>
  <c r="G54" i="23" s="1"/>
  <c r="N821" i="2"/>
  <c r="N825" i="2" s="1"/>
  <c r="D18" i="20" s="1"/>
  <c r="D51" i="23"/>
  <c r="E51" i="23" s="1"/>
  <c r="G51" i="23" s="1"/>
  <c r="J821" i="2"/>
  <c r="J825" i="2" s="1"/>
  <c r="D18" i="29" s="1"/>
  <c r="D41" i="23"/>
  <c r="E28" i="23"/>
  <c r="D20" i="23"/>
  <c r="E7" i="23"/>
  <c r="G61" i="23"/>
  <c r="E58" i="23"/>
  <c r="G58" i="23" s="1"/>
  <c r="W768" i="2"/>
  <c r="X768" i="2" s="1"/>
  <c r="V770" i="2"/>
  <c r="D52" i="23"/>
  <c r="E52" i="23" s="1"/>
  <c r="G52" i="23" s="1"/>
  <c r="L821" i="2"/>
  <c r="L825" i="2" s="1"/>
  <c r="D18" i="17" s="1"/>
  <c r="D55" i="23"/>
  <c r="E55" i="23" s="1"/>
  <c r="G55" i="23" s="1"/>
  <c r="O821" i="2"/>
  <c r="O825" i="2" s="1"/>
  <c r="V785" i="2"/>
  <c r="W785" i="2" s="1"/>
  <c r="X785" i="2" s="1"/>
  <c r="G791" i="2"/>
  <c r="V791" i="2" s="1"/>
  <c r="W791" i="2" s="1"/>
  <c r="X791" i="2" s="1"/>
  <c r="G819" i="2"/>
  <c r="V811" i="2"/>
  <c r="W811" i="2" s="1"/>
  <c r="V813" i="2"/>
  <c r="W813" i="2" s="1"/>
  <c r="C62" i="23"/>
  <c r="E18" i="19" l="1"/>
  <c r="D20" i="19"/>
  <c r="D24" i="19" s="1"/>
  <c r="D41" i="19" s="1"/>
  <c r="D48" i="19" s="1"/>
  <c r="E18" i="17"/>
  <c r="D20" i="17"/>
  <c r="D24" i="17" s="1"/>
  <c r="D41" i="17" s="1"/>
  <c r="D48" i="17" s="1"/>
  <c r="E18" i="26"/>
  <c r="D20" i="26"/>
  <c r="D24" i="26" s="1"/>
  <c r="D41" i="26" s="1"/>
  <c r="D48" i="26" s="1"/>
  <c r="K39" i="21"/>
  <c r="L39" i="21" s="1"/>
  <c r="K36" i="25"/>
  <c r="L36" i="25" s="1"/>
  <c r="E39" i="25"/>
  <c r="K39" i="25" s="1"/>
  <c r="L39" i="25" s="1"/>
  <c r="D18" i="21"/>
  <c r="D20" i="21" s="1"/>
  <c r="D24" i="21" s="1"/>
  <c r="D41" i="21" s="1"/>
  <c r="D48" i="21" s="1"/>
  <c r="K36" i="21"/>
  <c r="L36" i="21" s="1"/>
  <c r="E18" i="20"/>
  <c r="D20" i="20"/>
  <c r="D24" i="20" s="1"/>
  <c r="D41" i="20" s="1"/>
  <c r="D48" i="20" s="1"/>
  <c r="E18" i="29"/>
  <c r="D20" i="29"/>
  <c r="D24" i="29" s="1"/>
  <c r="D41" i="29" s="1"/>
  <c r="D48" i="29" s="1"/>
  <c r="F18" i="27"/>
  <c r="E20" i="27"/>
  <c r="K35" i="14"/>
  <c r="L35" i="14" s="1"/>
  <c r="G7" i="23"/>
  <c r="E20" i="23"/>
  <c r="G20" i="23" s="1"/>
  <c r="D49" i="23"/>
  <c r="V819" i="2"/>
  <c r="W819" i="2" s="1"/>
  <c r="G821" i="2"/>
  <c r="G28" i="23"/>
  <c r="E41" i="23"/>
  <c r="G41" i="23" s="1"/>
  <c r="V778" i="2"/>
  <c r="W770" i="2"/>
  <c r="X770" i="2" s="1"/>
  <c r="K38" i="14"/>
  <c r="L38" i="14" s="1"/>
  <c r="F18" i="19" l="1"/>
  <c r="E20" i="19"/>
  <c r="F18" i="17"/>
  <c r="E20" i="17"/>
  <c r="F18" i="26"/>
  <c r="E20" i="26"/>
  <c r="E18" i="21"/>
  <c r="E20" i="21" s="1"/>
  <c r="E18" i="25"/>
  <c r="D20" i="25"/>
  <c r="D24" i="25" s="1"/>
  <c r="D41" i="25" s="1"/>
  <c r="D48" i="25" s="1"/>
  <c r="E20" i="20"/>
  <c r="F18" i="20"/>
  <c r="E20" i="29"/>
  <c r="F18" i="29"/>
  <c r="E24" i="27"/>
  <c r="F20" i="27"/>
  <c r="F24" i="27" s="1"/>
  <c r="G18" i="27"/>
  <c r="D62" i="23"/>
  <c r="E49" i="23"/>
  <c r="G825" i="2"/>
  <c r="D17" i="14" s="1"/>
  <c r="V821" i="2"/>
  <c r="W821" i="2" s="1"/>
  <c r="E24" i="19" l="1"/>
  <c r="F20" i="19"/>
  <c r="F24" i="19" s="1"/>
  <c r="G18" i="19"/>
  <c r="F18" i="21"/>
  <c r="F20" i="21" s="1"/>
  <c r="F24" i="21" s="1"/>
  <c r="E24" i="17"/>
  <c r="G18" i="17"/>
  <c r="F20" i="17"/>
  <c r="F24" i="17" s="1"/>
  <c r="E24" i="26"/>
  <c r="G18" i="26"/>
  <c r="F20" i="26"/>
  <c r="F24" i="26" s="1"/>
  <c r="F18" i="25"/>
  <c r="E20" i="25"/>
  <c r="E24" i="21"/>
  <c r="F20" i="20"/>
  <c r="F24" i="20" s="1"/>
  <c r="G18" i="20"/>
  <c r="E24" i="20"/>
  <c r="F20" i="29"/>
  <c r="F24" i="29" s="1"/>
  <c r="G18" i="29"/>
  <c r="E24" i="29"/>
  <c r="H18" i="27"/>
  <c r="G20" i="27"/>
  <c r="G24" i="27" s="1"/>
  <c r="E17" i="14"/>
  <c r="D19" i="14"/>
  <c r="D23" i="14" s="1"/>
  <c r="D40" i="14" s="1"/>
  <c r="D47" i="14" s="1"/>
  <c r="G49" i="23"/>
  <c r="E62" i="23"/>
  <c r="G62" i="23" s="1"/>
  <c r="H18" i="19" l="1"/>
  <c r="G20" i="19"/>
  <c r="G24" i="19" s="1"/>
  <c r="G18" i="21"/>
  <c r="G20" i="21" s="1"/>
  <c r="G20" i="17"/>
  <c r="G24" i="17" s="1"/>
  <c r="H18" i="17"/>
  <c r="H18" i="26"/>
  <c r="G20" i="26"/>
  <c r="G24" i="26" s="1"/>
  <c r="E24" i="25"/>
  <c r="G18" i="25"/>
  <c r="F20" i="25"/>
  <c r="F24" i="25" s="1"/>
  <c r="G20" i="20"/>
  <c r="H18" i="20"/>
  <c r="H18" i="29"/>
  <c r="G20" i="29"/>
  <c r="I18" i="27"/>
  <c r="H20" i="27"/>
  <c r="F17" i="14"/>
  <c r="E19" i="14"/>
  <c r="H18" i="21" l="1"/>
  <c r="H20" i="21" s="1"/>
  <c r="H24" i="21" s="1"/>
  <c r="H20" i="19"/>
  <c r="I18" i="19"/>
  <c r="H20" i="17"/>
  <c r="I18" i="17"/>
  <c r="I18" i="26"/>
  <c r="H20" i="26"/>
  <c r="H24" i="26" s="1"/>
  <c r="G20" i="25"/>
  <c r="G24" i="25" s="1"/>
  <c r="H18" i="25"/>
  <c r="G24" i="21"/>
  <c r="G24" i="20"/>
  <c r="H20" i="20"/>
  <c r="H24" i="20" s="1"/>
  <c r="I18" i="20"/>
  <c r="G24" i="29"/>
  <c r="I18" i="29"/>
  <c r="H20" i="29"/>
  <c r="H24" i="29" s="1"/>
  <c r="H24" i="27"/>
  <c r="I20" i="27"/>
  <c r="I24" i="27" s="1"/>
  <c r="J18" i="27"/>
  <c r="J20" i="27" s="1"/>
  <c r="J24" i="27" s="1"/>
  <c r="E23" i="14"/>
  <c r="G17" i="14"/>
  <c r="F19" i="14"/>
  <c r="F23" i="14" s="1"/>
  <c r="I18" i="21" l="1"/>
  <c r="I20" i="21" s="1"/>
  <c r="I24" i="21" s="1"/>
  <c r="I20" i="19"/>
  <c r="I24" i="19" s="1"/>
  <c r="J18" i="19"/>
  <c r="J20" i="19" s="1"/>
  <c r="J24" i="19" s="1"/>
  <c r="H24" i="19"/>
  <c r="J18" i="17"/>
  <c r="J20" i="17" s="1"/>
  <c r="J24" i="17" s="1"/>
  <c r="I20" i="17"/>
  <c r="I24" i="17" s="1"/>
  <c r="H24" i="17"/>
  <c r="I20" i="26"/>
  <c r="I24" i="26" s="1"/>
  <c r="J18" i="26"/>
  <c r="J20" i="26" s="1"/>
  <c r="J24" i="26" s="1"/>
  <c r="H20" i="25"/>
  <c r="H24" i="25" s="1"/>
  <c r="I18" i="25"/>
  <c r="J18" i="20"/>
  <c r="J20" i="20" s="1"/>
  <c r="J24" i="20" s="1"/>
  <c r="I20" i="20"/>
  <c r="I24" i="20" s="1"/>
  <c r="K20" i="27"/>
  <c r="L20" i="27" s="1"/>
  <c r="J18" i="29"/>
  <c r="J20" i="29" s="1"/>
  <c r="J24" i="29" s="1"/>
  <c r="I20" i="29"/>
  <c r="I24" i="29" s="1"/>
  <c r="K24" i="27"/>
  <c r="H17" i="14"/>
  <c r="G19" i="14"/>
  <c r="G23" i="14" s="1"/>
  <c r="J18" i="21" l="1"/>
  <c r="J20" i="21" s="1"/>
  <c r="J24" i="21" s="1"/>
  <c r="K24" i="21" s="1"/>
  <c r="H26" i="21" s="1"/>
  <c r="H41" i="21" s="1"/>
  <c r="H48" i="21" s="1"/>
  <c r="H52" i="21" s="1"/>
  <c r="K20" i="19"/>
  <c r="L20" i="19" s="1"/>
  <c r="K24" i="19"/>
  <c r="J26" i="19" s="1"/>
  <c r="J41" i="19" s="1"/>
  <c r="J48" i="19" s="1"/>
  <c r="J52" i="19" s="1"/>
  <c r="K24" i="26"/>
  <c r="H26" i="26" s="1"/>
  <c r="H41" i="26" s="1"/>
  <c r="H48" i="26" s="1"/>
  <c r="H52" i="26" s="1"/>
  <c r="K20" i="17"/>
  <c r="L20" i="17" s="1"/>
  <c r="K24" i="17"/>
  <c r="J26" i="17" s="1"/>
  <c r="J41" i="17" s="1"/>
  <c r="J48" i="17" s="1"/>
  <c r="J52" i="17" s="1"/>
  <c r="K20" i="26"/>
  <c r="L20" i="26" s="1"/>
  <c r="I20" i="25"/>
  <c r="J18" i="25"/>
  <c r="J20" i="25" s="1"/>
  <c r="J24" i="25" s="1"/>
  <c r="K24" i="29"/>
  <c r="G26" i="29" s="1"/>
  <c r="G41" i="29" s="1"/>
  <c r="G48" i="29" s="1"/>
  <c r="G52" i="29" s="1"/>
  <c r="K20" i="20"/>
  <c r="L20" i="20" s="1"/>
  <c r="K20" i="29"/>
  <c r="L20" i="29" s="1"/>
  <c r="K24" i="20"/>
  <c r="I26" i="20" s="1"/>
  <c r="I41" i="20" s="1"/>
  <c r="I48" i="20" s="1"/>
  <c r="I52" i="20" s="1"/>
  <c r="I26" i="27"/>
  <c r="I41" i="27" s="1"/>
  <c r="I48" i="27" s="1"/>
  <c r="I52" i="27" s="1"/>
  <c r="L24" i="27"/>
  <c r="F26" i="27"/>
  <c r="F41" i="27" s="1"/>
  <c r="F48" i="27" s="1"/>
  <c r="F52" i="27" s="1"/>
  <c r="K56" i="27" s="1"/>
  <c r="E26" i="27"/>
  <c r="G26" i="27"/>
  <c r="G41" i="27" s="1"/>
  <c r="G48" i="27" s="1"/>
  <c r="G52" i="27" s="1"/>
  <c r="H26" i="27"/>
  <c r="H41" i="27" s="1"/>
  <c r="H48" i="27" s="1"/>
  <c r="H52" i="27" s="1"/>
  <c r="J26" i="27"/>
  <c r="J41" i="27" s="1"/>
  <c r="J48" i="27" s="1"/>
  <c r="J52" i="27" s="1"/>
  <c r="I17" i="14"/>
  <c r="H19" i="14"/>
  <c r="I26" i="19" l="1"/>
  <c r="I41" i="19" s="1"/>
  <c r="I48" i="19" s="1"/>
  <c r="I52" i="19" s="1"/>
  <c r="K52" i="19" s="1"/>
  <c r="K20" i="21"/>
  <c r="L20" i="21" s="1"/>
  <c r="L24" i="26"/>
  <c r="I26" i="26"/>
  <c r="I41" i="26" s="1"/>
  <c r="I48" i="26" s="1"/>
  <c r="I52" i="26" s="1"/>
  <c r="G26" i="26"/>
  <c r="G41" i="26" s="1"/>
  <c r="G48" i="26" s="1"/>
  <c r="G52" i="26" s="1"/>
  <c r="E26" i="26"/>
  <c r="E41" i="26" s="1"/>
  <c r="F26" i="26"/>
  <c r="F41" i="26" s="1"/>
  <c r="F48" i="26" s="1"/>
  <c r="F52" i="26" s="1"/>
  <c r="K56" i="26" s="1"/>
  <c r="J26" i="26"/>
  <c r="J41" i="26" s="1"/>
  <c r="J48" i="26" s="1"/>
  <c r="J52" i="26" s="1"/>
  <c r="L24" i="19"/>
  <c r="E26" i="19"/>
  <c r="F26" i="19"/>
  <c r="F41" i="19" s="1"/>
  <c r="F48" i="19" s="1"/>
  <c r="F52" i="19" s="1"/>
  <c r="K56" i="19" s="1"/>
  <c r="G26" i="19"/>
  <c r="G41" i="19" s="1"/>
  <c r="G48" i="19" s="1"/>
  <c r="G52" i="19" s="1"/>
  <c r="H26" i="19"/>
  <c r="H41" i="19" s="1"/>
  <c r="H48" i="19" s="1"/>
  <c r="H52" i="19" s="1"/>
  <c r="E26" i="21"/>
  <c r="E41" i="21" s="1"/>
  <c r="I26" i="21"/>
  <c r="I41" i="21" s="1"/>
  <c r="I48" i="21" s="1"/>
  <c r="I52" i="21" s="1"/>
  <c r="F26" i="21"/>
  <c r="F41" i="21" s="1"/>
  <c r="F48" i="21" s="1"/>
  <c r="F52" i="21" s="1"/>
  <c r="K56" i="21" s="1"/>
  <c r="L24" i="21"/>
  <c r="I26" i="17"/>
  <c r="I41" i="17" s="1"/>
  <c r="I48" i="17" s="1"/>
  <c r="I52" i="17" s="1"/>
  <c r="K52" i="17" s="1"/>
  <c r="L24" i="17"/>
  <c r="F26" i="17"/>
  <c r="F41" i="17" s="1"/>
  <c r="F48" i="17" s="1"/>
  <c r="F52" i="17" s="1"/>
  <c r="K56" i="17" s="1"/>
  <c r="E26" i="17"/>
  <c r="G26" i="17"/>
  <c r="G41" i="17" s="1"/>
  <c r="G48" i="17" s="1"/>
  <c r="G52" i="17" s="1"/>
  <c r="J26" i="21"/>
  <c r="J41" i="21" s="1"/>
  <c r="J48" i="21" s="1"/>
  <c r="J52" i="21" s="1"/>
  <c r="H26" i="17"/>
  <c r="H41" i="17" s="1"/>
  <c r="H48" i="17" s="1"/>
  <c r="H52" i="17" s="1"/>
  <c r="G26" i="21"/>
  <c r="G41" i="21" s="1"/>
  <c r="G48" i="21" s="1"/>
  <c r="G52" i="21" s="1"/>
  <c r="H26" i="29"/>
  <c r="H41" i="29" s="1"/>
  <c r="H48" i="29" s="1"/>
  <c r="H52" i="29" s="1"/>
  <c r="F26" i="29"/>
  <c r="F41" i="29" s="1"/>
  <c r="F48" i="29" s="1"/>
  <c r="F52" i="29" s="1"/>
  <c r="K56" i="29" s="1"/>
  <c r="J26" i="29"/>
  <c r="J41" i="29" s="1"/>
  <c r="J48" i="29" s="1"/>
  <c r="J52" i="29" s="1"/>
  <c r="I26" i="29"/>
  <c r="I41" i="29" s="1"/>
  <c r="I48" i="29" s="1"/>
  <c r="I52" i="29" s="1"/>
  <c r="E26" i="29"/>
  <c r="E41" i="29" s="1"/>
  <c r="L24" i="29"/>
  <c r="I24" i="25"/>
  <c r="K20" i="25"/>
  <c r="L20" i="25" s="1"/>
  <c r="J26" i="20"/>
  <c r="J41" i="20" s="1"/>
  <c r="J48" i="20" s="1"/>
  <c r="J52" i="20" s="1"/>
  <c r="K54" i="20" s="1"/>
  <c r="K52" i="27"/>
  <c r="H26" i="20"/>
  <c r="H41" i="20" s="1"/>
  <c r="H48" i="20" s="1"/>
  <c r="H52" i="20" s="1"/>
  <c r="L24" i="20"/>
  <c r="E26" i="20"/>
  <c r="F26" i="20"/>
  <c r="F41" i="20" s="1"/>
  <c r="F48" i="20" s="1"/>
  <c r="F52" i="20" s="1"/>
  <c r="K56" i="20" s="1"/>
  <c r="G26" i="20"/>
  <c r="G41" i="20" s="1"/>
  <c r="G48" i="20" s="1"/>
  <c r="G52" i="20" s="1"/>
  <c r="K54" i="27"/>
  <c r="K59" i="27" s="1"/>
  <c r="K60" i="27" s="1"/>
  <c r="K26" i="27"/>
  <c r="L26" i="27" s="1"/>
  <c r="E41" i="27"/>
  <c r="H23" i="14"/>
  <c r="J17" i="14"/>
  <c r="J19" i="14" s="1"/>
  <c r="J23" i="14" s="1"/>
  <c r="I19" i="14"/>
  <c r="I23" i="14" s="1"/>
  <c r="K54" i="19" l="1"/>
  <c r="K52" i="26"/>
  <c r="K52" i="21"/>
  <c r="K54" i="21"/>
  <c r="K26" i="26"/>
  <c r="L26" i="26" s="1"/>
  <c r="K54" i="26"/>
  <c r="K26" i="19"/>
  <c r="L26" i="19" s="1"/>
  <c r="E41" i="19"/>
  <c r="K54" i="29"/>
  <c r="K59" i="29" s="1"/>
  <c r="K60" i="29" s="1"/>
  <c r="K54" i="17"/>
  <c r="K26" i="17"/>
  <c r="L26" i="17" s="1"/>
  <c r="E41" i="17"/>
  <c r="K26" i="21"/>
  <c r="L26" i="21" s="1"/>
  <c r="K52" i="29"/>
  <c r="K41" i="26"/>
  <c r="L41" i="26" s="1"/>
  <c r="E48" i="26"/>
  <c r="K26" i="29"/>
  <c r="L26" i="29" s="1"/>
  <c r="K52" i="20"/>
  <c r="K24" i="25"/>
  <c r="K41" i="21"/>
  <c r="L41" i="21" s="1"/>
  <c r="E48" i="21"/>
  <c r="K26" i="20"/>
  <c r="L26" i="20" s="1"/>
  <c r="E41" i="20"/>
  <c r="K41" i="29"/>
  <c r="L41" i="29" s="1"/>
  <c r="E48" i="29"/>
  <c r="K41" i="27"/>
  <c r="L41" i="27" s="1"/>
  <c r="E48" i="27"/>
  <c r="K19" i="14"/>
  <c r="L19" i="14" s="1"/>
  <c r="K23" i="14"/>
  <c r="K41" i="19" l="1"/>
  <c r="L41" i="19" s="1"/>
  <c r="E48" i="19"/>
  <c r="K41" i="17"/>
  <c r="L41" i="17" s="1"/>
  <c r="E48" i="17"/>
  <c r="E52" i="26"/>
  <c r="K55" i="26" s="1"/>
  <c r="K48" i="26"/>
  <c r="L48" i="26" s="1"/>
  <c r="J26" i="25"/>
  <c r="J41" i="25" s="1"/>
  <c r="J48" i="25" s="1"/>
  <c r="J52" i="25" s="1"/>
  <c r="L24" i="25"/>
  <c r="F26" i="25"/>
  <c r="F41" i="25" s="1"/>
  <c r="F48" i="25" s="1"/>
  <c r="F52" i="25" s="1"/>
  <c r="K56" i="25" s="1"/>
  <c r="E26" i="25"/>
  <c r="G26" i="25"/>
  <c r="G41" i="25" s="1"/>
  <c r="G48" i="25" s="1"/>
  <c r="G52" i="25" s="1"/>
  <c r="H26" i="25"/>
  <c r="H41" i="25" s="1"/>
  <c r="H48" i="25" s="1"/>
  <c r="H52" i="25" s="1"/>
  <c r="I26" i="25"/>
  <c r="I41" i="25" s="1"/>
  <c r="I48" i="25" s="1"/>
  <c r="I52" i="25" s="1"/>
  <c r="K48" i="21"/>
  <c r="L48" i="21" s="1"/>
  <c r="E52" i="21"/>
  <c r="K55" i="21" s="1"/>
  <c r="K41" i="20"/>
  <c r="L41" i="20" s="1"/>
  <c r="E48" i="20"/>
  <c r="E52" i="29"/>
  <c r="K55" i="29" s="1"/>
  <c r="K62" i="29" s="1"/>
  <c r="L62" i="29" s="1"/>
  <c r="K48" i="29"/>
  <c r="L48" i="29" s="1"/>
  <c r="K48" i="27"/>
  <c r="L48" i="27" s="1"/>
  <c r="E52" i="27"/>
  <c r="K55" i="27" s="1"/>
  <c r="K62" i="27" s="1"/>
  <c r="L62" i="27" s="1"/>
  <c r="L23" i="14"/>
  <c r="F25" i="14"/>
  <c r="F40" i="14" s="1"/>
  <c r="F47" i="14" s="1"/>
  <c r="E25" i="14"/>
  <c r="G25" i="14"/>
  <c r="G40" i="14" s="1"/>
  <c r="G47" i="14" s="1"/>
  <c r="H25" i="14"/>
  <c r="H40" i="14" s="1"/>
  <c r="H47" i="14" s="1"/>
  <c r="J25" i="14"/>
  <c r="J40" i="14" s="1"/>
  <c r="J47" i="14" s="1"/>
  <c r="I25" i="14"/>
  <c r="I40" i="14" s="1"/>
  <c r="I47" i="14" s="1"/>
  <c r="I51" i="14" s="1"/>
  <c r="F51" i="14" l="1"/>
  <c r="K56" i="14" s="1"/>
  <c r="J51" i="14"/>
  <c r="K52" i="14" s="1"/>
  <c r="K60" i="14" s="1"/>
  <c r="K61" i="14" s="1"/>
  <c r="H51" i="14"/>
  <c r="G51" i="14"/>
  <c r="E52" i="19"/>
  <c r="K55" i="19" s="1"/>
  <c r="K48" i="19"/>
  <c r="L48" i="19" s="1"/>
  <c r="K48" i="17"/>
  <c r="L48" i="17" s="1"/>
  <c r="E52" i="17"/>
  <c r="K55" i="17" s="1"/>
  <c r="K26" i="25"/>
  <c r="L26" i="25" s="1"/>
  <c r="E41" i="25"/>
  <c r="K54" i="25"/>
  <c r="K52" i="25"/>
  <c r="E52" i="20"/>
  <c r="K55" i="20" s="1"/>
  <c r="K48" i="20"/>
  <c r="L48" i="20" s="1"/>
  <c r="K25" i="14"/>
  <c r="L25" i="14" s="1"/>
  <c r="E40" i="14"/>
  <c r="K51" i="14" l="1"/>
  <c r="K41" i="25"/>
  <c r="L41" i="25" s="1"/>
  <c r="E48" i="25"/>
  <c r="K40" i="14"/>
  <c r="L40" i="14" s="1"/>
  <c r="E47" i="14"/>
  <c r="E52" i="25" l="1"/>
  <c r="K55" i="25" s="1"/>
  <c r="K48" i="25"/>
  <c r="L48" i="25" s="1"/>
  <c r="E51" i="14"/>
  <c r="K53" i="14" s="1"/>
  <c r="K47" i="14"/>
  <c r="L47" i="14" s="1"/>
  <c r="K63" i="14" l="1"/>
  <c r="L63" i="14" s="1"/>
  <c r="K55" i="14"/>
</calcChain>
</file>

<file path=xl/sharedStrings.xml><?xml version="1.0" encoding="utf-8"?>
<sst xmlns="http://schemas.openxmlformats.org/spreadsheetml/2006/main" count="6114" uniqueCount="2456">
  <si>
    <t xml:space="preserve">    DISTRIBUTION</t>
  </si>
  <si>
    <t xml:space="preserve">    POWER POOL</t>
  </si>
  <si>
    <t xml:space="preserve">    ALL OTHER</t>
  </si>
  <si>
    <t xml:space="preserve"> TOTAL KENTUCKY DISTRIB PLANT</t>
  </si>
  <si>
    <t xml:space="preserve"> VIRGINIA DISTRIBUTION PLANT</t>
  </si>
  <si>
    <t xml:space="preserve"> TOTAL VIRGINIA DISTRIB PLANT</t>
  </si>
  <si>
    <t>ACCUMULATED PROVISION FOR DEP</t>
  </si>
  <si>
    <t xml:space="preserve"> PRODUCTION PLANT</t>
  </si>
  <si>
    <t xml:space="preserve">  STEAM PRODUCTION PLANT</t>
  </si>
  <si>
    <t xml:space="preserve">    SYSTEM</t>
  </si>
  <si>
    <t>Less Allocated RWIP</t>
  </si>
  <si>
    <t xml:space="preserve">    FERC-AFUDC PRE</t>
  </si>
  <si>
    <t xml:space="preserve">    FERC-AFUDC POST</t>
  </si>
  <si>
    <t xml:space="preserve">     TOTAL STEAM PROD PLT</t>
  </si>
  <si>
    <t xml:space="preserve">  HYDRAULIC PRODUCTION PLANT</t>
  </si>
  <si>
    <t xml:space="preserve">     TOTAL HYDRO PROD PLT</t>
  </si>
  <si>
    <t xml:space="preserve">  OTHER PRODUCTION PLANT</t>
  </si>
  <si>
    <t xml:space="preserve">     TOTAL OTHER PROD PLT</t>
  </si>
  <si>
    <t xml:space="preserve"> TOTAL PRODUCTION PLANT</t>
  </si>
  <si>
    <t xml:space="preserve"> TRANSMISSION PLANT</t>
  </si>
  <si>
    <t xml:space="preserve"> TOTAL TRANSMISSION PLANT</t>
  </si>
  <si>
    <t xml:space="preserve"> TOTAL DISTRIBUTION PLANT</t>
  </si>
  <si>
    <t xml:space="preserve"> GENERAL PLANT</t>
  </si>
  <si>
    <t xml:space="preserve"> INTANGIBLE PLANT-FRANCHISES</t>
  </si>
  <si>
    <t xml:space="preserve"> INTANGIBLE PLANT-SOFTWARE</t>
  </si>
  <si>
    <t>TOTAL DEPRECIATION RESERVE</t>
  </si>
  <si>
    <t>ADDITIONS TO NET PLANT</t>
  </si>
  <si>
    <t>VIRGINIA DISTRIBUTION PLANT</t>
  </si>
  <si>
    <t>VADIST</t>
  </si>
  <si>
    <t>TENNESSEE DISTRIBUTION PLT</t>
  </si>
  <si>
    <t>TNDIST</t>
  </si>
  <si>
    <t>NET ELECTRIC PLANT IN SERVICE</t>
  </si>
  <si>
    <t>NETPLANT</t>
  </si>
  <si>
    <t>RATE BASE</t>
  </si>
  <si>
    <t>RATEBASE</t>
  </si>
  <si>
    <t>TOTAL CWIP FERC-AFUDC POST</t>
  </si>
  <si>
    <t>TOTAL 203(E) EXCESS</t>
  </si>
  <si>
    <t>STEAM OPERATING EXP 501-507</t>
  </si>
  <si>
    <t>STEAM MAINTENANCE EXP 511-514</t>
  </si>
  <si>
    <t>HYDRO OPERATING EXP 536-540</t>
  </si>
  <si>
    <t>HYDRO MAINTENANCE EXP 542-545</t>
  </si>
  <si>
    <t>OTHER PROD OPER EXP 547-549</t>
  </si>
  <si>
    <t>OTHER PROD MAINT EXP 552-554</t>
  </si>
  <si>
    <t>TOT STEAM OPERATIONS LABOR</t>
  </si>
  <si>
    <t>LABSTMOP</t>
  </si>
  <si>
    <t>TOT STEAM MAINTENANCE LABOR</t>
  </si>
  <si>
    <t>LABSTMMN</t>
  </si>
  <si>
    <t>TOT HYDRO OPERATIONS LABOR</t>
  </si>
  <si>
    <t>LABHYDOP</t>
  </si>
  <si>
    <t>TOT HYDRO MAINTENANCE LABOR</t>
  </si>
  <si>
    <t>LABHYDMN</t>
  </si>
  <si>
    <t>TOT OTHER OPERATIONS LABOR</t>
  </si>
  <si>
    <t>LABOTHOP</t>
  </si>
  <si>
    <t>PPWDRA</t>
  </si>
  <si>
    <t>PPWDT</t>
  </si>
  <si>
    <t>PPWDA</t>
  </si>
  <si>
    <t>PPSDRA</t>
  </si>
  <si>
    <t>PPSDT</t>
  </si>
  <si>
    <t>PPSDA</t>
  </si>
  <si>
    <t>LABPTDFER</t>
  </si>
  <si>
    <t>REVENUES FROM ELECTRIC SALES</t>
  </si>
  <si>
    <t>ANNUALIZATION</t>
  </si>
  <si>
    <t>RATIO TABLE</t>
  </si>
  <si>
    <t>CAPACITY RELATED</t>
  </si>
  <si>
    <t xml:space="preserve">DIR ASSIGN ACCUM DEPREC.VA &amp; TN </t>
  </si>
  <si>
    <t>DIR ASSIGN CWIP VA &amp; TN</t>
  </si>
  <si>
    <t>DIR ASSIGN ACC DFD TAX VA</t>
  </si>
  <si>
    <t>Functional</t>
  </si>
  <si>
    <t>Total</t>
  </si>
  <si>
    <t>Accretion Expenses</t>
  </si>
  <si>
    <t xml:space="preserve">  Production Plant</t>
  </si>
  <si>
    <t xml:space="preserve">  Transmission Plant</t>
  </si>
  <si>
    <t>TACRT</t>
  </si>
  <si>
    <t>ACRTPP</t>
  </si>
  <si>
    <t>ACRTTP</t>
  </si>
  <si>
    <t>ACPPDB</t>
  </si>
  <si>
    <t>ACPPDI</t>
  </si>
  <si>
    <t>ACPPDP</t>
  </si>
  <si>
    <t>ACPPEB</t>
  </si>
  <si>
    <t>ACPPEI</t>
  </si>
  <si>
    <t>ACPPEP</t>
  </si>
  <si>
    <t>ACPPT</t>
  </si>
  <si>
    <t>ACTRB</t>
  </si>
  <si>
    <t>ACTRI</t>
  </si>
  <si>
    <t>ACTRP</t>
  </si>
  <si>
    <t>ACTRT</t>
  </si>
  <si>
    <t>ACDPS</t>
  </si>
  <si>
    <t>ACDSG</t>
  </si>
  <si>
    <t>ACDPLS</t>
  </si>
  <si>
    <t>ACDPLD</t>
  </si>
  <si>
    <t>ACDPLC</t>
  </si>
  <si>
    <t>ACDSLD</t>
  </si>
  <si>
    <t>ACDSLC</t>
  </si>
  <si>
    <t>ACDLT</t>
  </si>
  <si>
    <t>ACDLTD</t>
  </si>
  <si>
    <t>ACDLTC</t>
  </si>
  <si>
    <t>ACDLTT</t>
  </si>
  <si>
    <t>ACDSC</t>
  </si>
  <si>
    <t>ACDMC</t>
  </si>
  <si>
    <t>ACDSCL</t>
  </si>
  <si>
    <t>ACCAE</t>
  </si>
  <si>
    <t>ACCSI</t>
  </si>
  <si>
    <t>ACT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</si>
  <si>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</si>
  <si>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</si>
  <si>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</si>
  <si>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</si>
  <si>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</si>
  <si>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</si>
  <si>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</si>
  <si>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</si>
  <si>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</si>
  <si>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</si>
  <si>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</si>
  <si>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</si>
  <si>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</si>
  <si>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</si>
  <si>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</si>
  <si>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</si>
  <si>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</si>
  <si>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</si>
  <si>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</si>
  <si>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</si>
  <si>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</si>
  <si>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</si>
  <si>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</si>
  <si>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</si>
  <si>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</si>
  <si>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</si>
  <si>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 xml:space="preserve">  542-STRUCTURES</t>
  </si>
  <si>
    <t xml:space="preserve">  543-RESERV, DAMS &amp; WATERWAY</t>
  </si>
  <si>
    <t xml:space="preserve">  544-ELECTRIC PLANT</t>
  </si>
  <si>
    <t xml:space="preserve">  545-MISC HYDRAULIC PLANT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</si>
  <si>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</si>
  <si>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</si>
  <si>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</si>
  <si>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</si>
  <si>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</si>
  <si>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</si>
  <si>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</si>
  <si>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 xml:space="preserve">  Production Demand - Peak</t>
  </si>
  <si>
    <t xml:space="preserve">  Production Energy - Base</t>
  </si>
  <si>
    <t xml:space="preserve">  Production Energy - Peak</t>
  </si>
  <si>
    <t xml:space="preserve">  Production Demand - Inter.</t>
  </si>
  <si>
    <t xml:space="preserve">  Production Energy - Inter.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</si>
  <si>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</si>
  <si>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</si>
  <si>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</si>
  <si>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</si>
  <si>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</si>
  <si>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</si>
  <si>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</si>
  <si>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</si>
  <si>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</si>
  <si>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</si>
  <si>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</si>
  <si>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</si>
  <si>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</si>
  <si>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</si>
  <si>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</si>
  <si>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</si>
  <si>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</si>
  <si>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</si>
  <si>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</si>
  <si>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</si>
  <si>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</si>
  <si>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</si>
  <si>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</si>
  <si>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</si>
  <si>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</si>
  <si>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</si>
  <si>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</si>
  <si>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</si>
  <si>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</si>
  <si>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</si>
  <si>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</si>
  <si>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</si>
  <si>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</si>
  <si>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</si>
  <si>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</si>
  <si>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</si>
  <si>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</si>
  <si>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</si>
  <si>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</si>
  <si>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</si>
  <si>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</si>
  <si>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</si>
  <si>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</si>
  <si>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</si>
  <si>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</si>
  <si>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</si>
  <si>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</si>
  <si>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</si>
  <si>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</si>
  <si>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</si>
  <si>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</si>
  <si>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</si>
  <si>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Less: Acummulated Provision for Depreciation</t>
  </si>
  <si>
    <t xml:space="preserve">  General Plant</t>
  </si>
  <si>
    <t>ADEPRGP</t>
  </si>
  <si>
    <t xml:space="preserve">   Total Accumulated Depreciation</t>
  </si>
  <si>
    <t>TADEPR</t>
  </si>
  <si>
    <t>Net Utility Plant</t>
  </si>
  <si>
    <t>NTPLANT</t>
  </si>
  <si>
    <t>Total Prod, Trans, and Dist Plant</t>
  </si>
  <si>
    <t>Customer Advances</t>
  </si>
  <si>
    <t>Operating Revenue</t>
  </si>
  <si>
    <t>Pro-Forma Adjustments</t>
  </si>
  <si>
    <t>Total Pro-Forma Operating Expenses</t>
  </si>
  <si>
    <t>Net Income</t>
  </si>
  <si>
    <t>High Load Factor - Secondary</t>
  </si>
  <si>
    <t>High Load Factor - Primary</t>
  </si>
  <si>
    <t>Combined Light &amp; Power - Secondary</t>
  </si>
  <si>
    <t>Combined Light &amp; Power - Primary</t>
  </si>
  <si>
    <t>General Service - Secondary</t>
  </si>
  <si>
    <t>General Service - Primary</t>
  </si>
  <si>
    <t>Residential - Rate RS</t>
  </si>
  <si>
    <t>Residential - Rate FERS</t>
  </si>
  <si>
    <t>LBSUB6</t>
  </si>
  <si>
    <t>Combined Light &amp; Power - Trans.</t>
  </si>
  <si>
    <t>LMP Time of Day - Primary</t>
  </si>
  <si>
    <t>LMP Time of Day - Transmission</t>
  </si>
  <si>
    <t>MP Time of Day - Primary</t>
  </si>
  <si>
    <t>MP Time of Day - Transmission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</si>
  <si>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</si>
  <si>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</si>
  <si>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</si>
  <si>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</si>
  <si>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</si>
  <si>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</si>
  <si>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</si>
  <si>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</si>
  <si>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</si>
  <si>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</si>
  <si>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</si>
  <si>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</si>
  <si>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</si>
  <si>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</si>
  <si>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</si>
  <si>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</si>
  <si>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</si>
  <si>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</si>
  <si>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</si>
  <si>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</si>
  <si>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</si>
  <si>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</si>
  <si>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</si>
  <si>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</si>
  <si>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</si>
  <si>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</si>
  <si>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</si>
  <si>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</si>
  <si>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</si>
  <si>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</si>
  <si>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</si>
  <si>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</si>
  <si>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</si>
  <si>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</si>
  <si>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</si>
  <si>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</si>
  <si>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</si>
  <si>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</si>
  <si>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</si>
  <si>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</si>
  <si>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</si>
  <si>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</si>
  <si>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</si>
  <si>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</si>
  <si>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</si>
  <si>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</si>
  <si>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</si>
  <si>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</si>
  <si>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</si>
  <si>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Regulatory Credits and Accretion Expenses</t>
  </si>
  <si>
    <t>Total Regulatory Credits and Accretion Expenses</t>
  </si>
  <si>
    <t xml:space="preserve">   Regulatory Credits and Accretion Expenses</t>
  </si>
  <si>
    <t>Labor adjustment</t>
  </si>
  <si>
    <t>Amortization of rate case expenses</t>
  </si>
  <si>
    <t>TOTAL OPERATION &amp; MAINTENANCE</t>
  </si>
  <si>
    <t xml:space="preserve">TOTAL OPERATION </t>
  </si>
  <si>
    <t>TOTAL MAINTENANCE</t>
  </si>
  <si>
    <t>TOTAL OPERATION LESS FUEL AND PURCHASED POWER</t>
  </si>
  <si>
    <t>Curtailable Service Rider</t>
  </si>
  <si>
    <t xml:space="preserve"> PLANT COMPONENT</t>
  </si>
  <si>
    <t xml:space="preserve">  924-PROPERTY INSURANCE</t>
  </si>
  <si>
    <t xml:space="preserve">     TOTAL NET PLT COMPONENT</t>
  </si>
  <si>
    <t xml:space="preserve"> LABOR COMPONENT</t>
  </si>
  <si>
    <t xml:space="preserve">  920-ADMIN &amp; GENERAL EXP</t>
  </si>
  <si>
    <t xml:space="preserve">  921-OFFICE SUPPLIES &amp; EXP</t>
  </si>
  <si>
    <t xml:space="preserve">  922-ADMIN EXP TRANSF-CRED</t>
  </si>
  <si>
    <t xml:space="preserve">  923-OUTSIDE SERVICES</t>
  </si>
  <si>
    <t xml:space="preserve">  925-INJURIES &amp; DAMAGES</t>
  </si>
  <si>
    <t xml:space="preserve">  926-PENSIONS &amp; BENEFITS</t>
  </si>
  <si>
    <t xml:space="preserve">  929-DUPLICATE CHARGES-CR</t>
  </si>
  <si>
    <t xml:space="preserve">  931-RENTS</t>
  </si>
  <si>
    <t xml:space="preserve">  935-MAINTENANCE</t>
  </si>
  <si>
    <t xml:space="preserve">     TOTAL LABOR COMPONENT</t>
  </si>
  <si>
    <t xml:space="preserve">  928-REGULATORY COMMISSION</t>
  </si>
  <si>
    <t xml:space="preserve">    FEDERAL JURISDICTION</t>
  </si>
  <si>
    <t xml:space="preserve">    VIRGINIA JURISDICTION</t>
  </si>
  <si>
    <t xml:space="preserve">    928 ALLOCATED</t>
  </si>
  <si>
    <t xml:space="preserve">      TOTAL ACCOUNT 928</t>
  </si>
  <si>
    <t xml:space="preserve">  927-FRANCHISE NJ VA</t>
  </si>
  <si>
    <t>TOTAL ADMINISTRATIVE &amp; GEN</t>
  </si>
  <si>
    <t>Main Exp FS</t>
  </si>
  <si>
    <t>OMDM</t>
  </si>
  <si>
    <t>OMSUB</t>
  </si>
  <si>
    <t>Operation and Maintenance Expenses (Continued)</t>
  </si>
  <si>
    <t>Sub-Total Labor Exp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</si>
  <si>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</si>
  <si>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</si>
  <si>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</si>
  <si>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</si>
  <si>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</si>
  <si>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</si>
  <si>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</si>
  <si>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</si>
  <si>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</si>
  <si>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</si>
  <si>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</si>
  <si>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</si>
  <si>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</si>
  <si>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DUPLICATE CHARGES</t>
  </si>
  <si>
    <t>Remove off-system ECR revenues</t>
  </si>
  <si>
    <t>Year end adjustment</t>
  </si>
  <si>
    <t xml:space="preserve">  PSC ASSESSMENT-KY REVENUE</t>
  </si>
  <si>
    <t xml:space="preserve">  VA GROSS RECEIPTS TAX</t>
  </si>
  <si>
    <t xml:space="preserve">  MISCELLANEOUS</t>
  </si>
  <si>
    <t>TOTAL OTHER TAXES</t>
  </si>
  <si>
    <t>GAIN DISPOSITION OF ALLOWANCES</t>
  </si>
  <si>
    <t>Income Statement</t>
  </si>
  <si>
    <t>203(E) EXCESS</t>
  </si>
  <si>
    <t>Tax acct workpapers</t>
  </si>
  <si>
    <t>INVESTMENT TAX CREDIT ADJ</t>
  </si>
  <si>
    <t>ITC BTL-No amortization</t>
  </si>
  <si>
    <t xml:space="preserve">  DISTRIBUTION - DIRECT</t>
  </si>
  <si>
    <t>TOTAL INVEST TAX CREDIT ADJ</t>
  </si>
  <si>
    <t>TOTAL EXP OTHER THAN INC TAX</t>
  </si>
  <si>
    <t>INCOME TAXES</t>
  </si>
  <si>
    <t>OPERATING INC BEFORE INC TAXES</t>
  </si>
  <si>
    <t>DEVELOPMENT OF FED INC TAX</t>
  </si>
  <si>
    <t xml:space="preserve"> ADDITIONS TO INCOME</t>
  </si>
  <si>
    <t xml:space="preserve"> TOTAL ADDITIONS</t>
  </si>
  <si>
    <t xml:space="preserve"> DEDUCTIONS FROM INCOME</t>
  </si>
  <si>
    <t xml:space="preserve">  INTEREST EXPENSE</t>
  </si>
  <si>
    <t xml:space="preserve">    LONG TERM DEBT OTHER</t>
  </si>
  <si>
    <t xml:space="preserve">    INT ON CUSTOMER DEPOSITS</t>
  </si>
  <si>
    <t xml:space="preserve">  902-METER READING</t>
  </si>
  <si>
    <t xml:space="preserve">  903-CUSTOMER RECORDS</t>
  </si>
  <si>
    <t xml:space="preserve">  904-UNCOLLECTIBLE ACCOUNTS</t>
  </si>
  <si>
    <t xml:space="preserve">  905-MISCELLANEOUS</t>
  </si>
  <si>
    <t>TOTAL CUSTOMER ACCOUNTS</t>
  </si>
  <si>
    <t>CUSTOMER SERVICES</t>
  </si>
  <si>
    <t xml:space="preserve">  907-SUPERVISION</t>
  </si>
  <si>
    <t xml:space="preserve">  908-CUSTOMER ASSISTANCE</t>
  </si>
  <si>
    <t xml:space="preserve">  909-INFORMATION &amp; INSTRUCT</t>
  </si>
  <si>
    <t xml:space="preserve">  910-MISCELLANEOUS</t>
  </si>
  <si>
    <t>TOTAL CUSTOMER SERVICE</t>
  </si>
  <si>
    <t>SALES EXPENSE</t>
  </si>
  <si>
    <t xml:space="preserve">  911-SUPERVISION</t>
  </si>
  <si>
    <t xml:space="preserve">  912-DEMONSTRATING &amp; SELLING</t>
  </si>
  <si>
    <t xml:space="preserve">  913-ADVERTISING</t>
  </si>
  <si>
    <t xml:space="preserve">  916-MISCELLANEOUS</t>
  </si>
  <si>
    <t>TOTAL SALES EXPENSE</t>
  </si>
  <si>
    <t>ADMINISTRATIVE &amp; GENERAL</t>
  </si>
  <si>
    <t>Total billed revenue per Billing Determinants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</si>
  <si>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</si>
  <si>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</si>
  <si>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</si>
  <si>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</si>
  <si>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</si>
  <si>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</si>
  <si>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</si>
  <si>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</si>
  <si>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</si>
  <si>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</si>
  <si>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</si>
  <si>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</si>
  <si>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</si>
  <si>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</si>
  <si>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</si>
  <si>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</si>
  <si>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</si>
  <si>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</si>
  <si>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</si>
  <si>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</si>
  <si>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</si>
  <si>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</si>
  <si>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</si>
  <si>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</si>
  <si>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</si>
  <si>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NAS</t>
  </si>
  <si>
    <t>Decorative Street Lighting</t>
  </si>
  <si>
    <t>Property Taxes</t>
  </si>
  <si>
    <t>PTAX</t>
  </si>
  <si>
    <t>OT</t>
  </si>
  <si>
    <t>INTLTD</t>
  </si>
  <si>
    <t>Total Other Expenses</t>
  </si>
  <si>
    <t>TOE</t>
  </si>
  <si>
    <t>Functional Vectors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</si>
  <si>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</si>
  <si>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</si>
  <si>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</si>
  <si>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</si>
  <si>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</si>
  <si>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</si>
  <si>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</si>
  <si>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</si>
  <si>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</si>
  <si>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</si>
  <si>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</si>
  <si>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</si>
  <si>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</si>
  <si>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</si>
  <si>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</si>
  <si>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</si>
  <si>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</si>
  <si>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</si>
  <si>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</si>
  <si>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</si>
  <si>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</si>
  <si>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</si>
  <si>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</si>
  <si>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</si>
  <si>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</si>
  <si>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</si>
  <si>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</si>
  <si>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</si>
  <si>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Other Taxes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</si>
  <si>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</si>
  <si>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</si>
  <si>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</si>
  <si>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</si>
  <si>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</si>
  <si>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</si>
  <si>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</si>
  <si>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</si>
  <si>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</si>
  <si>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 xml:space="preserve">   Property Taxes</t>
  </si>
  <si>
    <t xml:space="preserve">   Other Taxes</t>
  </si>
  <si>
    <t>Total Operating Expenses</t>
  </si>
  <si>
    <t>Rate of Return</t>
  </si>
  <si>
    <t>Purchase Power Demand</t>
  </si>
  <si>
    <t>Purchase Power Energy</t>
  </si>
  <si>
    <t>Energy Allocation Factors</t>
  </si>
  <si>
    <t>Energy Usage by Class</t>
  </si>
  <si>
    <t>Customer Allocation Factors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</si>
  <si>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</si>
  <si>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</si>
  <si>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</si>
  <si>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</si>
  <si>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</si>
  <si>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</si>
  <si>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</si>
  <si>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</si>
  <si>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</si>
  <si>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</si>
  <si>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</si>
  <si>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Revenue</t>
  </si>
  <si>
    <t>Transmission</t>
  </si>
  <si>
    <t>P350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</si>
  <si>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</si>
  <si>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</si>
  <si>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</si>
  <si>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</si>
  <si>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</si>
  <si>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</si>
  <si>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</si>
  <si>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</si>
  <si>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</si>
  <si>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</si>
  <si>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</si>
  <si>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</si>
  <si>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</si>
  <si>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</si>
  <si>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</si>
  <si>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</si>
  <si>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</si>
  <si>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</si>
  <si>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</si>
  <si>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</si>
  <si>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</si>
  <si>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</si>
  <si>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</si>
  <si>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</si>
  <si>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</si>
  <si>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</si>
  <si>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</si>
  <si>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</si>
  <si>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</si>
  <si>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</si>
  <si>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</si>
  <si>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</si>
  <si>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</si>
  <si>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ADEPREPA</t>
  </si>
  <si>
    <t>RWIP</t>
  </si>
  <si>
    <t>ADEPRTP</t>
  </si>
  <si>
    <t>M&amp;S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</si>
  <si>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</si>
  <si>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</si>
  <si>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</si>
  <si>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</si>
  <si>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</si>
  <si>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</si>
  <si>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</si>
  <si>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</si>
  <si>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</si>
  <si>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ACCT 303-SOFTWARE</t>
  </si>
  <si>
    <t>TOTAL PRODUCTION PLANT SYSTEM</t>
  </si>
  <si>
    <t>PRODSYS</t>
  </si>
  <si>
    <t>CWIP3</t>
  </si>
  <si>
    <t>CWIP4</t>
  </si>
  <si>
    <t>CWIP5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</si>
  <si>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</si>
  <si>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</si>
  <si>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</si>
  <si>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</si>
  <si>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</si>
  <si>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</si>
  <si>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</si>
  <si>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</si>
  <si>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</si>
  <si>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</si>
  <si>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</si>
  <si>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</si>
  <si>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</si>
  <si>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</si>
  <si>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</si>
  <si>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</si>
  <si>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</si>
  <si>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Cost</t>
  </si>
  <si>
    <t xml:space="preserve">  Specific Assignment of Curtailable Service Rider Avoided Cost</t>
  </si>
  <si>
    <t>OMLF</t>
  </si>
  <si>
    <t>TOT OTHER MAINTENANCE LABOR</t>
  </si>
  <si>
    <t>LABOTHMN</t>
  </si>
  <si>
    <t>TRANSM OPER EXP 562-567</t>
  </si>
  <si>
    <t>TRANSM MAINT EXP 569-573</t>
  </si>
  <si>
    <t>TOT TRANSM OPERATIONS LABOR</t>
  </si>
  <si>
    <t>LABTROP</t>
  </si>
  <si>
    <t>TOT TRANSM MAINTENANCE LABOR</t>
  </si>
  <si>
    <t>LABTRMN</t>
  </si>
  <si>
    <t>DISTR OPER EXP 582-589</t>
  </si>
  <si>
    <t>AFUDC</t>
  </si>
  <si>
    <t>Income (Loss) from Equity Investments</t>
  </si>
  <si>
    <t>Non-Operating Margins - Other</t>
  </si>
  <si>
    <t>Generation and Transmission Capital Credits</t>
  </si>
  <si>
    <t>Other Capital Credits and Patronage Dividends</t>
  </si>
  <si>
    <t>Extraordinary Items</t>
  </si>
  <si>
    <t>Long Term Debt Service Requirements</t>
  </si>
  <si>
    <t>SCP</t>
  </si>
  <si>
    <t>WCP</t>
  </si>
  <si>
    <t>Sum of</t>
  </si>
  <si>
    <t>Individual NCP</t>
  </si>
  <si>
    <t>Income Taxes</t>
  </si>
  <si>
    <t>DISTR MAINT EXP 591-598</t>
  </si>
  <si>
    <t>TOT DISTR OPERATIONS LABOR</t>
  </si>
  <si>
    <t>LABDISOP</t>
  </si>
  <si>
    <t>TOT DISTR MAINTENANCE LABOR</t>
  </si>
  <si>
    <t>LABDISMN</t>
  </si>
  <si>
    <t>CUST ACCT EXP 902, 903 &amp; 905</t>
  </si>
  <si>
    <t>TOTAL CUST ACCOUNTS LABOR</t>
  </si>
  <si>
    <t>LABCA</t>
  </si>
  <si>
    <t>CUST SERVICES &amp; SALES EXP</t>
  </si>
  <si>
    <t>TOTAL CUST SERVICES LABOR</t>
  </si>
  <si>
    <t>LABCS</t>
  </si>
  <si>
    <t>SALES EXPENSE 912-916</t>
  </si>
  <si>
    <t>TOTAL SALES EXP LABOR</t>
  </si>
  <si>
    <t>LABSA</t>
  </si>
  <si>
    <t>TOT ADMINISTRATIVE &amp; GEN EXP</t>
  </si>
  <si>
    <t>A_GEXP</t>
  </si>
  <si>
    <t>ACCT 930-EPRI &amp; ADVERTISING</t>
  </si>
  <si>
    <t>EXP930A</t>
  </si>
  <si>
    <t>TOTAL CUSTOMER SERVICES EXP</t>
  </si>
  <si>
    <t>CUSTSER</t>
  </si>
  <si>
    <t>F027</t>
  </si>
  <si>
    <t>REGULATORY COMMISSION FEES</t>
  </si>
  <si>
    <t>O&amp;M Customer Allocators</t>
  </si>
  <si>
    <t>Plant Customer Allocators</t>
  </si>
  <si>
    <t>Year End Customers</t>
  </si>
  <si>
    <t>Cost of Service Summary -- Unadjusted</t>
  </si>
  <si>
    <t xml:space="preserve">  Allocation of Curtailable Service Rider Credits</t>
  </si>
  <si>
    <t>Interruptible Credit Allocator</t>
  </si>
  <si>
    <t>INTCRE</t>
  </si>
  <si>
    <t>ok</t>
  </si>
  <si>
    <t>Base Rate Revenue</t>
  </si>
  <si>
    <t>Operation and Maintenance Less Fuel</t>
  </si>
  <si>
    <t>MAINTENANCE OF STRUCTURES</t>
  </si>
  <si>
    <t>MAINTENANCE SUPERVISION &amp; ENGINEERING</t>
  </si>
  <si>
    <t>MISO DAY 1&amp;2 EXPENSE</t>
  </si>
  <si>
    <t xml:space="preserve">  Distribution Plant</t>
  </si>
  <si>
    <t xml:space="preserve"> MATERIALS &amp; SUPPLIES</t>
  </si>
  <si>
    <t xml:space="preserve">  FUEL STOCK</t>
  </si>
  <si>
    <t>M&amp;S 13mo avg worksheet</t>
  </si>
  <si>
    <t xml:space="preserve">  PLANT MATERIAL &amp; SUPPLIES</t>
  </si>
  <si>
    <t xml:space="preserve">    PRODUCTION</t>
  </si>
  <si>
    <t xml:space="preserve">    TRANSMISSION</t>
  </si>
  <si>
    <t xml:space="preserve">    GENERAL</t>
  </si>
  <si>
    <t xml:space="preserve">    STORES UNDISTRIBUTED</t>
  </si>
  <si>
    <t xml:space="preserve">  TOTAL PLT MAT &amp; SUPPLIES</t>
  </si>
  <si>
    <t xml:space="preserve"> TOTAL MATERIALS &amp; SUPPLIES</t>
  </si>
  <si>
    <t xml:space="preserve"> PREPAYMENTS</t>
  </si>
  <si>
    <t xml:space="preserve">  PUBLIC SERVICE COMM TAX</t>
  </si>
  <si>
    <t xml:space="preserve"> TOTAL PREPAYMENTS</t>
  </si>
  <si>
    <t xml:space="preserve"> WORKING CASH - CALC BY JURIS</t>
  </si>
  <si>
    <t>TOTAL WORKING CAPITAL</t>
  </si>
  <si>
    <t>EMISSION ALLOWANCES</t>
  </si>
  <si>
    <t>TOTAL ADDITIONS TO NET PLANT</t>
  </si>
  <si>
    <t>DEDUCTIONS FROM NET PLANT</t>
  </si>
  <si>
    <t>ACCUMULATED DEFERRED INC TAX</t>
  </si>
  <si>
    <t>Tax Acct workpapers</t>
  </si>
  <si>
    <t xml:space="preserve">  VIRGINIA PROPERTY-OTHER</t>
  </si>
  <si>
    <t xml:space="preserve"> DISTRIBUTION - VA</t>
  </si>
  <si>
    <t xml:space="preserve"> DISTRIBUTION PLT KY,FERC &amp; TN</t>
  </si>
  <si>
    <t>TOTAL DEFERRED INCOME TAX</t>
  </si>
  <si>
    <t>ACCUM DEFER INVEST TAX CREDITS</t>
  </si>
  <si>
    <t xml:space="preserve">  PRODUCTION</t>
  </si>
  <si>
    <t xml:space="preserve">  TRANSMISSION</t>
  </si>
  <si>
    <t xml:space="preserve">  TRANSMISSION VA</t>
  </si>
  <si>
    <t xml:space="preserve">  DISTRIBUTION - VA</t>
  </si>
  <si>
    <t xml:space="preserve">  DISTRIBUTION PLT KY,FERC &amp; TN</t>
  </si>
  <si>
    <t xml:space="preserve">  GENERAL</t>
  </si>
  <si>
    <t>TOTAL DEFERRED INVEST CREDIT</t>
  </si>
  <si>
    <t>DEFERRED FUEL-VIRGINIA</t>
  </si>
  <si>
    <t>TOTAL DEDUCTIONS FROM NET PLT</t>
  </si>
  <si>
    <t>SALES OF ELECTRICITY</t>
  </si>
  <si>
    <t>OTHER OPERATING REVENUES</t>
  </si>
  <si>
    <t>TOTAL OTHER REVENUES</t>
  </si>
  <si>
    <t>TOTAL OPERATING REVENUES</t>
  </si>
  <si>
    <t>OPERATION &amp; MAINTENANCE EXP</t>
  </si>
  <si>
    <t>PRODUCTION EXPENSE-STEAM</t>
  </si>
  <si>
    <t xml:space="preserve">  500-SUPERV &amp; ENGINEERING</t>
  </si>
  <si>
    <t xml:space="preserve">  501-FUEL</t>
  </si>
  <si>
    <t xml:space="preserve">  505-ELECTRIC EXPENSES</t>
  </si>
  <si>
    <t xml:space="preserve">  506-MISC STEAM POWER EXP</t>
  </si>
  <si>
    <t xml:space="preserve">    TOTAL STEAM OPERATIONS</t>
  </si>
  <si>
    <t xml:space="preserve">  510-SUPERV &amp; ENGINEERING</t>
  </si>
  <si>
    <t xml:space="preserve">  511-STRUCTURES</t>
  </si>
  <si>
    <t xml:space="preserve">  512-BOILER PLANT</t>
  </si>
  <si>
    <t xml:space="preserve">  513-ELECTRIC PLANT</t>
  </si>
  <si>
    <t xml:space="preserve">  514-MISC STEAM PLANT</t>
  </si>
  <si>
    <t xml:space="preserve">    TOTAL STEAM MAINTENANCE</t>
  </si>
  <si>
    <t>TOTAL STEAM GENERATION</t>
  </si>
  <si>
    <t>PRODUCTION EXPENSE-HYDRO</t>
  </si>
  <si>
    <t xml:space="preserve">  535-SUPERV &amp; ENGINEERING</t>
  </si>
  <si>
    <t xml:space="preserve">  536-WATER FOR POWER</t>
  </si>
  <si>
    <t xml:space="preserve">  537-HYDRAULIC EXPENSES</t>
  </si>
  <si>
    <t xml:space="preserve">  538-ELECTRIC EXPENSES</t>
  </si>
  <si>
    <t xml:space="preserve">  540-RENTS</t>
  </si>
  <si>
    <t xml:space="preserve">    TOTAL HYDRO OPERATIONS</t>
  </si>
  <si>
    <t xml:space="preserve">  541-SUPERV &amp; ENGINEERING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</si>
  <si>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</si>
  <si>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</si>
  <si>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</si>
  <si>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</si>
  <si>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</si>
  <si>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</si>
  <si>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</si>
  <si>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</si>
  <si>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</si>
  <si>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</si>
  <si>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</si>
  <si>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</si>
  <si>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</si>
  <si>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</si>
  <si>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</si>
  <si>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</si>
  <si>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</si>
  <si>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</si>
  <si>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</si>
  <si>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</si>
  <si>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</si>
  <si>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</si>
  <si>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 xml:space="preserve">    RESERVE FOR DEF TAXES</t>
  </si>
  <si>
    <t xml:space="preserve">    RESERVE FOR ITC</t>
  </si>
  <si>
    <t xml:space="preserve">    CUSTOMER ADVANCES</t>
  </si>
  <si>
    <t xml:space="preserve">    DEFERRED FUEL-VIRGINIA</t>
  </si>
  <si>
    <t>MISC. HYDRAULIC POWER EXPENSES</t>
  </si>
  <si>
    <t>WestVaCo</t>
  </si>
  <si>
    <t>Cmbn. Off-Peak Water Heating</t>
  </si>
  <si>
    <t>FROM PREVIOUS RATE CASE</t>
  </si>
  <si>
    <t>(From Bill Det Tab)</t>
  </si>
  <si>
    <t>Avg No. Customers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</si>
  <si>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</si>
  <si>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</si>
  <si>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</si>
  <si>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</si>
  <si>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</si>
  <si>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</si>
  <si>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</si>
  <si>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</si>
  <si>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</si>
  <si>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</si>
  <si>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</si>
  <si>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</si>
  <si>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</si>
  <si>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</si>
  <si>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</si>
  <si>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</si>
  <si>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</si>
  <si>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</si>
  <si>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</si>
  <si>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</si>
  <si>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</si>
  <si>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</si>
  <si>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</si>
  <si>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</si>
  <si>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</si>
  <si>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</si>
  <si>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ADITDP</t>
  </si>
  <si>
    <t>ADITGP</t>
  </si>
  <si>
    <t>Accumulated Deferred Income Tax</t>
  </si>
  <si>
    <t xml:space="preserve">    Total Production Plant</t>
  </si>
  <si>
    <t xml:space="preserve">    Total Transmission Plant</t>
  </si>
  <si>
    <t xml:space="preserve">    Total Distribution Plant</t>
  </si>
  <si>
    <t xml:space="preserve">    Total General Plant</t>
  </si>
  <si>
    <t>ADITT</t>
  </si>
  <si>
    <t>Total Accumulated Deferred Income Tax</t>
  </si>
  <si>
    <t>ADITCP</t>
  </si>
  <si>
    <t>ADITCTL</t>
  </si>
  <si>
    <t>ADITCG</t>
  </si>
  <si>
    <t>ADITCDKY</t>
  </si>
  <si>
    <t>ADITCDVA</t>
  </si>
  <si>
    <t>ADITCT</t>
  </si>
  <si>
    <t>ADITCTVA</t>
  </si>
  <si>
    <t>Accumulated Deferred Investment Tax Credits</t>
  </si>
  <si>
    <t xml:space="preserve">  Production</t>
  </si>
  <si>
    <t xml:space="preserve">  Transmission</t>
  </si>
  <si>
    <t xml:space="preserve">  Transmission VA</t>
  </si>
  <si>
    <t xml:space="preserve">  Distribution VA</t>
  </si>
  <si>
    <t>Total Accum. Deferred Investment Tax Credits</t>
  </si>
  <si>
    <t xml:space="preserve">  Distribution Plant KY,FERC &amp; TN</t>
  </si>
  <si>
    <t>Adjusted Net Cost Rate Base</t>
  </si>
  <si>
    <t>Gain Disposition of Allowances</t>
  </si>
  <si>
    <t>F017</t>
  </si>
  <si>
    <t>LBSUB1</t>
  </si>
  <si>
    <t>PROVAR</t>
  </si>
  <si>
    <t>PROFIX</t>
  </si>
  <si>
    <t>LBSUB3</t>
  </si>
  <si>
    <t>LBSUB4</t>
  </si>
  <si>
    <t>LBSUB5</t>
  </si>
  <si>
    <t>LBTRAN</t>
  </si>
  <si>
    <t>F025</t>
  </si>
  <si>
    <t>F026</t>
  </si>
  <si>
    <t>LBSUB7</t>
  </si>
  <si>
    <t>F019</t>
  </si>
  <si>
    <t>F020</t>
  </si>
  <si>
    <t>F021</t>
  </si>
  <si>
    <t>F022</t>
  </si>
  <si>
    <t>F023</t>
  </si>
  <si>
    <t>F024</t>
  </si>
  <si>
    <t>Production Plant</t>
  </si>
  <si>
    <t>Provar</t>
  </si>
  <si>
    <t>Fuel</t>
  </si>
  <si>
    <t>F018</t>
  </si>
  <si>
    <t>Steam Generation Operation Labor</t>
  </si>
  <si>
    <t>Steam Generation Maintenance Labor</t>
  </si>
  <si>
    <t>Hydraulic Generation Operation Labor</t>
  </si>
  <si>
    <t>Hydraulic Generation Maintenance Labor</t>
  </si>
  <si>
    <t>Distribution Operation Labor</t>
  </si>
  <si>
    <t>Distribution Maintenance Labor</t>
  </si>
  <si>
    <t>SICD</t>
  </si>
  <si>
    <t>Sum of the Individual Customer Demands (Secondary)</t>
  </si>
  <si>
    <t>LB591</t>
  </si>
  <si>
    <t>OM575</t>
  </si>
  <si>
    <t xml:space="preserve">  901-SUPERVISION</t>
  </si>
  <si>
    <t>DISTRIBUTION EXPENSES</t>
  </si>
  <si>
    <t xml:space="preserve">  580-SUPERV &amp; ENGINEERING</t>
  </si>
  <si>
    <t xml:space="preserve">  581-DIST SYSTEM CONTROL</t>
  </si>
  <si>
    <t xml:space="preserve">  582-STATION EXPENSES</t>
  </si>
  <si>
    <t xml:space="preserve">  583-OVERHEAD LINES</t>
  </si>
  <si>
    <t xml:space="preserve">  584-UNDERGROUND LINES</t>
  </si>
  <si>
    <t xml:space="preserve">  585-STREET LIGHTING</t>
  </si>
  <si>
    <t xml:space="preserve">  586-METERS</t>
  </si>
  <si>
    <t xml:space="preserve">  587-CUSTOMER INSTALLATIONS</t>
  </si>
  <si>
    <t xml:space="preserve">  588-MISCELLANEOUS EXP</t>
  </si>
  <si>
    <t xml:space="preserve">  589-RENTS</t>
  </si>
  <si>
    <t xml:space="preserve">    TOTAL DISTR OPERATIONS</t>
  </si>
  <si>
    <t xml:space="preserve">  590-SUPERV &amp; ENGINEERING</t>
  </si>
  <si>
    <t xml:space="preserve">  591-MAINT OF STRUCTURES</t>
  </si>
  <si>
    <t xml:space="preserve">  592-MAINT OF STATION EQUIP</t>
  </si>
  <si>
    <t xml:space="preserve">  593-MAINT OF OH LINES</t>
  </si>
  <si>
    <t xml:space="preserve">  594-MAINT OF UG LINES</t>
  </si>
  <si>
    <t xml:space="preserve">  595-MAINT OF LINE TRANSF</t>
  </si>
  <si>
    <t xml:space="preserve">  596-MAINT OF ST LIGHTING</t>
  </si>
  <si>
    <t xml:space="preserve">  597-MAINT OF METERS</t>
  </si>
  <si>
    <t xml:space="preserve">  598-MISCELLANEOUS</t>
  </si>
  <si>
    <t xml:space="preserve">    TOTAL DISTR MAINTENANCE</t>
  </si>
  <si>
    <t>TOTAL DISTRIBUTION EXPENSES</t>
  </si>
  <si>
    <t>CUSTOMER ACCOUNTING EXPENSES</t>
  </si>
  <si>
    <t>Weighted Average Customers (Lighting =9 Lights per Cust)</t>
  </si>
  <si>
    <t>Average Customers (Lighting = 9 Lights per Cust)</t>
  </si>
  <si>
    <t>Average Secondary Customers</t>
  </si>
  <si>
    <t>Average Primary Customers</t>
  </si>
  <si>
    <t>Demand Allocators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</si>
  <si>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</si>
  <si>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</si>
  <si>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</si>
  <si>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</si>
  <si>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</si>
  <si>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</si>
  <si>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</si>
  <si>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</si>
  <si>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</si>
  <si>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</si>
  <si>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</si>
  <si>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</si>
  <si>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</si>
  <si>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</si>
  <si>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</si>
  <si>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</si>
  <si>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</si>
  <si>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</si>
  <si>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</si>
  <si>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</si>
  <si>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</si>
  <si>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</si>
  <si>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</si>
  <si>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Production Summer Demand Allocator</t>
  </si>
  <si>
    <t>Unadjusted Production Allocation</t>
  </si>
  <si>
    <t>Distribution Line Transformers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</si>
  <si>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</si>
  <si>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</si>
  <si>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</si>
  <si>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</si>
  <si>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</si>
  <si>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SFRS</t>
  </si>
  <si>
    <t xml:space="preserve">  Unbilled Revenue</t>
  </si>
  <si>
    <t>UNBREV</t>
  </si>
  <si>
    <t>Amortization Exp FS</t>
  </si>
  <si>
    <t>TOTAL DEPREC &amp; AMORT EXP</t>
  </si>
  <si>
    <t xml:space="preserve">  KENTUCKY DISTRIBUTION PROPERTY</t>
  </si>
  <si>
    <t xml:space="preserve">  VIRGINIA DISTRIBUTION PROPERTY</t>
  </si>
  <si>
    <t>ACCRETION</t>
  </si>
  <si>
    <t>Accretion Exp FS</t>
  </si>
  <si>
    <t>TOTAL ACCRETION EXPENSE</t>
  </si>
  <si>
    <t>OTHER TAXES &amp; OTHER EXPENSES</t>
  </si>
  <si>
    <t>TAXES OTHER THAN INCOME TAX</t>
  </si>
  <si>
    <t xml:space="preserve">  PROPERTY TAXES</t>
  </si>
  <si>
    <t xml:space="preserve"> DISTRIBUTION PLANT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</si>
  <si>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</si>
  <si>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</si>
  <si>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</si>
  <si>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</si>
  <si>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</si>
  <si>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</si>
  <si>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</si>
  <si>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DSMREV</t>
  </si>
  <si>
    <t>Lighting</t>
  </si>
  <si>
    <t>C08</t>
  </si>
  <si>
    <t>Difference</t>
  </si>
  <si>
    <t>Number of</t>
  </si>
  <si>
    <t>Rate 33 - Electric Space Heating</t>
  </si>
  <si>
    <t>Rate M - Water Pumping</t>
  </si>
  <si>
    <t>Customer Outdoor Lighting</t>
  </si>
  <si>
    <t>Private Outdoor Lighting</t>
  </si>
  <si>
    <t>Production Residual Winter Demand Allocator</t>
  </si>
  <si>
    <t xml:space="preserve">Production Winter Demand Costs </t>
  </si>
  <si>
    <t>LABOR ALLOCATOR</t>
  </si>
  <si>
    <t>LABOR EXPENSE</t>
  </si>
  <si>
    <t xml:space="preserve"> PRODUCTION LABOR</t>
  </si>
  <si>
    <t xml:space="preserve">   ENERGY RELATED</t>
  </si>
  <si>
    <t xml:space="preserve">   FERC 501</t>
  </si>
  <si>
    <t xml:space="preserve">   FERC 510</t>
  </si>
  <si>
    <t xml:space="preserve">   FERC 512</t>
  </si>
  <si>
    <t xml:space="preserve">   FERC 513</t>
  </si>
  <si>
    <t xml:space="preserve">   FERC 547</t>
  </si>
  <si>
    <t xml:space="preserve">     TOTAL ENERGY LABOR</t>
  </si>
  <si>
    <t xml:space="preserve">   DEMAND RELATED</t>
  </si>
  <si>
    <t xml:space="preserve">   FERC 500</t>
  </si>
  <si>
    <t xml:space="preserve">   FERC 502</t>
  </si>
  <si>
    <t xml:space="preserve">   FERC 505</t>
  </si>
  <si>
    <t xml:space="preserve">   FERC 506</t>
  </si>
  <si>
    <t xml:space="preserve">   FERC 509</t>
  </si>
  <si>
    <t xml:space="preserve">   FERC 511</t>
  </si>
  <si>
    <t xml:space="preserve">   FERC 514</t>
  </si>
  <si>
    <t>Factor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</si>
  <si>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</si>
  <si>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</si>
  <si>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</si>
  <si>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</si>
  <si>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</si>
  <si>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</si>
  <si>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</si>
  <si>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</si>
  <si>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</si>
  <si>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</si>
  <si>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</si>
  <si>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>ADVERTISING EXPENSES</t>
  </si>
  <si>
    <t>MISC SALES EXPENSE</t>
  </si>
  <si>
    <t>OM916</t>
  </si>
  <si>
    <t>LB916</t>
  </si>
  <si>
    <t>Non-Coincident</t>
  </si>
  <si>
    <t>TOT ACCT 360-362 SUBSTATIONS</t>
  </si>
  <si>
    <t>TOT ACCT 366 &amp; 367-UG LINES</t>
  </si>
  <si>
    <t>TOT ACCT 373-STREET LIGHTING</t>
  </si>
  <si>
    <t>TOTAL ACCT 370-METERS</t>
  </si>
  <si>
    <t>TOT ACCT 371-CUSTOMER INSTALL</t>
  </si>
  <si>
    <t>TOT ACCT 368-LINE TRANSFORMER</t>
  </si>
  <si>
    <t>TOT ACCT 902-904 CUST ACCTS</t>
  </si>
  <si>
    <t>TOT ACCT 908-909 CUST SERV</t>
  </si>
  <si>
    <t>TOTAL TRANS &amp; DISTRIB PLANT</t>
  </si>
  <si>
    <t>TRDSPLT</t>
  </si>
  <si>
    <t>INTERNALLY DEVELOPED-CON'T</t>
  </si>
  <si>
    <t>TOT ACCT 912-913 SALES EXP</t>
  </si>
  <si>
    <t>REVENUE SALE OF ELECT-FERC</t>
  </si>
  <si>
    <t>REVFERC</t>
  </si>
  <si>
    <t>REVENUE SALE OF ELECT-VA</t>
  </si>
  <si>
    <t>REVVA</t>
  </si>
  <si>
    <t>REVENUE SALE OF ELECT</t>
  </si>
  <si>
    <t>REVENUE</t>
  </si>
  <si>
    <t>REV SALE OF ELECT-VA NON JUR</t>
  </si>
  <si>
    <t>REVNJVA</t>
  </si>
  <si>
    <t>REV SALE OF ELECT-EXCL FERC</t>
  </si>
  <si>
    <t>REVENUEX</t>
  </si>
  <si>
    <t>Base</t>
  </si>
  <si>
    <t>CUSTOMER ASSISTANCE EXP-INCENTIVES</t>
  </si>
  <si>
    <t xml:space="preserve">      FERC 598</t>
  </si>
  <si>
    <t xml:space="preserve"> TOTAL DISTRIBUTION LABOR</t>
  </si>
  <si>
    <t xml:space="preserve"> TOT PROD, TRNS &amp; DISTR LABOR</t>
  </si>
  <si>
    <t xml:space="preserve"> CUSTOMER ACCOUNTING</t>
  </si>
  <si>
    <t xml:space="preserve">      FERC 901</t>
  </si>
  <si>
    <t xml:space="preserve">      FERC 902</t>
  </si>
  <si>
    <t xml:space="preserve">      FERC 903</t>
  </si>
  <si>
    <t xml:space="preserve">      FERC 904</t>
  </si>
  <si>
    <t xml:space="preserve">      FERC 905</t>
  </si>
  <si>
    <t xml:space="preserve"> TOTAL CUSTOMER ACCOUNTING LABOR</t>
  </si>
  <si>
    <t xml:space="preserve"> CUSTOMER SERVICE &amp; SALES EXP</t>
  </si>
  <si>
    <t xml:space="preserve">      FERC 907</t>
  </si>
  <si>
    <t xml:space="preserve">      FERC 908</t>
  </si>
  <si>
    <t xml:space="preserve">      FERC 909</t>
  </si>
  <si>
    <t xml:space="preserve">      FERC 910</t>
  </si>
  <si>
    <t>Meters Account 370</t>
  </si>
  <si>
    <t xml:space="preserve">  Sales</t>
  </si>
  <si>
    <t>ADMIN. EXPENSES TRANSFERRED - CREDIT</t>
  </si>
  <si>
    <t>Misc</t>
  </si>
  <si>
    <t xml:space="preserve">   Gain Disposition of Allowances</t>
  </si>
  <si>
    <t>GAIN</t>
  </si>
  <si>
    <t>Net Operating Income (Adjusted)</t>
  </si>
  <si>
    <t>Net Operating Income (Unadjusted)</t>
  </si>
  <si>
    <t>Proposed Increase</t>
  </si>
  <si>
    <t>Cust07</t>
  </si>
  <si>
    <t>Cust08</t>
  </si>
  <si>
    <t>Remove ECR Revenues</t>
  </si>
  <si>
    <t>Revenue Adjustment Allocators</t>
  </si>
  <si>
    <t>Total Expense Adjustments</t>
  </si>
  <si>
    <t xml:space="preserve">  Specific Assignment of Curtailable Service Rider Credit</t>
  </si>
  <si>
    <t>Increase in Miscellaneous Charges</t>
  </si>
  <si>
    <t>Net Operating Income</t>
  </si>
  <si>
    <t>Incremental Income Taxes</t>
  </si>
  <si>
    <t>TOTAL PRODUCTION PLANT</t>
  </si>
  <si>
    <t>PRODPLT</t>
  </si>
  <si>
    <t>TOTAL TRANSMISSION PLANT</t>
  </si>
  <si>
    <t>TRANPLT</t>
  </si>
  <si>
    <t>MAT &amp; SUPPLIES DISTRIBUTED</t>
  </si>
  <si>
    <t>M_S</t>
  </si>
  <si>
    <t>ACCT 924 &amp; 925 INSURANCE</t>
  </si>
  <si>
    <t>REVENUE SALE OF ELECT-KY</t>
  </si>
  <si>
    <t>CWIP PROD FERC-POST ALLOC</t>
  </si>
  <si>
    <t>CWIPPP</t>
  </si>
  <si>
    <t>CWIP TRAN FERC-POST ALLOC</t>
  </si>
  <si>
    <t>CWIPTP</t>
  </si>
  <si>
    <t>ACC DEF INC TX PROD FERC-POST</t>
  </si>
  <si>
    <t>ACC DEF INC TX TRAN FERC-POST</t>
  </si>
  <si>
    <t>TRANSMISSION PLANT EXCL VA</t>
  </si>
  <si>
    <t>TRANPLTX</t>
  </si>
  <si>
    <t>KENTUCKY DISTRIBUTION PLANT</t>
  </si>
  <si>
    <t>KYDIST</t>
  </si>
  <si>
    <t>Summary of Billing Determinants and Demand Analysis</t>
  </si>
  <si>
    <t>OM911</t>
  </si>
  <si>
    <t>LB911</t>
  </si>
  <si>
    <t>Marketing/Economic Development</t>
  </si>
  <si>
    <t>MISC DISTR EXP -- MAPPIN</t>
  </si>
  <si>
    <t>Transmission Demand</t>
  </si>
  <si>
    <t>Maximum</t>
  </si>
  <si>
    <t>Non-Operating Items</t>
  </si>
  <si>
    <t>Non-Operating Margins - Interest</t>
  </si>
  <si>
    <t>DISTRIBUTION PLANT EXCL VA</t>
  </si>
  <si>
    <t>DPLTXVA</t>
  </si>
  <si>
    <t>ACCT 926 DIR ASSIGN COMP.KY RET</t>
  </si>
  <si>
    <t>LABPTDKY</t>
  </si>
  <si>
    <t>ACCT 926 DIR ASSIGN COMP.VAJ</t>
  </si>
  <si>
    <t>LABPTDVAJ</t>
  </si>
  <si>
    <t>ACCT 926 DIR ASSIGN COMP.VANJ</t>
  </si>
  <si>
    <t>LABPTDVNJ</t>
  </si>
  <si>
    <t>ACCT 926 DIR ASSIGN COMP.FERC</t>
  </si>
  <si>
    <t xml:space="preserve">    PREPAYMENTS</t>
  </si>
  <si>
    <t xml:space="preserve">    WORKING CASH</t>
  </si>
  <si>
    <t xml:space="preserve">    EMISSION ALLOWANCES</t>
  </si>
  <si>
    <t xml:space="preserve">     TOTAL ADDITIONS</t>
  </si>
  <si>
    <t>DEDUCT: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</si>
  <si>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</si>
  <si>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</si>
  <si>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</si>
  <si>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</si>
  <si>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</si>
  <si>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</si>
  <si>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</si>
  <si>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</si>
  <si>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</si>
  <si>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</si>
  <si>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</si>
  <si>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</si>
  <si>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</si>
  <si>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</si>
  <si>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</si>
  <si>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LB568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</si>
  <si>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</si>
  <si>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</si>
  <si>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</si>
  <si>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</si>
  <si>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</si>
  <si>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</si>
  <si>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</si>
  <si>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</si>
  <si>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</si>
  <si>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</si>
  <si>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</si>
  <si>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</si>
  <si>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</si>
  <si>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</si>
  <si>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</si>
  <si>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</si>
  <si>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</si>
  <si>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</si>
  <si>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</si>
  <si>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</si>
  <si>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</si>
  <si>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</si>
  <si>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</si>
  <si>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</si>
  <si>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</si>
  <si>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</si>
  <si>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</si>
  <si>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</si>
  <si>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</si>
  <si>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</si>
  <si>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</si>
  <si>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</si>
  <si>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</si>
  <si>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</si>
  <si>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</si>
  <si>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</si>
  <si>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</si>
  <si>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</si>
  <si>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LB921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</si>
  <si>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</si>
  <si>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</si>
  <si>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</si>
  <si>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</si>
  <si>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</si>
  <si>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</si>
  <si>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</si>
  <si>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</si>
  <si>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</si>
  <si>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</si>
  <si>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</si>
  <si>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</si>
  <si>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</si>
  <si>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</si>
  <si>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</si>
  <si>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</si>
  <si>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</si>
  <si>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</si>
  <si>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</si>
  <si>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</si>
  <si>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</si>
  <si>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</si>
  <si>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</si>
  <si>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</si>
  <si>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</si>
  <si>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</si>
  <si>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Accum Depr</t>
  </si>
  <si>
    <t>OM588x</t>
  </si>
  <si>
    <t>F015</t>
  </si>
  <si>
    <t>Generators -Energy</t>
  </si>
  <si>
    <t>CWIP1</t>
  </si>
  <si>
    <t>CWIP2</t>
  </si>
  <si>
    <t xml:space="preserve">      FERC 912</t>
  </si>
  <si>
    <t xml:space="preserve">      FERC 913</t>
  </si>
  <si>
    <t xml:space="preserve">      FERC 916</t>
  </si>
  <si>
    <t xml:space="preserve">     TOTAL DEDUCTIONS</t>
  </si>
  <si>
    <t>NET ORIGINAL COST RATE BASE</t>
  </si>
  <si>
    <t>DEVELOPMENT OF RETURN</t>
  </si>
  <si>
    <t>OPERATING REVENUES</t>
  </si>
  <si>
    <t>OPERATING EXPENSES</t>
  </si>
  <si>
    <t xml:space="preserve">    OPERATION &amp; MAINT EXPENSE</t>
  </si>
  <si>
    <t xml:space="preserve">    DEPRECIATION &amp; AMORT EXP</t>
  </si>
  <si>
    <t xml:space="preserve">    TAXES OTHER THAN INC TAX</t>
  </si>
  <si>
    <t xml:space="preserve">    INCOME TAXES</t>
  </si>
  <si>
    <t xml:space="preserve">    ACCRETION EXPENSE</t>
  </si>
  <si>
    <t xml:space="preserve">     TOTAL OPERATING EXPENSES</t>
  </si>
  <si>
    <t>RETURN</t>
  </si>
  <si>
    <t>RATE OF RETURN</t>
  </si>
  <si>
    <t>ELECTRIC PLANT IN SERVICE</t>
  </si>
  <si>
    <t>INTANGIBLE PLANT</t>
  </si>
  <si>
    <t>TOTAL INTANGIBLE PLANT</t>
  </si>
  <si>
    <t>PRODUCTION PLANT</t>
  </si>
  <si>
    <t xml:space="preserve">  FERC-AFUDC PRE</t>
  </si>
  <si>
    <t xml:space="preserve">  FERC-AFUDC POST</t>
  </si>
  <si>
    <t>Total steam plant</t>
  </si>
  <si>
    <t xml:space="preserve"> TOTAL HYDRAULIC PROD PLANT</t>
  </si>
  <si>
    <t>Total hydro plant</t>
  </si>
  <si>
    <t xml:space="preserve"> TOTAL OTHER PROD PLANT</t>
  </si>
  <si>
    <t>Total other production plant</t>
  </si>
  <si>
    <t>TRANSMISSION PLANT</t>
  </si>
  <si>
    <t>Input KY and TN transmission here:</t>
  </si>
  <si>
    <t xml:space="preserve">  KENTUCKY SYSTEM PROPERTY</t>
  </si>
  <si>
    <t xml:space="preserve">  VIRGINIA PROPERTY-500 KV LINE</t>
  </si>
  <si>
    <t>Input total VA transmission here:</t>
  </si>
  <si>
    <t xml:space="preserve">  VIRGINIA PROPERTY</t>
  </si>
  <si>
    <t>ELECTRIC PLANT IN SERVICE CON'T</t>
  </si>
  <si>
    <t>DISTRIBUTION PLANT</t>
  </si>
  <si>
    <t xml:space="preserve"> KENTUCKY DISTRIBUTION PLANT</t>
  </si>
  <si>
    <t xml:space="preserve">    TOTAL HYDRO MAINTENANCE</t>
  </si>
  <si>
    <t>TOTAL HYDRO GENERATION</t>
  </si>
  <si>
    <t>PRODUCTION EXPENSE-OTHER</t>
  </si>
  <si>
    <t xml:space="preserve">  546-SUPERV &amp; ENGINEERING</t>
  </si>
  <si>
    <t xml:space="preserve">  547-FUEL</t>
  </si>
  <si>
    <t xml:space="preserve">  548-GENERATION EXPENSES</t>
  </si>
  <si>
    <t xml:space="preserve">    TOTAL OTHER OPERATIONS</t>
  </si>
  <si>
    <t xml:space="preserve">  551-SUPERV &amp; ENGINEERING</t>
  </si>
  <si>
    <t xml:space="preserve">  552-STRUCTURES</t>
  </si>
  <si>
    <t xml:space="preserve">  553-GENERATING &amp; ELECT PLT</t>
  </si>
  <si>
    <t xml:space="preserve">  554-MISC OTH POWER GEN PLT</t>
  </si>
  <si>
    <t xml:space="preserve">    TOTAL OTHER MAINTENANCE</t>
  </si>
  <si>
    <t>TOTAL OTHER GENERATION</t>
  </si>
  <si>
    <t>555-PURCHASED POWER</t>
  </si>
  <si>
    <t xml:space="preserve">  CAPACITY COMPONENT</t>
  </si>
  <si>
    <t xml:space="preserve">  ENERGY COMPONENT</t>
  </si>
  <si>
    <t xml:space="preserve">    TOTAL ACCT 555</t>
  </si>
  <si>
    <t>556-SYSTEM CONTROL &amp; DISP</t>
  </si>
  <si>
    <t>557-OTHER EXPENSES</t>
  </si>
  <si>
    <t>TOTAL PRODUCTION EXPENSES</t>
  </si>
  <si>
    <t>OPERATION &amp; MAINT EXP CON'T</t>
  </si>
  <si>
    <t>TRANSMISSION EXPENSES</t>
  </si>
  <si>
    <t xml:space="preserve">  560-SUPERV &amp; ENGINEERING</t>
  </si>
  <si>
    <t xml:space="preserve">  561-LOAD DISPATCHING</t>
  </si>
  <si>
    <t xml:space="preserve">  562-STATION EXPENSES</t>
  </si>
  <si>
    <t xml:space="preserve">  563-OVERHEAD LINE EXPENSES</t>
  </si>
  <si>
    <t xml:space="preserve">  564-UNDERGROUND LINE EXP</t>
  </si>
  <si>
    <t xml:space="preserve">  565-TRANSM OF ELECT BY OTH</t>
  </si>
  <si>
    <t xml:space="preserve">  566-MISC TRANSMISSION EXP</t>
  </si>
  <si>
    <t xml:space="preserve">  567-RENTS</t>
  </si>
  <si>
    <t xml:space="preserve">    TOTAL TRANSM OPERATIONS</t>
  </si>
  <si>
    <t xml:space="preserve">  568-SUPERV &amp; ENGINEERING</t>
  </si>
  <si>
    <t xml:space="preserve">  569-MAINT OF STRUCTURES</t>
  </si>
  <si>
    <t xml:space="preserve">  570-MAINT OF STATION EQUIP</t>
  </si>
  <si>
    <t xml:space="preserve">  571-MAINT OF OH LINES</t>
  </si>
  <si>
    <t xml:space="preserve">  572-MAINT OF UG LINES</t>
  </si>
  <si>
    <t xml:space="preserve">  573-MAINT OF MISC TRAN PLT</t>
  </si>
  <si>
    <t xml:space="preserve">    TOTAL TRANSM MAINTENANCE</t>
  </si>
  <si>
    <t>TOTAL TRANSMISSION EXPENSES</t>
  </si>
  <si>
    <t>CONSTRUCTION WORK IN PROGRESS</t>
  </si>
  <si>
    <t xml:space="preserve">   SYSTEM</t>
  </si>
  <si>
    <t xml:space="preserve">   FERC-AFUDC PRE</t>
  </si>
  <si>
    <t xml:space="preserve">   FERC-AFUDC POST</t>
  </si>
  <si>
    <t xml:space="preserve">    TOTAL PRODUCTION PLANT</t>
  </si>
  <si>
    <t xml:space="preserve">   TRANS VIRGINIA-KY SYSTEM</t>
  </si>
  <si>
    <t xml:space="preserve">   TRANS VIRGINIA</t>
  </si>
  <si>
    <t xml:space="preserve">    TOTAL TRANSMISSION PLT</t>
  </si>
  <si>
    <t xml:space="preserve"> DISTRIBUTION - VA &amp; TN </t>
  </si>
  <si>
    <t xml:space="preserve">    TOTAL DISTRIBUTION PLT</t>
  </si>
  <si>
    <t xml:space="preserve"> GENERAL</t>
  </si>
  <si>
    <t>TOTAL CWIP</t>
  </si>
  <si>
    <t>WORKING CAPITAL</t>
  </si>
  <si>
    <t>Reference</t>
  </si>
  <si>
    <t>(1)</t>
  </si>
  <si>
    <t>Taxable Income Unadjusted</t>
  </si>
  <si>
    <t>Total Operating Revenue</t>
  </si>
  <si>
    <t>Interest Expense</t>
  </si>
  <si>
    <t>INTEXP</t>
  </si>
  <si>
    <t>Taxable Income</t>
  </si>
  <si>
    <t>TAXINC</t>
  </si>
  <si>
    <t>Interest</t>
  </si>
  <si>
    <t>INTPPDB</t>
  </si>
  <si>
    <t>INTPPDI</t>
  </si>
  <si>
    <t>INTPPDP</t>
  </si>
  <si>
    <t>INTPPEB</t>
  </si>
  <si>
    <t>INTPPEI</t>
  </si>
  <si>
    <t>INTPPEP</t>
  </si>
  <si>
    <t>INTPPT</t>
  </si>
  <si>
    <t>INTTRB</t>
  </si>
  <si>
    <t>INTTRI</t>
  </si>
  <si>
    <t>INTTRP</t>
  </si>
  <si>
    <t>INTTRT</t>
  </si>
  <si>
    <t>INTDPS</t>
  </si>
  <si>
    <t>INTDSG</t>
  </si>
  <si>
    <t>INTDPLS</t>
  </si>
  <si>
    <t>INTDPLD</t>
  </si>
  <si>
    <t>INTDPLC</t>
  </si>
  <si>
    <t>INTDSLD</t>
  </si>
  <si>
    <t>INTDSLC</t>
  </si>
  <si>
    <t>INTDLT</t>
  </si>
  <si>
    <t>INTDLTD</t>
  </si>
  <si>
    <t>INTDLTC</t>
  </si>
  <si>
    <t>INTDLTT</t>
  </si>
  <si>
    <t>INTDSC</t>
  </si>
  <si>
    <t>INTDMC</t>
  </si>
  <si>
    <t>INTDSCL</t>
  </si>
  <si>
    <t>INTCAE</t>
  </si>
  <si>
    <t>INTCSI</t>
  </si>
  <si>
    <t>INTSEC</t>
  </si>
  <si>
    <t>INTT</t>
  </si>
  <si>
    <t>Taxable Income Pro-Forma</t>
  </si>
  <si>
    <t>Interest Syncronization Adjustment</t>
  </si>
  <si>
    <t>TXINCPF</t>
  </si>
  <si>
    <t>Off-System Sales Allocator</t>
  </si>
  <si>
    <t>Off-System Sales</t>
  </si>
  <si>
    <t>Less: Adjustment to Reallocate Expenses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</si>
  <si>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</si>
  <si>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</si>
  <si>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</si>
  <si>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</si>
  <si>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</si>
  <si>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 xml:space="preserve">  Intercompany Sales</t>
  </si>
  <si>
    <t>Summer Peak Period Demand Allocator</t>
  </si>
  <si>
    <t>Winter Peak Period Demand Allocator</t>
  </si>
  <si>
    <t>Base Demand Allocator</t>
  </si>
  <si>
    <t>BDEM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</si>
  <si>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</si>
  <si>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</si>
  <si>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</si>
  <si>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</si>
  <si>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</si>
  <si>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</si>
  <si>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</si>
  <si>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INJURIES AND DAMAGES - INSURAN</t>
  </si>
  <si>
    <t>OM925</t>
  </si>
  <si>
    <t>EMPLOYEE BENEFITS</t>
  </si>
  <si>
    <t>DEPRECIATION &amp; AMORT EXPENSE</t>
  </si>
  <si>
    <t>DEPRECIATION EXPENSE</t>
  </si>
  <si>
    <t>AFUDC expense per Prop Acct spreadsheet</t>
  </si>
  <si>
    <t>12 month ending functional depr expense</t>
  </si>
  <si>
    <t>12 month ending KY, PP, TN depr expense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</si>
  <si>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</si>
  <si>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</si>
  <si>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</si>
  <si>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</si>
  <si>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</si>
  <si>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</si>
  <si>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</si>
  <si>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</si>
  <si>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</si>
  <si>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</si>
  <si>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</si>
  <si>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</si>
  <si>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</si>
  <si>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</si>
  <si>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</si>
  <si>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</si>
  <si>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</si>
  <si>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</si>
  <si>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 xml:space="preserve">   FERC 535</t>
  </si>
  <si>
    <t xml:space="preserve">   FERC 538</t>
  </si>
  <si>
    <t xml:space="preserve">   FERC 539</t>
  </si>
  <si>
    <t xml:space="preserve">   FERC 541</t>
  </si>
  <si>
    <t xml:space="preserve">   FERC 542</t>
  </si>
  <si>
    <t xml:space="preserve">   FERC 544</t>
  </si>
  <si>
    <t xml:space="preserve">   FERC 545</t>
  </si>
  <si>
    <t xml:space="preserve">   FERC 546</t>
  </si>
  <si>
    <t xml:space="preserve">   FERC 548</t>
  </si>
  <si>
    <t xml:space="preserve">   FERC 549</t>
  </si>
  <si>
    <t xml:space="preserve">   FERC 550</t>
  </si>
  <si>
    <t xml:space="preserve">   FERC 551</t>
  </si>
  <si>
    <t xml:space="preserve">   FERC 552</t>
  </si>
  <si>
    <t xml:space="preserve">   FERC 553</t>
  </si>
  <si>
    <t xml:space="preserve">   FERC 554</t>
  </si>
  <si>
    <t xml:space="preserve">   FERC 555</t>
  </si>
  <si>
    <t xml:space="preserve">   FERC 556</t>
  </si>
  <si>
    <t xml:space="preserve">   FERC 557</t>
  </si>
  <si>
    <t xml:space="preserve">     TOTAL DEMAND</t>
  </si>
  <si>
    <t xml:space="preserve">     TOTAL PRODUCTION</t>
  </si>
  <si>
    <t xml:space="preserve"> TRANSMISSION LABOR</t>
  </si>
  <si>
    <t xml:space="preserve">      FERC 560</t>
  </si>
  <si>
    <t xml:space="preserve">      FERC 561</t>
  </si>
  <si>
    <t xml:space="preserve">      FERC 562</t>
  </si>
  <si>
    <t xml:space="preserve">      FERC 563</t>
  </si>
  <si>
    <t xml:space="preserve">      FERC 565</t>
  </si>
  <si>
    <t xml:space="preserve">      FERC 566</t>
  </si>
  <si>
    <t xml:space="preserve">      FERC 567</t>
  </si>
  <si>
    <t xml:space="preserve">      FERC 569</t>
  </si>
  <si>
    <t xml:space="preserve">      FERC 570</t>
  </si>
  <si>
    <t xml:space="preserve">      FERC 571</t>
  </si>
  <si>
    <t xml:space="preserve">      FERC 572</t>
  </si>
  <si>
    <t xml:space="preserve">      FERC 573</t>
  </si>
  <si>
    <t xml:space="preserve"> TOTAL TRANSMISSION LABOR</t>
  </si>
  <si>
    <t xml:space="preserve"> DISTRIBUTION LABOR</t>
  </si>
  <si>
    <t xml:space="preserve">      FERC 580</t>
  </si>
  <si>
    <t xml:space="preserve">      FERC 581</t>
  </si>
  <si>
    <t xml:space="preserve">      FERC 582</t>
  </si>
  <si>
    <t xml:space="preserve">      FERC 583</t>
  </si>
  <si>
    <t xml:space="preserve">      FERC 584</t>
  </si>
  <si>
    <t xml:space="preserve">      FERC 585</t>
  </si>
  <si>
    <t xml:space="preserve">      FERC 586</t>
  </si>
  <si>
    <t xml:space="preserve">      FERC 587</t>
  </si>
  <si>
    <t xml:space="preserve">      FERC 588</t>
  </si>
  <si>
    <t xml:space="preserve">      FERC 589</t>
  </si>
  <si>
    <t xml:space="preserve">      FERC 590</t>
  </si>
  <si>
    <t xml:space="preserve">      FERC 592</t>
  </si>
  <si>
    <t xml:space="preserve">      FERC 593</t>
  </si>
  <si>
    <t xml:space="preserve">      FERC 594</t>
  </si>
  <si>
    <t xml:space="preserve">      FERC 595</t>
  </si>
  <si>
    <t xml:space="preserve">      FERC 596</t>
  </si>
  <si>
    <t xml:space="preserve">      FERC 597</t>
  </si>
  <si>
    <t>Less: Customer Advances</t>
  </si>
  <si>
    <t xml:space="preserve">         KENTUCKY UTILITIES COMPANY</t>
  </si>
  <si>
    <t xml:space="preserve">    ELECTRIC COST OF SERVICE STUDY</t>
  </si>
  <si>
    <t xml:space="preserve">          JURISDICTIONAL SEPARATION</t>
  </si>
  <si>
    <t>TOTAL</t>
  </si>
  <si>
    <t>KENTUCKY</t>
  </si>
  <si>
    <t>VIRGINIA</t>
  </si>
  <si>
    <t>FERC &amp;</t>
  </si>
  <si>
    <t>TENNESSEE</t>
  </si>
  <si>
    <t>INPUT COL</t>
  </si>
  <si>
    <t>STATE</t>
  </si>
  <si>
    <t>FERC</t>
  </si>
  <si>
    <t>ALLOC</t>
  </si>
  <si>
    <t>UTILITIES</t>
  </si>
  <si>
    <t>JURISDICTION</t>
  </si>
  <si>
    <t>PRIMARY</t>
  </si>
  <si>
    <t>TRANSMISSION</t>
  </si>
  <si>
    <t>PARIS</t>
  </si>
  <si>
    <t>(1)-1</t>
  </si>
  <si>
    <t>(2)</t>
  </si>
  <si>
    <t>(6)</t>
  </si>
  <si>
    <t>(7)</t>
  </si>
  <si>
    <t>(8)</t>
  </si>
  <si>
    <t>(9)</t>
  </si>
  <si>
    <t>ALLOCATION FACTOR TABLE</t>
  </si>
  <si>
    <t>DEMAND RELATED</t>
  </si>
  <si>
    <t>-</t>
  </si>
  <si>
    <t>PRODUCTION ALLOCATORS</t>
  </si>
  <si>
    <t>DEMAND (12 CP GEN LEV)-PROD</t>
  </si>
  <si>
    <t>DEMPROD</t>
  </si>
  <si>
    <t>DEMAND (12 CP GEN LEV)-FERC</t>
  </si>
  <si>
    <t>DEMFERC</t>
  </si>
  <si>
    <t>DEMAND (12 CP GEN)-PROD VA</t>
  </si>
  <si>
    <t>DPRODVA</t>
  </si>
  <si>
    <t>DEMAND (12 CP GEN)-PROD KY</t>
  </si>
  <si>
    <t>DPRODKY</t>
  </si>
  <si>
    <t>DEM (12 CP GEN LV)-FERC POST</t>
  </si>
  <si>
    <t>DEMFERCP</t>
  </si>
  <si>
    <t>DEM (12 CP GEN LV)-NON VA</t>
  </si>
  <si>
    <t>DEMPRODNV</t>
  </si>
  <si>
    <t>TRANSMISSION ALLOCATORS</t>
  </si>
  <si>
    <t>DEMAND (12 CP GEN LEV)-TRAN</t>
  </si>
  <si>
    <t>DEMTRAN</t>
  </si>
  <si>
    <t>DEMAND (12 CP GEN LEV)-VA</t>
  </si>
  <si>
    <t>DEMVA</t>
  </si>
  <si>
    <t>DEM (12 CP GN LEV)-TRAN FERC</t>
  </si>
  <si>
    <t>DEMFERCT</t>
  </si>
  <si>
    <t>DISTRIBUTION ALLOCATORS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</si>
  <si>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</si>
  <si>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</si>
  <si>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</si>
  <si>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</si>
  <si>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</si>
  <si>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</si>
  <si>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</si>
  <si>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</si>
  <si>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P352</t>
  </si>
  <si>
    <t>OTHER</t>
  </si>
  <si>
    <t xml:space="preserve">  CWIP Transmission</t>
  </si>
  <si>
    <t>ADEPRD1</t>
  </si>
  <si>
    <t>ADEPRD11</t>
  </si>
  <si>
    <t>ADEPRD12</t>
  </si>
  <si>
    <t xml:space="preserve">  CWIP General Plant</t>
  </si>
  <si>
    <t xml:space="preserve">  CWIP Distribution Plant</t>
  </si>
  <si>
    <t xml:space="preserve">  RWIP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</si>
  <si>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</si>
  <si>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</si>
  <si>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</si>
  <si>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</si>
  <si>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</si>
  <si>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</si>
  <si>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</si>
  <si>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</si>
  <si>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 xml:space="preserve">    AFUDC-INTEREST POST FERC</t>
  </si>
  <si>
    <t xml:space="preserve"> TOTAL DEDUCTIONS</t>
  </si>
  <si>
    <t xml:space="preserve"> PLUS: ABOVE THE LINE DIFF:</t>
  </si>
  <si>
    <t xml:space="preserve">  OTHER</t>
  </si>
  <si>
    <t>STATE TAX</t>
  </si>
  <si>
    <t>FS State Taxes</t>
  </si>
  <si>
    <t>STATE TAX TOTAL</t>
  </si>
  <si>
    <t>FEDERAL TAXES @ 35%</t>
  </si>
  <si>
    <t>EXCESS DEFERRED TAXES</t>
  </si>
  <si>
    <t>FS Federal Taxes</t>
  </si>
  <si>
    <t xml:space="preserve"> FEDERAL TAX TOTAL</t>
  </si>
  <si>
    <t>STATE TAX RATE</t>
  </si>
  <si>
    <t>FEDERAL TAX RATE - CURRENT</t>
  </si>
  <si>
    <t>1 - EFFECTIVE TAX RATE</t>
  </si>
  <si>
    <t>EFFECTIVE TAX RATE</t>
  </si>
  <si>
    <t>FACTOR FOR TAXABLE BASIS</t>
  </si>
  <si>
    <t xml:space="preserve"> TOTAL CUSTOMER SERVICE AND SALES LABOR</t>
  </si>
  <si>
    <t>TOTAL PROD, TRAN, DIST, CUSTOMER LABOR</t>
  </si>
  <si>
    <t>ADMIN &amp; GENERAL LABOR</t>
  </si>
  <si>
    <t xml:space="preserve">      FERC 920</t>
  </si>
  <si>
    <t xml:space="preserve">      FERC 921</t>
  </si>
  <si>
    <t xml:space="preserve">      FERC 922</t>
  </si>
  <si>
    <t xml:space="preserve">      FERC 923</t>
  </si>
  <si>
    <t xml:space="preserve">      FERC 924</t>
  </si>
  <si>
    <t xml:space="preserve">      FERC 925</t>
  </si>
  <si>
    <t xml:space="preserve">      FERC 926</t>
  </si>
  <si>
    <t xml:space="preserve">      FERC 927</t>
  </si>
  <si>
    <t xml:space="preserve">      FERC 929</t>
  </si>
  <si>
    <t xml:space="preserve">      FERC 930</t>
  </si>
  <si>
    <t xml:space="preserve">      FERC 931</t>
  </si>
  <si>
    <t xml:space="preserve">      FERC 935</t>
  </si>
  <si>
    <t xml:space="preserve"> TOTAL ADMIN &amp; GENERAL  LABOR</t>
  </si>
  <si>
    <t>TOTAL LABOR EXPENSES</t>
  </si>
  <si>
    <t>TRANSM PLANT VA</t>
  </si>
  <si>
    <t>TRPLTVA</t>
  </si>
  <si>
    <t>TOT ACCT 364 &amp; 365-OVHD LINE</t>
  </si>
  <si>
    <t>TOTAL ELECTRIC PLANT</t>
  </si>
  <si>
    <t>PLANT</t>
  </si>
  <si>
    <t>TOTAL ELECTRIC PLANT KY</t>
  </si>
  <si>
    <t>PLANTKY</t>
  </si>
  <si>
    <t>TOTAL ELECTRIC PLANT KY &amp; FERC</t>
  </si>
  <si>
    <t>PLANTKF</t>
  </si>
  <si>
    <t>TOTAL ELECTRIC PLANT VA</t>
  </si>
  <si>
    <t>PLANTVA</t>
  </si>
  <si>
    <t>TOTAL STEAM PROD PLANT</t>
  </si>
  <si>
    <t>STMPLT</t>
  </si>
  <si>
    <t>TOTAL HYDRAULIC PROD PLANT</t>
  </si>
  <si>
    <t>HYDPLT</t>
  </si>
  <si>
    <t>TOTAL OTHER PROD PLANT</t>
  </si>
  <si>
    <t>OTHPLT</t>
  </si>
  <si>
    <t>Kentucky Utilities Company</t>
  </si>
  <si>
    <t>Services Account 369</t>
  </si>
  <si>
    <t>Rate Class</t>
  </si>
  <si>
    <t>DEM368K</t>
  </si>
  <si>
    <t>DEM368V</t>
  </si>
  <si>
    <t xml:space="preserve">DIR ASSIGN ACC.DEPRC.DIST.VA&amp;TN </t>
  </si>
  <si>
    <t>DIRACDEP</t>
  </si>
  <si>
    <t>DIR ASSIGN CWIP DIST VA &amp; TN</t>
  </si>
  <si>
    <t>DIRCWIP</t>
  </si>
  <si>
    <t>DIRACDFTX</t>
  </si>
  <si>
    <t>DIRACITC</t>
  </si>
  <si>
    <t>DIR ASSIGN 203(E) EXCESS</t>
  </si>
  <si>
    <t>DIR203E</t>
  </si>
  <si>
    <t>DIR ASSIGN ITC ADJ</t>
  </si>
  <si>
    <t>DIRITCADJ</t>
  </si>
  <si>
    <t>DIR ASSIGN DEFERRED FUEL-VIRGINIA</t>
  </si>
  <si>
    <t>DFUELVA</t>
  </si>
  <si>
    <t>ENERGY</t>
  </si>
  <si>
    <t>ENERGY (MWH AT GEN LEVEL)</t>
  </si>
  <si>
    <t>ENERGY (MWH RETAIL @ GEN LEVEL)</t>
  </si>
  <si>
    <t>ENERGY1</t>
  </si>
  <si>
    <t>CUSTOMER</t>
  </si>
  <si>
    <t>DIR ASSIGN ACCT 369-SERV KY</t>
  </si>
  <si>
    <t>CUST369K</t>
  </si>
  <si>
    <t>DIR ASSIGN ACCT 370 METERS KY</t>
  </si>
  <si>
    <t>CUST370K</t>
  </si>
  <si>
    <t>DIR ASN ACCT 371 CUST INST KY</t>
  </si>
  <si>
    <t>CUST371K</t>
  </si>
  <si>
    <t>DIR ASGN ACCT 373 ST LIGHT KY</t>
  </si>
  <si>
    <t>CUST373K</t>
  </si>
  <si>
    <t>CUSTOMER ADVANCES</t>
  </si>
  <si>
    <t>CUSTADV</t>
  </si>
  <si>
    <t>CUSTOMER DEPOSITS</t>
  </si>
  <si>
    <t>CUSTDEP</t>
  </si>
  <si>
    <t>DIR ASSIGN 902-METER READING</t>
  </si>
  <si>
    <t>CUST902</t>
  </si>
  <si>
    <t>DIR ASSIGN 903-CUSTOMER REC</t>
  </si>
  <si>
    <t>CUST903</t>
  </si>
  <si>
    <t>DIR ASSIGN 904-UNCOLL ACCTS</t>
  </si>
  <si>
    <t>CUST904</t>
  </si>
  <si>
    <t>DIR ASSIGN ACCT 369-SERV VA</t>
  </si>
  <si>
    <t>CUST369V</t>
  </si>
  <si>
    <t>DIR ASSIGN ACCT 370 METERS VA</t>
  </si>
  <si>
    <t>CUST370V</t>
  </si>
  <si>
    <t>DIR ASN ACCT 371 CUST INST VA</t>
  </si>
  <si>
    <t>CUST371V</t>
  </si>
  <si>
    <t>DIR ASGN ACCT 373 ST LIGHT VA</t>
  </si>
  <si>
    <t>CUST373V</t>
  </si>
  <si>
    <t>DIR ASSIGN 908-CUST ASSIST</t>
  </si>
  <si>
    <t>CUST908</t>
  </si>
  <si>
    <t>DIR ASSIGN 909-INFO &amp; INSTRCT</t>
  </si>
  <si>
    <t>CUST909</t>
  </si>
  <si>
    <t>DIR ASSIGN 912-DEM &amp; SELLING</t>
  </si>
  <si>
    <t>CUST912</t>
  </si>
  <si>
    <t>DIR ASSIGN 913-ADVERTISING</t>
  </si>
  <si>
    <t>CUST913</t>
  </si>
  <si>
    <t>CUSTOMER ANNUALIZATION</t>
  </si>
  <si>
    <t>CUSTANN</t>
  </si>
  <si>
    <t>CUSTOMER DEPOSITS INTEREST</t>
  </si>
  <si>
    <t>CUSTDEPI</t>
  </si>
  <si>
    <t>INTERNALLY DEVELOPED</t>
  </si>
  <si>
    <t>PROD-TRANSM-DISTR-GENL PLT</t>
  </si>
  <si>
    <t>PTDGPLT</t>
  </si>
  <si>
    <t>PROD-TRANSM-DISTR-GENL PLT KY</t>
  </si>
  <si>
    <t>KURETPLT</t>
  </si>
  <si>
    <t>ALLOCATED O&amp;M LABOR EXPENSE</t>
  </si>
  <si>
    <t>LABOR</t>
  </si>
  <si>
    <t>TOTAL STEAM PROD PLANT-SYSTEM</t>
  </si>
  <si>
    <t>STMSYS</t>
  </si>
  <si>
    <t>ALLOCATED NON A&amp;G LABOR EXPENSE</t>
  </si>
  <si>
    <t>PTDCUSTLABOR</t>
  </si>
  <si>
    <t>TOT HYDRAULIC PROD PLANT-SYS</t>
  </si>
  <si>
    <t>HYDSYS</t>
  </si>
  <si>
    <t>TOTAL OTHER PROD PLANT-SYS</t>
  </si>
  <si>
    <t>OTHSYS</t>
  </si>
  <si>
    <t>TRANSM KENTUCKY SYSTEM PROP</t>
  </si>
  <si>
    <t>KYTRPLT</t>
  </si>
  <si>
    <t>TRANSM VIRGINIA PROPERTY</t>
  </si>
  <si>
    <t>VATRPLT</t>
  </si>
  <si>
    <t>TRANSM VIRGINIA PROP TOTAL</t>
  </si>
  <si>
    <t>VATRPLTT</t>
  </si>
  <si>
    <t>TOTAL DISTRIBUTION PLANT</t>
  </si>
  <si>
    <t>DISTPLT</t>
  </si>
  <si>
    <t>TOTAL DIST PLANT KY &amp; FERC</t>
  </si>
  <si>
    <t>DISTPLTKF</t>
  </si>
  <si>
    <t>TOTAL GENERAL PLANT</t>
  </si>
  <si>
    <t>GENPLT</t>
  </si>
  <si>
    <t>ACCT 302-FRANCHISE</t>
  </si>
  <si>
    <t>Misc Service Revenue Allocator</t>
  </si>
  <si>
    <t>YREND</t>
  </si>
  <si>
    <t>DIR ASSIGN ACC ITC VA</t>
  </si>
  <si>
    <t>TRANSM PLANT VA &amp; 500 KV</t>
  </si>
  <si>
    <t>TOTAL 201(E) EXCESS</t>
  </si>
  <si>
    <t>TOTAL STEAM OPERATIONS LABOR</t>
  </si>
  <si>
    <t>TOTAL STEAM MAINTENANCE LABOR</t>
  </si>
  <si>
    <t>TOTAL HYDRO OPERATIONS LABOR</t>
  </si>
  <si>
    <t>TOTAL HYDRO MAINTENANCE LABOR</t>
  </si>
  <si>
    <t>TOTAL OTHER OPERATIONS LABOR</t>
  </si>
  <si>
    <t>TOTAL OTHER MAINTENANCE LABOR</t>
  </si>
  <si>
    <t>CUST SERVICES EXP 908-910</t>
  </si>
  <si>
    <t>SUMMARY OF RESULTS AS ALLOCATED</t>
  </si>
  <si>
    <t>ELEMENTS OF RATE BASE</t>
  </si>
  <si>
    <t xml:space="preserve"> PLANT IN SERVICE</t>
  </si>
  <si>
    <t xml:space="preserve"> LESS RESERVE FOR DEPRECIATION</t>
  </si>
  <si>
    <t xml:space="preserve">     NET PLANT IN SERVICE</t>
  </si>
  <si>
    <t xml:space="preserve"> CONST WORK IN PROGRESS</t>
  </si>
  <si>
    <t xml:space="preserve">     NET PLANT</t>
  </si>
  <si>
    <t>ADD:</t>
  </si>
  <si>
    <t xml:space="preserve">      FERC 591</t>
  </si>
  <si>
    <t>Total Line Transformers</t>
  </si>
  <si>
    <t xml:space="preserve">    MATERIALS &amp; SUPPLIES</t>
  </si>
  <si>
    <t xml:space="preserve">    FUEL INVENTORY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</si>
  <si>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</si>
  <si>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</si>
  <si>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</si>
  <si>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</si>
  <si>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</si>
  <si>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</si>
  <si>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</si>
  <si>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</si>
  <si>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</si>
  <si>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</si>
  <si>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</si>
  <si>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</si>
  <si>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</si>
  <si>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</si>
  <si>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</si>
  <si>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</si>
  <si>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</si>
  <si>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</si>
  <si>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</si>
  <si>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</si>
  <si>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</si>
  <si>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</si>
  <si>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</si>
  <si>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</si>
  <si>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</si>
  <si>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</si>
  <si>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</si>
  <si>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</si>
  <si>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</si>
  <si>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</si>
  <si>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</si>
  <si>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</si>
  <si>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</si>
  <si>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</si>
  <si>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</si>
  <si>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</si>
  <si>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</si>
  <si>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</si>
  <si>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</si>
  <si>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</si>
  <si>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</si>
  <si>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</si>
  <si>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</si>
  <si>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</si>
  <si>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</si>
  <si>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</si>
  <si>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</si>
  <si>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</si>
  <si>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</si>
  <si>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</si>
  <si>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</si>
  <si>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</si>
  <si>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</si>
  <si>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</si>
  <si>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</si>
  <si>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</si>
  <si>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</si>
  <si>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</si>
  <si>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</si>
  <si>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</si>
  <si>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</si>
  <si>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</si>
  <si>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</si>
  <si>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</si>
  <si>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</si>
  <si>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</si>
  <si>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</si>
  <si>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</si>
  <si>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</si>
  <si>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</si>
  <si>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</si>
  <si>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</si>
  <si>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</si>
  <si>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</si>
  <si>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</si>
  <si>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</si>
  <si>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</si>
  <si>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</si>
  <si>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</si>
  <si>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</si>
  <si>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</si>
  <si>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</si>
  <si>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</si>
  <si>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</si>
  <si>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</si>
  <si>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</si>
  <si>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</si>
  <si>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</si>
  <si>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</si>
  <si>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</si>
  <si>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</si>
  <si>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</si>
  <si>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</si>
  <si>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</si>
  <si>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</si>
  <si>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</si>
  <si>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</si>
  <si>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</si>
  <si>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</si>
  <si>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</si>
  <si>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</si>
  <si>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</si>
  <si>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</si>
  <si>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</si>
  <si>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</si>
  <si>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SOFTWARE</t>
  </si>
  <si>
    <t>Hydraulic Production Plant</t>
  </si>
  <si>
    <t>Total Hydraulic Production Plant</t>
  </si>
  <si>
    <t>PHDPR</t>
  </si>
  <si>
    <t>KENTUCKY SYSTEM PROPERTY</t>
  </si>
  <si>
    <t>VIRGINIA PROPERTY - 500 KV LINE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</si>
  <si>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</si>
  <si>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</si>
  <si>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</si>
  <si>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</si>
  <si>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368-TRANSFORMERS - ALL OTHER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</si>
  <si>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</si>
  <si>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</si>
  <si>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</si>
  <si>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</si>
  <si>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</si>
  <si>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</si>
  <si>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</si>
  <si>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</si>
  <si>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</si>
  <si>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</si>
  <si>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</si>
  <si>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</si>
  <si>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</si>
  <si>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</si>
  <si>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</si>
  <si>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</si>
  <si>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</si>
  <si>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</si>
  <si>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</si>
  <si>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</si>
  <si>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</si>
  <si>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</si>
  <si>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</si>
  <si>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</si>
  <si>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</si>
  <si>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</si>
  <si>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</si>
  <si>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</si>
  <si>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</si>
  <si>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</si>
  <si>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</si>
  <si>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</si>
  <si>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</si>
  <si>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P368a</t>
  </si>
  <si>
    <t>LPREX</t>
  </si>
  <si>
    <t>OM507</t>
  </si>
  <si>
    <t>Ref</t>
  </si>
  <si>
    <t>Production Demand</t>
  </si>
  <si>
    <t>Production Energy</t>
  </si>
  <si>
    <t>Inter.</t>
  </si>
  <si>
    <t>Peak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</si>
  <si>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</si>
  <si>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</si>
  <si>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</si>
  <si>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</si>
  <si>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</si>
  <si>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</si>
  <si>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</si>
  <si>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</si>
  <si>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</si>
  <si>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</si>
  <si>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</si>
  <si>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</si>
  <si>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</si>
  <si>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</si>
  <si>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</si>
  <si>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</si>
  <si>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</si>
  <si>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</si>
  <si>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</si>
  <si>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</si>
  <si>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</si>
  <si>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</si>
  <si>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</si>
  <si>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</si>
  <si>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</si>
  <si>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</si>
  <si>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</si>
  <si>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</si>
  <si>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</si>
  <si>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</si>
  <si>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</si>
  <si>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</si>
  <si>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</si>
  <si>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</si>
  <si>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</si>
  <si>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</si>
  <si>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</si>
  <si>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</si>
  <si>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</si>
  <si>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</si>
  <si>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</si>
  <si>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</si>
  <si>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</si>
  <si>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</si>
  <si>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</si>
  <si>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</si>
  <si>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</si>
  <si>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</si>
  <si>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</si>
  <si>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</si>
  <si>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</si>
  <si>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</si>
  <si>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</si>
  <si>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</si>
  <si>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</si>
  <si>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</si>
  <si>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</si>
  <si>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</si>
  <si>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</si>
  <si>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</si>
  <si>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</si>
  <si>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</si>
  <si>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</si>
  <si>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</si>
  <si>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</si>
  <si>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</si>
  <si>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</si>
  <si>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</si>
  <si>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</si>
  <si>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</si>
  <si>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</si>
  <si>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</si>
  <si>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</si>
  <si>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</si>
  <si>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</si>
  <si>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</si>
  <si>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</si>
  <si>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</si>
  <si>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</si>
  <si>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</si>
  <si>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</si>
  <si>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</si>
  <si>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</si>
  <si>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</si>
  <si>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</si>
  <si>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</si>
  <si>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</si>
  <si>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</si>
  <si>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</si>
  <si>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</si>
  <si>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</si>
  <si>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</si>
  <si>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</si>
  <si>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</si>
  <si>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</si>
  <si>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</si>
  <si>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</si>
  <si>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</si>
  <si>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</si>
  <si>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</si>
  <si>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</si>
  <si>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</si>
  <si>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</si>
  <si>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</si>
  <si>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</si>
  <si>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</si>
  <si>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</si>
  <si>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</si>
  <si>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</si>
  <si>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</si>
  <si>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</si>
  <si>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</si>
  <si>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</si>
  <si>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</si>
  <si>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</si>
  <si>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RS</t>
  </si>
  <si>
    <t>Kentucky Utilities</t>
  </si>
  <si>
    <t>LB556</t>
  </si>
  <si>
    <t>LB922</t>
  </si>
  <si>
    <t>LB935</t>
  </si>
  <si>
    <t>LB535</t>
  </si>
  <si>
    <t>LB536</t>
  </si>
  <si>
    <t>LB537</t>
  </si>
  <si>
    <t>LB538</t>
  </si>
  <si>
    <t>LB539</t>
  </si>
  <si>
    <t>LB540</t>
  </si>
  <si>
    <t>LB541</t>
  </si>
  <si>
    <t>LB542</t>
  </si>
  <si>
    <t>LB543</t>
  </si>
  <si>
    <t>LB544</t>
  </si>
  <si>
    <t>LB545</t>
  </si>
  <si>
    <t>LB572</t>
  </si>
  <si>
    <t>LB573</t>
  </si>
  <si>
    <t>Emission Allowance</t>
  </si>
  <si>
    <t>EMALL</t>
  </si>
  <si>
    <t>ADITPP</t>
  </si>
  <si>
    <t>ADITTP</t>
  </si>
  <si>
    <t>DIR ASSIGN LATE PAYMENT REVENUE</t>
  </si>
  <si>
    <t>LATE PAYMENT REVENUES</t>
  </si>
  <si>
    <t xml:space="preserve">    (GAIN) / LOSS DISPOSITION ALLOWANCES</t>
  </si>
  <si>
    <t xml:space="preserve">    (GAIN) / LOSS DISPOSITION PROPERTY-VA</t>
  </si>
  <si>
    <t xml:space="preserve">    CHARITABLE CONTRIBUTIONS-VA</t>
  </si>
  <si>
    <t xml:space="preserve">    INTEREST ON CUSTOMER DEPOSITS-VA</t>
  </si>
  <si>
    <t>Financial Statements Net Operating Income</t>
  </si>
  <si>
    <t>M&amp;S worksheet</t>
  </si>
  <si>
    <t>Virginia 0 (zero) Cash Working Capital (No formula allowed only Lead/Lag Study or Zero)</t>
  </si>
  <si>
    <t>Advertising</t>
  </si>
  <si>
    <t>Assoc Dues</t>
  </si>
  <si>
    <t>R&amp;D</t>
  </si>
  <si>
    <t>930101</t>
  </si>
  <si>
    <t>GEN PUBLIC INFO EXP</t>
  </si>
  <si>
    <t>930191</t>
  </si>
  <si>
    <t>GEN PUBLIC INFO EXP - INDIRECT</t>
  </si>
  <si>
    <t>930202</t>
  </si>
  <si>
    <t>ASSOCIATION DUES</t>
  </si>
  <si>
    <t>Total 928</t>
  </si>
  <si>
    <t>KY Cases</t>
  </si>
  <si>
    <t>VA Cases</t>
  </si>
  <si>
    <t>TN Cases</t>
  </si>
  <si>
    <t>930250</t>
  </si>
  <si>
    <t>930272</t>
  </si>
  <si>
    <t>ASSOCIATION DUES - INDIRECT</t>
  </si>
  <si>
    <t>930274</t>
  </si>
  <si>
    <t>RESEARCH AND DEVELOPMENT EXPENSES - INDIRECT</t>
  </si>
  <si>
    <t>930904</t>
  </si>
  <si>
    <t>RESEARCH AND DEVELOPMENT EXPENSES</t>
  </si>
  <si>
    <t>GAIN/LOSS PROP DISPOSITION (NET)</t>
  </si>
  <si>
    <t>CHARITABLE CONTRIBUTIONS-VA ONLY</t>
  </si>
  <si>
    <t>GAINS/LOSSES-NET OF TAXES (1-.389)</t>
  </si>
  <si>
    <t>Virginia</t>
  </si>
  <si>
    <t>Donations Workpaper</t>
  </si>
  <si>
    <t>Net of Tax (1-.389)</t>
  </si>
  <si>
    <t>50% Limitation</t>
  </si>
  <si>
    <t>Total Co Int on Cust Dep; Interest deduct for Virginia only</t>
  </si>
  <si>
    <t>STATE TAX ADJUSTS FOR FEDERAL</t>
  </si>
  <si>
    <t>Direct Labor plus Burdens</t>
  </si>
  <si>
    <t xml:space="preserve"> 374-ARO COST KY ELEC DISTRIB</t>
  </si>
  <si>
    <t>DEM374K</t>
  </si>
  <si>
    <t>Less: Asset Retirement Obligations</t>
  </si>
  <si>
    <t>RTS</t>
  </si>
  <si>
    <t>Federal &amp; State Income Tax Adjustment</t>
  </si>
  <si>
    <t>Federal &amp; State Income Tax Interest Adjustment</t>
  </si>
  <si>
    <t>Power Service</t>
  </si>
  <si>
    <t>PS-Secondary</t>
  </si>
  <si>
    <t>PS-Primary</t>
  </si>
  <si>
    <t>Time of Day</t>
  </si>
  <si>
    <t>TOD-Secondary</t>
  </si>
  <si>
    <t>Large TOD</t>
  </si>
  <si>
    <t>Retail Transmission Service</t>
  </si>
  <si>
    <t>DSM01</t>
  </si>
  <si>
    <t>YRE01</t>
  </si>
  <si>
    <t>Remove DSM Revenues</t>
  </si>
  <si>
    <t>Rate Base Adjustments</t>
  </si>
  <si>
    <t>(3)</t>
  </si>
  <si>
    <t>Rate Base as Adjusted</t>
  </si>
  <si>
    <t>(4)</t>
  </si>
  <si>
    <t>(5)</t>
  </si>
  <si>
    <t>Return</t>
  </si>
  <si>
    <t>Interest Expenses</t>
  </si>
  <si>
    <t>(10)</t>
  </si>
  <si>
    <t>(11)</t>
  </si>
  <si>
    <t>(12)</t>
  </si>
  <si>
    <t>(13)</t>
  </si>
  <si>
    <t>Total Cost of Service</t>
  </si>
  <si>
    <t>(14)</t>
  </si>
  <si>
    <t>(15)</t>
  </si>
  <si>
    <t>Net Cost of Service</t>
  </si>
  <si>
    <t>(16)</t>
  </si>
  <si>
    <t>Billing Units</t>
  </si>
  <si>
    <t>(17)</t>
  </si>
  <si>
    <t>Unit Costs</t>
  </si>
  <si>
    <t>Production</t>
  </si>
  <si>
    <t>Demand-Related</t>
  </si>
  <si>
    <t>Energy-Related</t>
  </si>
  <si>
    <t>Customer-Related</t>
  </si>
  <si>
    <t>Unit Cost of Service Based on the Cost of Service Study</t>
  </si>
  <si>
    <t>Customer Service Expenses</t>
  </si>
  <si>
    <t>Reference Total</t>
  </si>
  <si>
    <t>Expense Adjustments - Energy</t>
  </si>
  <si>
    <t>Expense Adjustments - Prod. Demand</t>
  </si>
  <si>
    <t>Expense Adjustments - Distribution</t>
  </si>
  <si>
    <t>Expense Adjustments - Other</t>
  </si>
  <si>
    <t>Expense Adjustments - Trans. Demand</t>
  </si>
  <si>
    <t>(18)</t>
  </si>
  <si>
    <t>(19)</t>
  </si>
  <si>
    <t>(20)</t>
  </si>
  <si>
    <t>(21)</t>
  </si>
  <si>
    <t>(22)</t>
  </si>
  <si>
    <t>Expense Adjustments - Total</t>
  </si>
  <si>
    <t>Less: Misc Revenue - Energy</t>
  </si>
  <si>
    <t>Less: Misc Revenue - Other</t>
  </si>
  <si>
    <t>(23)</t>
  </si>
  <si>
    <t>(24)</t>
  </si>
  <si>
    <t>Less: Misc Revenue - Total</t>
  </si>
  <si>
    <t>Check</t>
  </si>
  <si>
    <t>LPAY</t>
  </si>
  <si>
    <t>Late Payment Revenue</t>
  </si>
  <si>
    <t>Curtailable Service Credit</t>
  </si>
  <si>
    <t>(25)</t>
  </si>
  <si>
    <t>(26)</t>
  </si>
  <si>
    <t>FFHEA</t>
  </si>
  <si>
    <t>Franchise Fees and HEA</t>
  </si>
  <si>
    <t>FAC01</t>
  </si>
  <si>
    <t xml:space="preserve">FAC Roll-In </t>
  </si>
  <si>
    <t>Energy (Loss Adjusted)(at Source)</t>
  </si>
  <si>
    <t>Energy (at the Meter)</t>
  </si>
  <si>
    <t xml:space="preserve">  Off-System Sales</t>
  </si>
  <si>
    <t>Cost of Service Summary  -- Adjusted for Proposed Increase</t>
  </si>
  <si>
    <t>Rate PSS</t>
  </si>
  <si>
    <t>Eliminate brokered sales revenues</t>
  </si>
  <si>
    <t>Eliminate DSM revenues</t>
  </si>
  <si>
    <t>Pension &amp; post retirement expense adjustment</t>
  </si>
  <si>
    <t>Annualized depreciation expenses under current rates</t>
  </si>
  <si>
    <t>Remove out of period items</t>
  </si>
  <si>
    <t>MISO exit fee regulatory asset amortization</t>
  </si>
  <si>
    <t>Property insurance expense adjustment</t>
  </si>
  <si>
    <t>General Management Audit regulatory asset amortization</t>
  </si>
  <si>
    <t>ALLOCATION METHOD: AVG 12 CP (COMBINED CO SYS)</t>
  </si>
  <si>
    <t>DEM (12 CP GEN LEV)-NON FERC</t>
  </si>
  <si>
    <t>DEMTRANNF</t>
  </si>
  <si>
    <t>DIRECT ASSIGN 360 KY</t>
  </si>
  <si>
    <t>DEM360K</t>
  </si>
  <si>
    <t>DIRECT ASSIGN 361 KY</t>
  </si>
  <si>
    <t>DEM361K</t>
  </si>
  <si>
    <t>DIRECT ASSIGN 362 KY</t>
  </si>
  <si>
    <t>DEM362K</t>
  </si>
  <si>
    <t>DIRECT ASSIGN 364 KY</t>
  </si>
  <si>
    <t>DEM364K</t>
  </si>
  <si>
    <t>DIRECT ASSIGN 365 KY</t>
  </si>
  <si>
    <t>DEM365K</t>
  </si>
  <si>
    <t>DIRECT ASSIGN 366 KY</t>
  </si>
  <si>
    <t>DEM366K</t>
  </si>
  <si>
    <t>DIRECT ASSIGN 367 KY</t>
  </si>
  <si>
    <t>DEM367K</t>
  </si>
  <si>
    <t>DIRECT ASSIGN 368 KY</t>
  </si>
  <si>
    <t>DIRECT ASSIGN 374 KY</t>
  </si>
  <si>
    <t>DIRECT ASSIGN 360-VA</t>
  </si>
  <si>
    <t>DEM360V</t>
  </si>
  <si>
    <t>DIRECT ASSIGN 361-VA</t>
  </si>
  <si>
    <t>DEM361V</t>
  </si>
  <si>
    <t>DIRECT ASSIGN 362-VA</t>
  </si>
  <si>
    <t>DEM362V</t>
  </si>
  <si>
    <t>DIRECT ASSIGN 364-VA</t>
  </si>
  <si>
    <t>DEM364V</t>
  </si>
  <si>
    <t>DIRECT ASSIGN 365-VA</t>
  </si>
  <si>
    <t>DEM365V</t>
  </si>
  <si>
    <t>DIRECT ASSIGN 367-VA</t>
  </si>
  <si>
    <t>DEM367V</t>
  </si>
  <si>
    <t>DIRECT ASSIGN 368-VA</t>
  </si>
  <si>
    <t>DIRECT ASSIGN 360-TN</t>
  </si>
  <si>
    <t>DEM360T</t>
  </si>
  <si>
    <t>DIRECT ASSIGN 361-TN</t>
  </si>
  <si>
    <t>DEM361T</t>
  </si>
  <si>
    <t>DIRECT ASSIGN 362-TN</t>
  </si>
  <si>
    <t>DEM362T</t>
  </si>
  <si>
    <t>DIRECT ASSIGN 364-TN</t>
  </si>
  <si>
    <t>DEM364T</t>
  </si>
  <si>
    <t>DIRECT ASSIGN 365-TN</t>
  </si>
  <si>
    <t>DEM365T</t>
  </si>
  <si>
    <t>DIRECT ASSIGN 368-TN</t>
  </si>
  <si>
    <t>DEM368T</t>
  </si>
  <si>
    <t>DIRECT ASSIGN 369-TN</t>
  </si>
  <si>
    <t>CUST369T</t>
  </si>
  <si>
    <t>DIRECT ASSIGN 370-TN</t>
  </si>
  <si>
    <t>CUST370T</t>
  </si>
  <si>
    <t>DIRECT ASSIGN 371-TN</t>
  </si>
  <si>
    <t>CUST371T</t>
  </si>
  <si>
    <t>DIR ASSIGN RENT REVENUE</t>
  </si>
  <si>
    <t>DIR454REV</t>
  </si>
  <si>
    <t>DIR ASSIGN EXCESS FACILITIES REV.</t>
  </si>
  <si>
    <t>DIR456FAC</t>
  </si>
  <si>
    <t>DIR ASSIGN OTHER MISC REV.</t>
  </si>
  <si>
    <t>DIR456OTH</t>
  </si>
  <si>
    <t>DIR ASSIGN RECONNECT REV</t>
  </si>
  <si>
    <t>DIR451REC</t>
  </si>
  <si>
    <t>DIR ASSIGN OTHER SERVICE REV</t>
  </si>
  <si>
    <t>DIR451OTH</t>
  </si>
  <si>
    <t>DIR ASSIGN RETURN CHECK REV</t>
  </si>
  <si>
    <t>DIR456CHK</t>
  </si>
  <si>
    <t>DIRECT ASSIGN 369-SERV KY</t>
  </si>
  <si>
    <t>DIRECT ASSIGN 370 METERS KY</t>
  </si>
  <si>
    <t>DIRECT ASSIGN 371 CUST INST KY</t>
  </si>
  <si>
    <t>DIRECT ASSIGN 373 ST LIGHT KY</t>
  </si>
  <si>
    <t>DIR ASSIGN ACCT 371 CUST INST VA</t>
  </si>
  <si>
    <t>DIR450REV</t>
  </si>
  <si>
    <t>PLT302TOT</t>
  </si>
  <si>
    <t>PLT303TOT</t>
  </si>
  <si>
    <t>EXP9245TOT</t>
  </si>
  <si>
    <t>REVKY</t>
  </si>
  <si>
    <t>PLT3645TOT</t>
  </si>
  <si>
    <t>PLT3602TOT</t>
  </si>
  <si>
    <t>PLT3667TOT</t>
  </si>
  <si>
    <t>PLT373TOT</t>
  </si>
  <si>
    <t>PLT370TOT</t>
  </si>
  <si>
    <t>PLT371TOT</t>
  </si>
  <si>
    <t>PLT368TOT</t>
  </si>
  <si>
    <t>EXP9024CA</t>
  </si>
  <si>
    <t>EXP9089CS</t>
  </si>
  <si>
    <t>EXP9123SA</t>
  </si>
  <si>
    <t>EXP5017STM</t>
  </si>
  <si>
    <t>EXP5114STM</t>
  </si>
  <si>
    <t>EXP5360HYD</t>
  </si>
  <si>
    <t>EXP5425HYD</t>
  </si>
  <si>
    <t>EXP5479OTH</t>
  </si>
  <si>
    <t>EXP5524OTH</t>
  </si>
  <si>
    <t>EXP5627TX</t>
  </si>
  <si>
    <t>EXP5693TX</t>
  </si>
  <si>
    <t>EXP5829DIS</t>
  </si>
  <si>
    <t>EXP5918DIS</t>
  </si>
  <si>
    <t>EXP9025CA</t>
  </si>
  <si>
    <t>EXP9080CS</t>
  </si>
  <si>
    <t>EXP9126SA</t>
  </si>
  <si>
    <t>440-RESIDENTIAL</t>
  </si>
  <si>
    <t>442-LARGE COMMERCIAL</t>
  </si>
  <si>
    <t>442-INDUSTRIAL</t>
  </si>
  <si>
    <t>442-MINE POWER</t>
  </si>
  <si>
    <t>444-PUBLIC ST &amp; HWY LIGHTING</t>
  </si>
  <si>
    <t>445-OTHER PUBLIC AUTHORITIES</t>
  </si>
  <si>
    <t>445-MUNICIPAL PUMPING</t>
  </si>
  <si>
    <t>447-SALES FOR RESALE-MUNICIPAL WHOLESALE</t>
  </si>
  <si>
    <t>449-PROVISION FOR RATE REFUND</t>
  </si>
  <si>
    <t>DIR ASSIGN RECONNECT REV.</t>
  </si>
  <si>
    <t>DIR ASSIGN OTHER SERVICE REV.</t>
  </si>
  <si>
    <t>DIR ASSIGN RETURN CHECK REV.</t>
  </si>
  <si>
    <t xml:space="preserve">    CUSTOMER DEPOSITS-VIRGINIA</t>
  </si>
  <si>
    <t xml:space="preserve">    OPEB UNFUNDED-VIRGINIA</t>
  </si>
  <si>
    <t xml:space="preserve"> 301-ORGANIZATION</t>
  </si>
  <si>
    <t xml:space="preserve"> 302-FRANCHISE</t>
  </si>
  <si>
    <t xml:space="preserve"> 303-SOFTWARE</t>
  </si>
  <si>
    <t>STEAM PRODUCTION PLANT</t>
  </si>
  <si>
    <t xml:space="preserve"> 310-LAND</t>
  </si>
  <si>
    <t xml:space="preserve"> 311-STRUCTURES AND IMPROVEMENTS</t>
  </si>
  <si>
    <t xml:space="preserve"> 312-BOILER PLANT EQUIPMENT</t>
  </si>
  <si>
    <t xml:space="preserve"> 314-TURBOGENERATOR UNITS</t>
  </si>
  <si>
    <t xml:space="preserve"> 315-ACCESSORY ELECTRIC EQUIP</t>
  </si>
  <si>
    <t xml:space="preserve"> 316-MISC POWER PLANT EQUIP</t>
  </si>
  <si>
    <t xml:space="preserve"> 317-ARO COST STEAM EQUIP</t>
  </si>
  <si>
    <t xml:space="preserve"> FERC-AFUDC PRE</t>
  </si>
  <si>
    <t xml:space="preserve"> FERC-AFUDC POST</t>
  </si>
  <si>
    <t>HYDRAULIC PRODUCTION PLANT</t>
  </si>
  <si>
    <t xml:space="preserve"> 330-LAND RIGHTS</t>
  </si>
  <si>
    <t xml:space="preserve"> 331-STRUCTURES AND IMPROVEMENTS</t>
  </si>
  <si>
    <t xml:space="preserve"> 332-RESERVOIRS, DAMS, AND WATER</t>
  </si>
  <si>
    <t xml:space="preserve"> 333-WATER WHEEL, TURBINES, GEN</t>
  </si>
  <si>
    <t xml:space="preserve"> 334-ACCESSORY ELECTRIC EQUIP</t>
  </si>
  <si>
    <t xml:space="preserve"> 335-MISC POWER PLANT EQUIP</t>
  </si>
  <si>
    <t xml:space="preserve"> 336-ROADS, RAILROADS, AND BRIDGES</t>
  </si>
  <si>
    <t xml:space="preserve"> 337-ARO COST HYDRO PROD EQUIP</t>
  </si>
  <si>
    <t>OTHER PRODUCTION PLANT</t>
  </si>
  <si>
    <t xml:space="preserve"> 340-LAND &amp; LAND RIGHTS</t>
  </si>
  <si>
    <t xml:space="preserve"> 341-STRUCTURES AND IMPROVEMENTS</t>
  </si>
  <si>
    <t xml:space="preserve"> 342-FUEL HOLDERS, PRODUCERS, ACC</t>
  </si>
  <si>
    <t xml:space="preserve"> 343-PRIME MOVERS</t>
  </si>
  <si>
    <t xml:space="preserve"> 344-GENERATORS</t>
  </si>
  <si>
    <t xml:space="preserve"> 345-ACCESSORY ELECTRIC EQUIP</t>
  </si>
  <si>
    <t xml:space="preserve"> 346-MISC POWER PLANT EQUIP</t>
  </si>
  <si>
    <t xml:space="preserve"> 347-ARO COST OTHER PROD EQUIP</t>
  </si>
  <si>
    <t>AFUDC component of plant</t>
  </si>
  <si>
    <t xml:space="preserve"> 350-LAND &amp; LAND RIGHTS</t>
  </si>
  <si>
    <t xml:space="preserve"> 352-STRUCTURES AND IMPROVEMENTS</t>
  </si>
  <si>
    <t xml:space="preserve"> 353-STATION EQUIPMENT</t>
  </si>
  <si>
    <t xml:space="preserve"> 354-TOWERS AND FIXTURES</t>
  </si>
  <si>
    <t xml:space="preserve"> 355-POLES AND FIXTURES</t>
  </si>
  <si>
    <t xml:space="preserve"> 356-OH CONDUCTORS AND DEVICES</t>
  </si>
  <si>
    <t xml:space="preserve"> 357-UNDERGROUND CONDUIT</t>
  </si>
  <si>
    <t xml:space="preserve"> 358-UG CONDUCTORS AND DEVICES</t>
  </si>
  <si>
    <t xml:space="preserve"> 359-ARO COST KY TRANS</t>
  </si>
  <si>
    <t>TOTAL KENTUCKY SYSTEM PROPERTY</t>
  </si>
  <si>
    <t>VIRGINIA PROPERTY</t>
  </si>
  <si>
    <t>TOTAL VIRGINIA PROPERTY</t>
  </si>
  <si>
    <t>VIRGINIA PROPERTY-500 KV LINE</t>
  </si>
  <si>
    <t>TOTAL VIRGINIA PROPERTY-500 KV LINE</t>
  </si>
  <si>
    <t xml:space="preserve"> 360-LAND &amp; LAND RIGHTS</t>
  </si>
  <si>
    <t xml:space="preserve"> 361-STRUCTURES AND IMPROVEMENTS</t>
  </si>
  <si>
    <t xml:space="preserve"> 362-STATION EQUIPMENT</t>
  </si>
  <si>
    <t xml:space="preserve"> 364-POLES, TOWERS, AND FIXTURES</t>
  </si>
  <si>
    <t xml:space="preserve"> 365-OH CONDUCTORS AND DEVICES</t>
  </si>
  <si>
    <t xml:space="preserve"> 366-UNDERGROUND CONDUIT</t>
  </si>
  <si>
    <t xml:space="preserve"> 367-UG CONDUCTORS AND DEVICES</t>
  </si>
  <si>
    <t xml:space="preserve"> 368-LINE TRANSFORMERS</t>
  </si>
  <si>
    <t xml:space="preserve"> TOTAL 368-LINE TRANSFORMERS</t>
  </si>
  <si>
    <t xml:space="preserve"> 369-SERVICES</t>
  </si>
  <si>
    <t xml:space="preserve"> 370-METERS</t>
  </si>
  <si>
    <t xml:space="preserve"> 371-INSTALL ON CUSTOMER PREMISES</t>
  </si>
  <si>
    <t xml:space="preserve"> 373-STREET LIGHTING</t>
  </si>
  <si>
    <t xml:space="preserve"> TENNESSEE DISTRIBUTION PLANT</t>
  </si>
  <si>
    <t xml:space="preserve"> TOTAL TENNESSEE DISTRIB PLANT</t>
  </si>
  <si>
    <t xml:space="preserve"> 389-LAND &amp; LAND RIGHTS</t>
  </si>
  <si>
    <t xml:space="preserve"> 390-STRUCTURES AND IMPROVEMENTS</t>
  </si>
  <si>
    <t xml:space="preserve"> 391-OFFICE EQUIPMENT</t>
  </si>
  <si>
    <t xml:space="preserve"> 392-TRANSPORTATION EQUIPMENT</t>
  </si>
  <si>
    <t xml:space="preserve"> 393-STORES EQUIPMENT</t>
  </si>
  <si>
    <t xml:space="preserve"> 394-TOOLS, SHOP, AND GARAGE EQUIP</t>
  </si>
  <si>
    <t xml:space="preserve"> 395-LABORATORY EQUIPMENT</t>
  </si>
  <si>
    <t xml:space="preserve"> 396-POWER OPERATED EQUIPMENT</t>
  </si>
  <si>
    <t xml:space="preserve"> 397-COMMUNICATION EQUIPMENT</t>
  </si>
  <si>
    <t xml:space="preserve"> 398-MISC EQUIPMENT</t>
  </si>
  <si>
    <t xml:space="preserve"> TOTAL GENERAL PLANT</t>
  </si>
  <si>
    <t xml:space="preserve"> PLANT HELD FOR FUTURE USE</t>
  </si>
  <si>
    <t xml:space="preserve"> PRODUCTION</t>
  </si>
  <si>
    <t xml:space="preserve"> TRANSMISSION</t>
  </si>
  <si>
    <t xml:space="preserve"> DISTRIBUTION</t>
  </si>
  <si>
    <t xml:space="preserve"> TOTAL PLANT HELD FOR FUTURE USE</t>
  </si>
  <si>
    <t>Total plant held for future use</t>
  </si>
  <si>
    <t xml:space="preserve"> DISTRIBUTION PLANT-VA &amp; TN </t>
  </si>
  <si>
    <t xml:space="preserve"> DISTRIBUTION PLANT-KY &amp; FERC</t>
  </si>
  <si>
    <t xml:space="preserve">Use franchises and consents balance only; leasehold is part of General Plant reserve </t>
  </si>
  <si>
    <t xml:space="preserve"> DISTRIBUTION - KY &amp; FERC</t>
  </si>
  <si>
    <t xml:space="preserve">  PREPAYMENTS OTHER THAN TAXES</t>
  </si>
  <si>
    <t xml:space="preserve">  TRANSMISSION - VA</t>
  </si>
  <si>
    <t>CUSTOMER DEPOSITS-VIRGINIA</t>
  </si>
  <si>
    <t>OPEB UNFUNDED-VIRGINIA</t>
  </si>
  <si>
    <t xml:space="preserve">  440-RESIDENTIAL</t>
  </si>
  <si>
    <t xml:space="preserve">  442-INDUSTRIAL</t>
  </si>
  <si>
    <t xml:space="preserve">  444-PUBLIC ST &amp; HWY LIGHTING</t>
  </si>
  <si>
    <t xml:space="preserve">  445-OTHER PUBLIC AUTHORITIES</t>
  </si>
  <si>
    <t xml:space="preserve">  447-SALES FOR RESALE-MUNICIPALS</t>
  </si>
  <si>
    <t xml:space="preserve">  447-SALES FOR RESALE-OFF SYSTEM:</t>
  </si>
  <si>
    <t xml:space="preserve">              DEMAND</t>
  </si>
  <si>
    <t xml:space="preserve">              ENERGY</t>
  </si>
  <si>
    <t xml:space="preserve">  TOTAL 447-OFF SYSTEM</t>
  </si>
  <si>
    <t xml:space="preserve">  449-PROVISION FOR RATE REFUND</t>
  </si>
  <si>
    <t>TOTAL ELECTRIC SALES REVENUES</t>
  </si>
  <si>
    <t xml:space="preserve">  450-LATE PAYMENT CHARGES</t>
  </si>
  <si>
    <t xml:space="preserve">  451-RECONNECT CHARGES</t>
  </si>
  <si>
    <t xml:space="preserve">  451-OTHER SERVICE CHARGES</t>
  </si>
  <si>
    <t xml:space="preserve">  454-RENT FROM ELEC PROPERTY</t>
  </si>
  <si>
    <t>Primary</t>
  </si>
  <si>
    <t xml:space="preserve">  456-TRANSMISSION SERVICE</t>
  </si>
  <si>
    <t xml:space="preserve">  456-TAX REMITTANCE COMPENSATION</t>
  </si>
  <si>
    <t xml:space="preserve">  456-RETURN CHECK CHARGES</t>
  </si>
  <si>
    <t xml:space="preserve">  456-OTHER MISC REVENUES</t>
  </si>
  <si>
    <t xml:space="preserve">  456-EXCESS FACILITIES CHARGES</t>
  </si>
  <si>
    <t xml:space="preserve">  456-FORFEITED REFUNDABLE ADVANCES</t>
  </si>
  <si>
    <t xml:space="preserve">  575-MISO DAY 1 &amp;2 EXP</t>
  </si>
  <si>
    <t>930203</t>
  </si>
  <si>
    <t>RESEARCH WORK</t>
  </si>
  <si>
    <t>930207</t>
  </si>
  <si>
    <t>OTHER MISC GEN EXP</t>
  </si>
  <si>
    <t>DIRECT</t>
  </si>
  <si>
    <t>930903</t>
  </si>
  <si>
    <t>RESEARCH WORK - INDIRECT</t>
  </si>
  <si>
    <t xml:space="preserve">   DISTRIBUTION-KENTUCKY</t>
  </si>
  <si>
    <t xml:space="preserve">   DISTRIBUTION-VIRGINIA</t>
  </si>
  <si>
    <t xml:space="preserve">   DISTRIBUTION-TENNESSEE</t>
  </si>
  <si>
    <t>Other</t>
  </si>
  <si>
    <t xml:space="preserve">  SEC. 199 DEDUCTION-STATE</t>
  </si>
  <si>
    <t>Tax acct workpapers-STATE amount</t>
  </si>
  <si>
    <t xml:space="preserve">  DEPREC-EQUITY AFUDC PRE</t>
  </si>
  <si>
    <t xml:space="preserve">  DEPREC-EQUITY AFUDC POST</t>
  </si>
  <si>
    <t>FERC-Transmission</t>
  </si>
  <si>
    <t>STATE TAXABLE INCOME</t>
  </si>
  <si>
    <t>Tax acct workpapers-203(E) STATE amount</t>
  </si>
  <si>
    <t>SEC. 199 DEDUCTION-FEDERAL INCREMENT</t>
  </si>
  <si>
    <t>Tax acct workpapers-SEC199 FEDERAL LESS STATE amount</t>
  </si>
  <si>
    <t xml:space="preserve">  LATE PAYMENT CHARGES</t>
  </si>
  <si>
    <t xml:space="preserve">  RECONNECT CHARGES</t>
  </si>
  <si>
    <t xml:space="preserve">  OTHER SERVICE CHARGES</t>
  </si>
  <si>
    <t xml:space="preserve">  RENT FROM ELEC PROPERTY</t>
  </si>
  <si>
    <t xml:space="preserve">  TRANSMISSION SERVICE</t>
  </si>
  <si>
    <t xml:space="preserve">  TAX REMITTANCE COMPENSATION</t>
  </si>
  <si>
    <t xml:space="preserve">  RETURN CHECK CHARGES</t>
  </si>
  <si>
    <t xml:space="preserve">  OTHER MISC REVENUES</t>
  </si>
  <si>
    <t xml:space="preserve">  EXCESS FACILITIES CHARGES</t>
  </si>
  <si>
    <t xml:space="preserve">  FORFEITED REFUNDABLE ADVANCES</t>
  </si>
  <si>
    <t>Fluctuating Load Service</t>
  </si>
  <si>
    <t>Power Service Secondary</t>
  </si>
  <si>
    <t>Power Service Primary</t>
  </si>
  <si>
    <t>Time of Day Secondary</t>
  </si>
  <si>
    <t>Meter</t>
  </si>
  <si>
    <t>Unit</t>
  </si>
  <si>
    <t>Allocator</t>
  </si>
  <si>
    <t>Determination of Meter Cost Allocation</t>
  </si>
  <si>
    <t>Total - per Plant Accounting</t>
  </si>
  <si>
    <t>Determination of Services Cost Allocation</t>
  </si>
  <si>
    <t>Service</t>
  </si>
  <si>
    <t>Customers as of</t>
  </si>
  <si>
    <t>Base Revenue</t>
  </si>
  <si>
    <t>at Current Rates</t>
  </si>
  <si>
    <t>(Winter)</t>
  </si>
  <si>
    <t>(Summer)</t>
  </si>
  <si>
    <t>Intermediate</t>
  </si>
  <si>
    <t>LE</t>
  </si>
  <si>
    <t>FLS - Transmission</t>
  </si>
  <si>
    <t>Outdoor Lighting Rate ST &amp; PO</t>
  </si>
  <si>
    <t>Lighting Energy Rate LE</t>
  </si>
  <si>
    <t>Traffic Lighting Rate TLE</t>
  </si>
  <si>
    <t>Outdoor Lighting</t>
  </si>
  <si>
    <t>Lighting Energy</t>
  </si>
  <si>
    <t>To adjust Off-system sales margins</t>
  </si>
  <si>
    <t>Remove Out of Period Items</t>
  </si>
  <si>
    <t xml:space="preserve">Eliminate advertising expenses </t>
  </si>
  <si>
    <t>Adjustment for injuries and damages FERC account 925</t>
  </si>
  <si>
    <t>Adjustment for transfer of ITO functions</t>
  </si>
  <si>
    <t>MISCSERV</t>
  </si>
  <si>
    <t>ST &amp; POL</t>
  </si>
  <si>
    <t>Summary of Unadjusted Rates of Return by Class</t>
  </si>
  <si>
    <t xml:space="preserve">Operating </t>
  </si>
  <si>
    <t>Operating</t>
  </si>
  <si>
    <t>Expenses</t>
  </si>
  <si>
    <t>Margin</t>
  </si>
  <si>
    <t>ROR</t>
  </si>
  <si>
    <t>Residential Rate RS</t>
  </si>
  <si>
    <t>Power Service Primary Rate PS</t>
  </si>
  <si>
    <t>Power Service Secondary Rate PS</t>
  </si>
  <si>
    <t>Summary of Adjusted Rates of Return by Class</t>
  </si>
  <si>
    <t>Summary of Rates of Return by Class w/Proposed Increase</t>
  </si>
  <si>
    <t>All Electric Schools Rate AES</t>
  </si>
  <si>
    <t>Time of Day Secondary Rate TOD</t>
  </si>
  <si>
    <t>Time of Day Primary Lines Rate TOD</t>
  </si>
  <si>
    <t>Retail Transmission Service Rate RTS</t>
  </si>
  <si>
    <t>Fluctuating Load Service Rate FLS</t>
  </si>
  <si>
    <t>Lighting Rate ST &amp; POL</t>
  </si>
  <si>
    <t>Lighting Rate LE</t>
  </si>
  <si>
    <t>Lighting Rate TLE</t>
  </si>
  <si>
    <t>Adjustment for tax basis depreciation reduction</t>
  </si>
  <si>
    <t>TOD-Primary</t>
  </si>
  <si>
    <t>Time of Day Primary  Rate TODP</t>
  </si>
  <si>
    <t>Time of Day Secondary Rate TODS</t>
  </si>
  <si>
    <t>Traffic Energy</t>
  </si>
  <si>
    <t>TE</t>
  </si>
  <si>
    <t>Production Residual Base Demand Allocator</t>
  </si>
  <si>
    <t>PPBDRA</t>
  </si>
  <si>
    <t xml:space="preserve">Production Base Demand Costs </t>
  </si>
  <si>
    <t>Production Base Demand Residual</t>
  </si>
  <si>
    <t>Production Base Demand Total</t>
  </si>
  <si>
    <t>PPBDT</t>
  </si>
  <si>
    <t>Production Base Demand Allocator</t>
  </si>
  <si>
    <t>PPBDA</t>
  </si>
  <si>
    <t xml:space="preserve">    WORKMANS COMPENSATION-FERC</t>
  </si>
  <si>
    <t xml:space="preserve">    VESTED VACATION-FERC</t>
  </si>
  <si>
    <t xml:space="preserve">    MEDICAL AND DENTAL RESERVE-FERC</t>
  </si>
  <si>
    <t>DEM (12 CP GEN LEV)-NON VA&amp;FERC</t>
  </si>
  <si>
    <t>DEMTRANNVF</t>
  </si>
  <si>
    <t>TOTAL TRANSMISSION PLANT EXCL FERC</t>
  </si>
  <si>
    <t>TRANPLTXF</t>
  </si>
  <si>
    <t>TAX203E</t>
  </si>
  <si>
    <t>203(E) EXCESS DEF TAXES EXCL VA</t>
  </si>
  <si>
    <t>STATE203E</t>
  </si>
  <si>
    <t>ALLOC O&amp;M LABOR EXPENSE EXCL FERC</t>
  </si>
  <si>
    <t>LABORXF</t>
  </si>
  <si>
    <t>TRANSM KENTUCKY SYS PROP XFERC</t>
  </si>
  <si>
    <t>KYTRPLTXF</t>
  </si>
  <si>
    <t>442-COMMERCIAL</t>
  </si>
  <si>
    <t xml:space="preserve">    DEMAND SIDE MANAGEMENT</t>
  </si>
  <si>
    <t xml:space="preserve"> TOTAL 397-COMMUNICATION EQUIPMENT</t>
  </si>
  <si>
    <t>FERC MUNIS Direct Assign DISTRIBUTION CWIP</t>
  </si>
  <si>
    <t>WORKMANS COMPENSATION-FERC</t>
  </si>
  <si>
    <t>13mo avg-Workmans Compensation 228201,228202 (FERC Only)</t>
  </si>
  <si>
    <t>VESTED VACATION-FERC</t>
  </si>
  <si>
    <t>13mo avg-Vested Vacation 242002 (FERC Only)</t>
  </si>
  <si>
    <t>MEDICAL AND DENTAL RESERVE-FERC</t>
  </si>
  <si>
    <t>13mo avg-IBNP Medical and Dental Reserve 242102 (FERC Only)</t>
  </si>
  <si>
    <t xml:space="preserve">  442-COMMERCIAL</t>
  </si>
  <si>
    <t xml:space="preserve">  456-ANCILLARY SERVICES</t>
  </si>
  <si>
    <t>Direct Assign to FERC</t>
  </si>
  <si>
    <t>2009 Winter Storm Reg Asset Amort Direct Assign to KY (Ice storm)(END JUL20)</t>
  </si>
  <si>
    <t>2008 Wind Storm Reg Asset Amort Direct Assign to KY (Ike)(END JUL20)</t>
  </si>
  <si>
    <t>930201</t>
  </si>
  <si>
    <t>MISC CORPORATE EXP</t>
  </si>
  <si>
    <t>930277</t>
  </si>
  <si>
    <t>OTHER MISC GEN EXP - INDIRECT</t>
  </si>
  <si>
    <t>Amortization of CMRG-Ky Only END JUL-20</t>
  </si>
  <si>
    <t>930274 as of October 2012</t>
  </si>
  <si>
    <t xml:space="preserve">  FICA &amp; UNEMPLOYMENT</t>
  </si>
  <si>
    <t>Kentucky Portion Customer Deposits Interest</t>
  </si>
  <si>
    <t>Tax acct workpapers and Direct input to Virginia Jurisdiction-Kentucky Portion Customer Deposits Interest</t>
  </si>
  <si>
    <t>STATE TAX ADJUSTMENTS</t>
  </si>
  <si>
    <t>KENTUCKY TAX CREDITS</t>
  </si>
  <si>
    <t>Direct input to Virginia Jurisdiction-Kentucky Portion Customer Deposits Interest</t>
  </si>
  <si>
    <t>FEDERAL TAX ADJUSTMENTS</t>
  </si>
  <si>
    <t>Total Income Taxes</t>
  </si>
  <si>
    <t>IS Total Income Tas Expense</t>
  </si>
  <si>
    <t>Reconciliation for BTL</t>
  </si>
  <si>
    <t>General Service</t>
  </si>
  <si>
    <t>General Service Single Phase</t>
  </si>
  <si>
    <t>General Service Three Phase</t>
  </si>
  <si>
    <t>All Electric Schools Single Phase</t>
  </si>
  <si>
    <t>All Electric Schools Three Phase</t>
  </si>
  <si>
    <t>Time of Day Primary</t>
  </si>
  <si>
    <t>Forecasted</t>
  </si>
  <si>
    <t>Number</t>
  </si>
  <si>
    <t xml:space="preserve">  ANCILLARY SERVICES</t>
  </si>
  <si>
    <t>Adj to reflect Additional Redundant Capacity Revenue</t>
  </si>
  <si>
    <t>Adj to reflect Lost Lighting Revenue</t>
  </si>
  <si>
    <t>Adj to reflect new Standby Service Customer</t>
  </si>
  <si>
    <t>Adj to eliminate Off System ECR revenues</t>
  </si>
  <si>
    <t>Adj to reflect Revenue due to Metering changes</t>
  </si>
  <si>
    <t>Adj for Cane Run 7 Depreciation</t>
  </si>
  <si>
    <t>Adj for Lighting Sale Depreciation Reduction</t>
  </si>
  <si>
    <t>Adj for Lighting Sale Maintenance Reduction</t>
  </si>
  <si>
    <t>Customer Account Changes Allocator</t>
  </si>
  <si>
    <t>CustAcct</t>
  </si>
  <si>
    <t>Adj for Lighting Sale Tax Reduction</t>
  </si>
  <si>
    <t>Average Transformer Customers</t>
  </si>
  <si>
    <t>Cust09</t>
  </si>
  <si>
    <t>SICDT</t>
  </si>
  <si>
    <t>Increase in Uncollectible Expense</t>
  </si>
  <si>
    <t>Increase in PSC Fees</t>
  </si>
  <si>
    <t>Rate PSP</t>
  </si>
  <si>
    <t>GS</t>
  </si>
  <si>
    <t>Not Used</t>
  </si>
  <si>
    <t>All Electric Schools</t>
  </si>
  <si>
    <t>AES</t>
  </si>
  <si>
    <t>General Service Rate GS</t>
  </si>
  <si>
    <t>Rate GS</t>
  </si>
  <si>
    <t>Rate AES</t>
  </si>
  <si>
    <t>DIRECT ASSIGN 360-PHFU</t>
  </si>
  <si>
    <t>DIR360FU</t>
  </si>
  <si>
    <t>DIR ASSIGN ACC.DFDTX.DIST.VA</t>
  </si>
  <si>
    <t>DIR ASSIGN ACC.ITC.DIST.VA</t>
  </si>
  <si>
    <t>Facilities Chrgs</t>
  </si>
  <si>
    <t>Refined Coal</t>
  </si>
  <si>
    <t>ACCT 930-GEN MISC &amp; ADVERTISING</t>
  </si>
  <si>
    <t xml:space="preserve">    REGULATORY DEBITS</t>
  </si>
  <si>
    <t>Excluded from Rate Base per KPSC</t>
  </si>
  <si>
    <t xml:space="preserve">  447-SALES FOR RESALE-BORDERLINE</t>
  </si>
  <si>
    <t xml:space="preserve">  456-REC REVENUES</t>
  </si>
  <si>
    <t xml:space="preserve">  456-SOLAR SHARE-KY</t>
  </si>
  <si>
    <t xml:space="preserve">  456-EVC STATIONS-KY</t>
  </si>
  <si>
    <t xml:space="preserve">  456-REFINED COAL-KY</t>
  </si>
  <si>
    <t xml:space="preserve">  502-STEAM EXPENSES</t>
  </si>
  <si>
    <t xml:space="preserve">  504-STEAM TRANSFERRED-CREDIT</t>
  </si>
  <si>
    <t xml:space="preserve">  507-RENTS</t>
  </si>
  <si>
    <t xml:space="preserve">  509-ALLOWANCES</t>
  </si>
  <si>
    <t xml:space="preserve">  539-MISC HYDRO POWER GENER</t>
  </si>
  <si>
    <t xml:space="preserve">  549-MISC OTH POWER GENER</t>
  </si>
  <si>
    <t xml:space="preserve">  550-RENTS</t>
  </si>
  <si>
    <t xml:space="preserve">  926-PENSIONS EXP-DIR KY</t>
  </si>
  <si>
    <t xml:space="preserve">  926-PENSIONS EXP-DIR VA</t>
  </si>
  <si>
    <t xml:space="preserve">  926-PENSIONS EXP-DIR VNJ</t>
  </si>
  <si>
    <t xml:space="preserve">  926-PENSIONS EXP-DIR FERC/TN</t>
  </si>
  <si>
    <t xml:space="preserve">  930.1-GEN ADVERTISING EXPENSE</t>
  </si>
  <si>
    <t xml:space="preserve">  930.2-MISC GENERAL EXPENSE</t>
  </si>
  <si>
    <t xml:space="preserve">    KENTUCKY JURISDICTION</t>
  </si>
  <si>
    <t>ARO REGULATORY DEBITS AND ACCRETION</t>
  </si>
  <si>
    <t>REGULATORY DEBITS</t>
  </si>
  <si>
    <t>TOTAL REGULATORY DEBITS</t>
  </si>
  <si>
    <t xml:space="preserve">  SEC. 199 DEDUCTION-FEDERAL</t>
  </si>
  <si>
    <t>APPORTIONED STATE TAXABLE INCOME (LINE 14-9)</t>
  </si>
  <si>
    <t>FEDERAL TAXABLE INCOME</t>
  </si>
  <si>
    <t xml:space="preserve">   FERC 543</t>
  </si>
  <si>
    <t>PLANT HELD FOR FUTURE USE - PRODUCTION</t>
  </si>
  <si>
    <t>PLANT HELD FOR FUTURE USE - DISTRIBUTION</t>
  </si>
  <si>
    <t>OM509</t>
  </si>
  <si>
    <t>ALLOWANCES</t>
  </si>
  <si>
    <t>RATE BASE: THIRTEEN MONTH AVERAGE</t>
  </si>
  <si>
    <t xml:space="preserve">      12 MONTHS ENDING JUNE 30, 2018</t>
  </si>
  <si>
    <t>FERC JURIS</t>
  </si>
  <si>
    <t>Direct Assign</t>
  </si>
  <si>
    <t>Allocated on Revenues</t>
  </si>
  <si>
    <t>Capacitors from Prop Acct Plant Detail Report Acct 368 (UOP 444-496)</t>
  </si>
  <si>
    <t>Capacitors from Prop Acct Plant Detail Report Acct 368 (UOP 461-496)</t>
  </si>
  <si>
    <t>Direct Assign to Virginia Juris (Pennington Gap land)</t>
  </si>
  <si>
    <t>06/30/18 balances</t>
  </si>
  <si>
    <t>Virginia 0 (zero) Prepayments (No prepayments allowed in working capital)</t>
  </si>
  <si>
    <t>Account 252-Balance Sheet</t>
  </si>
  <si>
    <t>Account 235-Balance Sheet (Virginia Only)</t>
  </si>
  <si>
    <t>Deferred Fuel 13mo avg workpaper (Virginia Only) (Reg Asset input as negative balance)</t>
  </si>
  <si>
    <t>Balance Sheet-Accum Prov Post Ret Benefits 228301,228307 (Virginia Only)</t>
  </si>
  <si>
    <t>AEP Borderline High Knob-Direct to Virginia</t>
  </si>
  <si>
    <t>Schedule 2,3,5,6 Ancillary Services Revenues</t>
  </si>
  <si>
    <t>F/S Total OP Revenues</t>
  </si>
  <si>
    <t>MISO Exit Fee Amort Direct Assign to KY (END JUN17)</t>
  </si>
  <si>
    <t>Virginia portion Juris:</t>
  </si>
  <si>
    <t>Virginia portion Non-Juris:</t>
  </si>
  <si>
    <t>Tennessee portion:</t>
  </si>
  <si>
    <t>Mountain Storm Reg Asset Amort Direct Assign to VA (END DEC17)</t>
  </si>
  <si>
    <t>Pension Direct Assignments:</t>
  </si>
  <si>
    <t>Total Labor (KY,VA,TN,FERC)</t>
  </si>
  <si>
    <t>Ky Only portion of 930.2:</t>
  </si>
  <si>
    <t>Amortization of CMRG-Ky Only (END JUL20)</t>
  </si>
  <si>
    <t>Ky rate case</t>
  </si>
  <si>
    <t>Ky other cases</t>
  </si>
  <si>
    <t>Total 407.3</t>
  </si>
  <si>
    <t>Pulled off Trial Balance - Acct 407.3</t>
  </si>
  <si>
    <t>Revenue Allocation per Books</t>
  </si>
  <si>
    <t>Pulled off Trial Balance - Acct 411</t>
  </si>
  <si>
    <t>Regulatory Debits FS</t>
  </si>
  <si>
    <t>See Tax Accounting workpapers</t>
  </si>
  <si>
    <t>ACCT 408 GR REG ASSET AMORT-Direct Assign to KY</t>
  </si>
  <si>
    <t>Financials pg 21=</t>
  </si>
  <si>
    <t>Financials pg 21</t>
  </si>
  <si>
    <t>Tax acct workpapers-FEDERAL amount</t>
  </si>
  <si>
    <t>Virginia Apportionment Factor-2015</t>
  </si>
  <si>
    <t>(VA Tax workpaper)</t>
  </si>
  <si>
    <t>Tax acct workpapers-203(E) FEDERAL amount</t>
  </si>
  <si>
    <t xml:space="preserve">  Transmission Demand - Not Used</t>
  </si>
  <si>
    <t xml:space="preserve">  Transmission Demand</t>
  </si>
  <si>
    <t>NCPT</t>
  </si>
  <si>
    <t>Sum of the Individual Customer Demands (Transformer)</t>
  </si>
  <si>
    <t>Maximum Class Non-Coincident Peak Demands (Primary)</t>
  </si>
  <si>
    <t>Maximum Class Non-Coincident Peak Demands (Transmission)</t>
  </si>
  <si>
    <t>NCPP</t>
  </si>
  <si>
    <t xml:space="preserve">  Curtailable Service Rider</t>
  </si>
  <si>
    <t>ECRREV</t>
  </si>
  <si>
    <t>Less: Misc Revenue - Prod Demand</t>
  </si>
  <si>
    <t>Customer Cost</t>
  </si>
  <si>
    <t>Variable Energy Cost</t>
  </si>
  <si>
    <t>Actual Customer Charge</t>
  </si>
  <si>
    <t>Difference ($)</t>
  </si>
  <si>
    <t>Increase in Energy Charge</t>
  </si>
  <si>
    <t>Proposed Reduction to CSR Credit</t>
  </si>
  <si>
    <t>Infrastructure Energy Cost</t>
  </si>
  <si>
    <t>ECR Factor</t>
  </si>
  <si>
    <t>Resulting Infrastrusture Charge</t>
  </si>
  <si>
    <t>For the 12 Months Ended June 30, 2018</t>
  </si>
  <si>
    <t>Rate TODS</t>
  </si>
  <si>
    <t>Revenue Adjustments</t>
  </si>
  <si>
    <t>Demand Cost</t>
  </si>
  <si>
    <t>(27)</t>
  </si>
  <si>
    <t>Rate TODP</t>
  </si>
  <si>
    <t>Rate RTS</t>
  </si>
  <si>
    <t>Rate FLS</t>
  </si>
  <si>
    <t>Energy Cost</t>
  </si>
  <si>
    <t>Total Infrastructure Energy Cost</t>
  </si>
  <si>
    <t>ECR  Base Rates</t>
  </si>
  <si>
    <t>Cust Service Expenses</t>
  </si>
  <si>
    <t>Average 5 Monthly CP</t>
  </si>
  <si>
    <t>5CP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</si>
</sst>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000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0.0000000"/>
    <numFmt numFmtId="178" formatCode="_(* #,##0.000000000_);_(* \(#,##0.000000000\);_(* &quot;-&quot;??_);_(@_)"/>
    <numFmt numFmtId="179" formatCode="_(&quot;$&quot;* #,##0.0000000_);_(&quot;$&quot;* \(#,##0.0000000\);_(&quot;$&quot;* &quot;-&quot;??_);_(@_)"/>
    <numFmt numFmtId="180" formatCode="0.000%"/>
    <numFmt numFmtId="181" formatCode="m/d/yy;@"/>
    <numFmt numFmtId="182" formatCode="mmmm\ dd\,\ yyyy"/>
    <numFmt numFmtId="183" formatCode="_([$€-2]* #,##0.00_);_([$€-2]* \(#,##0.00\);_([$€-2]* &quot;-&quot;??_)"/>
    <numFmt numFmtId="184" formatCode="&quot;$&quot;#,##0\ ;\(&quot;$&quot;#,##0\)"/>
    <numFmt numFmtId="185" formatCode="0.000000_);[Red]\(0.000000\)"/>
    <numFmt numFmtId="186" formatCode="_(&quot;$&quot;* #,##0.000_);_(&quot;$&quot;* \(#,##0.000\);_(&quot;$&quot;* &quot;-&quot;??_);_(@_)"/>
    <numFmt numFmtId="187" formatCode="_(&quot;$&quot;* #,##0.000000000000000_);_(&quot;$&quot;* \(#,##0.000000000000000\);_(&quot;$&quot;* &quot;-&quot;??_);_(@_)"/>
    <numFmt numFmtId="188" formatCode="0.00000_)"/>
    <numFmt numFmtId="189" formatCode="0.0%"/>
    <numFmt numFmtId="190" formatCode="0.00000%"/>
    <numFmt numFmtId="191" formatCode="0.000E+00"/>
  </numFmts>
  <fonts count="61" x14ac:knownFonts="1">
    <font>
      <sz val="11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u val="singleAccounting"/>
      <sz val="12"/>
      <name val="Arial"/>
      <family val="2"/>
    </font>
    <font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1"/>
      <name val="Arial"/>
      <family val="2"/>
    </font>
    <font>
      <i/>
      <sz val="11"/>
      <name val="Times New Roman"/>
      <family val="1"/>
    </font>
    <font>
      <u val="singleAccounting"/>
      <sz val="1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2"/>
    </font>
    <font>
      <sz val="8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4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18" borderId="0">
      <alignment horizontal="left"/>
    </xf>
    <xf numFmtId="0" fontId="27" fillId="18" borderId="0">
      <alignment horizontal="right"/>
    </xf>
    <xf numFmtId="0" fontId="28" fillId="16" borderId="0">
      <alignment horizontal="center"/>
    </xf>
    <xf numFmtId="0" fontId="27" fillId="18" borderId="0">
      <alignment horizontal="right"/>
    </xf>
    <xf numFmtId="0" fontId="29" fillId="16" borderId="0">
      <alignment horizontal="left"/>
    </xf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Protection="0"/>
    <xf numFmtId="0" fontId="20" fillId="0" borderId="0" applyProtection="0"/>
    <xf numFmtId="0" fontId="32" fillId="0" borderId="0" applyProtection="0"/>
    <xf numFmtId="0" fontId="33" fillId="0" borderId="0" applyProtection="0"/>
    <xf numFmtId="0" fontId="7" fillId="0" borderId="0" applyProtection="0"/>
    <xf numFmtId="0" fontId="31" fillId="0" borderId="0" applyProtection="0"/>
    <xf numFmtId="0" fontId="34" fillId="0" borderId="0" applyProtection="0"/>
    <xf numFmtId="2" fontId="7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26" fillId="18" borderId="0">
      <alignment horizontal="left"/>
    </xf>
    <xf numFmtId="0" fontId="40" fillId="16" borderId="0">
      <alignment horizontal="left"/>
    </xf>
    <xf numFmtId="0" fontId="41" fillId="0" borderId="4" applyNumberFormat="0" applyFill="0" applyAlignment="0" applyProtection="0"/>
    <xf numFmtId="0" fontId="42" fillId="7" borderId="0" applyNumberFormat="0" applyBorder="0" applyAlignment="0" applyProtection="0"/>
    <xf numFmtId="0" fontId="57" fillId="0" borderId="0"/>
    <xf numFmtId="0" fontId="43" fillId="4" borderId="5" applyNumberFormat="0" applyFont="0" applyAlignment="0" applyProtection="0"/>
    <xf numFmtId="0" fontId="44" fillId="16" borderId="6" applyNumberFormat="0" applyAlignment="0" applyProtection="0"/>
    <xf numFmtId="4" fontId="45" fillId="19" borderId="0">
      <alignment horizontal="right"/>
    </xf>
    <xf numFmtId="0" fontId="46" fillId="19" borderId="0">
      <alignment horizontal="center" vertical="center"/>
    </xf>
    <xf numFmtId="0" fontId="40" fillId="19" borderId="7"/>
    <xf numFmtId="0" fontId="46" fillId="19" borderId="0" applyBorder="0">
      <alignment horizontal="centerContinuous"/>
    </xf>
    <xf numFmtId="0" fontId="47" fillId="19" borderId="0" applyBorder="0">
      <alignment horizontal="centerContinuous"/>
    </xf>
    <xf numFmtId="9" fontId="2" fillId="0" borderId="0" applyFont="0" applyFill="0" applyBorder="0" applyAlignment="0" applyProtection="0"/>
    <xf numFmtId="0" fontId="40" fillId="7" borderId="0">
      <alignment horizontal="center"/>
    </xf>
    <xf numFmtId="49" fontId="48" fillId="16" borderId="0">
      <alignment horizontal="center"/>
    </xf>
    <xf numFmtId="0" fontId="27" fillId="18" borderId="0">
      <alignment horizontal="center"/>
    </xf>
    <xf numFmtId="0" fontId="27" fillId="18" borderId="0">
      <alignment horizontal="centerContinuous"/>
    </xf>
    <xf numFmtId="0" fontId="49" fillId="16" borderId="0">
      <alignment horizontal="left"/>
    </xf>
    <xf numFmtId="49" fontId="49" fillId="16" borderId="0">
      <alignment horizontal="center"/>
    </xf>
    <xf numFmtId="0" fontId="26" fillId="18" borderId="0">
      <alignment horizontal="left"/>
    </xf>
    <xf numFmtId="49" fontId="49" fillId="16" borderId="0">
      <alignment horizontal="left"/>
    </xf>
    <xf numFmtId="0" fontId="26" fillId="18" borderId="0">
      <alignment horizontal="centerContinuous"/>
    </xf>
    <xf numFmtId="0" fontId="26" fillId="18" borderId="0">
      <alignment horizontal="right"/>
    </xf>
    <xf numFmtId="49" fontId="40" fillId="16" borderId="0">
      <alignment horizontal="left"/>
    </xf>
    <xf numFmtId="0" fontId="27" fillId="18" borderId="0">
      <alignment horizontal="right"/>
    </xf>
    <xf numFmtId="0" fontId="49" fillId="5" borderId="0">
      <alignment horizontal="center"/>
    </xf>
    <xf numFmtId="0" fontId="50" fillId="5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 applyNumberFormat="0" applyFill="0" applyBorder="0" applyAlignment="0" applyProtection="0"/>
    <xf numFmtId="0" fontId="7" fillId="0" borderId="8" applyNumberFormat="0" applyFont="0" applyFill="0" applyAlignment="0" applyProtection="0"/>
    <xf numFmtId="0" fontId="52" fillId="16" borderId="0">
      <alignment horizontal="center"/>
    </xf>
    <xf numFmtId="0" fontId="41" fillId="0" borderId="0" applyNumberFormat="0" applyFill="0" applyBorder="0" applyAlignment="0" applyProtection="0"/>
    <xf numFmtId="43" fontId="59" fillId="0" borderId="0" applyFont="0" applyFill="0" applyBorder="0" applyAlignment="0" applyProtection="0"/>
    <xf numFmtId="0" fontId="2" fillId="0" borderId="0"/>
  </cellStyleXfs>
  <cellXfs count="441">
    <xf numFmtId="0" fontId="0" fillId="0" borderId="0" xfId="0"/>
    <xf numFmtId="164" fontId="0" fillId="0" borderId="0" xfId="0" applyNumberFormat="1"/>
    <xf numFmtId="166" fontId="0" fillId="0" borderId="0" xfId="33" applyNumberFormat="1" applyFont="1"/>
    <xf numFmtId="0" fontId="5" fillId="0" borderId="0" xfId="0" applyFont="1"/>
    <xf numFmtId="0" fontId="9" fillId="0" borderId="0" xfId="0" applyFont="1"/>
    <xf numFmtId="166" fontId="0" fillId="0" borderId="0" xfId="33" applyNumberFormat="1" applyFont="1" applyBorder="1"/>
    <xf numFmtId="0" fontId="14" fillId="0" borderId="0" xfId="0" applyFont="1"/>
    <xf numFmtId="0" fontId="5" fillId="0" borderId="0" xfId="0" applyFont="1" applyFill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center"/>
    </xf>
    <xf numFmtId="166" fontId="14" fillId="0" borderId="0" xfId="33" applyNumberFormat="1" applyFont="1"/>
    <xf numFmtId="43" fontId="14" fillId="0" borderId="0" xfId="33" applyNumberFormat="1" applyFont="1"/>
    <xf numFmtId="44" fontId="14" fillId="0" borderId="0" xfId="36" applyFont="1"/>
    <xf numFmtId="164" fontId="14" fillId="0" borderId="0" xfId="36" applyNumberFormat="1" applyFont="1"/>
    <xf numFmtId="10" fontId="14" fillId="0" borderId="0" xfId="67" applyNumberFormat="1" applyFont="1"/>
    <xf numFmtId="0" fontId="14" fillId="0" borderId="0" xfId="0" applyFont="1" applyFill="1" applyAlignment="1">
      <alignment horizontal="left"/>
    </xf>
    <xf numFmtId="0" fontId="14" fillId="0" borderId="0" xfId="0" applyFont="1" applyFill="1"/>
    <xf numFmtId="166" fontId="16" fillId="0" borderId="0" xfId="33" applyNumberFormat="1" applyFont="1"/>
    <xf numFmtId="166" fontId="14" fillId="0" borderId="0" xfId="33" applyNumberFormat="1" applyFont="1" applyFill="1" applyAlignment="1">
      <alignment horizontal="left"/>
    </xf>
    <xf numFmtId="166" fontId="14" fillId="0" borderId="0" xfId="33" applyNumberFormat="1" applyFont="1" applyFill="1"/>
    <xf numFmtId="0" fontId="0" fillId="0" borderId="9" xfId="0" applyBorder="1"/>
    <xf numFmtId="0" fontId="5" fillId="0" borderId="1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/>
    <xf numFmtId="0" fontId="14" fillId="0" borderId="0" xfId="0" applyFont="1" applyFill="1" applyAlignment="1">
      <alignment horizontal="right"/>
    </xf>
    <xf numFmtId="44" fontId="14" fillId="0" borderId="0" xfId="36" applyFont="1" applyFill="1"/>
    <xf numFmtId="0" fontId="0" fillId="0" borderId="0" xfId="0" applyBorder="1"/>
    <xf numFmtId="0" fontId="1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/>
    <xf numFmtId="0" fontId="18" fillId="0" borderId="0" xfId="0" applyFont="1" applyFill="1"/>
    <xf numFmtId="166" fontId="18" fillId="0" borderId="0" xfId="33" applyNumberFormat="1" applyFont="1" applyFill="1"/>
    <xf numFmtId="182" fontId="13" fillId="0" borderId="0" xfId="0" quotePrefix="1" applyNumberFormat="1" applyFont="1" applyAlignment="1">
      <alignment horizontal="left"/>
    </xf>
    <xf numFmtId="0" fontId="14" fillId="0" borderId="0" xfId="0" applyFont="1" applyBorder="1"/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2" fillId="0" borderId="0" xfId="0" applyFont="1" applyFill="1"/>
    <xf numFmtId="0" fontId="8" fillId="0" borderId="0" xfId="0" applyFont="1" applyFill="1"/>
    <xf numFmtId="0" fontId="8" fillId="0" borderId="0" xfId="0" applyFont="1"/>
    <xf numFmtId="0" fontId="20" fillId="0" borderId="0" xfId="0" applyFont="1"/>
    <xf numFmtId="168" fontId="0" fillId="0" borderId="0" xfId="0" applyNumberFormat="1"/>
    <xf numFmtId="168" fontId="0" fillId="0" borderId="0" xfId="0" quotePrefix="1" applyNumberFormat="1" applyAlignment="1">
      <alignment horizontal="left"/>
    </xf>
    <xf numFmtId="168" fontId="5" fillId="0" borderId="0" xfId="0" applyNumberFormat="1" applyFont="1" applyBorder="1" applyAlignment="1">
      <alignment horizontal="center"/>
    </xf>
    <xf numFmtId="168" fontId="0" fillId="0" borderId="0" xfId="67" applyNumberFormat="1" applyFont="1"/>
    <xf numFmtId="0" fontId="11" fillId="0" borderId="0" xfId="0" applyFont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164" fontId="10" fillId="0" borderId="0" xfId="0" applyNumberFormat="1" applyFont="1"/>
    <xf numFmtId="166" fontId="10" fillId="0" borderId="0" xfId="33" applyNumberFormat="1" applyFont="1"/>
    <xf numFmtId="166" fontId="10" fillId="0" borderId="10" xfId="33" applyNumberFormat="1" applyFont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Fill="1"/>
    <xf numFmtId="168" fontId="10" fillId="0" borderId="0" xfId="0" applyNumberFormat="1" applyFont="1" applyFill="1"/>
    <xf numFmtId="172" fontId="10" fillId="0" borderId="0" xfId="33" applyNumberFormat="1" applyFont="1" applyFill="1"/>
    <xf numFmtId="168" fontId="10" fillId="0" borderId="0" xfId="67" applyNumberFormat="1" applyFont="1"/>
    <xf numFmtId="0" fontId="11" fillId="0" borderId="0" xfId="0" applyFont="1" applyFill="1" applyBorder="1" applyAlignment="1">
      <alignment horizontal="right"/>
    </xf>
    <xf numFmtId="171" fontId="10" fillId="0" borderId="0" xfId="33" applyNumberFormat="1" applyFont="1" applyFill="1"/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68" fontId="10" fillId="0" borderId="0" xfId="0" applyNumberFormat="1" applyFont="1"/>
    <xf numFmtId="168" fontId="20" fillId="0" borderId="0" xfId="0" applyNumberFormat="1" applyFont="1"/>
    <xf numFmtId="168" fontId="11" fillId="0" borderId="0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8" fontId="11" fillId="0" borderId="9" xfId="0" applyNumberFormat="1" applyFont="1" applyBorder="1" applyAlignment="1">
      <alignment horizontal="center"/>
    </xf>
    <xf numFmtId="166" fontId="12" fillId="0" borderId="0" xfId="33" applyNumberFormat="1" applyFont="1"/>
    <xf numFmtId="168" fontId="20" fillId="0" borderId="0" xfId="67" applyNumberFormat="1" applyFont="1"/>
    <xf numFmtId="0" fontId="8" fillId="0" borderId="0" xfId="0" applyFont="1" applyBorder="1" applyAlignment="1">
      <alignment horizontal="center"/>
    </xf>
    <xf numFmtId="166" fontId="10" fillId="0" borderId="0" xfId="33" applyNumberFormat="1" applyFont="1" applyFill="1"/>
    <xf numFmtId="166" fontId="10" fillId="0" borderId="0" xfId="33" applyNumberFormat="1" applyFont="1" applyBorder="1"/>
    <xf numFmtId="0" fontId="11" fillId="0" borderId="9" xfId="0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18" fillId="0" borderId="0" xfId="0" applyFont="1" applyFill="1" applyAlignment="1">
      <alignment horizontal="center"/>
    </xf>
    <xf numFmtId="178" fontId="18" fillId="0" borderId="0" xfId="33" applyNumberFormat="1" applyFont="1" applyFill="1"/>
    <xf numFmtId="172" fontId="18" fillId="0" borderId="0" xfId="33" applyNumberFormat="1" applyFont="1" applyFill="1"/>
    <xf numFmtId="181" fontId="18" fillId="0" borderId="0" xfId="0" applyNumberFormat="1" applyFont="1" applyFill="1"/>
    <xf numFmtId="166" fontId="18" fillId="0" borderId="0" xfId="33" applyNumberFormat="1" applyFont="1" applyFill="1" applyAlignment="1">
      <alignment horizontal="center"/>
    </xf>
    <xf numFmtId="178" fontId="18" fillId="0" borderId="0" xfId="0" applyNumberFormat="1" applyFont="1" applyFill="1"/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5" fillId="0" borderId="1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3" fillId="0" borderId="0" xfId="0" applyFont="1" applyFill="1" applyAlignment="1">
      <alignment horizontal="centerContinuous"/>
    </xf>
    <xf numFmtId="0" fontId="6" fillId="0" borderId="0" xfId="0" applyFont="1" applyFill="1" applyBorder="1"/>
    <xf numFmtId="0" fontId="5" fillId="0" borderId="0" xfId="0" quotePrefix="1" applyFont="1" applyFill="1"/>
    <xf numFmtId="0" fontId="19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/>
    <xf numFmtId="164" fontId="2" fillId="0" borderId="0" xfId="36" applyNumberFormat="1" applyFont="1" applyFill="1"/>
    <xf numFmtId="166" fontId="2" fillId="0" borderId="0" xfId="33" applyNumberFormat="1" applyFont="1" applyFill="1"/>
    <xf numFmtId="16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left"/>
    </xf>
    <xf numFmtId="166" fontId="2" fillId="0" borderId="0" xfId="0" applyNumberFormat="1" applyFont="1" applyFill="1"/>
    <xf numFmtId="43" fontId="2" fillId="0" borderId="0" xfId="33" applyFont="1" applyFill="1"/>
    <xf numFmtId="0" fontId="2" fillId="0" borderId="0" xfId="0" quotePrefix="1" applyFont="1" applyFill="1"/>
    <xf numFmtId="0" fontId="2" fillId="0" borderId="0" xfId="0" quotePrefix="1" applyFont="1" applyFill="1" applyBorder="1"/>
    <xf numFmtId="43" fontId="2" fillId="0" borderId="0" xfId="0" applyNumberFormat="1" applyFont="1" applyFill="1"/>
    <xf numFmtId="0" fontId="13" fillId="0" borderId="0" xfId="0" applyFont="1" applyFill="1" applyProtection="1">
      <protection locked="0"/>
    </xf>
    <xf numFmtId="0" fontId="2" fillId="0" borderId="0" xfId="33" applyNumberFormat="1" applyFont="1" applyFill="1"/>
    <xf numFmtId="0" fontId="2" fillId="0" borderId="0" xfId="0" applyFont="1" applyFill="1" applyBorder="1"/>
    <xf numFmtId="0" fontId="2" fillId="0" borderId="0" xfId="33" applyNumberFormat="1" applyFont="1" applyFill="1" applyBorder="1"/>
    <xf numFmtId="168" fontId="2" fillId="0" borderId="0" xfId="0" applyNumberFormat="1" applyFont="1" applyFill="1"/>
    <xf numFmtId="168" fontId="2" fillId="0" borderId="0" xfId="33" applyNumberFormat="1" applyFont="1" applyFill="1"/>
    <xf numFmtId="166" fontId="2" fillId="0" borderId="0" xfId="33" applyNumberFormat="1" applyFont="1" applyFill="1" applyAlignment="1">
      <alignment horizontal="right"/>
    </xf>
    <xf numFmtId="171" fontId="2" fillId="0" borderId="0" xfId="33" applyNumberFormat="1" applyFont="1" applyFill="1"/>
    <xf numFmtId="172" fontId="2" fillId="0" borderId="0" xfId="33" applyNumberFormat="1" applyFont="1" applyFill="1"/>
    <xf numFmtId="173" fontId="2" fillId="0" borderId="0" xfId="33" applyNumberFormat="1" applyFont="1" applyFill="1"/>
    <xf numFmtId="0" fontId="58" fillId="0" borderId="0" xfId="0" applyFont="1" applyFill="1"/>
    <xf numFmtId="0" fontId="17" fillId="0" borderId="0" xfId="0" applyFont="1" applyFill="1"/>
    <xf numFmtId="0" fontId="7" fillId="0" borderId="0" xfId="0" applyFont="1" applyFill="1"/>
    <xf numFmtId="0" fontId="2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8" fontId="0" fillId="0" borderId="0" xfId="67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168" fontId="53" fillId="0" borderId="0" xfId="33" applyNumberFormat="1" applyFont="1" applyFill="1"/>
    <xf numFmtId="165" fontId="2" fillId="0" borderId="0" xfId="33" applyNumberFormat="1" applyFont="1" applyFill="1"/>
    <xf numFmtId="0" fontId="11" fillId="0" borderId="0" xfId="0" applyFont="1" applyFill="1"/>
    <xf numFmtId="0" fontId="0" fillId="0" borderId="0" xfId="0" applyFill="1"/>
    <xf numFmtId="0" fontId="11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8" fontId="11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168" fontId="10" fillId="0" borderId="0" xfId="67" applyNumberFormat="1" applyFont="1" applyFill="1" applyBorder="1"/>
    <xf numFmtId="172" fontId="10" fillId="0" borderId="0" xfId="33" applyNumberFormat="1" applyFont="1" applyFill="1" applyBorder="1"/>
    <xf numFmtId="185" fontId="10" fillId="0" borderId="0" xfId="0" applyNumberFormat="1" applyFont="1" applyFill="1" applyBorder="1"/>
    <xf numFmtId="10" fontId="10" fillId="0" borderId="0" xfId="0" applyNumberFormat="1" applyFont="1" applyFill="1" applyBorder="1"/>
    <xf numFmtId="171" fontId="10" fillId="0" borderId="0" xfId="33" applyNumberFormat="1" applyFont="1" applyFill="1" applyBorder="1"/>
    <xf numFmtId="0" fontId="0" fillId="0" borderId="0" xfId="0" applyFill="1" applyBorder="1"/>
    <xf numFmtId="44" fontId="0" fillId="0" borderId="0" xfId="0" applyNumberFormat="1" applyBorder="1"/>
    <xf numFmtId="0" fontId="2" fillId="0" borderId="0" xfId="0" quotePrefix="1" applyFont="1" applyBorder="1"/>
    <xf numFmtId="0" fontId="2" fillId="0" borderId="0" xfId="0" applyFont="1" applyBorder="1"/>
    <xf numFmtId="168" fontId="0" fillId="0" borderId="0" xfId="0" applyNumberFormat="1" applyBorder="1"/>
    <xf numFmtId="164" fontId="0" fillId="0" borderId="0" xfId="0" applyNumberFormat="1" applyFill="1"/>
    <xf numFmtId="166" fontId="0" fillId="0" borderId="0" xfId="33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0" fontId="0" fillId="0" borderId="10" xfId="0" applyBorder="1"/>
    <xf numFmtId="164" fontId="0" fillId="0" borderId="10" xfId="0" applyNumberFormat="1" applyFill="1" applyBorder="1"/>
    <xf numFmtId="166" fontId="0" fillId="0" borderId="10" xfId="33" applyNumberFormat="1" applyFont="1" applyFill="1" applyBorder="1"/>
    <xf numFmtId="166" fontId="2" fillId="0" borderId="0" xfId="33" applyNumberFormat="1" applyFont="1"/>
    <xf numFmtId="10" fontId="10" fillId="0" borderId="0" xfId="67" applyNumberFormat="1" applyFont="1" applyFill="1" applyBorder="1"/>
    <xf numFmtId="168" fontId="10" fillId="0" borderId="0" xfId="0" applyNumberFormat="1" applyFont="1" applyFill="1" applyBorder="1"/>
    <xf numFmtId="164" fontId="11" fillId="0" borderId="0" xfId="0" applyNumberFormat="1" applyFont="1" applyFill="1" applyBorder="1"/>
    <xf numFmtId="168" fontId="11" fillId="0" borderId="0" xfId="67" applyNumberFormat="1" applyFont="1" applyFill="1" applyBorder="1"/>
    <xf numFmtId="172" fontId="11" fillId="0" borderId="0" xfId="33" applyNumberFormat="1" applyFont="1" applyFill="1" applyBorder="1"/>
    <xf numFmtId="185" fontId="11" fillId="0" borderId="0" xfId="0" applyNumberFormat="1" applyFont="1" applyFill="1" applyBorder="1"/>
    <xf numFmtId="44" fontId="0" fillId="0" borderId="0" xfId="0" applyNumberFormat="1" applyFill="1"/>
    <xf numFmtId="44" fontId="0" fillId="0" borderId="0" xfId="0" applyNumberFormat="1" applyFill="1" applyBorder="1"/>
    <xf numFmtId="44" fontId="0" fillId="0" borderId="10" xfId="0" applyNumberFormat="1" applyFill="1" applyBorder="1"/>
    <xf numFmtId="190" fontId="18" fillId="0" borderId="0" xfId="67" applyNumberFormat="1" applyFont="1" applyFill="1"/>
    <xf numFmtId="0" fontId="14" fillId="0" borderId="0" xfId="0" applyFont="1" applyFill="1" applyAlignment="1">
      <alignment horizontal="center"/>
    </xf>
    <xf numFmtId="166" fontId="14" fillId="0" borderId="0" xfId="33" applyNumberFormat="1" applyFont="1" applyFill="1" applyAlignment="1">
      <alignment horizontal="center"/>
    </xf>
    <xf numFmtId="166" fontId="14" fillId="0" borderId="0" xfId="33" applyNumberFormat="1" applyFont="1" applyFill="1" applyAlignment="1">
      <alignment horizontal="right"/>
    </xf>
    <xf numFmtId="166" fontId="14" fillId="0" borderId="0" xfId="0" applyNumberFormat="1" applyFont="1" applyFill="1"/>
    <xf numFmtId="10" fontId="14" fillId="0" borderId="0" xfId="67" applyNumberFormat="1" applyFont="1" applyFill="1" applyAlignment="1">
      <alignment horizontal="right"/>
    </xf>
    <xf numFmtId="9" fontId="14" fillId="0" borderId="0" xfId="67" applyFont="1" applyFill="1" applyAlignment="1">
      <alignment horizontal="right"/>
    </xf>
    <xf numFmtId="164" fontId="14" fillId="0" borderId="0" xfId="36" applyNumberFormat="1" applyFont="1" applyFill="1"/>
    <xf numFmtId="10" fontId="14" fillId="0" borderId="0" xfId="67" applyNumberFormat="1" applyFont="1" applyFill="1"/>
    <xf numFmtId="43" fontId="14" fillId="0" borderId="0" xfId="33" applyNumberFormat="1" applyFont="1" applyFill="1"/>
    <xf numFmtId="166" fontId="14" fillId="0" borderId="0" xfId="33" applyNumberFormat="1" applyFont="1" applyFill="1" applyBorder="1"/>
    <xf numFmtId="166" fontId="14" fillId="0" borderId="0" xfId="0" applyNumberFormat="1" applyFont="1" applyFill="1" applyBorder="1"/>
    <xf numFmtId="164" fontId="14" fillId="0" borderId="0" xfId="36" applyNumberFormat="1" applyFont="1" applyFill="1" applyBorder="1"/>
    <xf numFmtId="10" fontId="14" fillId="0" borderId="0" xfId="67" applyNumberFormat="1" applyFont="1" applyFill="1" applyBorder="1"/>
    <xf numFmtId="43" fontId="14" fillId="0" borderId="0" xfId="33" applyNumberFormat="1" applyFont="1" applyFill="1" applyBorder="1"/>
    <xf numFmtId="43" fontId="14" fillId="0" borderId="0" xfId="33" applyFont="1" applyFill="1"/>
    <xf numFmtId="1" fontId="14" fillId="0" borderId="0" xfId="0" applyNumberFormat="1" applyFont="1" applyFill="1"/>
    <xf numFmtId="165" fontId="14" fillId="0" borderId="0" xfId="33" applyNumberFormat="1" applyFont="1" applyFill="1" applyAlignment="1">
      <alignment horizontal="right"/>
    </xf>
    <xf numFmtId="1" fontId="14" fillId="0" borderId="0" xfId="0" applyNumberFormat="1" applyFont="1" applyFill="1" applyBorder="1"/>
    <xf numFmtId="0" fontId="14" fillId="0" borderId="0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right"/>
    </xf>
    <xf numFmtId="174" fontId="14" fillId="0" borderId="0" xfId="36" applyNumberFormat="1" applyFont="1" applyFill="1"/>
    <xf numFmtId="169" fontId="14" fillId="0" borderId="0" xfId="33" applyNumberFormat="1" applyFont="1" applyFill="1"/>
    <xf numFmtId="0" fontId="14" fillId="0" borderId="10" xfId="0" applyFont="1" applyFill="1" applyBorder="1" applyAlignment="1">
      <alignment horizontal="right"/>
    </xf>
    <xf numFmtId="166" fontId="0" fillId="0" borderId="0" xfId="33" applyNumberFormat="1" applyFont="1" applyFill="1" applyBorder="1"/>
    <xf numFmtId="168" fontId="2" fillId="0" borderId="0" xfId="0" applyNumberFormat="1" applyFont="1" applyFill="1" applyBorder="1"/>
    <xf numFmtId="168" fontId="10" fillId="0" borderId="10" xfId="0" applyNumberFormat="1" applyFont="1" applyFill="1" applyBorder="1"/>
    <xf numFmtId="0" fontId="14" fillId="0" borderId="0" xfId="0" quotePrefix="1" applyFont="1" applyAlignment="1">
      <alignment horizontal="right"/>
    </xf>
    <xf numFmtId="0" fontId="14" fillId="0" borderId="0" xfId="0" quotePrefix="1" applyFont="1" applyAlignment="1">
      <alignment horizontal="left"/>
    </xf>
    <xf numFmtId="0" fontId="14" fillId="0" borderId="0" xfId="33" applyNumberFormat="1" applyFont="1"/>
    <xf numFmtId="166" fontId="14" fillId="0" borderId="0" xfId="33" applyNumberFormat="1" applyFont="1" applyAlignment="1">
      <alignment wrapText="1"/>
    </xf>
    <xf numFmtId="166" fontId="14" fillId="0" borderId="0" xfId="33" quotePrefix="1" applyNumberFormat="1" applyFont="1" applyAlignment="1">
      <alignment horizontal="left"/>
    </xf>
    <xf numFmtId="0" fontId="14" fillId="0" borderId="0" xfId="0" quotePrefix="1" applyFont="1" applyFill="1" applyAlignment="1">
      <alignment horizontal="right"/>
    </xf>
    <xf numFmtId="43" fontId="0" fillId="0" borderId="0" xfId="33" applyFont="1"/>
    <xf numFmtId="172" fontId="0" fillId="0" borderId="0" xfId="33" applyNumberFormat="1" applyFont="1"/>
    <xf numFmtId="43" fontId="5" fillId="0" borderId="0" xfId="33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43" fontId="5" fillId="0" borderId="0" xfId="33" applyFont="1" applyAlignment="1">
      <alignment horizontal="right"/>
    </xf>
    <xf numFmtId="172" fontId="0" fillId="0" borderId="0" xfId="33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9" xfId="0" applyFont="1" applyBorder="1" applyAlignment="1"/>
    <xf numFmtId="0" fontId="5" fillId="0" borderId="9" xfId="0" applyFont="1" applyBorder="1" applyAlignment="1">
      <alignment horizontal="left" wrapText="1"/>
    </xf>
    <xf numFmtId="43" fontId="5" fillId="0" borderId="9" xfId="33" applyFont="1" applyBorder="1" applyAlignment="1">
      <alignment horizontal="right"/>
    </xf>
    <xf numFmtId="172" fontId="5" fillId="0" borderId="9" xfId="33" applyNumberFormat="1" applyFont="1" applyBorder="1" applyAlignment="1">
      <alignment horizontal="right"/>
    </xf>
    <xf numFmtId="164" fontId="0" fillId="0" borderId="0" xfId="36" applyNumberFormat="1" applyFont="1"/>
    <xf numFmtId="10" fontId="0" fillId="0" borderId="0" xfId="67" applyNumberFormat="1" applyFont="1"/>
    <xf numFmtId="10" fontId="0" fillId="0" borderId="0" xfId="67" applyNumberFormat="1" applyFont="1" applyBorder="1"/>
    <xf numFmtId="0" fontId="8" fillId="0" borderId="10" xfId="0" applyFont="1" applyBorder="1"/>
    <xf numFmtId="166" fontId="0" fillId="0" borderId="10" xfId="33" applyNumberFormat="1" applyFont="1" applyBorder="1"/>
    <xf numFmtId="10" fontId="0" fillId="0" borderId="10" xfId="67" applyNumberFormat="1" applyFont="1" applyBorder="1"/>
    <xf numFmtId="43" fontId="0" fillId="0" borderId="0" xfId="33" applyFont="1" applyBorder="1"/>
    <xf numFmtId="164" fontId="0" fillId="0" borderId="0" xfId="36" applyNumberFormat="1" applyFont="1" applyBorder="1"/>
    <xf numFmtId="166" fontId="0" fillId="0" borderId="0" xfId="33" quotePrefix="1" applyNumberFormat="1" applyFont="1"/>
    <xf numFmtId="0" fontId="5" fillId="0" borderId="10" xfId="0" applyFont="1" applyBorder="1" applyAlignment="1">
      <alignment horizontal="left"/>
    </xf>
    <xf numFmtId="0" fontId="13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164" fontId="2" fillId="0" borderId="0" xfId="0" applyNumberFormat="1" applyFont="1" applyFill="1" applyBorder="1"/>
    <xf numFmtId="164" fontId="2" fillId="0" borderId="0" xfId="36" applyNumberFormat="1" applyFont="1" applyFill="1" applyBorder="1"/>
    <xf numFmtId="166" fontId="2" fillId="0" borderId="0" xfId="0" applyNumberFormat="1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10" fontId="5" fillId="0" borderId="11" xfId="67" applyNumberFormat="1" applyFont="1" applyFill="1" applyBorder="1"/>
    <xf numFmtId="10" fontId="5" fillId="0" borderId="0" xfId="67" applyNumberFormat="1" applyFont="1" applyFill="1" applyBorder="1"/>
    <xf numFmtId="0" fontId="5" fillId="0" borderId="0" xfId="0" applyFont="1" applyFill="1" applyBorder="1"/>
    <xf numFmtId="10" fontId="2" fillId="0" borderId="0" xfId="67" applyNumberFormat="1" applyFont="1" applyFill="1"/>
    <xf numFmtId="10" fontId="2" fillId="0" borderId="0" xfId="67" applyNumberFormat="1" applyFont="1" applyFill="1" applyBorder="1"/>
    <xf numFmtId="0" fontId="54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4" fontId="2" fillId="0" borderId="0" xfId="0" applyNumberFormat="1" applyFont="1" applyFill="1"/>
    <xf numFmtId="189" fontId="2" fillId="0" borderId="0" xfId="67" applyNumberFormat="1" applyFont="1" applyFill="1"/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170" fontId="2" fillId="0" borderId="0" xfId="33" applyNumberFormat="1" applyFont="1" applyFill="1"/>
    <xf numFmtId="43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/>
    <xf numFmtId="164" fontId="2" fillId="0" borderId="10" xfId="0" applyNumberFormat="1" applyFont="1" applyFill="1" applyBorder="1"/>
    <xf numFmtId="0" fontId="2" fillId="20" borderId="0" xfId="0" applyFont="1" applyFill="1"/>
    <xf numFmtId="164" fontId="2" fillId="0" borderId="10" xfId="36" applyNumberFormat="1" applyFont="1" applyFill="1" applyBorder="1"/>
    <xf numFmtId="164" fontId="2" fillId="20" borderId="0" xfId="36" applyNumberFormat="1" applyFont="1" applyFill="1" applyBorder="1"/>
    <xf numFmtId="164" fontId="2" fillId="20" borderId="0" xfId="0" applyNumberFormat="1" applyFont="1" applyFill="1" applyBorder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/>
    <xf numFmtId="44" fontId="2" fillId="0" borderId="0" xfId="36" applyFont="1" applyFill="1"/>
    <xf numFmtId="164" fontId="2" fillId="0" borderId="0" xfId="0" applyNumberFormat="1" applyFont="1" applyFill="1" applyAlignment="1">
      <alignment horizontal="center"/>
    </xf>
    <xf numFmtId="180" fontId="2" fillId="0" borderId="0" xfId="67" applyNumberFormat="1" applyFont="1" applyFill="1"/>
    <xf numFmtId="180" fontId="2" fillId="0" borderId="0" xfId="0" applyNumberFormat="1" applyFont="1" applyFill="1"/>
    <xf numFmtId="179" fontId="2" fillId="0" borderId="0" xfId="0" applyNumberFormat="1" applyFont="1" applyFill="1"/>
    <xf numFmtId="187" fontId="2" fillId="0" borderId="0" xfId="0" applyNumberFormat="1" applyFont="1" applyFill="1"/>
    <xf numFmtId="166" fontId="2" fillId="0" borderId="0" xfId="33" quotePrefix="1" applyNumberFormat="1" applyFont="1" applyFill="1"/>
    <xf numFmtId="43" fontId="2" fillId="0" borderId="0" xfId="33" applyNumberFormat="1" applyFont="1" applyFill="1"/>
    <xf numFmtId="43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/>
    <xf numFmtId="166" fontId="2" fillId="20" borderId="0" xfId="33" applyNumberFormat="1" applyFont="1" applyFill="1" applyBorder="1"/>
    <xf numFmtId="166" fontId="2" fillId="0" borderId="0" xfId="33" applyNumberFormat="1" applyFont="1" applyFill="1" applyBorder="1"/>
    <xf numFmtId="172" fontId="2" fillId="20" borderId="0" xfId="0" applyNumberFormat="1" applyFont="1" applyFill="1"/>
    <xf numFmtId="172" fontId="2" fillId="0" borderId="0" xfId="0" applyNumberFormat="1" applyFont="1" applyFill="1"/>
    <xf numFmtId="172" fontId="2" fillId="20" borderId="0" xfId="0" applyNumberFormat="1" applyFont="1" applyFill="1" applyBorder="1"/>
    <xf numFmtId="172" fontId="2" fillId="0" borderId="0" xfId="0" applyNumberFormat="1" applyFont="1" applyFill="1" applyBorder="1"/>
    <xf numFmtId="44" fontId="2" fillId="20" borderId="0" xfId="36" applyFont="1" applyFill="1" applyBorder="1"/>
    <xf numFmtId="44" fontId="2" fillId="0" borderId="0" xfId="36" applyFont="1" applyFill="1" applyBorder="1"/>
    <xf numFmtId="0" fontId="5" fillId="0" borderId="9" xfId="0" quotePrefix="1" applyFont="1" applyFill="1" applyBorder="1" applyAlignment="1">
      <alignment horizontal="center"/>
    </xf>
    <xf numFmtId="0" fontId="19" fillId="0" borderId="14" xfId="0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11" xfId="0" applyFont="1" applyBorder="1" applyAlignment="1">
      <alignment horizontal="center"/>
    </xf>
    <xf numFmtId="0" fontId="13" fillId="0" borderId="16" xfId="0" applyFont="1" applyBorder="1"/>
    <xf numFmtId="0" fontId="19" fillId="0" borderId="17" xfId="0" applyFont="1" applyBorder="1"/>
    <xf numFmtId="0" fontId="19" fillId="0" borderId="18" xfId="0" applyFont="1" applyBorder="1"/>
    <xf numFmtId="0" fontId="19" fillId="0" borderId="19" xfId="0" applyFont="1" applyBorder="1"/>
    <xf numFmtId="0" fontId="13" fillId="0" borderId="19" xfId="0" applyFont="1" applyBorder="1"/>
    <xf numFmtId="0" fontId="19" fillId="0" borderId="20" xfId="0" applyFont="1" applyBorder="1"/>
    <xf numFmtId="0" fontId="19" fillId="0" borderId="21" xfId="0" applyFont="1" applyBorder="1"/>
    <xf numFmtId="0" fontId="19" fillId="0" borderId="22" xfId="0" applyFont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3" fillId="0" borderId="14" xfId="0" applyFont="1" applyBorder="1"/>
    <xf numFmtId="0" fontId="13" fillId="0" borderId="15" xfId="0" applyFont="1" applyBorder="1"/>
    <xf numFmtId="0" fontId="13" fillId="0" borderId="1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3" xfId="0" applyFont="1" applyBorder="1"/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164" fontId="13" fillId="0" borderId="17" xfId="36" applyNumberFormat="1" applyFont="1" applyBorder="1"/>
    <xf numFmtId="164" fontId="13" fillId="0" borderId="17" xfId="36" applyNumberFormat="1" applyFont="1" applyBorder="1" applyAlignment="1">
      <alignment horizontal="center"/>
    </xf>
    <xf numFmtId="164" fontId="13" fillId="0" borderId="0" xfId="36" applyNumberFormat="1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66" fontId="13" fillId="0" borderId="17" xfId="33" applyNumberFormat="1" applyFont="1" applyFill="1" applyBorder="1"/>
    <xf numFmtId="166" fontId="13" fillId="0" borderId="0" xfId="33" applyNumberFormat="1" applyFont="1" applyFill="1" applyBorder="1"/>
    <xf numFmtId="164" fontId="13" fillId="0" borderId="17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7" xfId="0" applyFont="1" applyBorder="1"/>
    <xf numFmtId="164" fontId="13" fillId="0" borderId="19" xfId="36" applyNumberFormat="1" applyFont="1" applyBorder="1"/>
    <xf numFmtId="10" fontId="13" fillId="0" borderId="17" xfId="67" applyNumberFormat="1" applyFont="1" applyBorder="1" applyAlignment="1">
      <alignment horizontal="right"/>
    </xf>
    <xf numFmtId="10" fontId="13" fillId="0" borderId="0" xfId="67" applyNumberFormat="1" applyFont="1" applyBorder="1" applyAlignment="1">
      <alignment horizontal="right"/>
    </xf>
    <xf numFmtId="164" fontId="13" fillId="0" borderId="19" xfId="36" applyNumberFormat="1" applyFont="1" applyBorder="1" applyAlignment="1">
      <alignment horizontal="center"/>
    </xf>
    <xf numFmtId="44" fontId="13" fillId="0" borderId="17" xfId="36" applyFont="1" applyBorder="1" applyAlignment="1">
      <alignment horizontal="center"/>
    </xf>
    <xf numFmtId="166" fontId="13" fillId="0" borderId="0" xfId="0" applyNumberFormat="1" applyFont="1" applyFill="1"/>
    <xf numFmtId="166" fontId="13" fillId="0" borderId="17" xfId="0" applyNumberFormat="1" applyFont="1" applyBorder="1" applyAlignment="1">
      <alignment horizontal="center"/>
    </xf>
    <xf numFmtId="166" fontId="13" fillId="0" borderId="17" xfId="33" applyNumberFormat="1" applyFont="1" applyBorder="1"/>
    <xf numFmtId="166" fontId="13" fillId="0" borderId="0" xfId="33" applyNumberFormat="1" applyFont="1" applyBorder="1"/>
    <xf numFmtId="0" fontId="13" fillId="0" borderId="21" xfId="0" applyFont="1" applyBorder="1"/>
    <xf numFmtId="0" fontId="13" fillId="0" borderId="2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Border="1"/>
    <xf numFmtId="0" fontId="13" fillId="0" borderId="9" xfId="0" applyFont="1" applyBorder="1"/>
    <xf numFmtId="44" fontId="13" fillId="0" borderId="9" xfId="36" applyFont="1" applyBorder="1"/>
    <xf numFmtId="44" fontId="13" fillId="0" borderId="11" xfId="36" applyFont="1" applyBorder="1"/>
    <xf numFmtId="164" fontId="13" fillId="0" borderId="22" xfId="36" applyNumberFormat="1" applyFont="1" applyBorder="1"/>
    <xf numFmtId="164" fontId="13" fillId="0" borderId="0" xfId="0" applyNumberFormat="1" applyFont="1"/>
    <xf numFmtId="0" fontId="5" fillId="0" borderId="0" xfId="0" quotePrefix="1" applyFont="1" applyFill="1" applyAlignment="1">
      <alignment horizontal="center" wrapText="1"/>
    </xf>
    <xf numFmtId="171" fontId="18" fillId="0" borderId="0" xfId="33" applyNumberFormat="1" applyFont="1" applyFill="1"/>
    <xf numFmtId="0" fontId="5" fillId="0" borderId="0" xfId="0" applyFont="1" applyBorder="1" applyAlignment="1">
      <alignment horizontal="right"/>
    </xf>
    <xf numFmtId="15" fontId="5" fillId="0" borderId="9" xfId="0" applyNumberFormat="1" applyFont="1" applyBorder="1" applyAlignment="1">
      <alignment horizontal="right"/>
    </xf>
    <xf numFmtId="186" fontId="2" fillId="0" borderId="0" xfId="0" applyNumberFormat="1" applyFont="1" applyFill="1"/>
    <xf numFmtId="43" fontId="5" fillId="0" borderId="0" xfId="33" applyFont="1" applyFill="1" applyBorder="1" applyAlignment="1">
      <alignment horizontal="right"/>
    </xf>
    <xf numFmtId="10" fontId="0" fillId="0" borderId="0" xfId="67" applyNumberFormat="1" applyFont="1" applyFill="1" applyBorder="1"/>
    <xf numFmtId="43" fontId="13" fillId="0" borderId="0" xfId="33" applyFont="1"/>
    <xf numFmtId="164" fontId="0" fillId="0" borderId="0" xfId="36" applyNumberFormat="1" applyFont="1" applyFill="1"/>
    <xf numFmtId="0" fontId="9" fillId="0" borderId="0" xfId="0" applyFont="1" applyFill="1"/>
    <xf numFmtId="188" fontId="10" fillId="0" borderId="0" xfId="0" applyNumberFormat="1" applyFont="1" applyFill="1" applyProtection="1"/>
    <xf numFmtId="37" fontId="10" fillId="0" borderId="0" xfId="0" applyNumberFormat="1" applyFont="1" applyFill="1"/>
    <xf numFmtId="170" fontId="18" fillId="0" borderId="0" xfId="33" applyNumberFormat="1" applyFont="1" applyFill="1"/>
    <xf numFmtId="170" fontId="18" fillId="0" borderId="0" xfId="0" applyNumberFormat="1" applyFont="1" applyFill="1"/>
    <xf numFmtId="0" fontId="5" fillId="20" borderId="0" xfId="0" applyFont="1" applyFill="1" applyBorder="1"/>
    <xf numFmtId="0" fontId="2" fillId="20" borderId="0" xfId="0" applyFont="1" applyFill="1" applyBorder="1"/>
    <xf numFmtId="0" fontId="2" fillId="20" borderId="0" xfId="0" applyFont="1" applyFill="1" applyBorder="1" applyAlignment="1">
      <alignment horizontal="center"/>
    </xf>
    <xf numFmtId="166" fontId="2" fillId="20" borderId="0" xfId="0" applyNumberFormat="1" applyFont="1" applyFill="1" applyBorder="1"/>
    <xf numFmtId="43" fontId="2" fillId="0" borderId="0" xfId="33" applyFont="1" applyFill="1" applyBorder="1"/>
    <xf numFmtId="177" fontId="2" fillId="20" borderId="0" xfId="0" applyNumberFormat="1" applyFont="1" applyFill="1" applyBorder="1"/>
    <xf numFmtId="172" fontId="55" fillId="20" borderId="0" xfId="0" applyNumberFormat="1" applyFont="1" applyFill="1" applyBorder="1"/>
    <xf numFmtId="172" fontId="55" fillId="0" borderId="0" xfId="0" applyNumberFormat="1" applyFont="1" applyFill="1" applyBorder="1"/>
    <xf numFmtId="43" fontId="2" fillId="20" borderId="0" xfId="0" applyNumberFormat="1" applyFont="1" applyFill="1" applyBorder="1"/>
    <xf numFmtId="43" fontId="2" fillId="0" borderId="0" xfId="0" applyNumberFormat="1" applyFont="1" applyFill="1" applyBorder="1"/>
    <xf numFmtId="43" fontId="55" fillId="20" borderId="0" xfId="33" applyFont="1" applyFill="1" applyBorder="1"/>
    <xf numFmtId="43" fontId="55" fillId="0" borderId="0" xfId="33" applyFont="1" applyFill="1" applyBorder="1"/>
    <xf numFmtId="44" fontId="2" fillId="0" borderId="0" xfId="0" applyNumberFormat="1" applyFont="1" applyFill="1" applyBorder="1"/>
    <xf numFmtId="44" fontId="2" fillId="20" borderId="0" xfId="0" applyNumberFormat="1" applyFont="1" applyFill="1" applyBorder="1"/>
    <xf numFmtId="10" fontId="2" fillId="20" borderId="0" xfId="67" applyNumberFormat="1" applyFont="1" applyFill="1" applyBorder="1"/>
    <xf numFmtId="10" fontId="2" fillId="20" borderId="0" xfId="0" applyNumberFormat="1" applyFont="1" applyFill="1" applyBorder="1"/>
    <xf numFmtId="10" fontId="2" fillId="0" borderId="0" xfId="0" applyNumberFormat="1" applyFont="1" applyFill="1" applyBorder="1"/>
    <xf numFmtId="173" fontId="14" fillId="0" borderId="0" xfId="33" applyNumberFormat="1" applyFont="1" applyFill="1" applyBorder="1"/>
    <xf numFmtId="166" fontId="14" fillId="0" borderId="10" xfId="33" applyNumberFormat="1" applyFont="1" applyFill="1" applyBorder="1" applyAlignment="1">
      <alignment horizontal="right"/>
    </xf>
    <xf numFmtId="166" fontId="14" fillId="0" borderId="10" xfId="33" applyNumberFormat="1" applyFont="1" applyFill="1" applyBorder="1"/>
    <xf numFmtId="2" fontId="13" fillId="0" borderId="17" xfId="0" quotePrefix="1" applyNumberFormat="1" applyFont="1" applyBorder="1"/>
    <xf numFmtId="2" fontId="13" fillId="0" borderId="17" xfId="0" applyNumberFormat="1" applyFont="1" applyBorder="1"/>
    <xf numFmtId="2" fontId="13" fillId="0" borderId="17" xfId="0" quotePrefix="1" applyNumberFormat="1" applyFont="1" applyFill="1" applyBorder="1"/>
    <xf numFmtId="2" fontId="13" fillId="0" borderId="20" xfId="0" quotePrefix="1" applyNumberFormat="1" applyFont="1" applyBorder="1"/>
    <xf numFmtId="168" fontId="2" fillId="21" borderId="0" xfId="33" applyNumberFormat="1" applyFont="1" applyFill="1"/>
    <xf numFmtId="0" fontId="2" fillId="0" borderId="0" xfId="0" applyFont="1" applyFill="1" applyBorder="1" applyAlignment="1"/>
    <xf numFmtId="0" fontId="1" fillId="0" borderId="0" xfId="0" applyFont="1" applyFill="1"/>
    <xf numFmtId="172" fontId="13" fillId="0" borderId="0" xfId="33" applyNumberFormat="1" applyFont="1"/>
    <xf numFmtId="166" fontId="13" fillId="0" borderId="0" xfId="33" applyNumberFormat="1" applyFont="1"/>
    <xf numFmtId="2" fontId="13" fillId="0" borderId="0" xfId="0" applyNumberFormat="1" applyFont="1"/>
    <xf numFmtId="171" fontId="13" fillId="0" borderId="0" xfId="0" applyNumberFormat="1" applyFont="1" applyBorder="1"/>
    <xf numFmtId="0" fontId="13" fillId="0" borderId="0" xfId="0" applyFont="1" applyFill="1" applyBorder="1"/>
    <xf numFmtId="44" fontId="13" fillId="0" borderId="0" xfId="36" applyFont="1" applyBorder="1"/>
    <xf numFmtId="164" fontId="13" fillId="0" borderId="0" xfId="36" applyNumberFormat="1" applyFont="1" applyBorder="1"/>
    <xf numFmtId="191" fontId="13" fillId="0" borderId="0" xfId="0" applyNumberFormat="1" applyFont="1"/>
    <xf numFmtId="171" fontId="13" fillId="0" borderId="0" xfId="0" applyNumberFormat="1" applyFont="1"/>
    <xf numFmtId="164" fontId="2" fillId="0" borderId="0" xfId="67" applyNumberFormat="1" applyFont="1" applyFill="1" applyBorder="1"/>
    <xf numFmtId="0" fontId="19" fillId="0" borderId="0" xfId="0" applyFont="1" applyBorder="1" applyAlignment="1">
      <alignment horizontal="center"/>
    </xf>
    <xf numFmtId="171" fontId="0" fillId="0" borderId="0" xfId="33" applyNumberFormat="1" applyFont="1"/>
    <xf numFmtId="0" fontId="13" fillId="0" borderId="0" xfId="0" applyFont="1" applyBorder="1" applyAlignment="1">
      <alignment horizontal="center"/>
    </xf>
    <xf numFmtId="44" fontId="13" fillId="0" borderId="17" xfId="0" applyNumberFormat="1" applyFont="1" applyBorder="1" applyAlignment="1">
      <alignment horizontal="center"/>
    </xf>
    <xf numFmtId="44" fontId="13" fillId="0" borderId="0" xfId="0" applyNumberFormat="1" applyFont="1" applyBorder="1" applyAlignment="1">
      <alignment horizontal="center"/>
    </xf>
    <xf numFmtId="44" fontId="13" fillId="0" borderId="20" xfId="36" applyFont="1" applyBorder="1"/>
    <xf numFmtId="44" fontId="13" fillId="0" borderId="9" xfId="36" applyNumberFormat="1" applyFont="1" applyBorder="1"/>
    <xf numFmtId="44" fontId="13" fillId="0" borderId="0" xfId="0" applyNumberFormat="1" applyFont="1"/>
    <xf numFmtId="167" fontId="13" fillId="0" borderId="0" xfId="0" applyNumberFormat="1" applyFont="1"/>
    <xf numFmtId="44" fontId="13" fillId="0" borderId="0" xfId="36" applyFont="1"/>
    <xf numFmtId="0" fontId="13" fillId="0" borderId="12" xfId="0" applyFont="1" applyBorder="1"/>
    <xf numFmtId="172" fontId="13" fillId="0" borderId="24" xfId="33" applyNumberFormat="1" applyFont="1" applyBorder="1"/>
    <xf numFmtId="43" fontId="13" fillId="0" borderId="24" xfId="33" applyFont="1" applyBorder="1"/>
    <xf numFmtId="189" fontId="0" fillId="0" borderId="0" xfId="67" applyNumberFormat="1" applyFont="1"/>
    <xf numFmtId="171" fontId="0" fillId="22" borderId="0" xfId="92" applyNumberFormat="1" applyFont="1" applyFill="1" applyAlignment="1"/>
    <xf numFmtId="0" fontId="2" fillId="22" borderId="0" xfId="0" applyFont="1" applyFill="1" applyBorder="1"/>
    <xf numFmtId="171" fontId="0" fillId="22" borderId="0" xfId="92" applyNumberFormat="1" applyFont="1" applyFill="1"/>
    <xf numFmtId="171" fontId="60" fillId="22" borderId="0" xfId="33" applyNumberFormat="1" applyFont="1" applyFill="1" applyBorder="1"/>
    <xf numFmtId="0" fontId="2" fillId="23" borderId="0" xfId="0" applyFont="1" applyFill="1"/>
    <xf numFmtId="0" fontId="2" fillId="0" borderId="0" xfId="93" applyFont="1" applyFill="1" applyAlignment="1">
      <alignment horizontal="centerContinuous"/>
    </xf>
    <xf numFmtId="0" fontId="2" fillId="0" borderId="0" xfId="93" applyFont="1" applyFill="1"/>
    <xf numFmtId="0" fontId="1" fillId="0" borderId="0" xfId="93" applyFont="1" applyFill="1" applyAlignment="1">
      <alignment wrapText="1"/>
    </xf>
    <xf numFmtId="0" fontId="1" fillId="0" borderId="0" xfId="93" applyFont="1" applyFill="1" applyAlignment="1">
      <alignment horizontal="right" wrapText="1"/>
    </xf>
    <xf numFmtId="0" fontId="1" fillId="0" borderId="0" xfId="93" applyFont="1" applyFill="1" applyAlignment="1">
      <alignment horizontal="left" wrapText="1"/>
    </xf>
    <xf numFmtId="0" fontId="1" fillId="0" borderId="0" xfId="93" applyFont="1" applyFill="1" applyBorder="1" applyAlignment="1">
      <alignment horizontal="right" wrapText="1"/>
    </xf>
    <xf numFmtId="0" fontId="2" fillId="0" borderId="0" xfId="93" applyFont="1" applyFill="1" applyAlignment="1">
      <alignment wrapText="1"/>
    </xf>
    <xf numFmtId="0" fontId="1" fillId="0" borderId="9" xfId="93" applyFont="1" applyFill="1" applyBorder="1"/>
    <xf numFmtId="0" fontId="1" fillId="0" borderId="9" xfId="93" applyFont="1" applyFill="1" applyBorder="1" applyAlignment="1">
      <alignment horizontal="center"/>
    </xf>
    <xf numFmtId="0" fontId="1" fillId="0" borderId="9" xfId="93" applyFont="1" applyFill="1" applyBorder="1" applyAlignment="1">
      <alignment horizontal="left"/>
    </xf>
    <xf numFmtId="0" fontId="1" fillId="0" borderId="9" xfId="93" applyFont="1" applyFill="1" applyBorder="1" applyAlignment="1">
      <alignment horizontal="right"/>
    </xf>
    <xf numFmtId="0" fontId="6" fillId="0" borderId="0" xfId="93" applyFont="1" applyFill="1"/>
    <xf numFmtId="164" fontId="2" fillId="0" borderId="0" xfId="93" applyNumberFormat="1" applyFont="1" applyFill="1"/>
    <xf numFmtId="0" fontId="1" fillId="0" borderId="0" xfId="93" applyFont="1" applyFill="1"/>
    <xf numFmtId="0" fontId="2" fillId="0" borderId="0" xfId="93" quotePrefix="1" applyFont="1" applyFill="1"/>
    <xf numFmtId="166" fontId="2" fillId="0" borderId="0" xfId="93" applyNumberFormat="1" applyFont="1" applyFill="1"/>
    <xf numFmtId="44" fontId="2" fillId="0" borderId="0" xfId="93" applyNumberFormat="1" applyFont="1" applyFill="1"/>
    <xf numFmtId="0" fontId="1" fillId="0" borderId="0" xfId="93" applyFont="1" applyFill="1" applyBorder="1"/>
    <xf numFmtId="10" fontId="1" fillId="0" borderId="0" xfId="67" applyNumberFormat="1" applyFont="1" applyFill="1" applyBorder="1"/>
    <xf numFmtId="43" fontId="2" fillId="0" borderId="0" xfId="93" applyNumberFormat="1" applyFont="1" applyFill="1"/>
    <xf numFmtId="43" fontId="2" fillId="0" borderId="0" xfId="93" applyNumberFormat="1" applyFont="1" applyFill="1" applyAlignment="1">
      <alignment horizontal="right"/>
    </xf>
    <xf numFmtId="167" fontId="2" fillId="0" borderId="0" xfId="93" applyNumberFormat="1" applyFont="1" applyFill="1"/>
    <xf numFmtId="164" fontId="2" fillId="0" borderId="10" xfId="93" applyNumberFormat="1" applyFont="1" applyFill="1" applyBorder="1"/>
    <xf numFmtId="166" fontId="2" fillId="0" borderId="0" xfId="93" applyNumberFormat="1" applyFont="1" applyFill="1" applyBorder="1"/>
    <xf numFmtId="0" fontId="2" fillId="0" borderId="0" xfId="93" applyFont="1" applyFill="1" applyAlignment="1">
      <alignment horizontal="left"/>
    </xf>
    <xf numFmtId="0" fontId="1" fillId="0" borderId="0" xfId="93" applyFont="1"/>
    <xf numFmtId="0" fontId="2" fillId="0" borderId="0" xfId="93" applyFont="1"/>
    <xf numFmtId="164" fontId="2" fillId="0" borderId="0" xfId="93" applyNumberFormat="1" applyFont="1"/>
    <xf numFmtId="0" fontId="1" fillId="0" borderId="12" xfId="93" applyFont="1" applyFill="1" applyBorder="1"/>
    <xf numFmtId="0" fontId="1" fillId="0" borderId="13" xfId="93" applyFont="1" applyFill="1" applyBorder="1"/>
    <xf numFmtId="10" fontId="1" fillId="0" borderId="11" xfId="67" applyNumberFormat="1" applyFont="1" applyFill="1" applyBorder="1"/>
    <xf numFmtId="0" fontId="1" fillId="0" borderId="0" xfId="93" quotePrefix="1" applyFont="1" applyFill="1" applyAlignment="1">
      <alignment horizontal="right" wrapText="1"/>
    </xf>
    <xf numFmtId="0" fontId="1" fillId="0" borderId="9" xfId="93" quotePrefix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6" fontId="5" fillId="0" borderId="0" xfId="33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9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Comma" xfId="33" builtinId="3"/>
    <cellStyle name="Comma 2" xfId="92"/>
    <cellStyle name="Comma 86" xfId="34"/>
    <cellStyle name="Comma0" xfId="35"/>
    <cellStyle name="Currency" xfId="36" builtinId="4"/>
    <cellStyle name="Currency0" xfId="37"/>
    <cellStyle name="Date" xfId="38"/>
    <cellStyle name="Euro" xfId="39"/>
    <cellStyle name="Explanatory Text" xfId="40" builtinId="53" customBuiltin="1"/>
    <cellStyle name="F2" xfId="41"/>
    <cellStyle name="F3" xfId="42"/>
    <cellStyle name="F4" xfId="43"/>
    <cellStyle name="F5" xfId="44"/>
    <cellStyle name="F6" xfId="45"/>
    <cellStyle name="F7" xfId="46"/>
    <cellStyle name="F8" xfId="47"/>
    <cellStyle name="Fixed" xfId="48"/>
    <cellStyle name="Good" xfId="49" builtinId="26" customBuiltin="1"/>
    <cellStyle name="Heading 1" xfId="50" builtinId="16" customBuiltin="1"/>
    <cellStyle name="Heading 2" xfId="51" builtinId="17" customBuiltin="1"/>
    <cellStyle name="Heading 3" xfId="52" builtinId="18" customBuiltin="1"/>
    <cellStyle name="Heading 4" xfId="53" builtinId="19" customBuiltin="1"/>
    <cellStyle name="Input" xfId="54" builtinId="20" customBuiltin="1"/>
    <cellStyle name="LineItemPrompt" xfId="55"/>
    <cellStyle name="LineItemValue" xfId="56"/>
    <cellStyle name="Linked Cell" xfId="57" builtinId="24" customBuiltin="1"/>
    <cellStyle name="Neutral" xfId="58" builtinId="28" customBuiltin="1"/>
    <cellStyle name="Normal" xfId="0" builtinId="0"/>
    <cellStyle name="Normal 2" xfId="93"/>
    <cellStyle name="Normal 39" xfId="59"/>
    <cellStyle name="Note" xfId="60" builtinId="10" customBuiltin="1"/>
    <cellStyle name="Output" xfId="61" builtinId="21" customBuiltin="1"/>
    <cellStyle name="Output Amounts" xfId="62"/>
    <cellStyle name="Output Column Headings" xfId="63"/>
    <cellStyle name="Output Line Items" xfId="64"/>
    <cellStyle name="Output Report Heading" xfId="65"/>
    <cellStyle name="Output Report Title" xfId="66"/>
    <cellStyle name="Percent" xfId="67" builtinId="5"/>
    <cellStyle name="ReportTitlePrompt" xfId="68"/>
    <cellStyle name="ReportTitleValue" xfId="69"/>
    <cellStyle name="RowAcctAbovePrompt" xfId="70"/>
    <cellStyle name="RowAcctSOBAbovePrompt" xfId="71"/>
    <cellStyle name="RowAcctSOBValue" xfId="72"/>
    <cellStyle name="RowAcctValue" xfId="73"/>
    <cellStyle name="RowAttrAbovePrompt" xfId="74"/>
    <cellStyle name="RowAttrValue" xfId="75"/>
    <cellStyle name="RowColSetAbovePrompt" xfId="76"/>
    <cellStyle name="RowColSetLeftPrompt" xfId="77"/>
    <cellStyle name="RowColSetValue" xfId="78"/>
    <cellStyle name="RowLeftPrompt" xfId="79"/>
    <cellStyle name="SampleUsingFormatMask" xfId="80"/>
    <cellStyle name="SampleWithNoFormatMask" xfId="81"/>
    <cellStyle name="STYL5 - Style5" xfId="82"/>
    <cellStyle name="STYL6 - Style6" xfId="83"/>
    <cellStyle name="STYLE1 - Style1" xfId="84"/>
    <cellStyle name="STYLE2 - Style2" xfId="85"/>
    <cellStyle name="STYLE3 - Style3" xfId="86"/>
    <cellStyle name="STYLE4 - Style4" xfId="87"/>
    <cellStyle name="Title" xfId="88" builtinId="15" customBuiltin="1"/>
    <cellStyle name="Total" xfId="89" builtinId="25" customBuiltin="1"/>
    <cellStyle name="UploadThisRowValue" xfId="90"/>
    <cellStyle name="Warning Text" xfId="91" builtinId="11" customBuiltin="1"/>
  </cellStyles>
  <dxfs count="2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VID\PSC\MA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999\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s\LG&amp;E\2008\lge0308re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AppData\Local\Temp\eM%20Client%20temporary%20files\xsfgun54.yeh\KU%20Forecast%20Period%20Jul17-Jun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Plan\Utility%20Plan\Supporting%20Schedules\Gross%20Margin\Gross%20Margin%202006-2008%20Pl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thly%20Reporting\Tax%20Report\LGE\LGELedger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ellarExhibi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e004977\Temporary%20Internet%20Files\OLK2D\Rate%20Case%20LGE%20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==&gt;"/>
      <sheetName val="Sch M-1.1"/>
      <sheetName val="Sch M-1.2"/>
      <sheetName val="Sch M-1.3-pg 14-18"/>
      <sheetName val="Conroy Exhibit P2"/>
      <sheetName val="Yr End Cust Adj"/>
      <sheetName val="Rate Switch"/>
      <sheetName val="Sch M-2.1"/>
      <sheetName val="Sch M-2.2"/>
      <sheetName val="Sch M-2.3 pg 1-2"/>
      <sheetName val="Sch M-1.3-pg2-13"/>
      <sheetName val="Sch M-2.3 pgs 3-15"/>
      <sheetName val="Sch M-2.3.1 pgs 16-20"/>
      <sheetName val="True-ups==&gt;"/>
      <sheetName val="A-F kwh"/>
      <sheetName val="A-F Demand"/>
      <sheetName val="A-F Revenue"/>
      <sheetName val="Sch M-1.3-pg 1"/>
      <sheetName val="Analyses ==&gt;"/>
      <sheetName val="Reconciliation"/>
      <sheetName val="Rate Summary"/>
      <sheetName val="Class Summary"/>
      <sheetName val="ECR Roll In==&gt;"/>
      <sheetName val="Summary"/>
      <sheetName val="Group1"/>
      <sheetName val="Group2"/>
      <sheetName val="ECR Rollin"/>
      <sheetName val="StLtTYRevenueNetOfBaseECR"/>
      <sheetName val="Data==&gt;"/>
      <sheetName val="12MonResults"/>
      <sheetName val="12MonLights"/>
      <sheetName val="FACResults"/>
      <sheetName val="FACLights"/>
      <sheetName val="ECR Adjustments"/>
      <sheetName val="BaseECR"/>
      <sheetName val="BaseECRLights"/>
      <sheetName val="ECRResults"/>
      <sheetName val="ECRLights"/>
      <sheetName val="Sources ==&gt;"/>
      <sheetName val="Rates"/>
      <sheetName val="KY Detail Electric Revenues 2"/>
      <sheetName val="Cal_Energy"/>
      <sheetName val="Billing Demand"/>
      <sheetName val="Customers"/>
      <sheetName val="Rates-Lights"/>
      <sheetName val="12 ME 08.2016 Billed Lights KU"/>
      <sheetName val="1022"/>
      <sheetName val="SBR"/>
      <sheetName val="1055"/>
      <sheetName val="MiscData"/>
      <sheetName val="GranVille"/>
      <sheetName val="KY Detail Electric Revenues"/>
      <sheetName val="Rate Case Constants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4">
          <cell r="C4" t="str">
            <v>GS</v>
          </cell>
        </row>
        <row r="5">
          <cell r="C5" t="str">
            <v>PSP</v>
          </cell>
        </row>
        <row r="6">
          <cell r="C6" t="str">
            <v>PSS</v>
          </cell>
        </row>
        <row r="7">
          <cell r="C7" t="str">
            <v>PSS</v>
          </cell>
        </row>
        <row r="8">
          <cell r="C8" t="str">
            <v>PSP</v>
          </cell>
        </row>
        <row r="9">
          <cell r="C9" t="str">
            <v>PSP</v>
          </cell>
        </row>
        <row r="10">
          <cell r="C10" t="str">
            <v>GS</v>
          </cell>
        </row>
        <row r="11">
          <cell r="C11" t="str">
            <v>RS</v>
          </cell>
        </row>
        <row r="12">
          <cell r="C12" t="str">
            <v>RS</v>
          </cell>
        </row>
        <row r="13">
          <cell r="C13" t="str">
            <v>GS</v>
          </cell>
          <cell r="K13">
            <v>79580535.01830551</v>
          </cell>
        </row>
        <row r="14">
          <cell r="C14" t="str">
            <v>GS</v>
          </cell>
        </row>
        <row r="15">
          <cell r="C15" t="str">
            <v>GS3</v>
          </cell>
          <cell r="K15">
            <v>92981338.809229434</v>
          </cell>
        </row>
        <row r="16">
          <cell r="C16" t="str">
            <v>AES</v>
          </cell>
          <cell r="K16">
            <v>728000</v>
          </cell>
        </row>
        <row r="17">
          <cell r="C17" t="str">
            <v>AES</v>
          </cell>
        </row>
        <row r="18">
          <cell r="C18" t="str">
            <v>AES3</v>
          </cell>
          <cell r="K18">
            <v>14787000</v>
          </cell>
        </row>
        <row r="19">
          <cell r="C19" t="str">
            <v>AES3</v>
          </cell>
        </row>
        <row r="20">
          <cell r="C20" t="str">
            <v>AES3</v>
          </cell>
        </row>
        <row r="21">
          <cell r="C21" t="str">
            <v>AES3</v>
          </cell>
        </row>
        <row r="22">
          <cell r="C22" t="str">
            <v>AES3</v>
          </cell>
        </row>
        <row r="23">
          <cell r="C23" t="str">
            <v>AES</v>
          </cell>
        </row>
        <row r="24">
          <cell r="C24" t="str">
            <v>LE</v>
          </cell>
          <cell r="K24">
            <v>20623.858594947502</v>
          </cell>
        </row>
        <row r="25">
          <cell r="C25" t="str">
            <v>LE</v>
          </cell>
        </row>
        <row r="26">
          <cell r="C26" t="str">
            <v>LE</v>
          </cell>
        </row>
        <row r="27">
          <cell r="C27" t="str">
            <v>TE</v>
          </cell>
          <cell r="K27">
            <v>137015.53325663053</v>
          </cell>
        </row>
        <row r="28">
          <cell r="C28" t="str">
            <v>TE</v>
          </cell>
        </row>
        <row r="29">
          <cell r="C29" t="str">
            <v>TE</v>
          </cell>
        </row>
        <row r="30">
          <cell r="C30" t="str">
            <v>RTS</v>
          </cell>
        </row>
        <row r="31">
          <cell r="C31" t="str">
            <v>PSP</v>
          </cell>
        </row>
        <row r="32">
          <cell r="C32" t="str">
            <v>PSS</v>
          </cell>
          <cell r="K32">
            <v>188646754.93011254</v>
          </cell>
        </row>
        <row r="33">
          <cell r="C33" t="str">
            <v>PSP</v>
          </cell>
        </row>
        <row r="34">
          <cell r="C34" t="str">
            <v>PSS</v>
          </cell>
        </row>
        <row r="35">
          <cell r="C35" t="str">
            <v>TODP</v>
          </cell>
          <cell r="K35">
            <v>328030195.22457445</v>
          </cell>
        </row>
        <row r="36">
          <cell r="C36" t="str">
            <v>TODS</v>
          </cell>
        </row>
        <row r="37">
          <cell r="C37" t="str">
            <v>SQF</v>
          </cell>
        </row>
        <row r="38">
          <cell r="C38" t="str">
            <v>SQF</v>
          </cell>
        </row>
        <row r="39">
          <cell r="C39" t="str">
            <v>LQF</v>
          </cell>
        </row>
        <row r="40">
          <cell r="C40" t="str">
            <v>GS</v>
          </cell>
        </row>
        <row r="41">
          <cell r="C41" t="str">
            <v>GS3</v>
          </cell>
        </row>
        <row r="42">
          <cell r="C42" t="str">
            <v>RS</v>
          </cell>
        </row>
        <row r="43">
          <cell r="C43" t="str">
            <v>RS</v>
          </cell>
        </row>
        <row r="44">
          <cell r="C44" t="str">
            <v>CSR</v>
          </cell>
        </row>
        <row r="45">
          <cell r="C45" t="str">
            <v>CSR</v>
          </cell>
        </row>
        <row r="46">
          <cell r="C46" t="str">
            <v>CSR</v>
          </cell>
        </row>
        <row r="47">
          <cell r="C47" t="str">
            <v>CSR</v>
          </cell>
        </row>
        <row r="48">
          <cell r="C48" t="str">
            <v>CSR</v>
          </cell>
        </row>
        <row r="49">
          <cell r="C49" t="str">
            <v>GS</v>
          </cell>
        </row>
        <row r="50">
          <cell r="C50" t="str">
            <v>GS</v>
          </cell>
        </row>
        <row r="51">
          <cell r="C51" t="str">
            <v>GS</v>
          </cell>
        </row>
        <row r="52">
          <cell r="C52" t="str">
            <v>GS</v>
          </cell>
        </row>
        <row r="53">
          <cell r="C53" t="str">
            <v>GS</v>
          </cell>
        </row>
        <row r="54">
          <cell r="C54" t="str">
            <v>GS</v>
          </cell>
        </row>
        <row r="55">
          <cell r="C55" t="str">
            <v>GS</v>
          </cell>
        </row>
        <row r="56">
          <cell r="C56" t="str">
            <v>GS</v>
          </cell>
        </row>
        <row r="57">
          <cell r="C57" t="str">
            <v>GS</v>
          </cell>
        </row>
        <row r="58">
          <cell r="C58" t="str">
            <v>GS</v>
          </cell>
        </row>
        <row r="59">
          <cell r="C59" t="str">
            <v>GS</v>
          </cell>
        </row>
        <row r="60">
          <cell r="C60" t="str">
            <v>GS3</v>
          </cell>
        </row>
        <row r="61">
          <cell r="C61" t="str">
            <v>GS3</v>
          </cell>
        </row>
        <row r="62">
          <cell r="C62" t="str">
            <v>RTS</v>
          </cell>
        </row>
        <row r="63">
          <cell r="C63" t="str">
            <v>RTS</v>
          </cell>
          <cell r="K63">
            <v>128588318.04509391</v>
          </cell>
        </row>
        <row r="64">
          <cell r="C64" t="str">
            <v>PSP</v>
          </cell>
        </row>
        <row r="65">
          <cell r="C65" t="str">
            <v>PSP</v>
          </cell>
        </row>
        <row r="66">
          <cell r="C66" t="str">
            <v>PSS</v>
          </cell>
        </row>
        <row r="67">
          <cell r="C67" t="str">
            <v>PSS</v>
          </cell>
        </row>
        <row r="68">
          <cell r="C68" t="str">
            <v>PSP</v>
          </cell>
        </row>
        <row r="69">
          <cell r="C69" t="str">
            <v>PSP</v>
          </cell>
        </row>
        <row r="70">
          <cell r="C70" t="str">
            <v>PSS</v>
          </cell>
        </row>
        <row r="71">
          <cell r="C71" t="str">
            <v>PSS</v>
          </cell>
        </row>
        <row r="72">
          <cell r="C72" t="str">
            <v>TODP</v>
          </cell>
        </row>
        <row r="73">
          <cell r="C73" t="str">
            <v>TODP</v>
          </cell>
        </row>
        <row r="74">
          <cell r="C74" t="str">
            <v>TODS</v>
          </cell>
        </row>
        <row r="75">
          <cell r="C75" t="str">
            <v>TODS</v>
          </cell>
        </row>
        <row r="76">
          <cell r="C76" t="str">
            <v>GS3</v>
          </cell>
        </row>
        <row r="77">
          <cell r="C77" t="str">
            <v>GS3</v>
          </cell>
        </row>
        <row r="78">
          <cell r="C78" t="str">
            <v>FLS</v>
          </cell>
          <cell r="K78">
            <v>47150802.677865498</v>
          </cell>
        </row>
        <row r="79">
          <cell r="C79" t="str">
            <v>FLS</v>
          </cell>
        </row>
        <row r="85">
          <cell r="C85" t="str">
            <v>RS</v>
          </cell>
        </row>
        <row r="86">
          <cell r="C86" t="str">
            <v>RS</v>
          </cell>
          <cell r="K86">
            <v>736904932.73229086</v>
          </cell>
        </row>
        <row r="87">
          <cell r="C87" t="str">
            <v>RS</v>
          </cell>
        </row>
        <row r="88">
          <cell r="C88" t="str">
            <v>RS</v>
          </cell>
        </row>
        <row r="89">
          <cell r="C89" t="str">
            <v>RTOD-E</v>
          </cell>
          <cell r="K89">
            <v>41632.050309773404</v>
          </cell>
        </row>
        <row r="90">
          <cell r="C90" t="str">
            <v>RTOD-D</v>
          </cell>
        </row>
        <row r="91">
          <cell r="C91" t="str">
            <v>RS</v>
          </cell>
        </row>
        <row r="92">
          <cell r="C92" t="str">
            <v>RS</v>
          </cell>
        </row>
        <row r="93">
          <cell r="C93" t="str">
            <v>RS</v>
          </cell>
        </row>
        <row r="94">
          <cell r="C94" t="str">
            <v>RS</v>
          </cell>
        </row>
        <row r="95">
          <cell r="C95" t="str">
            <v>RTS</v>
          </cell>
        </row>
        <row r="96">
          <cell r="C96" t="str">
            <v>PSP</v>
          </cell>
          <cell r="K96">
            <v>13527018.359776281</v>
          </cell>
        </row>
        <row r="97">
          <cell r="C97" t="str">
            <v>PSS</v>
          </cell>
        </row>
        <row r="98">
          <cell r="C98" t="str">
            <v>TODP</v>
          </cell>
        </row>
        <row r="99">
          <cell r="C99" t="str">
            <v>PSP</v>
          </cell>
        </row>
        <row r="100">
          <cell r="C100" t="str">
            <v>PSS</v>
          </cell>
        </row>
        <row r="101">
          <cell r="C101" t="str">
            <v>TODP</v>
          </cell>
        </row>
        <row r="102">
          <cell r="C102" t="str">
            <v>TODS</v>
          </cell>
          <cell r="K102">
            <v>134464604.23249334</v>
          </cell>
        </row>
        <row r="103">
          <cell r="C103" t="str">
            <v>TOD</v>
          </cell>
        </row>
        <row r="104">
          <cell r="C104" t="str">
            <v>MPT</v>
          </cell>
        </row>
        <row r="105">
          <cell r="C105" t="str">
            <v>MPP</v>
          </cell>
        </row>
        <row r="106">
          <cell r="C106" t="str">
            <v>LTOD</v>
          </cell>
        </row>
        <row r="107">
          <cell r="C107" t="str">
            <v>LTOD</v>
          </cell>
        </row>
        <row r="108">
          <cell r="C108" t="str">
            <v>MPP PF</v>
          </cell>
        </row>
        <row r="109">
          <cell r="C109" t="str">
            <v>MPT PF</v>
          </cell>
        </row>
        <row r="110">
          <cell r="C110" t="str">
            <v>LEV</v>
          </cell>
        </row>
        <row r="111">
          <cell r="C111" t="str">
            <v>GS</v>
          </cell>
        </row>
        <row r="112">
          <cell r="C112" t="str">
            <v>GS</v>
          </cell>
        </row>
        <row r="113">
          <cell r="C113" t="str">
            <v>GS3</v>
          </cell>
        </row>
        <row r="114">
          <cell r="C114" t="str">
            <v>GS3</v>
          </cell>
        </row>
        <row r="115">
          <cell r="C115" t="str">
            <v>LEV</v>
          </cell>
        </row>
        <row r="116">
          <cell r="C116" t="str">
            <v>CSR</v>
          </cell>
        </row>
        <row r="117">
          <cell r="C117" t="str">
            <v>CSR</v>
          </cell>
        </row>
        <row r="118">
          <cell r="C118" t="str">
            <v>CSR</v>
          </cell>
        </row>
        <row r="119">
          <cell r="C119" t="str">
            <v>CSR</v>
          </cell>
        </row>
        <row r="120">
          <cell r="C120" t="str">
            <v>CSR</v>
          </cell>
        </row>
        <row r="121">
          <cell r="C121" t="str">
            <v>CSR</v>
          </cell>
        </row>
        <row r="122">
          <cell r="C122" t="str">
            <v>CSR</v>
          </cell>
        </row>
        <row r="123">
          <cell r="C123" t="str">
            <v>CSR</v>
          </cell>
        </row>
        <row r="124">
          <cell r="C124" t="str">
            <v>LEV</v>
          </cell>
        </row>
        <row r="125">
          <cell r="C125" t="str">
            <v>LEV</v>
          </cell>
        </row>
        <row r="126">
          <cell r="C126" t="str">
            <v>GS</v>
          </cell>
        </row>
        <row r="127">
          <cell r="C127" t="str">
            <v>PSP</v>
          </cell>
        </row>
        <row r="128">
          <cell r="C128" t="str">
            <v>PSS</v>
          </cell>
        </row>
        <row r="129">
          <cell r="C129" t="str">
            <v>PSS</v>
          </cell>
        </row>
        <row r="130">
          <cell r="C130" t="str">
            <v>PSP</v>
          </cell>
        </row>
        <row r="131">
          <cell r="C131" t="str">
            <v>PSP</v>
          </cell>
        </row>
        <row r="132">
          <cell r="C132" t="str">
            <v>GS</v>
          </cell>
        </row>
        <row r="133">
          <cell r="C133" t="str">
            <v>RS</v>
          </cell>
        </row>
        <row r="134">
          <cell r="C134" t="str">
            <v>RS</v>
          </cell>
        </row>
        <row r="135">
          <cell r="C135" t="str">
            <v>GS</v>
          </cell>
          <cell r="K135">
            <v>70635217.661141485</v>
          </cell>
        </row>
        <row r="136">
          <cell r="C136" t="str">
            <v>GS</v>
          </cell>
        </row>
        <row r="137">
          <cell r="C137" t="str">
            <v>GS3</v>
          </cell>
          <cell r="K137">
            <v>81104470.031557083</v>
          </cell>
        </row>
        <row r="138">
          <cell r="C138" t="str">
            <v>AES</v>
          </cell>
          <cell r="K138">
            <v>677000</v>
          </cell>
        </row>
        <row r="139">
          <cell r="C139" t="str">
            <v>AES</v>
          </cell>
        </row>
        <row r="140">
          <cell r="C140" t="str">
            <v>AES3</v>
          </cell>
          <cell r="K140">
            <v>13760000</v>
          </cell>
        </row>
        <row r="141">
          <cell r="C141" t="str">
            <v>AES3</v>
          </cell>
        </row>
        <row r="142">
          <cell r="C142" t="str">
            <v>AES3</v>
          </cell>
        </row>
        <row r="143">
          <cell r="C143" t="str">
            <v>AES3</v>
          </cell>
        </row>
        <row r="144">
          <cell r="C144" t="str">
            <v>AES3</v>
          </cell>
        </row>
        <row r="145">
          <cell r="C145" t="str">
            <v>AES</v>
          </cell>
        </row>
        <row r="146">
          <cell r="C146" t="str">
            <v>LE</v>
          </cell>
          <cell r="K146">
            <v>18323.98268499643</v>
          </cell>
        </row>
        <row r="147">
          <cell r="C147" t="str">
            <v>LE</v>
          </cell>
        </row>
        <row r="148">
          <cell r="C148" t="str">
            <v>LE</v>
          </cell>
        </row>
        <row r="149">
          <cell r="C149" t="str">
            <v>TE</v>
          </cell>
          <cell r="K149">
            <v>125421.64109458604</v>
          </cell>
        </row>
        <row r="150">
          <cell r="C150" t="str">
            <v>TE</v>
          </cell>
        </row>
        <row r="151">
          <cell r="C151" t="str">
            <v>TE</v>
          </cell>
        </row>
        <row r="152">
          <cell r="C152" t="str">
            <v>RTS</v>
          </cell>
        </row>
        <row r="153">
          <cell r="C153" t="str">
            <v>PSP</v>
          </cell>
        </row>
        <row r="154">
          <cell r="C154" t="str">
            <v>PSS</v>
          </cell>
          <cell r="K154">
            <v>167134642.33827847</v>
          </cell>
        </row>
        <row r="155">
          <cell r="C155" t="str">
            <v>PSP</v>
          </cell>
        </row>
        <row r="156">
          <cell r="C156" t="str">
            <v>PSS</v>
          </cell>
        </row>
        <row r="157">
          <cell r="C157" t="str">
            <v>TODP</v>
          </cell>
          <cell r="K157">
            <v>315064916.82046193</v>
          </cell>
        </row>
        <row r="158">
          <cell r="C158" t="str">
            <v>TODS</v>
          </cell>
        </row>
        <row r="159">
          <cell r="C159" t="str">
            <v>SQF</v>
          </cell>
        </row>
        <row r="160">
          <cell r="C160" t="str">
            <v>SQF</v>
          </cell>
        </row>
        <row r="161">
          <cell r="C161" t="str">
            <v>LQF</v>
          </cell>
        </row>
        <row r="162">
          <cell r="C162" t="str">
            <v>GS</v>
          </cell>
        </row>
        <row r="163">
          <cell r="C163" t="str">
            <v>GS3</v>
          </cell>
        </row>
        <row r="164">
          <cell r="C164" t="str">
            <v>RS</v>
          </cell>
        </row>
        <row r="165">
          <cell r="C165" t="str">
            <v>RS</v>
          </cell>
        </row>
        <row r="166">
          <cell r="C166" t="str">
            <v>CSR</v>
          </cell>
        </row>
        <row r="167">
          <cell r="C167" t="str">
            <v>CSR</v>
          </cell>
        </row>
        <row r="168">
          <cell r="C168" t="str">
            <v>CSR</v>
          </cell>
        </row>
        <row r="169">
          <cell r="C169" t="str">
            <v>CSR</v>
          </cell>
        </row>
        <row r="170">
          <cell r="C170" t="str">
            <v>CSR</v>
          </cell>
        </row>
        <row r="171">
          <cell r="C171" t="str">
            <v>GS</v>
          </cell>
        </row>
        <row r="172">
          <cell r="C172" t="str">
            <v>GS</v>
          </cell>
        </row>
        <row r="173">
          <cell r="C173" t="str">
            <v>GS</v>
          </cell>
        </row>
        <row r="174">
          <cell r="C174" t="str">
            <v>GS</v>
          </cell>
        </row>
        <row r="175">
          <cell r="C175" t="str">
            <v>GS</v>
          </cell>
        </row>
        <row r="176">
          <cell r="C176" t="str">
            <v>GS</v>
          </cell>
        </row>
        <row r="177">
          <cell r="C177" t="str">
            <v>GS</v>
          </cell>
        </row>
        <row r="178">
          <cell r="C178" t="str">
            <v>GS</v>
          </cell>
        </row>
        <row r="179">
          <cell r="C179" t="str">
            <v>GS</v>
          </cell>
        </row>
        <row r="180">
          <cell r="C180" t="str">
            <v>GS</v>
          </cell>
        </row>
        <row r="181">
          <cell r="C181" t="str">
            <v>GS</v>
          </cell>
        </row>
        <row r="182">
          <cell r="C182" t="str">
            <v>GS3</v>
          </cell>
        </row>
        <row r="183">
          <cell r="C183" t="str">
            <v>GS3</v>
          </cell>
        </row>
        <row r="184">
          <cell r="C184" t="str">
            <v>RTS</v>
          </cell>
        </row>
        <row r="185">
          <cell r="C185" t="str">
            <v>RTS</v>
          </cell>
          <cell r="K185">
            <v>121343183.00875309</v>
          </cell>
        </row>
        <row r="186">
          <cell r="C186" t="str">
            <v>PSP</v>
          </cell>
        </row>
        <row r="187">
          <cell r="C187" t="str">
            <v>PSP</v>
          </cell>
        </row>
        <row r="188">
          <cell r="C188" t="str">
            <v>PSS</v>
          </cell>
        </row>
        <row r="189">
          <cell r="C189" t="str">
            <v>PSS</v>
          </cell>
        </row>
        <row r="190">
          <cell r="C190" t="str">
            <v>PSP</v>
          </cell>
        </row>
        <row r="191">
          <cell r="C191" t="str">
            <v>PSP</v>
          </cell>
        </row>
        <row r="192">
          <cell r="C192" t="str">
            <v>PSS</v>
          </cell>
        </row>
        <row r="193">
          <cell r="C193" t="str">
            <v>PSS</v>
          </cell>
        </row>
        <row r="194">
          <cell r="C194" t="str">
            <v>TODP</v>
          </cell>
        </row>
        <row r="195">
          <cell r="C195" t="str">
            <v>TODP</v>
          </cell>
        </row>
        <row r="196">
          <cell r="C196" t="str">
            <v>TODS</v>
          </cell>
        </row>
        <row r="197">
          <cell r="C197" t="str">
            <v>TODS</v>
          </cell>
        </row>
        <row r="198">
          <cell r="C198" t="str">
            <v>GS3</v>
          </cell>
        </row>
        <row r="199">
          <cell r="C199" t="str">
            <v>GS3</v>
          </cell>
        </row>
        <row r="200">
          <cell r="C200" t="str">
            <v>FLS</v>
          </cell>
          <cell r="K200">
            <v>44267468.936801001</v>
          </cell>
        </row>
        <row r="201">
          <cell r="C201" t="str">
            <v>FLS</v>
          </cell>
        </row>
        <row r="207">
          <cell r="C207" t="str">
            <v>RS</v>
          </cell>
        </row>
        <row r="208">
          <cell r="C208" t="str">
            <v>RS</v>
          </cell>
          <cell r="K208">
            <v>608819914.74919307</v>
          </cell>
        </row>
        <row r="209">
          <cell r="C209" t="str">
            <v>RS</v>
          </cell>
        </row>
        <row r="210">
          <cell r="C210" t="str">
            <v>RS</v>
          </cell>
        </row>
        <row r="211">
          <cell r="C211" t="str">
            <v>RTOD-E</v>
          </cell>
          <cell r="K211">
            <v>35243.998239997461</v>
          </cell>
        </row>
        <row r="212">
          <cell r="C212" t="str">
            <v>RTOD-D</v>
          </cell>
        </row>
        <row r="213">
          <cell r="C213" t="str">
            <v>RS</v>
          </cell>
        </row>
        <row r="214">
          <cell r="C214" t="str">
            <v>RS</v>
          </cell>
        </row>
        <row r="215">
          <cell r="C215" t="str">
            <v>RS</v>
          </cell>
        </row>
        <row r="216">
          <cell r="C216" t="str">
            <v>RS</v>
          </cell>
        </row>
        <row r="217">
          <cell r="C217" t="str">
            <v>RTS</v>
          </cell>
        </row>
        <row r="218">
          <cell r="C218" t="str">
            <v>PSP</v>
          </cell>
          <cell r="K218">
            <v>12992367.703936562</v>
          </cell>
        </row>
        <row r="219">
          <cell r="C219" t="str">
            <v>PSS</v>
          </cell>
        </row>
        <row r="220">
          <cell r="C220" t="str">
            <v>TODP</v>
          </cell>
        </row>
        <row r="221">
          <cell r="C221" t="str">
            <v>PSP</v>
          </cell>
        </row>
        <row r="222">
          <cell r="C222" t="str">
            <v>PSS</v>
          </cell>
        </row>
        <row r="223">
          <cell r="C223" t="str">
            <v>TODP</v>
          </cell>
        </row>
        <row r="224">
          <cell r="C224" t="str">
            <v>TODS</v>
          </cell>
          <cell r="K224">
            <v>127981543.4462775</v>
          </cell>
        </row>
        <row r="225">
          <cell r="C225" t="str">
            <v>TOD</v>
          </cell>
        </row>
        <row r="226">
          <cell r="C226" t="str">
            <v>MPT</v>
          </cell>
        </row>
        <row r="227">
          <cell r="C227" t="str">
            <v>MPP</v>
          </cell>
        </row>
        <row r="228">
          <cell r="C228" t="str">
            <v>LTOD</v>
          </cell>
        </row>
        <row r="229">
          <cell r="C229" t="str">
            <v>LTOD</v>
          </cell>
        </row>
        <row r="230">
          <cell r="C230" t="str">
            <v>MPP PF</v>
          </cell>
        </row>
        <row r="231">
          <cell r="C231" t="str">
            <v>MPT PF</v>
          </cell>
        </row>
        <row r="232">
          <cell r="C232" t="str">
            <v>LEV</v>
          </cell>
        </row>
        <row r="233">
          <cell r="C233" t="str">
            <v>GS</v>
          </cell>
        </row>
        <row r="234">
          <cell r="C234" t="str">
            <v>GS</v>
          </cell>
        </row>
        <row r="235">
          <cell r="C235" t="str">
            <v>GS3</v>
          </cell>
        </row>
        <row r="236">
          <cell r="C236" t="str">
            <v>GS3</v>
          </cell>
        </row>
        <row r="237">
          <cell r="C237" t="str">
            <v>LEV</v>
          </cell>
        </row>
        <row r="238">
          <cell r="C238" t="str">
            <v>CSR</v>
          </cell>
        </row>
        <row r="239">
          <cell r="C239" t="str">
            <v>CSR</v>
          </cell>
        </row>
        <row r="240">
          <cell r="C240" t="str">
            <v>CSR</v>
          </cell>
        </row>
        <row r="241">
          <cell r="C241" t="str">
            <v>CSR</v>
          </cell>
        </row>
        <row r="242">
          <cell r="C242" t="str">
            <v>CSR</v>
          </cell>
        </row>
        <row r="243">
          <cell r="C243" t="str">
            <v>CSR</v>
          </cell>
        </row>
        <row r="244">
          <cell r="C244" t="str">
            <v>CSR</v>
          </cell>
        </row>
        <row r="245">
          <cell r="C245" t="str">
            <v>CSR</v>
          </cell>
        </row>
        <row r="246">
          <cell r="C246" t="str">
            <v>LEV</v>
          </cell>
        </row>
        <row r="247">
          <cell r="C247" t="str">
            <v>LEV</v>
          </cell>
        </row>
        <row r="248">
          <cell r="C248" t="str">
            <v>GS</v>
          </cell>
        </row>
        <row r="249">
          <cell r="C249" t="str">
            <v>PSP</v>
          </cell>
        </row>
        <row r="250">
          <cell r="C250" t="str">
            <v>PSS</v>
          </cell>
        </row>
        <row r="251">
          <cell r="C251" t="str">
            <v>PSS</v>
          </cell>
        </row>
        <row r="252">
          <cell r="C252" t="str">
            <v>PSP</v>
          </cell>
        </row>
        <row r="253">
          <cell r="C253" t="str">
            <v>PSP</v>
          </cell>
        </row>
        <row r="254">
          <cell r="C254" t="str">
            <v>GS</v>
          </cell>
        </row>
        <row r="255">
          <cell r="C255" t="str">
            <v>RS</v>
          </cell>
        </row>
        <row r="256">
          <cell r="C256" t="str">
            <v>RS</v>
          </cell>
        </row>
        <row r="257">
          <cell r="C257" t="str">
            <v>GS</v>
          </cell>
          <cell r="K257">
            <v>64343601.855323754</v>
          </cell>
        </row>
        <row r="258">
          <cell r="C258" t="str">
            <v>GS</v>
          </cell>
        </row>
        <row r="259">
          <cell r="C259" t="str">
            <v>GS3</v>
          </cell>
          <cell r="K259">
            <v>76016984.558436885</v>
          </cell>
        </row>
        <row r="260">
          <cell r="C260" t="str">
            <v>AES</v>
          </cell>
          <cell r="K260">
            <v>630000</v>
          </cell>
        </row>
        <row r="261">
          <cell r="C261" t="str">
            <v>AES</v>
          </cell>
        </row>
        <row r="262">
          <cell r="C262" t="str">
            <v>AES3</v>
          </cell>
          <cell r="K262">
            <v>12799000</v>
          </cell>
        </row>
        <row r="263">
          <cell r="C263" t="str">
            <v>AES3</v>
          </cell>
        </row>
        <row r="264">
          <cell r="C264" t="str">
            <v>AES3</v>
          </cell>
        </row>
        <row r="265">
          <cell r="C265" t="str">
            <v>AES3</v>
          </cell>
        </row>
        <row r="266">
          <cell r="C266" t="str">
            <v>AES3</v>
          </cell>
        </row>
        <row r="267">
          <cell r="C267" t="str">
            <v>AES</v>
          </cell>
        </row>
        <row r="268">
          <cell r="C268" t="str">
            <v>LE</v>
          </cell>
          <cell r="K268">
            <v>44330.254439454424</v>
          </cell>
        </row>
        <row r="269">
          <cell r="C269" t="str">
            <v>LE</v>
          </cell>
        </row>
        <row r="270">
          <cell r="C270" t="str">
            <v>LE</v>
          </cell>
        </row>
        <row r="271">
          <cell r="C271" t="str">
            <v>TE</v>
          </cell>
          <cell r="K271">
            <v>119881.59547011479</v>
          </cell>
        </row>
        <row r="272">
          <cell r="C272" t="str">
            <v>TE</v>
          </cell>
        </row>
        <row r="273">
          <cell r="C273" t="str">
            <v>TE</v>
          </cell>
        </row>
        <row r="274">
          <cell r="C274" t="str">
            <v>RTS</v>
          </cell>
        </row>
        <row r="275">
          <cell r="C275" t="str">
            <v>PSP</v>
          </cell>
        </row>
        <row r="276">
          <cell r="C276" t="str">
            <v>PSS</v>
          </cell>
          <cell r="K276">
            <v>160672594.44158393</v>
          </cell>
        </row>
        <row r="277">
          <cell r="C277" t="str">
            <v>PSP</v>
          </cell>
        </row>
        <row r="278">
          <cell r="C278" t="str">
            <v>PSS</v>
          </cell>
        </row>
        <row r="279">
          <cell r="C279" t="str">
            <v>TODP</v>
          </cell>
          <cell r="K279">
            <v>313471868.05076802</v>
          </cell>
        </row>
        <row r="280">
          <cell r="C280" t="str">
            <v>TODS</v>
          </cell>
        </row>
        <row r="281">
          <cell r="C281" t="str">
            <v>SQF</v>
          </cell>
        </row>
        <row r="282">
          <cell r="C282" t="str">
            <v>SQF</v>
          </cell>
        </row>
        <row r="283">
          <cell r="C283" t="str">
            <v>LQF</v>
          </cell>
        </row>
        <row r="284">
          <cell r="C284" t="str">
            <v>GS</v>
          </cell>
        </row>
        <row r="285">
          <cell r="C285" t="str">
            <v>GS3</v>
          </cell>
        </row>
        <row r="286">
          <cell r="C286" t="str">
            <v>RS</v>
          </cell>
        </row>
        <row r="287">
          <cell r="C287" t="str">
            <v>RS</v>
          </cell>
        </row>
        <row r="288">
          <cell r="C288" t="str">
            <v>CSR</v>
          </cell>
        </row>
        <row r="289">
          <cell r="C289" t="str">
            <v>CSR</v>
          </cell>
        </row>
        <row r="290">
          <cell r="C290" t="str">
            <v>CSR</v>
          </cell>
        </row>
        <row r="291">
          <cell r="C291" t="str">
            <v>CSR</v>
          </cell>
        </row>
        <row r="292">
          <cell r="C292" t="str">
            <v>CSR</v>
          </cell>
        </row>
        <row r="293">
          <cell r="C293" t="str">
            <v>GS</v>
          </cell>
        </row>
        <row r="294">
          <cell r="C294" t="str">
            <v>GS</v>
          </cell>
        </row>
        <row r="295">
          <cell r="C295" t="str">
            <v>GS</v>
          </cell>
        </row>
        <row r="296">
          <cell r="C296" t="str">
            <v>GS</v>
          </cell>
        </row>
        <row r="297">
          <cell r="C297" t="str">
            <v>GS</v>
          </cell>
        </row>
        <row r="298">
          <cell r="C298" t="str">
            <v>GS</v>
          </cell>
        </row>
        <row r="299">
          <cell r="C299" t="str">
            <v>GS</v>
          </cell>
        </row>
        <row r="300">
          <cell r="C300" t="str">
            <v>GS</v>
          </cell>
        </row>
        <row r="301">
          <cell r="C301" t="str">
            <v>GS</v>
          </cell>
        </row>
        <row r="302">
          <cell r="C302" t="str">
            <v>GS</v>
          </cell>
        </row>
        <row r="303">
          <cell r="C303" t="str">
            <v>GS</v>
          </cell>
        </row>
        <row r="304">
          <cell r="C304" t="str">
            <v>GS3</v>
          </cell>
        </row>
        <row r="305">
          <cell r="C305" t="str">
            <v>GS3</v>
          </cell>
        </row>
        <row r="306">
          <cell r="C306" t="str">
            <v>RTS</v>
          </cell>
        </row>
        <row r="307">
          <cell r="C307" t="str">
            <v>RTS</v>
          </cell>
          <cell r="K307">
            <v>121011121.1262189</v>
          </cell>
        </row>
        <row r="308">
          <cell r="C308" t="str">
            <v>PSP</v>
          </cell>
        </row>
        <row r="309">
          <cell r="C309" t="str">
            <v>PSP</v>
          </cell>
        </row>
        <row r="310">
          <cell r="C310" t="str">
            <v>PSS</v>
          </cell>
        </row>
        <row r="311">
          <cell r="C311" t="str">
            <v>PSS</v>
          </cell>
        </row>
        <row r="312">
          <cell r="C312" t="str">
            <v>PSP</v>
          </cell>
        </row>
        <row r="313">
          <cell r="C313" t="str">
            <v>PSP</v>
          </cell>
        </row>
        <row r="314">
          <cell r="C314" t="str">
            <v>PSS</v>
          </cell>
        </row>
        <row r="315">
          <cell r="C315" t="str">
            <v>PSS</v>
          </cell>
        </row>
        <row r="316">
          <cell r="C316" t="str">
            <v>TODP</v>
          </cell>
        </row>
        <row r="317">
          <cell r="C317" t="str">
            <v>TODP</v>
          </cell>
        </row>
        <row r="318">
          <cell r="C318" t="str">
            <v>TODS</v>
          </cell>
        </row>
        <row r="319">
          <cell r="C319" t="str">
            <v>TODS</v>
          </cell>
        </row>
        <row r="320">
          <cell r="C320" t="str">
            <v>GS3</v>
          </cell>
        </row>
        <row r="321">
          <cell r="C321" t="str">
            <v>GS3</v>
          </cell>
        </row>
        <row r="322">
          <cell r="C322" t="str">
            <v>FLS</v>
          </cell>
          <cell r="K322">
            <v>47487680.049483702</v>
          </cell>
        </row>
        <row r="323">
          <cell r="C323" t="str">
            <v>FLS</v>
          </cell>
        </row>
        <row r="329">
          <cell r="C329" t="str">
            <v>RS</v>
          </cell>
        </row>
        <row r="330">
          <cell r="C330" t="str">
            <v>RS</v>
          </cell>
          <cell r="K330">
            <v>532467112.11362398</v>
          </cell>
        </row>
        <row r="331">
          <cell r="C331" t="str">
            <v>RS</v>
          </cell>
        </row>
        <row r="332">
          <cell r="C332" t="str">
            <v>RS</v>
          </cell>
        </row>
        <row r="333">
          <cell r="C333" t="str">
            <v>RTOD-E</v>
          </cell>
          <cell r="K333">
            <v>31511.213390159683</v>
          </cell>
        </row>
        <row r="334">
          <cell r="C334" t="str">
            <v>RTOD-D</v>
          </cell>
        </row>
        <row r="335">
          <cell r="C335" t="str">
            <v>RS</v>
          </cell>
        </row>
        <row r="336">
          <cell r="C336" t="str">
            <v>RS</v>
          </cell>
        </row>
        <row r="337">
          <cell r="C337" t="str">
            <v>RS</v>
          </cell>
        </row>
        <row r="338">
          <cell r="C338" t="str">
            <v>RS</v>
          </cell>
        </row>
        <row r="339">
          <cell r="C339" t="str">
            <v>RTS</v>
          </cell>
        </row>
        <row r="340">
          <cell r="C340" t="str">
            <v>PSP</v>
          </cell>
          <cell r="K340">
            <v>12926674.971165713</v>
          </cell>
        </row>
        <row r="341">
          <cell r="C341" t="str">
            <v>PSS</v>
          </cell>
        </row>
        <row r="342">
          <cell r="C342" t="str">
            <v>TODP</v>
          </cell>
        </row>
        <row r="343">
          <cell r="C343" t="str">
            <v>PSP</v>
          </cell>
        </row>
        <row r="344">
          <cell r="C344" t="str">
            <v>PSS</v>
          </cell>
        </row>
        <row r="345">
          <cell r="C345" t="str">
            <v>TODP</v>
          </cell>
        </row>
        <row r="346">
          <cell r="C346" t="str">
            <v>TODS</v>
          </cell>
          <cell r="K346">
            <v>126819256.92690147</v>
          </cell>
        </row>
        <row r="347">
          <cell r="C347" t="str">
            <v>TOD</v>
          </cell>
        </row>
        <row r="348">
          <cell r="C348" t="str">
            <v>MPT</v>
          </cell>
        </row>
        <row r="349">
          <cell r="C349" t="str">
            <v>MPP</v>
          </cell>
        </row>
        <row r="350">
          <cell r="C350" t="str">
            <v>LTOD</v>
          </cell>
        </row>
        <row r="351">
          <cell r="C351" t="str">
            <v>LTOD</v>
          </cell>
        </row>
        <row r="352">
          <cell r="C352" t="str">
            <v>MPP PF</v>
          </cell>
        </row>
        <row r="353">
          <cell r="C353" t="str">
            <v>MPT PF</v>
          </cell>
        </row>
        <row r="354">
          <cell r="C354" t="str">
            <v>LEV</v>
          </cell>
        </row>
        <row r="355">
          <cell r="C355" t="str">
            <v>GS</v>
          </cell>
        </row>
        <row r="356">
          <cell r="C356" t="str">
            <v>GS</v>
          </cell>
        </row>
        <row r="357">
          <cell r="C357" t="str">
            <v>GS3</v>
          </cell>
        </row>
        <row r="358">
          <cell r="C358" t="str">
            <v>GS3</v>
          </cell>
        </row>
        <row r="359">
          <cell r="C359" t="str">
            <v>LEV</v>
          </cell>
        </row>
        <row r="360">
          <cell r="C360" t="str">
            <v>CSR</v>
          </cell>
        </row>
        <row r="361">
          <cell r="C361" t="str">
            <v>CSR</v>
          </cell>
        </row>
        <row r="362">
          <cell r="C362" t="str">
            <v>CSR</v>
          </cell>
        </row>
        <row r="363">
          <cell r="C363" t="str">
            <v>CSR</v>
          </cell>
        </row>
        <row r="364">
          <cell r="C364" t="str">
            <v>CSR</v>
          </cell>
        </row>
        <row r="365">
          <cell r="C365" t="str">
            <v>CSR</v>
          </cell>
        </row>
        <row r="366">
          <cell r="C366" t="str">
            <v>CSR</v>
          </cell>
        </row>
        <row r="367">
          <cell r="C367" t="str">
            <v>CSR</v>
          </cell>
        </row>
        <row r="368">
          <cell r="C368" t="str">
            <v>LEV</v>
          </cell>
        </row>
        <row r="369">
          <cell r="C369" t="str">
            <v>LEV</v>
          </cell>
        </row>
        <row r="370">
          <cell r="C370" t="str">
            <v>GS</v>
          </cell>
        </row>
        <row r="371">
          <cell r="C371" t="str">
            <v>PSP</v>
          </cell>
        </row>
        <row r="372">
          <cell r="C372" t="str">
            <v>PSS</v>
          </cell>
        </row>
        <row r="373">
          <cell r="C373" t="str">
            <v>PSS</v>
          </cell>
        </row>
        <row r="374">
          <cell r="C374" t="str">
            <v>PSP</v>
          </cell>
        </row>
        <row r="375">
          <cell r="C375" t="str">
            <v>PSP</v>
          </cell>
        </row>
        <row r="376">
          <cell r="C376" t="str">
            <v>GS</v>
          </cell>
        </row>
        <row r="377">
          <cell r="C377" t="str">
            <v>RS</v>
          </cell>
        </row>
        <row r="378">
          <cell r="C378" t="str">
            <v>RS</v>
          </cell>
        </row>
        <row r="379">
          <cell r="C379" t="str">
            <v>GS</v>
          </cell>
          <cell r="K379">
            <v>52960713.851201646</v>
          </cell>
        </row>
        <row r="380">
          <cell r="C380" t="str">
            <v>GS</v>
          </cell>
        </row>
        <row r="381">
          <cell r="C381" t="str">
            <v>GS3</v>
          </cell>
          <cell r="K381">
            <v>70799801.654426351</v>
          </cell>
        </row>
        <row r="382">
          <cell r="C382" t="str">
            <v>AES</v>
          </cell>
          <cell r="K382">
            <v>551000</v>
          </cell>
        </row>
        <row r="383">
          <cell r="C383" t="str">
            <v>AES</v>
          </cell>
        </row>
        <row r="384">
          <cell r="C384" t="str">
            <v>AES3</v>
          </cell>
          <cell r="K384">
            <v>11204000</v>
          </cell>
        </row>
        <row r="385">
          <cell r="C385" t="str">
            <v>AES3</v>
          </cell>
        </row>
        <row r="386">
          <cell r="C386" t="str">
            <v>AES3</v>
          </cell>
        </row>
        <row r="387">
          <cell r="C387" t="str">
            <v>AES3</v>
          </cell>
        </row>
        <row r="388">
          <cell r="C388" t="str">
            <v>AES3</v>
          </cell>
        </row>
        <row r="389">
          <cell r="C389" t="str">
            <v>AES</v>
          </cell>
        </row>
        <row r="390">
          <cell r="C390" t="str">
            <v>LE</v>
          </cell>
          <cell r="K390">
            <v>37456.172350536974</v>
          </cell>
        </row>
        <row r="391">
          <cell r="C391" t="str">
            <v>LE</v>
          </cell>
        </row>
        <row r="392">
          <cell r="C392" t="str">
            <v>LE</v>
          </cell>
        </row>
        <row r="393">
          <cell r="C393" t="str">
            <v>TE</v>
          </cell>
          <cell r="K393">
            <v>112784.33727769413</v>
          </cell>
        </row>
        <row r="394">
          <cell r="C394" t="str">
            <v>TE</v>
          </cell>
        </row>
        <row r="395">
          <cell r="C395" t="str">
            <v>TE</v>
          </cell>
        </row>
        <row r="396">
          <cell r="C396" t="str">
            <v>RTS</v>
          </cell>
        </row>
        <row r="397">
          <cell r="C397" t="str">
            <v>PSP</v>
          </cell>
        </row>
        <row r="398">
          <cell r="C398" t="str">
            <v>PSS</v>
          </cell>
          <cell r="K398">
            <v>143676479.04327977</v>
          </cell>
        </row>
        <row r="399">
          <cell r="C399" t="str">
            <v>PSP</v>
          </cell>
        </row>
        <row r="400">
          <cell r="C400" t="str">
            <v>PSS</v>
          </cell>
        </row>
        <row r="401">
          <cell r="C401" t="str">
            <v>TODP</v>
          </cell>
          <cell r="K401">
            <v>312658487.11057991</v>
          </cell>
        </row>
        <row r="402">
          <cell r="C402" t="str">
            <v>TODS</v>
          </cell>
        </row>
        <row r="403">
          <cell r="C403" t="str">
            <v>SQF</v>
          </cell>
        </row>
        <row r="404">
          <cell r="C404" t="str">
            <v>SQF</v>
          </cell>
        </row>
        <row r="405">
          <cell r="C405" t="str">
            <v>LQF</v>
          </cell>
        </row>
        <row r="406">
          <cell r="C406" t="str">
            <v>GS</v>
          </cell>
        </row>
        <row r="407">
          <cell r="C407" t="str">
            <v>GS3</v>
          </cell>
        </row>
        <row r="408">
          <cell r="C408" t="str">
            <v>RS</v>
          </cell>
        </row>
        <row r="409">
          <cell r="C409" t="str">
            <v>RS</v>
          </cell>
        </row>
        <row r="410">
          <cell r="C410" t="str">
            <v>CSR</v>
          </cell>
        </row>
        <row r="411">
          <cell r="C411" t="str">
            <v>CSR</v>
          </cell>
        </row>
        <row r="412">
          <cell r="C412" t="str">
            <v>CSR</v>
          </cell>
        </row>
        <row r="413">
          <cell r="C413" t="str">
            <v>CSR</v>
          </cell>
        </row>
        <row r="414">
          <cell r="C414" t="str">
            <v>CSR</v>
          </cell>
        </row>
        <row r="415">
          <cell r="C415" t="str">
            <v>GS</v>
          </cell>
        </row>
        <row r="416">
          <cell r="C416" t="str">
            <v>GS</v>
          </cell>
        </row>
        <row r="417">
          <cell r="C417" t="str">
            <v>GS</v>
          </cell>
        </row>
        <row r="418">
          <cell r="C418" t="str">
            <v>GS</v>
          </cell>
        </row>
        <row r="419">
          <cell r="C419" t="str">
            <v>GS</v>
          </cell>
        </row>
        <row r="420">
          <cell r="C420" t="str">
            <v>GS</v>
          </cell>
        </row>
        <row r="421">
          <cell r="C421" t="str">
            <v>GS</v>
          </cell>
        </row>
        <row r="422">
          <cell r="C422" t="str">
            <v>GS</v>
          </cell>
        </row>
        <row r="423">
          <cell r="C423" t="str">
            <v>GS</v>
          </cell>
        </row>
        <row r="424">
          <cell r="C424" t="str">
            <v>GS</v>
          </cell>
        </row>
        <row r="425">
          <cell r="C425" t="str">
            <v>GS</v>
          </cell>
        </row>
        <row r="426">
          <cell r="C426" t="str">
            <v>GS3</v>
          </cell>
        </row>
        <row r="427">
          <cell r="C427" t="str">
            <v>GS3</v>
          </cell>
        </row>
        <row r="428">
          <cell r="C428" t="str">
            <v>RTS</v>
          </cell>
        </row>
        <row r="429">
          <cell r="C429" t="str">
            <v>RTS</v>
          </cell>
          <cell r="K429">
            <v>118033836.43614669</v>
          </cell>
        </row>
        <row r="430">
          <cell r="C430" t="str">
            <v>PSP</v>
          </cell>
        </row>
        <row r="431">
          <cell r="C431" t="str">
            <v>PSP</v>
          </cell>
        </row>
        <row r="432">
          <cell r="C432" t="str">
            <v>PSS</v>
          </cell>
        </row>
        <row r="433">
          <cell r="C433" t="str">
            <v>PSS</v>
          </cell>
        </row>
        <row r="434">
          <cell r="C434" t="str">
            <v>PSP</v>
          </cell>
        </row>
        <row r="435">
          <cell r="C435" t="str">
            <v>PSP</v>
          </cell>
        </row>
        <row r="436">
          <cell r="C436" t="str">
            <v>PSS</v>
          </cell>
        </row>
        <row r="437">
          <cell r="C437" t="str">
            <v>PSS</v>
          </cell>
        </row>
        <row r="438">
          <cell r="C438" t="str">
            <v>TODP</v>
          </cell>
        </row>
        <row r="439">
          <cell r="C439" t="str">
            <v>TODP</v>
          </cell>
        </row>
        <row r="440">
          <cell r="C440" t="str">
            <v>TODS</v>
          </cell>
        </row>
        <row r="441">
          <cell r="C441" t="str">
            <v>TODS</v>
          </cell>
        </row>
        <row r="442">
          <cell r="C442" t="str">
            <v>GS3</v>
          </cell>
        </row>
        <row r="443">
          <cell r="C443" t="str">
            <v>GS3</v>
          </cell>
        </row>
        <row r="444">
          <cell r="C444" t="str">
            <v>FLS</v>
          </cell>
          <cell r="K444">
            <v>48026205.778607696</v>
          </cell>
        </row>
        <row r="445">
          <cell r="C445" t="str">
            <v>FLS</v>
          </cell>
        </row>
        <row r="451">
          <cell r="C451" t="str">
            <v>RS</v>
          </cell>
        </row>
        <row r="452">
          <cell r="C452" t="str">
            <v>RS</v>
          </cell>
          <cell r="K452">
            <v>367882886.53898299</v>
          </cell>
        </row>
        <row r="453">
          <cell r="C453" t="str">
            <v>RS</v>
          </cell>
        </row>
        <row r="454">
          <cell r="C454" t="str">
            <v>RS</v>
          </cell>
        </row>
        <row r="455">
          <cell r="C455" t="str">
            <v>RTOD-E</v>
          </cell>
          <cell r="K455">
            <v>22289.760695002704</v>
          </cell>
        </row>
        <row r="456">
          <cell r="C456" t="str">
            <v>RTOD-D</v>
          </cell>
        </row>
        <row r="457">
          <cell r="C457" t="str">
            <v>RS</v>
          </cell>
        </row>
        <row r="458">
          <cell r="C458" t="str">
            <v>RS</v>
          </cell>
        </row>
        <row r="459">
          <cell r="C459" t="str">
            <v>RS</v>
          </cell>
        </row>
        <row r="460">
          <cell r="C460" t="str">
            <v>RS</v>
          </cell>
        </row>
        <row r="461">
          <cell r="C461" t="str">
            <v>RTS</v>
          </cell>
        </row>
        <row r="462">
          <cell r="C462" t="str">
            <v>PSP</v>
          </cell>
          <cell r="K462">
            <v>12893133.489096072</v>
          </cell>
        </row>
        <row r="463">
          <cell r="C463" t="str">
            <v>PSS</v>
          </cell>
        </row>
        <row r="464">
          <cell r="C464" t="str">
            <v>TODP</v>
          </cell>
        </row>
        <row r="465">
          <cell r="C465" t="str">
            <v>PSP</v>
          </cell>
        </row>
        <row r="466">
          <cell r="C466" t="str">
            <v>PSS</v>
          </cell>
        </row>
        <row r="467">
          <cell r="C467" t="str">
            <v>TODP</v>
          </cell>
        </row>
        <row r="468">
          <cell r="C468" t="str">
            <v>TODS</v>
          </cell>
          <cell r="K468">
            <v>125611788.52217272</v>
          </cell>
        </row>
        <row r="469">
          <cell r="C469" t="str">
            <v>TOD</v>
          </cell>
        </row>
        <row r="470">
          <cell r="C470" t="str">
            <v>MPT</v>
          </cell>
        </row>
        <row r="471">
          <cell r="C471" t="str">
            <v>MPP</v>
          </cell>
        </row>
        <row r="472">
          <cell r="C472" t="str">
            <v>LTOD</v>
          </cell>
        </row>
        <row r="473">
          <cell r="C473" t="str">
            <v>LTOD</v>
          </cell>
        </row>
        <row r="474">
          <cell r="C474" t="str">
            <v>MPP PF</v>
          </cell>
        </row>
        <row r="475">
          <cell r="C475" t="str">
            <v>MPT PF</v>
          </cell>
        </row>
        <row r="476">
          <cell r="C476" t="str">
            <v>LEV</v>
          </cell>
        </row>
        <row r="477">
          <cell r="C477" t="str">
            <v>GS</v>
          </cell>
        </row>
        <row r="478">
          <cell r="C478" t="str">
            <v>GS</v>
          </cell>
        </row>
        <row r="479">
          <cell r="C479" t="str">
            <v>GS3</v>
          </cell>
        </row>
        <row r="480">
          <cell r="C480" t="str">
            <v>GS3</v>
          </cell>
        </row>
        <row r="481">
          <cell r="C481" t="str">
            <v>LEV</v>
          </cell>
        </row>
        <row r="482">
          <cell r="C482" t="str">
            <v>CSR</v>
          </cell>
        </row>
        <row r="483">
          <cell r="C483" t="str">
            <v>CSR</v>
          </cell>
        </row>
        <row r="484">
          <cell r="C484" t="str">
            <v>CSR</v>
          </cell>
        </row>
        <row r="485">
          <cell r="C485" t="str">
            <v>CSR</v>
          </cell>
        </row>
        <row r="486">
          <cell r="C486" t="str">
            <v>CSR</v>
          </cell>
        </row>
        <row r="487">
          <cell r="C487" t="str">
            <v>CSR</v>
          </cell>
        </row>
        <row r="488">
          <cell r="C488" t="str">
            <v>CSR</v>
          </cell>
        </row>
        <row r="489">
          <cell r="C489" t="str">
            <v>CSR</v>
          </cell>
        </row>
        <row r="490">
          <cell r="C490" t="str">
            <v>LEV</v>
          </cell>
        </row>
        <row r="491">
          <cell r="C491" t="str">
            <v>LEV</v>
          </cell>
        </row>
        <row r="492">
          <cell r="C492" t="str">
            <v>GS</v>
          </cell>
        </row>
        <row r="493">
          <cell r="C493" t="str">
            <v>PSP</v>
          </cell>
        </row>
        <row r="494">
          <cell r="C494" t="str">
            <v>PSS</v>
          </cell>
        </row>
        <row r="495">
          <cell r="C495" t="str">
            <v>PSS</v>
          </cell>
        </row>
        <row r="496">
          <cell r="C496" t="str">
            <v>PSP</v>
          </cell>
        </row>
        <row r="497">
          <cell r="C497" t="str">
            <v>PSP</v>
          </cell>
        </row>
        <row r="498">
          <cell r="C498" t="str">
            <v>GS</v>
          </cell>
        </row>
        <row r="499">
          <cell r="C499" t="str">
            <v>RS</v>
          </cell>
        </row>
        <row r="500">
          <cell r="C500" t="str">
            <v>RS</v>
          </cell>
        </row>
        <row r="501">
          <cell r="C501" t="str">
            <v>GS</v>
          </cell>
          <cell r="K501">
            <v>56152375.485459454</v>
          </cell>
        </row>
        <row r="502">
          <cell r="C502" t="str">
            <v>GS</v>
          </cell>
        </row>
        <row r="503">
          <cell r="C503" t="str">
            <v>GS3</v>
          </cell>
          <cell r="K503">
            <v>82728907.452432171</v>
          </cell>
        </row>
        <row r="504">
          <cell r="C504" t="str">
            <v>AES</v>
          </cell>
          <cell r="K504">
            <v>572000</v>
          </cell>
        </row>
        <row r="505">
          <cell r="C505" t="str">
            <v>AES</v>
          </cell>
        </row>
        <row r="506">
          <cell r="C506" t="str">
            <v>AES3</v>
          </cell>
          <cell r="K506">
            <v>11631000</v>
          </cell>
        </row>
        <row r="507">
          <cell r="C507" t="str">
            <v>AES3</v>
          </cell>
        </row>
        <row r="508">
          <cell r="C508" t="str">
            <v>AES3</v>
          </cell>
        </row>
        <row r="509">
          <cell r="C509" t="str">
            <v>AES3</v>
          </cell>
        </row>
        <row r="510">
          <cell r="C510" t="str">
            <v>AES3</v>
          </cell>
        </row>
        <row r="511">
          <cell r="C511" t="str">
            <v>AES</v>
          </cell>
        </row>
        <row r="512">
          <cell r="C512" t="str">
            <v>LE</v>
          </cell>
          <cell r="K512">
            <v>35496.612992405004</v>
          </cell>
        </row>
        <row r="513">
          <cell r="C513" t="str">
            <v>LE</v>
          </cell>
        </row>
        <row r="514">
          <cell r="C514" t="str">
            <v>LE</v>
          </cell>
        </row>
        <row r="515">
          <cell r="C515" t="str">
            <v>TE</v>
          </cell>
          <cell r="K515">
            <v>118027.83579471071</v>
          </cell>
        </row>
        <row r="516">
          <cell r="C516" t="str">
            <v>TE</v>
          </cell>
        </row>
        <row r="517">
          <cell r="C517" t="str">
            <v>TE</v>
          </cell>
        </row>
        <row r="518">
          <cell r="C518" t="str">
            <v>RTS</v>
          </cell>
        </row>
        <row r="519">
          <cell r="C519" t="str">
            <v>PSP</v>
          </cell>
        </row>
        <row r="520">
          <cell r="C520" t="str">
            <v>PSS</v>
          </cell>
          <cell r="K520">
            <v>168152223.5840404</v>
          </cell>
        </row>
        <row r="521">
          <cell r="C521" t="str">
            <v>PSP</v>
          </cell>
        </row>
        <row r="522">
          <cell r="C522" t="str">
            <v>PSS</v>
          </cell>
        </row>
        <row r="523">
          <cell r="C523" t="str">
            <v>TODP</v>
          </cell>
          <cell r="K523">
            <v>363394293.0927574</v>
          </cell>
        </row>
        <row r="524">
          <cell r="C524" t="str">
            <v>TODS</v>
          </cell>
        </row>
        <row r="525">
          <cell r="C525" t="str">
            <v>SQF</v>
          </cell>
        </row>
        <row r="526">
          <cell r="C526" t="str">
            <v>SQF</v>
          </cell>
        </row>
        <row r="527">
          <cell r="C527" t="str">
            <v>LQF</v>
          </cell>
        </row>
        <row r="528">
          <cell r="C528" t="str">
            <v>GS</v>
          </cell>
        </row>
        <row r="529">
          <cell r="C529" t="str">
            <v>GS3</v>
          </cell>
        </row>
        <row r="530">
          <cell r="C530" t="str">
            <v>RS</v>
          </cell>
        </row>
        <row r="531">
          <cell r="C531" t="str">
            <v>RS</v>
          </cell>
        </row>
        <row r="532">
          <cell r="C532" t="str">
            <v>CSR</v>
          </cell>
        </row>
        <row r="533">
          <cell r="C533" t="str">
            <v>CSR</v>
          </cell>
        </row>
        <row r="534">
          <cell r="C534" t="str">
            <v>CSR</v>
          </cell>
        </row>
        <row r="535">
          <cell r="C535" t="str">
            <v>CSR</v>
          </cell>
        </row>
        <row r="536">
          <cell r="C536" t="str">
            <v>CSR</v>
          </cell>
        </row>
        <row r="537">
          <cell r="C537" t="str">
            <v>GS</v>
          </cell>
        </row>
        <row r="538">
          <cell r="C538" t="str">
            <v>GS</v>
          </cell>
        </row>
        <row r="539">
          <cell r="C539" t="str">
            <v>GS</v>
          </cell>
        </row>
        <row r="540">
          <cell r="C540" t="str">
            <v>GS</v>
          </cell>
        </row>
        <row r="541">
          <cell r="C541" t="str">
            <v>GS</v>
          </cell>
        </row>
        <row r="542">
          <cell r="C542" t="str">
            <v>GS</v>
          </cell>
        </row>
        <row r="543">
          <cell r="C543" t="str">
            <v>GS</v>
          </cell>
        </row>
        <row r="544">
          <cell r="C544" t="str">
            <v>GS</v>
          </cell>
        </row>
        <row r="545">
          <cell r="C545" t="str">
            <v>GS</v>
          </cell>
        </row>
        <row r="546">
          <cell r="C546" t="str">
            <v>GS</v>
          </cell>
        </row>
        <row r="547">
          <cell r="C547" t="str">
            <v>GS</v>
          </cell>
        </row>
        <row r="548">
          <cell r="C548" t="str">
            <v>GS3</v>
          </cell>
        </row>
        <row r="549">
          <cell r="C549" t="str">
            <v>GS3</v>
          </cell>
        </row>
        <row r="550">
          <cell r="C550" t="str">
            <v>RTS</v>
          </cell>
        </row>
        <row r="551">
          <cell r="C551" t="str">
            <v>RTS</v>
          </cell>
          <cell r="K551">
            <v>136564871.36022782</v>
          </cell>
        </row>
        <row r="552">
          <cell r="C552" t="str">
            <v>PSP</v>
          </cell>
        </row>
        <row r="553">
          <cell r="C553" t="str">
            <v>PSP</v>
          </cell>
        </row>
        <row r="554">
          <cell r="C554" t="str">
            <v>PSS</v>
          </cell>
        </row>
        <row r="555">
          <cell r="C555" t="str">
            <v>PSS</v>
          </cell>
        </row>
        <row r="556">
          <cell r="C556" t="str">
            <v>PSP</v>
          </cell>
        </row>
        <row r="557">
          <cell r="C557" t="str">
            <v>PSP</v>
          </cell>
        </row>
        <row r="558">
          <cell r="C558" t="str">
            <v>PSS</v>
          </cell>
        </row>
        <row r="559">
          <cell r="C559" t="str">
            <v>PSS</v>
          </cell>
        </row>
        <row r="560">
          <cell r="C560" t="str">
            <v>TODP</v>
          </cell>
        </row>
        <row r="561">
          <cell r="C561" t="str">
            <v>TODP</v>
          </cell>
        </row>
        <row r="562">
          <cell r="C562" t="str">
            <v>TODS</v>
          </cell>
        </row>
        <row r="563">
          <cell r="C563" t="str">
            <v>TODS</v>
          </cell>
        </row>
        <row r="564">
          <cell r="C564" t="str">
            <v>GS3</v>
          </cell>
        </row>
        <row r="565">
          <cell r="C565" t="str">
            <v>GS3</v>
          </cell>
        </row>
        <row r="566">
          <cell r="C566" t="str">
            <v>FLS</v>
          </cell>
          <cell r="K566">
            <v>47838801.266908802</v>
          </cell>
        </row>
        <row r="567">
          <cell r="C567" t="str">
            <v>FLS</v>
          </cell>
        </row>
        <row r="573">
          <cell r="C573" t="str">
            <v>RS</v>
          </cell>
        </row>
        <row r="574">
          <cell r="C574" t="str">
            <v>RS</v>
          </cell>
          <cell r="K574">
            <v>373489493.27129209</v>
          </cell>
        </row>
        <row r="575">
          <cell r="C575" t="str">
            <v>RS</v>
          </cell>
        </row>
        <row r="576">
          <cell r="C576" t="str">
            <v>RS</v>
          </cell>
        </row>
        <row r="577">
          <cell r="C577" t="str">
            <v>RTOD-E</v>
          </cell>
          <cell r="K577">
            <v>23136.864862405946</v>
          </cell>
        </row>
        <row r="578">
          <cell r="C578" t="str">
            <v>RTOD-D</v>
          </cell>
        </row>
        <row r="579">
          <cell r="C579" t="str">
            <v>RS</v>
          </cell>
        </row>
        <row r="580">
          <cell r="C580" t="str">
            <v>RS</v>
          </cell>
        </row>
        <row r="581">
          <cell r="C581" t="str">
            <v>RS</v>
          </cell>
        </row>
        <row r="582">
          <cell r="C582" t="str">
            <v>RS</v>
          </cell>
        </row>
        <row r="583">
          <cell r="C583" t="str">
            <v>RTS</v>
          </cell>
        </row>
        <row r="584">
          <cell r="C584" t="str">
            <v>PSP</v>
          </cell>
          <cell r="K584">
            <v>14985331.673928164</v>
          </cell>
        </row>
        <row r="585">
          <cell r="C585" t="str">
            <v>PSS</v>
          </cell>
        </row>
        <row r="586">
          <cell r="C586" t="str">
            <v>TODP</v>
          </cell>
        </row>
        <row r="587">
          <cell r="C587" t="str">
            <v>PSP</v>
          </cell>
        </row>
        <row r="588">
          <cell r="C588" t="str">
            <v>PSS</v>
          </cell>
        </row>
        <row r="589">
          <cell r="C589" t="str">
            <v>TODP</v>
          </cell>
        </row>
        <row r="590">
          <cell r="C590" t="str">
            <v>TODS</v>
          </cell>
          <cell r="K590">
            <v>146207283.5413301</v>
          </cell>
        </row>
        <row r="591">
          <cell r="C591" t="str">
            <v>TOD</v>
          </cell>
        </row>
        <row r="592">
          <cell r="C592" t="str">
            <v>MPT</v>
          </cell>
        </row>
        <row r="593">
          <cell r="C593" t="str">
            <v>MPP</v>
          </cell>
        </row>
        <row r="594">
          <cell r="C594" t="str">
            <v>LTOD</v>
          </cell>
        </row>
        <row r="595">
          <cell r="C595" t="str">
            <v>LTOD</v>
          </cell>
        </row>
        <row r="596">
          <cell r="C596" t="str">
            <v>MPP PF</v>
          </cell>
        </row>
        <row r="597">
          <cell r="C597" t="str">
            <v>MPT PF</v>
          </cell>
        </row>
        <row r="598">
          <cell r="C598" t="str">
            <v>LEV</v>
          </cell>
        </row>
        <row r="599">
          <cell r="C599" t="str">
            <v>GS</v>
          </cell>
        </row>
        <row r="600">
          <cell r="C600" t="str">
            <v>GS</v>
          </cell>
        </row>
        <row r="601">
          <cell r="C601" t="str">
            <v>GS3</v>
          </cell>
        </row>
        <row r="602">
          <cell r="C602" t="str">
            <v>GS3</v>
          </cell>
        </row>
        <row r="603">
          <cell r="C603" t="str">
            <v>LEV</v>
          </cell>
        </row>
        <row r="604">
          <cell r="C604" t="str">
            <v>CSR</v>
          </cell>
        </row>
        <row r="605">
          <cell r="C605" t="str">
            <v>CSR</v>
          </cell>
        </row>
        <row r="606">
          <cell r="C606" t="str">
            <v>CSR</v>
          </cell>
        </row>
        <row r="607">
          <cell r="C607" t="str">
            <v>CSR</v>
          </cell>
        </row>
        <row r="608">
          <cell r="C608" t="str">
            <v>CSR</v>
          </cell>
        </row>
        <row r="609">
          <cell r="C609" t="str">
            <v>CSR</v>
          </cell>
        </row>
        <row r="610">
          <cell r="C610" t="str">
            <v>CSR</v>
          </cell>
        </row>
        <row r="611">
          <cell r="C611" t="str">
            <v>CSR</v>
          </cell>
        </row>
        <row r="612">
          <cell r="C612" t="str">
            <v>LEV</v>
          </cell>
        </row>
        <row r="613">
          <cell r="C613" t="str">
            <v>LEV</v>
          </cell>
        </row>
        <row r="614">
          <cell r="C614" t="str">
            <v>GS</v>
          </cell>
        </row>
        <row r="615">
          <cell r="C615" t="str">
            <v>PSP</v>
          </cell>
        </row>
        <row r="616">
          <cell r="C616" t="str">
            <v>PSS</v>
          </cell>
        </row>
        <row r="617">
          <cell r="C617" t="str">
            <v>PSS</v>
          </cell>
        </row>
        <row r="618">
          <cell r="C618" t="str">
            <v>PSP</v>
          </cell>
        </row>
        <row r="619">
          <cell r="C619" t="str">
            <v>PSP</v>
          </cell>
        </row>
        <row r="620">
          <cell r="C620" t="str">
            <v>GS</v>
          </cell>
        </row>
        <row r="621">
          <cell r="C621" t="str">
            <v>RS</v>
          </cell>
        </row>
        <row r="622">
          <cell r="C622" t="str">
            <v>RS</v>
          </cell>
        </row>
        <row r="623">
          <cell r="C623" t="str">
            <v>GS</v>
          </cell>
          <cell r="K623">
            <v>63599546.024280377</v>
          </cell>
        </row>
        <row r="624">
          <cell r="C624" t="str">
            <v>GS</v>
          </cell>
        </row>
        <row r="625">
          <cell r="C625" t="str">
            <v>GS3</v>
          </cell>
          <cell r="K625">
            <v>95195283.442038551</v>
          </cell>
        </row>
        <row r="626">
          <cell r="C626" t="str">
            <v>AES</v>
          </cell>
          <cell r="K626">
            <v>558000</v>
          </cell>
        </row>
        <row r="627">
          <cell r="C627" t="str">
            <v>AES</v>
          </cell>
        </row>
        <row r="628">
          <cell r="C628" t="str">
            <v>AES3</v>
          </cell>
          <cell r="K628">
            <v>11338000</v>
          </cell>
        </row>
        <row r="629">
          <cell r="C629" t="str">
            <v>AES3</v>
          </cell>
        </row>
        <row r="630">
          <cell r="C630" t="str">
            <v>AES3</v>
          </cell>
        </row>
        <row r="631">
          <cell r="C631" t="str">
            <v>AES3</v>
          </cell>
        </row>
        <row r="632">
          <cell r="C632" t="str">
            <v>AES3</v>
          </cell>
        </row>
        <row r="633">
          <cell r="C633" t="str">
            <v>AES</v>
          </cell>
        </row>
        <row r="634">
          <cell r="C634" t="str">
            <v>LE</v>
          </cell>
          <cell r="K634">
            <v>38646.939579554142</v>
          </cell>
        </row>
        <row r="635">
          <cell r="C635" t="str">
            <v>LE</v>
          </cell>
        </row>
        <row r="636">
          <cell r="C636" t="str">
            <v>LE</v>
          </cell>
        </row>
        <row r="637">
          <cell r="C637" t="str">
            <v>TE</v>
          </cell>
          <cell r="K637">
            <v>122387.2269268934</v>
          </cell>
        </row>
        <row r="638">
          <cell r="C638" t="str">
            <v>TE</v>
          </cell>
        </row>
        <row r="639">
          <cell r="C639" t="str">
            <v>TE</v>
          </cell>
        </row>
        <row r="640">
          <cell r="C640" t="str">
            <v>RTS</v>
          </cell>
        </row>
        <row r="641">
          <cell r="C641" t="str">
            <v>PSP</v>
          </cell>
        </row>
        <row r="642">
          <cell r="C642" t="str">
            <v>PSS</v>
          </cell>
          <cell r="K642">
            <v>193182125.90242544</v>
          </cell>
        </row>
        <row r="643">
          <cell r="C643" t="str">
            <v>PSP</v>
          </cell>
        </row>
        <row r="644">
          <cell r="C644" t="str">
            <v>PSS</v>
          </cell>
        </row>
        <row r="645">
          <cell r="C645" t="str">
            <v>TODP</v>
          </cell>
          <cell r="K645">
            <v>376654323.88324076</v>
          </cell>
        </row>
        <row r="646">
          <cell r="C646" t="str">
            <v>TODS</v>
          </cell>
        </row>
        <row r="647">
          <cell r="C647" t="str">
            <v>SQF</v>
          </cell>
        </row>
        <row r="648">
          <cell r="C648" t="str">
            <v>SQF</v>
          </cell>
        </row>
        <row r="649">
          <cell r="C649" t="str">
            <v>LQF</v>
          </cell>
        </row>
        <row r="650">
          <cell r="C650" t="str">
            <v>GS</v>
          </cell>
        </row>
        <row r="651">
          <cell r="C651" t="str">
            <v>GS3</v>
          </cell>
        </row>
        <row r="652">
          <cell r="C652" t="str">
            <v>RS</v>
          </cell>
        </row>
        <row r="653">
          <cell r="C653" t="str">
            <v>RS</v>
          </cell>
        </row>
        <row r="654">
          <cell r="C654" t="str">
            <v>CSR</v>
          </cell>
        </row>
        <row r="655">
          <cell r="C655" t="str">
            <v>CSR</v>
          </cell>
        </row>
        <row r="656">
          <cell r="C656" t="str">
            <v>CSR</v>
          </cell>
        </row>
        <row r="657">
          <cell r="C657" t="str">
            <v>CSR</v>
          </cell>
        </row>
        <row r="658">
          <cell r="C658" t="str">
            <v>CSR</v>
          </cell>
        </row>
        <row r="659">
          <cell r="C659" t="str">
            <v>GS</v>
          </cell>
        </row>
        <row r="660">
          <cell r="C660" t="str">
            <v>GS</v>
          </cell>
        </row>
        <row r="661">
          <cell r="C661" t="str">
            <v>GS</v>
          </cell>
        </row>
        <row r="662">
          <cell r="C662" t="str">
            <v>GS</v>
          </cell>
        </row>
        <row r="663">
          <cell r="C663" t="str">
            <v>GS</v>
          </cell>
        </row>
        <row r="664">
          <cell r="C664" t="str">
            <v>GS</v>
          </cell>
        </row>
        <row r="665">
          <cell r="C665" t="str">
            <v>GS</v>
          </cell>
        </row>
        <row r="666">
          <cell r="C666" t="str">
            <v>GS</v>
          </cell>
        </row>
        <row r="667">
          <cell r="C667" t="str">
            <v>GS</v>
          </cell>
        </row>
        <row r="668">
          <cell r="C668" t="str">
            <v>GS</v>
          </cell>
        </row>
        <row r="669">
          <cell r="C669" t="str">
            <v>GS</v>
          </cell>
        </row>
        <row r="670">
          <cell r="C670" t="str">
            <v>GS3</v>
          </cell>
        </row>
        <row r="671">
          <cell r="C671" t="str">
            <v>GS3</v>
          </cell>
        </row>
        <row r="672">
          <cell r="C672" t="str">
            <v>RTS</v>
          </cell>
        </row>
        <row r="673">
          <cell r="C673" t="str">
            <v>RTS</v>
          </cell>
          <cell r="K673">
            <v>132425398.58144915</v>
          </cell>
        </row>
        <row r="674">
          <cell r="C674" t="str">
            <v>PSP</v>
          </cell>
        </row>
        <row r="675">
          <cell r="C675" t="str">
            <v>PSP</v>
          </cell>
        </row>
        <row r="676">
          <cell r="C676" t="str">
            <v>PSS</v>
          </cell>
        </row>
        <row r="677">
          <cell r="C677" t="str">
            <v>PSS</v>
          </cell>
        </row>
        <row r="678">
          <cell r="C678" t="str">
            <v>PSP</v>
          </cell>
        </row>
        <row r="679">
          <cell r="C679" t="str">
            <v>PSP</v>
          </cell>
        </row>
        <row r="680">
          <cell r="C680" t="str">
            <v>PSS</v>
          </cell>
        </row>
        <row r="681">
          <cell r="C681" t="str">
            <v>PSS</v>
          </cell>
        </row>
        <row r="682">
          <cell r="C682" t="str">
            <v>TODP</v>
          </cell>
        </row>
        <row r="683">
          <cell r="C683" t="str">
            <v>TODP</v>
          </cell>
        </row>
        <row r="684">
          <cell r="C684" t="str">
            <v>TODS</v>
          </cell>
        </row>
        <row r="685">
          <cell r="C685" t="str">
            <v>TODS</v>
          </cell>
        </row>
        <row r="686">
          <cell r="C686" t="str">
            <v>GS3</v>
          </cell>
        </row>
        <row r="687">
          <cell r="C687" t="str">
            <v>GS3</v>
          </cell>
        </row>
        <row r="688">
          <cell r="C688" t="str">
            <v>FLS</v>
          </cell>
          <cell r="K688">
            <v>45150238.919397302</v>
          </cell>
        </row>
        <row r="689">
          <cell r="C689" t="str">
            <v>FLS</v>
          </cell>
        </row>
        <row r="695">
          <cell r="C695" t="str">
            <v>RS</v>
          </cell>
        </row>
        <row r="696">
          <cell r="C696" t="str">
            <v>RS</v>
          </cell>
          <cell r="K696">
            <v>465315109.07475817</v>
          </cell>
        </row>
        <row r="697">
          <cell r="C697" t="str">
            <v>RS</v>
          </cell>
        </row>
        <row r="698">
          <cell r="C698" t="str">
            <v>RS</v>
          </cell>
        </row>
        <row r="699">
          <cell r="C699" t="str">
            <v>RTOD-E</v>
          </cell>
          <cell r="K699">
            <v>29419.246569606992</v>
          </cell>
        </row>
        <row r="700">
          <cell r="C700" t="str">
            <v>RTOD-D</v>
          </cell>
        </row>
        <row r="701">
          <cell r="C701" t="str">
            <v>RS</v>
          </cell>
        </row>
        <row r="702">
          <cell r="C702" t="str">
            <v>RS</v>
          </cell>
        </row>
        <row r="703">
          <cell r="C703" t="str">
            <v>RS</v>
          </cell>
        </row>
        <row r="704">
          <cell r="C704" t="str">
            <v>RS</v>
          </cell>
        </row>
        <row r="705">
          <cell r="C705" t="str">
            <v>RTS</v>
          </cell>
        </row>
        <row r="706">
          <cell r="C706" t="str">
            <v>PSP</v>
          </cell>
          <cell r="K706">
            <v>15532137.067350149</v>
          </cell>
        </row>
        <row r="707">
          <cell r="C707" t="str">
            <v>PSS</v>
          </cell>
        </row>
        <row r="708">
          <cell r="C708" t="str">
            <v>TODP</v>
          </cell>
        </row>
        <row r="709">
          <cell r="C709" t="str">
            <v>PSP</v>
          </cell>
        </row>
        <row r="710">
          <cell r="C710" t="str">
            <v>PSS</v>
          </cell>
        </row>
        <row r="711">
          <cell r="C711" t="str">
            <v>TODP</v>
          </cell>
        </row>
        <row r="712">
          <cell r="C712" t="str">
            <v>TODS</v>
          </cell>
          <cell r="K712">
            <v>153064097.49079764</v>
          </cell>
        </row>
        <row r="713">
          <cell r="C713" t="str">
            <v>TOD</v>
          </cell>
        </row>
        <row r="714">
          <cell r="C714" t="str">
            <v>MPT</v>
          </cell>
        </row>
        <row r="715">
          <cell r="C715" t="str">
            <v>MPP</v>
          </cell>
        </row>
        <row r="716">
          <cell r="C716" t="str">
            <v>LTOD</v>
          </cell>
        </row>
        <row r="717">
          <cell r="C717" t="str">
            <v>LTOD</v>
          </cell>
        </row>
        <row r="718">
          <cell r="C718" t="str">
            <v>MPP PF</v>
          </cell>
        </row>
        <row r="719">
          <cell r="C719" t="str">
            <v>MPT PF</v>
          </cell>
        </row>
        <row r="720">
          <cell r="C720" t="str">
            <v>LEV</v>
          </cell>
        </row>
        <row r="721">
          <cell r="C721" t="str">
            <v>GS</v>
          </cell>
        </row>
        <row r="722">
          <cell r="C722" t="str">
            <v>GS</v>
          </cell>
        </row>
        <row r="723">
          <cell r="C723" t="str">
            <v>GS3</v>
          </cell>
        </row>
        <row r="724">
          <cell r="C724" t="str">
            <v>GS3</v>
          </cell>
        </row>
        <row r="725">
          <cell r="C725" t="str">
            <v>LEV</v>
          </cell>
        </row>
        <row r="726">
          <cell r="C726" t="str">
            <v>CSR</v>
          </cell>
        </row>
        <row r="727">
          <cell r="C727" t="str">
            <v>CSR</v>
          </cell>
        </row>
        <row r="728">
          <cell r="C728" t="str">
            <v>CSR</v>
          </cell>
        </row>
        <row r="729">
          <cell r="C729" t="str">
            <v>CSR</v>
          </cell>
        </row>
        <row r="730">
          <cell r="C730" t="str">
            <v>CSR</v>
          </cell>
        </row>
        <row r="731">
          <cell r="C731" t="str">
            <v>CSR</v>
          </cell>
        </row>
        <row r="732">
          <cell r="C732" t="str">
            <v>CSR</v>
          </cell>
        </row>
        <row r="733">
          <cell r="C733" t="str">
            <v>CSR</v>
          </cell>
        </row>
        <row r="734">
          <cell r="C734" t="str">
            <v>LEV</v>
          </cell>
        </row>
        <row r="735">
          <cell r="C735" t="str">
            <v>LEV</v>
          </cell>
        </row>
        <row r="736">
          <cell r="C736" t="str">
            <v>GS</v>
          </cell>
        </row>
        <row r="737">
          <cell r="C737" t="str">
            <v>PSP</v>
          </cell>
        </row>
        <row r="738">
          <cell r="C738" t="str">
            <v>PSS</v>
          </cell>
        </row>
        <row r="739">
          <cell r="C739" t="str">
            <v>PSS</v>
          </cell>
        </row>
        <row r="740">
          <cell r="C740" t="str">
            <v>PSP</v>
          </cell>
        </row>
        <row r="741">
          <cell r="C741" t="str">
            <v>PSP</v>
          </cell>
        </row>
        <row r="742">
          <cell r="C742" t="str">
            <v>GS</v>
          </cell>
        </row>
        <row r="743">
          <cell r="C743" t="str">
            <v>RS</v>
          </cell>
        </row>
        <row r="744">
          <cell r="C744" t="str">
            <v>RS</v>
          </cell>
        </row>
        <row r="745">
          <cell r="C745" t="str">
            <v>GS</v>
          </cell>
          <cell r="K745">
            <v>69693903.604106724</v>
          </cell>
        </row>
        <row r="746">
          <cell r="C746" t="str">
            <v>GS</v>
          </cell>
        </row>
        <row r="747">
          <cell r="C747" t="str">
            <v>GS3</v>
          </cell>
          <cell r="K747">
            <v>101721168.49297555</v>
          </cell>
        </row>
        <row r="748">
          <cell r="C748" t="str">
            <v>AES</v>
          </cell>
          <cell r="K748">
            <v>561000</v>
          </cell>
        </row>
        <row r="749">
          <cell r="C749" t="str">
            <v>AES</v>
          </cell>
        </row>
        <row r="750">
          <cell r="C750" t="str">
            <v>AES3</v>
          </cell>
          <cell r="K750">
            <v>11406000</v>
          </cell>
        </row>
        <row r="751">
          <cell r="C751" t="str">
            <v>AES3</v>
          </cell>
        </row>
        <row r="752">
          <cell r="C752" t="str">
            <v>AES3</v>
          </cell>
        </row>
        <row r="753">
          <cell r="C753" t="str">
            <v>AES3</v>
          </cell>
        </row>
        <row r="754">
          <cell r="C754" t="str">
            <v>AES3</v>
          </cell>
        </row>
        <row r="755">
          <cell r="C755" t="str">
            <v>AES</v>
          </cell>
        </row>
        <row r="756">
          <cell r="C756" t="str">
            <v>LE</v>
          </cell>
          <cell r="K756">
            <v>33106.414074477398</v>
          </cell>
        </row>
        <row r="757">
          <cell r="C757" t="str">
            <v>LE</v>
          </cell>
        </row>
        <row r="758">
          <cell r="C758" t="str">
            <v>LE</v>
          </cell>
        </row>
        <row r="759">
          <cell r="C759" t="str">
            <v>TE</v>
          </cell>
          <cell r="K759">
            <v>119265.43403866269</v>
          </cell>
        </row>
        <row r="760">
          <cell r="C760" t="str">
            <v>TE</v>
          </cell>
        </row>
        <row r="761">
          <cell r="C761" t="str">
            <v>TE</v>
          </cell>
        </row>
        <row r="762">
          <cell r="C762" t="str">
            <v>RTS</v>
          </cell>
        </row>
        <row r="763">
          <cell r="C763" t="str">
            <v>PSP</v>
          </cell>
        </row>
        <row r="764">
          <cell r="C764" t="str">
            <v>PSS</v>
          </cell>
          <cell r="K764">
            <v>199907571.76098618</v>
          </cell>
        </row>
        <row r="765">
          <cell r="C765" t="str">
            <v>PSP</v>
          </cell>
        </row>
        <row r="766">
          <cell r="C766" t="str">
            <v>PSS</v>
          </cell>
        </row>
        <row r="767">
          <cell r="C767" t="str">
            <v>TODP</v>
          </cell>
          <cell r="K767">
            <v>379899181.28394741</v>
          </cell>
        </row>
        <row r="768">
          <cell r="C768" t="str">
            <v>TODS</v>
          </cell>
        </row>
        <row r="769">
          <cell r="C769" t="str">
            <v>SQF</v>
          </cell>
        </row>
        <row r="770">
          <cell r="C770" t="str">
            <v>SQF</v>
          </cell>
        </row>
        <row r="771">
          <cell r="C771" t="str">
            <v>LQF</v>
          </cell>
        </row>
        <row r="772">
          <cell r="C772" t="str">
            <v>GS</v>
          </cell>
        </row>
        <row r="773">
          <cell r="C773" t="str">
            <v>GS3</v>
          </cell>
        </row>
        <row r="774">
          <cell r="C774" t="str">
            <v>RS</v>
          </cell>
        </row>
        <row r="775">
          <cell r="C775" t="str">
            <v>RS</v>
          </cell>
        </row>
        <row r="776">
          <cell r="C776" t="str">
            <v>CSR</v>
          </cell>
        </row>
        <row r="777">
          <cell r="C777" t="str">
            <v>CSR</v>
          </cell>
        </row>
        <row r="778">
          <cell r="C778" t="str">
            <v>CSR</v>
          </cell>
        </row>
        <row r="779">
          <cell r="C779" t="str">
            <v>CSR</v>
          </cell>
        </row>
        <row r="780">
          <cell r="C780" t="str">
            <v>CSR</v>
          </cell>
        </row>
        <row r="781">
          <cell r="C781" t="str">
            <v>GS</v>
          </cell>
        </row>
        <row r="782">
          <cell r="C782" t="str">
            <v>GS</v>
          </cell>
        </row>
        <row r="783">
          <cell r="C783" t="str">
            <v>GS</v>
          </cell>
        </row>
        <row r="784">
          <cell r="C784" t="str">
            <v>GS</v>
          </cell>
        </row>
        <row r="785">
          <cell r="C785" t="str">
            <v>GS</v>
          </cell>
        </row>
        <row r="786">
          <cell r="C786" t="str">
            <v>GS</v>
          </cell>
        </row>
        <row r="787">
          <cell r="C787" t="str">
            <v>GS</v>
          </cell>
        </row>
        <row r="788">
          <cell r="C788" t="str">
            <v>GS</v>
          </cell>
        </row>
        <row r="789">
          <cell r="C789" t="str">
            <v>GS</v>
          </cell>
        </row>
        <row r="790">
          <cell r="C790" t="str">
            <v>GS</v>
          </cell>
        </row>
        <row r="791">
          <cell r="C791" t="str">
            <v>GS</v>
          </cell>
        </row>
        <row r="792">
          <cell r="C792" t="str">
            <v>GS3</v>
          </cell>
        </row>
        <row r="793">
          <cell r="C793" t="str">
            <v>GS3</v>
          </cell>
        </row>
        <row r="794">
          <cell r="C794" t="str">
            <v>RTS</v>
          </cell>
        </row>
        <row r="795">
          <cell r="C795" t="str">
            <v>RTS</v>
          </cell>
          <cell r="K795">
            <v>116337251.81426908</v>
          </cell>
        </row>
        <row r="796">
          <cell r="C796" t="str">
            <v>PSP</v>
          </cell>
        </row>
        <row r="797">
          <cell r="C797" t="str">
            <v>PSP</v>
          </cell>
        </row>
        <row r="798">
          <cell r="C798" t="str">
            <v>PSS</v>
          </cell>
        </row>
        <row r="799">
          <cell r="C799" t="str">
            <v>PSS</v>
          </cell>
        </row>
        <row r="800">
          <cell r="C800" t="str">
            <v>PSP</v>
          </cell>
        </row>
        <row r="801">
          <cell r="C801" t="str">
            <v>PSP</v>
          </cell>
        </row>
        <row r="802">
          <cell r="C802" t="str">
            <v>PSS</v>
          </cell>
        </row>
        <row r="803">
          <cell r="C803" t="str">
            <v>PSS</v>
          </cell>
        </row>
        <row r="804">
          <cell r="C804" t="str">
            <v>TODP</v>
          </cell>
        </row>
        <row r="805">
          <cell r="C805" t="str">
            <v>TODP</v>
          </cell>
        </row>
        <row r="806">
          <cell r="C806" t="str">
            <v>TODS</v>
          </cell>
        </row>
        <row r="807">
          <cell r="C807" t="str">
            <v>TODS</v>
          </cell>
        </row>
        <row r="808">
          <cell r="C808" t="str">
            <v>GS3</v>
          </cell>
        </row>
        <row r="809">
          <cell r="C809" t="str">
            <v>GS3</v>
          </cell>
        </row>
        <row r="810">
          <cell r="C810" t="str">
            <v>FLS</v>
          </cell>
          <cell r="K810">
            <v>45065423.071025401</v>
          </cell>
        </row>
        <row r="811">
          <cell r="C811" t="str">
            <v>FLS</v>
          </cell>
        </row>
        <row r="817">
          <cell r="C817" t="str">
            <v>RS</v>
          </cell>
        </row>
        <row r="818">
          <cell r="C818" t="str">
            <v>RS</v>
          </cell>
          <cell r="K818">
            <v>556162998.52850509</v>
          </cell>
        </row>
        <row r="819">
          <cell r="C819" t="str">
            <v>RS</v>
          </cell>
        </row>
        <row r="820">
          <cell r="C820" t="str">
            <v>RS</v>
          </cell>
        </row>
        <row r="821">
          <cell r="C821" t="str">
            <v>RTOD-E</v>
          </cell>
          <cell r="K821">
            <v>27075.944299446401</v>
          </cell>
        </row>
        <row r="822">
          <cell r="C822" t="str">
            <v>RTOD-D</v>
          </cell>
        </row>
        <row r="823">
          <cell r="C823" t="str">
            <v>RS</v>
          </cell>
        </row>
        <row r="824">
          <cell r="C824" t="str">
            <v>RS</v>
          </cell>
        </row>
        <row r="825">
          <cell r="C825" t="str">
            <v>RS</v>
          </cell>
        </row>
        <row r="826">
          <cell r="C826" t="str">
            <v>RS</v>
          </cell>
        </row>
        <row r="827">
          <cell r="C827" t="str">
            <v>RTS</v>
          </cell>
        </row>
        <row r="828">
          <cell r="C828" t="str">
            <v>PSP</v>
          </cell>
          <cell r="K828">
            <v>15665945.619956572</v>
          </cell>
        </row>
        <row r="829">
          <cell r="C829" t="str">
            <v>PSS</v>
          </cell>
        </row>
        <row r="830">
          <cell r="C830" t="str">
            <v>TODP</v>
          </cell>
        </row>
        <row r="831">
          <cell r="C831" t="str">
            <v>PSP</v>
          </cell>
        </row>
        <row r="832">
          <cell r="C832" t="str">
            <v>PSS</v>
          </cell>
        </row>
        <row r="833">
          <cell r="C833" t="str">
            <v>TODP</v>
          </cell>
        </row>
        <row r="834">
          <cell r="C834" t="str">
            <v>TODS</v>
          </cell>
          <cell r="K834">
            <v>148685179.84497198</v>
          </cell>
        </row>
        <row r="835">
          <cell r="C835" t="str">
            <v>TOD</v>
          </cell>
        </row>
        <row r="836">
          <cell r="C836" t="str">
            <v>MPT</v>
          </cell>
        </row>
        <row r="837">
          <cell r="C837" t="str">
            <v>MPP</v>
          </cell>
        </row>
        <row r="838">
          <cell r="C838" t="str">
            <v>LTOD</v>
          </cell>
        </row>
        <row r="839">
          <cell r="C839" t="str">
            <v>LTOD</v>
          </cell>
        </row>
        <row r="840">
          <cell r="C840" t="str">
            <v>MPP PF</v>
          </cell>
        </row>
        <row r="841">
          <cell r="C841" t="str">
            <v>MPT PF</v>
          </cell>
        </row>
        <row r="842">
          <cell r="C842" t="str">
            <v>LEV</v>
          </cell>
        </row>
        <row r="843">
          <cell r="C843" t="str">
            <v>GS</v>
          </cell>
        </row>
        <row r="844">
          <cell r="C844" t="str">
            <v>GS</v>
          </cell>
        </row>
        <row r="845">
          <cell r="C845" t="str">
            <v>GS3</v>
          </cell>
        </row>
        <row r="846">
          <cell r="C846" t="str">
            <v>GS3</v>
          </cell>
        </row>
        <row r="847">
          <cell r="C847" t="str">
            <v>LEV</v>
          </cell>
        </row>
        <row r="848">
          <cell r="C848" t="str">
            <v>CSR</v>
          </cell>
        </row>
        <row r="849">
          <cell r="C849" t="str">
            <v>CSR</v>
          </cell>
        </row>
        <row r="850">
          <cell r="C850" t="str">
            <v>CSR</v>
          </cell>
        </row>
        <row r="851">
          <cell r="C851" t="str">
            <v>CSR</v>
          </cell>
        </row>
        <row r="852">
          <cell r="C852" t="str">
            <v>CSR</v>
          </cell>
        </row>
        <row r="853">
          <cell r="C853" t="str">
            <v>CSR</v>
          </cell>
        </row>
        <row r="854">
          <cell r="C854" t="str">
            <v>CSR</v>
          </cell>
        </row>
        <row r="855">
          <cell r="C855" t="str">
            <v>CSR</v>
          </cell>
        </row>
        <row r="856">
          <cell r="C856" t="str">
            <v>LEV</v>
          </cell>
        </row>
        <row r="857">
          <cell r="C857" t="str">
            <v>LEV</v>
          </cell>
        </row>
        <row r="858">
          <cell r="C858" t="str">
            <v>GS</v>
          </cell>
        </row>
        <row r="859">
          <cell r="C859" t="str">
            <v>PSP</v>
          </cell>
        </row>
        <row r="860">
          <cell r="C860" t="str">
            <v>PSS</v>
          </cell>
        </row>
        <row r="861">
          <cell r="C861" t="str">
            <v>PSS</v>
          </cell>
        </row>
        <row r="862">
          <cell r="C862" t="str">
            <v>PSP</v>
          </cell>
        </row>
        <row r="863">
          <cell r="C863" t="str">
            <v>PSP</v>
          </cell>
        </row>
        <row r="864">
          <cell r="C864" t="str">
            <v>GS</v>
          </cell>
        </row>
        <row r="865">
          <cell r="C865" t="str">
            <v>RS</v>
          </cell>
        </row>
        <row r="866">
          <cell r="C866" t="str">
            <v>RS</v>
          </cell>
        </row>
        <row r="867">
          <cell r="C867" t="str">
            <v>GS</v>
          </cell>
          <cell r="K867">
            <v>71190036.833182618</v>
          </cell>
        </row>
        <row r="868">
          <cell r="C868" t="str">
            <v>GS</v>
          </cell>
        </row>
        <row r="869">
          <cell r="C869" t="str">
            <v>GS3</v>
          </cell>
          <cell r="K869">
            <v>103949887.8395537</v>
          </cell>
        </row>
        <row r="870">
          <cell r="C870" t="str">
            <v>AES</v>
          </cell>
          <cell r="K870">
            <v>565000</v>
          </cell>
        </row>
        <row r="871">
          <cell r="C871" t="str">
            <v>AES</v>
          </cell>
        </row>
        <row r="872">
          <cell r="C872" t="str">
            <v>AES3</v>
          </cell>
          <cell r="K872">
            <v>11472000</v>
          </cell>
        </row>
        <row r="873">
          <cell r="C873" t="str">
            <v>AES3</v>
          </cell>
        </row>
        <row r="874">
          <cell r="C874" t="str">
            <v>AES3</v>
          </cell>
        </row>
        <row r="875">
          <cell r="C875" t="str">
            <v>AES3</v>
          </cell>
        </row>
        <row r="876">
          <cell r="C876" t="str">
            <v>AES3</v>
          </cell>
        </row>
        <row r="877">
          <cell r="C877" t="str">
            <v>AES</v>
          </cell>
        </row>
        <row r="878">
          <cell r="C878" t="str">
            <v>LE</v>
          </cell>
          <cell r="K878">
            <v>37369.097054274018</v>
          </cell>
        </row>
        <row r="879">
          <cell r="C879" t="str">
            <v>LE</v>
          </cell>
        </row>
        <row r="880">
          <cell r="C880" t="str">
            <v>LE</v>
          </cell>
        </row>
        <row r="881">
          <cell r="C881" t="str">
            <v>TE</v>
          </cell>
          <cell r="K881">
            <v>116512.01135184469</v>
          </cell>
        </row>
        <row r="882">
          <cell r="C882" t="str">
            <v>TE</v>
          </cell>
        </row>
        <row r="883">
          <cell r="C883" t="str">
            <v>TE</v>
          </cell>
        </row>
        <row r="884">
          <cell r="C884" t="str">
            <v>RTS</v>
          </cell>
        </row>
        <row r="885">
          <cell r="C885" t="str">
            <v>PSP</v>
          </cell>
        </row>
        <row r="886">
          <cell r="C886" t="str">
            <v>PSS</v>
          </cell>
          <cell r="K886">
            <v>206745987.73112172</v>
          </cell>
        </row>
        <row r="887">
          <cell r="C887" t="str">
            <v>PSP</v>
          </cell>
        </row>
        <row r="888">
          <cell r="C888" t="str">
            <v>PSS</v>
          </cell>
        </row>
        <row r="889">
          <cell r="C889" t="str">
            <v>TODP</v>
          </cell>
          <cell r="K889">
            <v>381512521.33969343</v>
          </cell>
        </row>
        <row r="890">
          <cell r="C890" t="str">
            <v>TODS</v>
          </cell>
        </row>
        <row r="891">
          <cell r="C891" t="str">
            <v>SQF</v>
          </cell>
        </row>
        <row r="892">
          <cell r="C892" t="str">
            <v>SQF</v>
          </cell>
        </row>
        <row r="893">
          <cell r="C893" t="str">
            <v>LQF</v>
          </cell>
        </row>
        <row r="894">
          <cell r="C894" t="str">
            <v>GS</v>
          </cell>
        </row>
        <row r="895">
          <cell r="C895" t="str">
            <v>GS3</v>
          </cell>
        </row>
        <row r="896">
          <cell r="C896" t="str">
            <v>RS</v>
          </cell>
        </row>
        <row r="897">
          <cell r="C897" t="str">
            <v>RS</v>
          </cell>
        </row>
        <row r="898">
          <cell r="C898" t="str">
            <v>CSR</v>
          </cell>
        </row>
        <row r="899">
          <cell r="C899" t="str">
            <v>CSR</v>
          </cell>
        </row>
        <row r="900">
          <cell r="C900" t="str">
            <v>CSR</v>
          </cell>
        </row>
        <row r="901">
          <cell r="C901" t="str">
            <v>CSR</v>
          </cell>
        </row>
        <row r="902">
          <cell r="C902" t="str">
            <v>CSR</v>
          </cell>
        </row>
        <row r="903">
          <cell r="C903" t="str">
            <v>GS</v>
          </cell>
        </row>
        <row r="904">
          <cell r="C904" t="str">
            <v>GS</v>
          </cell>
        </row>
        <row r="905">
          <cell r="C905" t="str">
            <v>GS</v>
          </cell>
        </row>
        <row r="906">
          <cell r="C906" t="str">
            <v>GS</v>
          </cell>
        </row>
        <row r="907">
          <cell r="C907" t="str">
            <v>GS</v>
          </cell>
        </row>
        <row r="908">
          <cell r="C908" t="str">
            <v>GS</v>
          </cell>
        </row>
        <row r="909">
          <cell r="C909" t="str">
            <v>GS</v>
          </cell>
        </row>
        <row r="910">
          <cell r="C910" t="str">
            <v>GS</v>
          </cell>
        </row>
        <row r="911">
          <cell r="C911" t="str">
            <v>GS</v>
          </cell>
        </row>
        <row r="912">
          <cell r="C912" t="str">
            <v>GS</v>
          </cell>
        </row>
        <row r="913">
          <cell r="C913" t="str">
            <v>GS</v>
          </cell>
        </row>
        <row r="914">
          <cell r="C914" t="str">
            <v>GS3</v>
          </cell>
        </row>
        <row r="915">
          <cell r="C915" t="str">
            <v>GS3</v>
          </cell>
        </row>
        <row r="916">
          <cell r="C916" t="str">
            <v>RTS</v>
          </cell>
        </row>
        <row r="917">
          <cell r="C917" t="str">
            <v>RTS</v>
          </cell>
          <cell r="K917">
            <v>129687063.75810871</v>
          </cell>
        </row>
        <row r="918">
          <cell r="C918" t="str">
            <v>PSP</v>
          </cell>
        </row>
        <row r="919">
          <cell r="C919" t="str">
            <v>PSP</v>
          </cell>
        </row>
        <row r="920">
          <cell r="C920" t="str">
            <v>PSS</v>
          </cell>
        </row>
        <row r="921">
          <cell r="C921" t="str">
            <v>PSS</v>
          </cell>
        </row>
        <row r="922">
          <cell r="C922" t="str">
            <v>PSP</v>
          </cell>
        </row>
        <row r="923">
          <cell r="C923" t="str">
            <v>PSP</v>
          </cell>
        </row>
        <row r="924">
          <cell r="C924" t="str">
            <v>PSS</v>
          </cell>
        </row>
        <row r="925">
          <cell r="C925" t="str">
            <v>PSS</v>
          </cell>
        </row>
        <row r="926">
          <cell r="C926" t="str">
            <v>TODP</v>
          </cell>
        </row>
        <row r="927">
          <cell r="C927" t="str">
            <v>TODP</v>
          </cell>
        </row>
        <row r="928">
          <cell r="C928" t="str">
            <v>TODS</v>
          </cell>
        </row>
        <row r="929">
          <cell r="C929" t="str">
            <v>TODS</v>
          </cell>
        </row>
        <row r="930">
          <cell r="C930" t="str">
            <v>GS3</v>
          </cell>
        </row>
        <row r="931">
          <cell r="C931" t="str">
            <v>GS3</v>
          </cell>
        </row>
        <row r="932">
          <cell r="C932" t="str">
            <v>FLS</v>
          </cell>
          <cell r="K932">
            <v>46455195.103482999</v>
          </cell>
        </row>
        <row r="933">
          <cell r="C933" t="str">
            <v>FLS</v>
          </cell>
        </row>
        <row r="939">
          <cell r="C939" t="str">
            <v>RS</v>
          </cell>
        </row>
        <row r="940">
          <cell r="C940" t="str">
            <v>RS</v>
          </cell>
          <cell r="K940">
            <v>569946895.89519346</v>
          </cell>
        </row>
        <row r="941">
          <cell r="C941" t="str">
            <v>RS</v>
          </cell>
        </row>
        <row r="942">
          <cell r="C942" t="str">
            <v>RS</v>
          </cell>
        </row>
        <row r="943">
          <cell r="C943" t="str">
            <v>RTOD-E</v>
          </cell>
          <cell r="K943">
            <v>28493.718719622269</v>
          </cell>
        </row>
        <row r="944">
          <cell r="C944" t="str">
            <v>RTOD-D</v>
          </cell>
        </row>
        <row r="945">
          <cell r="C945" t="str">
            <v>RS</v>
          </cell>
        </row>
        <row r="946">
          <cell r="C946" t="str">
            <v>RS</v>
          </cell>
        </row>
        <row r="947">
          <cell r="C947" t="str">
            <v>RS</v>
          </cell>
        </row>
        <row r="948">
          <cell r="C948" t="str">
            <v>RS</v>
          </cell>
        </row>
        <row r="949">
          <cell r="C949" t="str">
            <v>RTS</v>
          </cell>
        </row>
        <row r="950">
          <cell r="C950" t="str">
            <v>PSP</v>
          </cell>
          <cell r="K950">
            <v>15732475.106791489</v>
          </cell>
        </row>
        <row r="951">
          <cell r="C951" t="str">
            <v>PSS</v>
          </cell>
        </row>
        <row r="952">
          <cell r="C952" t="str">
            <v>TODP</v>
          </cell>
        </row>
        <row r="953">
          <cell r="C953" t="str">
            <v>PSP</v>
          </cell>
        </row>
        <row r="954">
          <cell r="C954" t="str">
            <v>PSS</v>
          </cell>
        </row>
        <row r="955">
          <cell r="C955" t="str">
            <v>TODP</v>
          </cell>
        </row>
        <row r="956">
          <cell r="C956" t="str">
            <v>TODS</v>
          </cell>
          <cell r="K956">
            <v>150412747.67096141</v>
          </cell>
        </row>
        <row r="957">
          <cell r="C957" t="str">
            <v>TOD</v>
          </cell>
        </row>
        <row r="958">
          <cell r="C958" t="str">
            <v>MPT</v>
          </cell>
        </row>
        <row r="959">
          <cell r="C959" t="str">
            <v>MPP</v>
          </cell>
        </row>
        <row r="960">
          <cell r="C960" t="str">
            <v>LTOD</v>
          </cell>
        </row>
        <row r="961">
          <cell r="C961" t="str">
            <v>LTOD</v>
          </cell>
        </row>
        <row r="962">
          <cell r="C962" t="str">
            <v>MPP PF</v>
          </cell>
        </row>
        <row r="963">
          <cell r="C963" t="str">
            <v>MPT PF</v>
          </cell>
        </row>
        <row r="964">
          <cell r="C964" t="str">
            <v>LEV</v>
          </cell>
        </row>
        <row r="965">
          <cell r="C965" t="str">
            <v>GS</v>
          </cell>
        </row>
        <row r="966">
          <cell r="C966" t="str">
            <v>GS</v>
          </cell>
        </row>
        <row r="967">
          <cell r="C967" t="str">
            <v>GS3</v>
          </cell>
        </row>
        <row r="968">
          <cell r="C968" t="str">
            <v>GS3</v>
          </cell>
        </row>
        <row r="969">
          <cell r="C969" t="str">
            <v>LEV</v>
          </cell>
        </row>
        <row r="970">
          <cell r="C970" t="str">
            <v>CSR</v>
          </cell>
        </row>
        <row r="971">
          <cell r="C971" t="str">
            <v>CSR</v>
          </cell>
        </row>
        <row r="972">
          <cell r="C972" t="str">
            <v>CSR</v>
          </cell>
        </row>
        <row r="973">
          <cell r="C973" t="str">
            <v>CSR</v>
          </cell>
        </row>
        <row r="974">
          <cell r="C974" t="str">
            <v>CSR</v>
          </cell>
        </row>
        <row r="975">
          <cell r="C975" t="str">
            <v>CSR</v>
          </cell>
        </row>
        <row r="976">
          <cell r="C976" t="str">
            <v>CSR</v>
          </cell>
        </row>
        <row r="977">
          <cell r="C977" t="str">
            <v>CSR</v>
          </cell>
        </row>
        <row r="978">
          <cell r="C978" t="str">
            <v>LEV</v>
          </cell>
        </row>
        <row r="979">
          <cell r="C979" t="str">
            <v>LEV</v>
          </cell>
        </row>
        <row r="980">
          <cell r="C980" t="str">
            <v>GS</v>
          </cell>
        </row>
        <row r="981">
          <cell r="C981" t="str">
            <v>PSP</v>
          </cell>
        </row>
        <row r="982">
          <cell r="C982" t="str">
            <v>PSS</v>
          </cell>
        </row>
        <row r="983">
          <cell r="C983" t="str">
            <v>PSS</v>
          </cell>
        </row>
        <row r="984">
          <cell r="C984" t="str">
            <v>PSP</v>
          </cell>
        </row>
        <row r="985">
          <cell r="C985" t="str">
            <v>PSP</v>
          </cell>
        </row>
        <row r="986">
          <cell r="C986" t="str">
            <v>GS</v>
          </cell>
        </row>
        <row r="987">
          <cell r="C987" t="str">
            <v>RS</v>
          </cell>
        </row>
        <row r="988">
          <cell r="C988" t="str">
            <v>RS</v>
          </cell>
        </row>
        <row r="989">
          <cell r="C989" t="str">
            <v>GS</v>
          </cell>
          <cell r="K989">
            <v>59909053.487447366</v>
          </cell>
        </row>
        <row r="990">
          <cell r="C990" t="str">
            <v>GS</v>
          </cell>
        </row>
        <row r="991">
          <cell r="C991" t="str">
            <v>GS3</v>
          </cell>
          <cell r="K991">
            <v>88794483.672051951</v>
          </cell>
        </row>
        <row r="992">
          <cell r="C992" t="str">
            <v>AES</v>
          </cell>
          <cell r="K992">
            <v>477000</v>
          </cell>
        </row>
        <row r="993">
          <cell r="C993" t="str">
            <v>AES</v>
          </cell>
        </row>
        <row r="994">
          <cell r="C994" t="str">
            <v>AES3</v>
          </cell>
          <cell r="K994">
            <v>9701000</v>
          </cell>
        </row>
        <row r="995">
          <cell r="C995" t="str">
            <v>AES3</v>
          </cell>
        </row>
        <row r="996">
          <cell r="C996" t="str">
            <v>AES3</v>
          </cell>
        </row>
        <row r="997">
          <cell r="C997" t="str">
            <v>AES3</v>
          </cell>
        </row>
        <row r="998">
          <cell r="C998" t="str">
            <v>AES3</v>
          </cell>
        </row>
        <row r="999">
          <cell r="C999" t="str">
            <v>AES</v>
          </cell>
        </row>
        <row r="1000">
          <cell r="C1000" t="str">
            <v>LE</v>
          </cell>
          <cell r="K1000">
            <v>36873.136108390332</v>
          </cell>
        </row>
        <row r="1001">
          <cell r="C1001" t="str">
            <v>LE</v>
          </cell>
        </row>
        <row r="1002">
          <cell r="C1002" t="str">
            <v>LE</v>
          </cell>
        </row>
        <row r="1003">
          <cell r="C1003" t="str">
            <v>TE</v>
          </cell>
          <cell r="K1003">
            <v>107387.88233657608</v>
          </cell>
        </row>
        <row r="1004">
          <cell r="C1004" t="str">
            <v>TE</v>
          </cell>
        </row>
        <row r="1005">
          <cell r="C1005" t="str">
            <v>TE</v>
          </cell>
        </row>
        <row r="1006">
          <cell r="C1006" t="str">
            <v>RTS</v>
          </cell>
        </row>
        <row r="1007">
          <cell r="C1007" t="str">
            <v>PSP</v>
          </cell>
        </row>
        <row r="1008">
          <cell r="C1008" t="str">
            <v>PSS</v>
          </cell>
          <cell r="K1008">
            <v>183639756.3256999</v>
          </cell>
        </row>
        <row r="1009">
          <cell r="C1009" t="str">
            <v>PSP</v>
          </cell>
        </row>
        <row r="1010">
          <cell r="C1010" t="str">
            <v>PSS</v>
          </cell>
        </row>
        <row r="1011">
          <cell r="C1011" t="str">
            <v>TODP</v>
          </cell>
          <cell r="K1011">
            <v>323285622.61627239</v>
          </cell>
        </row>
        <row r="1012">
          <cell r="C1012" t="str">
            <v>TODS</v>
          </cell>
        </row>
        <row r="1013">
          <cell r="C1013" t="str">
            <v>SQF</v>
          </cell>
        </row>
        <row r="1014">
          <cell r="C1014" t="str">
            <v>SQF</v>
          </cell>
        </row>
        <row r="1015">
          <cell r="C1015" t="str">
            <v>LQF</v>
          </cell>
        </row>
        <row r="1016">
          <cell r="C1016" t="str">
            <v>GS</v>
          </cell>
        </row>
        <row r="1017">
          <cell r="C1017" t="str">
            <v>GS3</v>
          </cell>
        </row>
        <row r="1018">
          <cell r="C1018" t="str">
            <v>RS</v>
          </cell>
        </row>
        <row r="1019">
          <cell r="C1019" t="str">
            <v>RS</v>
          </cell>
        </row>
        <row r="1020">
          <cell r="C1020" t="str">
            <v>CSR</v>
          </cell>
        </row>
        <row r="1021">
          <cell r="C1021" t="str">
            <v>CSR</v>
          </cell>
        </row>
        <row r="1022">
          <cell r="C1022" t="str">
            <v>CSR</v>
          </cell>
        </row>
        <row r="1023">
          <cell r="C1023" t="str">
            <v>CSR</v>
          </cell>
        </row>
        <row r="1024">
          <cell r="C1024" t="str">
            <v>CSR</v>
          </cell>
        </row>
        <row r="1025">
          <cell r="C1025" t="str">
            <v>GS</v>
          </cell>
        </row>
        <row r="1026">
          <cell r="C1026" t="str">
            <v>GS</v>
          </cell>
        </row>
        <row r="1027">
          <cell r="C1027" t="str">
            <v>GS</v>
          </cell>
        </row>
        <row r="1028">
          <cell r="C1028" t="str">
            <v>GS</v>
          </cell>
        </row>
        <row r="1029">
          <cell r="C1029" t="str">
            <v>GS</v>
          </cell>
        </row>
        <row r="1030">
          <cell r="C1030" t="str">
            <v>GS</v>
          </cell>
        </row>
        <row r="1031">
          <cell r="C1031" t="str">
            <v>GS</v>
          </cell>
        </row>
        <row r="1032">
          <cell r="C1032" t="str">
            <v>GS</v>
          </cell>
        </row>
        <row r="1033">
          <cell r="C1033" t="str">
            <v>GS</v>
          </cell>
        </row>
        <row r="1034">
          <cell r="C1034" t="str">
            <v>GS</v>
          </cell>
        </row>
        <row r="1035">
          <cell r="C1035" t="str">
            <v>GS</v>
          </cell>
        </row>
        <row r="1036">
          <cell r="C1036" t="str">
            <v>GS3</v>
          </cell>
        </row>
        <row r="1037">
          <cell r="C1037" t="str">
            <v>GS3</v>
          </cell>
        </row>
        <row r="1038">
          <cell r="C1038" t="str">
            <v>RTS</v>
          </cell>
        </row>
        <row r="1039">
          <cell r="C1039" t="str">
            <v>RTS</v>
          </cell>
          <cell r="K1039">
            <v>111979737.34417948</v>
          </cell>
        </row>
        <row r="1040">
          <cell r="C1040" t="str">
            <v>PSP</v>
          </cell>
        </row>
        <row r="1041">
          <cell r="C1041" t="str">
            <v>PSP</v>
          </cell>
        </row>
        <row r="1042">
          <cell r="C1042" t="str">
            <v>PSS</v>
          </cell>
        </row>
        <row r="1043">
          <cell r="C1043" t="str">
            <v>PSS</v>
          </cell>
        </row>
        <row r="1044">
          <cell r="C1044" t="str">
            <v>PSP</v>
          </cell>
        </row>
        <row r="1045">
          <cell r="C1045" t="str">
            <v>PSP</v>
          </cell>
        </row>
        <row r="1046">
          <cell r="C1046" t="str">
            <v>PSS</v>
          </cell>
        </row>
        <row r="1047">
          <cell r="C1047" t="str">
            <v>PSS</v>
          </cell>
        </row>
        <row r="1048">
          <cell r="C1048" t="str">
            <v>TODP</v>
          </cell>
        </row>
        <row r="1049">
          <cell r="C1049" t="str">
            <v>TODP</v>
          </cell>
        </row>
        <row r="1050">
          <cell r="C1050" t="str">
            <v>TODS</v>
          </cell>
        </row>
        <row r="1051">
          <cell r="C1051" t="str">
            <v>TODS</v>
          </cell>
        </row>
        <row r="1052">
          <cell r="C1052" t="str">
            <v>GS3</v>
          </cell>
        </row>
        <row r="1053">
          <cell r="C1053" t="str">
            <v>GS3</v>
          </cell>
        </row>
        <row r="1054">
          <cell r="C1054" t="str">
            <v>FLS</v>
          </cell>
          <cell r="K1054">
            <v>46738188.728823803</v>
          </cell>
        </row>
        <row r="1055">
          <cell r="C1055" t="str">
            <v>FLS</v>
          </cell>
        </row>
        <row r="1061">
          <cell r="C1061" t="str">
            <v>RS</v>
          </cell>
        </row>
        <row r="1062">
          <cell r="C1062" t="str">
            <v>RS</v>
          </cell>
          <cell r="K1062">
            <v>419057958.94622535</v>
          </cell>
        </row>
        <row r="1063">
          <cell r="C1063" t="str">
            <v>RS</v>
          </cell>
        </row>
        <row r="1064">
          <cell r="C1064" t="str">
            <v>RS</v>
          </cell>
        </row>
        <row r="1065">
          <cell r="C1065" t="str">
            <v>RTOD-E</v>
          </cell>
          <cell r="K1065">
            <v>21528.40945077801</v>
          </cell>
        </row>
        <row r="1066">
          <cell r="C1066" t="str">
            <v>RTOD-D</v>
          </cell>
        </row>
        <row r="1067">
          <cell r="C1067" t="str">
            <v>RS</v>
          </cell>
        </row>
        <row r="1068">
          <cell r="C1068" t="str">
            <v>RS</v>
          </cell>
        </row>
        <row r="1069">
          <cell r="C1069" t="str">
            <v>RS</v>
          </cell>
        </row>
        <row r="1070">
          <cell r="C1070" t="str">
            <v>RS</v>
          </cell>
        </row>
        <row r="1071">
          <cell r="C1071" t="str">
            <v>RTS</v>
          </cell>
        </row>
        <row r="1072">
          <cell r="C1072" t="str">
            <v>PSP</v>
          </cell>
          <cell r="K1072">
            <v>13331365.88108341</v>
          </cell>
        </row>
        <row r="1073">
          <cell r="C1073" t="str">
            <v>PSS</v>
          </cell>
        </row>
        <row r="1074">
          <cell r="C1074" t="str">
            <v>TODP</v>
          </cell>
        </row>
        <row r="1075">
          <cell r="C1075" t="str">
            <v>PSP</v>
          </cell>
        </row>
        <row r="1076">
          <cell r="C1076" t="str">
            <v>PSS</v>
          </cell>
        </row>
        <row r="1077">
          <cell r="C1077" t="str">
            <v>TODP</v>
          </cell>
        </row>
        <row r="1078">
          <cell r="C1078" t="str">
            <v>TODS</v>
          </cell>
          <cell r="K1078">
            <v>132958193.11196809</v>
          </cell>
        </row>
        <row r="1079">
          <cell r="C1079" t="str">
            <v>TOD</v>
          </cell>
        </row>
        <row r="1080">
          <cell r="C1080" t="str">
            <v>MPT</v>
          </cell>
        </row>
        <row r="1081">
          <cell r="C1081" t="str">
            <v>MPP</v>
          </cell>
        </row>
        <row r="1082">
          <cell r="C1082" t="str">
            <v>LTOD</v>
          </cell>
        </row>
        <row r="1083">
          <cell r="C1083" t="str">
            <v>LTOD</v>
          </cell>
        </row>
        <row r="1084">
          <cell r="C1084" t="str">
            <v>MPP PF</v>
          </cell>
        </row>
        <row r="1085">
          <cell r="C1085" t="str">
            <v>MPT PF</v>
          </cell>
        </row>
        <row r="1086">
          <cell r="C1086" t="str">
            <v>LEV</v>
          </cell>
        </row>
        <row r="1087">
          <cell r="C1087" t="str">
            <v>GS</v>
          </cell>
        </row>
        <row r="1088">
          <cell r="C1088" t="str">
            <v>GS</v>
          </cell>
        </row>
        <row r="1089">
          <cell r="C1089" t="str">
            <v>GS3</v>
          </cell>
        </row>
        <row r="1090">
          <cell r="C1090" t="str">
            <v>GS3</v>
          </cell>
        </row>
        <row r="1091">
          <cell r="C1091" t="str">
            <v>LEV</v>
          </cell>
        </row>
        <row r="1092">
          <cell r="C1092" t="str">
            <v>CSR</v>
          </cell>
        </row>
        <row r="1093">
          <cell r="C1093" t="str">
            <v>CSR</v>
          </cell>
        </row>
        <row r="1094">
          <cell r="C1094" t="str">
            <v>CSR</v>
          </cell>
        </row>
        <row r="1095">
          <cell r="C1095" t="str">
            <v>CSR</v>
          </cell>
        </row>
        <row r="1096">
          <cell r="C1096" t="str">
            <v>CSR</v>
          </cell>
        </row>
        <row r="1097">
          <cell r="C1097" t="str">
            <v>CSR</v>
          </cell>
        </row>
        <row r="1098">
          <cell r="C1098" t="str">
            <v>CSR</v>
          </cell>
        </row>
        <row r="1099">
          <cell r="C1099" t="str">
            <v>CSR</v>
          </cell>
        </row>
        <row r="1100">
          <cell r="C1100" t="str">
            <v>LEV</v>
          </cell>
        </row>
        <row r="1101">
          <cell r="C1101" t="str">
            <v>LEV</v>
          </cell>
        </row>
        <row r="1102">
          <cell r="C1102" t="str">
            <v>GS</v>
          </cell>
        </row>
        <row r="1103">
          <cell r="C1103" t="str">
            <v>PSP</v>
          </cell>
        </row>
        <row r="1104">
          <cell r="C1104" t="str">
            <v>PSS</v>
          </cell>
        </row>
        <row r="1105">
          <cell r="C1105" t="str">
            <v>PSS</v>
          </cell>
        </row>
        <row r="1106">
          <cell r="C1106" t="str">
            <v>PSP</v>
          </cell>
        </row>
        <row r="1107">
          <cell r="C1107" t="str">
            <v>PSP</v>
          </cell>
        </row>
        <row r="1108">
          <cell r="C1108" t="str">
            <v>GS</v>
          </cell>
        </row>
        <row r="1109">
          <cell r="C1109" t="str">
            <v>RS</v>
          </cell>
        </row>
        <row r="1110">
          <cell r="C1110" t="str">
            <v>RS</v>
          </cell>
        </row>
        <row r="1111">
          <cell r="C1111" t="str">
            <v>GS</v>
          </cell>
          <cell r="K1111">
            <v>54052188.097867072</v>
          </cell>
        </row>
        <row r="1112">
          <cell r="C1112" t="str">
            <v>GS</v>
          </cell>
        </row>
        <row r="1113">
          <cell r="C1113" t="str">
            <v>GS3</v>
          </cell>
          <cell r="K1113">
            <v>83271225.000115886</v>
          </cell>
        </row>
        <row r="1114">
          <cell r="C1114" t="str">
            <v>AES</v>
          </cell>
          <cell r="K1114">
            <v>521000</v>
          </cell>
        </row>
        <row r="1115">
          <cell r="C1115" t="str">
            <v>AES</v>
          </cell>
        </row>
        <row r="1116">
          <cell r="C1116" t="str">
            <v>AES3</v>
          </cell>
          <cell r="K1116">
            <v>10592000</v>
          </cell>
        </row>
        <row r="1117">
          <cell r="C1117" t="str">
            <v>AES3</v>
          </cell>
        </row>
        <row r="1118">
          <cell r="C1118" t="str">
            <v>AES3</v>
          </cell>
        </row>
        <row r="1119">
          <cell r="C1119" t="str">
            <v>AES3</v>
          </cell>
        </row>
        <row r="1120">
          <cell r="C1120" t="str">
            <v>AES3</v>
          </cell>
        </row>
        <row r="1121">
          <cell r="C1121" t="str">
            <v>AES</v>
          </cell>
        </row>
        <row r="1122">
          <cell r="C1122" t="str">
            <v>LE</v>
          </cell>
          <cell r="K1122">
            <v>41987.15172469052</v>
          </cell>
        </row>
        <row r="1123">
          <cell r="C1123" t="str">
            <v>LE</v>
          </cell>
        </row>
        <row r="1124">
          <cell r="C1124" t="str">
            <v>LE</v>
          </cell>
        </row>
        <row r="1125">
          <cell r="C1125" t="str">
            <v>TE</v>
          </cell>
          <cell r="K1125">
            <v>117147.25571744112</v>
          </cell>
        </row>
        <row r="1126">
          <cell r="C1126" t="str">
            <v>TE</v>
          </cell>
        </row>
        <row r="1127">
          <cell r="C1127" t="str">
            <v>TE</v>
          </cell>
        </row>
        <row r="1128">
          <cell r="C1128" t="str">
            <v>RTS</v>
          </cell>
        </row>
        <row r="1129">
          <cell r="C1129" t="str">
            <v>PSP</v>
          </cell>
        </row>
        <row r="1130">
          <cell r="C1130" t="str">
            <v>PSS</v>
          </cell>
          <cell r="K1130">
            <v>180935926.02177373</v>
          </cell>
        </row>
        <row r="1131">
          <cell r="C1131" t="str">
            <v>PSP</v>
          </cell>
        </row>
        <row r="1132">
          <cell r="C1132" t="str">
            <v>PSS</v>
          </cell>
        </row>
        <row r="1133">
          <cell r="C1133" t="str">
            <v>TODP</v>
          </cell>
          <cell r="K1133">
            <v>338904319.41432756</v>
          </cell>
        </row>
        <row r="1134">
          <cell r="C1134" t="str">
            <v>TODS</v>
          </cell>
        </row>
        <row r="1135">
          <cell r="C1135" t="str">
            <v>SQF</v>
          </cell>
        </row>
        <row r="1136">
          <cell r="C1136" t="str">
            <v>SQF</v>
          </cell>
        </row>
        <row r="1137">
          <cell r="C1137" t="str">
            <v>LQF</v>
          </cell>
        </row>
        <row r="1138">
          <cell r="C1138" t="str">
            <v>GS</v>
          </cell>
        </row>
        <row r="1139">
          <cell r="C1139" t="str">
            <v>GS3</v>
          </cell>
        </row>
        <row r="1140">
          <cell r="C1140" t="str">
            <v>RS</v>
          </cell>
        </row>
        <row r="1141">
          <cell r="C1141" t="str">
            <v>RS</v>
          </cell>
        </row>
        <row r="1142">
          <cell r="C1142" t="str">
            <v>CSR</v>
          </cell>
        </row>
        <row r="1143">
          <cell r="C1143" t="str">
            <v>CSR</v>
          </cell>
        </row>
        <row r="1144">
          <cell r="C1144" t="str">
            <v>CSR</v>
          </cell>
        </row>
        <row r="1145">
          <cell r="C1145" t="str">
            <v>CSR</v>
          </cell>
        </row>
        <row r="1146">
          <cell r="C1146" t="str">
            <v>CSR</v>
          </cell>
        </row>
        <row r="1147">
          <cell r="C1147" t="str">
            <v>GS</v>
          </cell>
        </row>
        <row r="1148">
          <cell r="C1148" t="str">
            <v>GS</v>
          </cell>
        </row>
        <row r="1149">
          <cell r="C1149" t="str">
            <v>GS</v>
          </cell>
        </row>
        <row r="1150">
          <cell r="C1150" t="str">
            <v>GS</v>
          </cell>
        </row>
        <row r="1151">
          <cell r="C1151" t="str">
            <v>GS</v>
          </cell>
        </row>
        <row r="1152">
          <cell r="C1152" t="str">
            <v>GS</v>
          </cell>
        </row>
        <row r="1153">
          <cell r="C1153" t="str">
            <v>GS</v>
          </cell>
        </row>
        <row r="1154">
          <cell r="C1154" t="str">
            <v>GS</v>
          </cell>
        </row>
        <row r="1155">
          <cell r="C1155" t="str">
            <v>GS</v>
          </cell>
        </row>
        <row r="1156">
          <cell r="C1156" t="str">
            <v>GS</v>
          </cell>
        </row>
        <row r="1157">
          <cell r="C1157" t="str">
            <v>GS</v>
          </cell>
        </row>
        <row r="1158">
          <cell r="C1158" t="str">
            <v>GS3</v>
          </cell>
        </row>
        <row r="1159">
          <cell r="C1159" t="str">
            <v>GS3</v>
          </cell>
        </row>
        <row r="1160">
          <cell r="C1160" t="str">
            <v>RTS</v>
          </cell>
        </row>
        <row r="1161">
          <cell r="C1161" t="str">
            <v>RTS</v>
          </cell>
          <cell r="K1161">
            <v>124634979.18482535</v>
          </cell>
        </row>
        <row r="1162">
          <cell r="C1162" t="str">
            <v>PSP</v>
          </cell>
        </row>
        <row r="1163">
          <cell r="C1163" t="str">
            <v>PSP</v>
          </cell>
        </row>
        <row r="1164">
          <cell r="C1164" t="str">
            <v>PSS</v>
          </cell>
        </row>
        <row r="1165">
          <cell r="C1165" t="str">
            <v>PSS</v>
          </cell>
        </row>
        <row r="1166">
          <cell r="C1166" t="str">
            <v>PSP</v>
          </cell>
        </row>
        <row r="1167">
          <cell r="C1167" t="str">
            <v>PSP</v>
          </cell>
        </row>
        <row r="1168">
          <cell r="C1168" t="str">
            <v>PSS</v>
          </cell>
        </row>
        <row r="1169">
          <cell r="C1169" t="str">
            <v>PSS</v>
          </cell>
        </row>
        <row r="1170">
          <cell r="C1170" t="str">
            <v>TODP</v>
          </cell>
        </row>
        <row r="1171">
          <cell r="C1171" t="str">
            <v>TODP</v>
          </cell>
        </row>
        <row r="1172">
          <cell r="C1172" t="str">
            <v>TODS</v>
          </cell>
        </row>
        <row r="1173">
          <cell r="C1173" t="str">
            <v>TODS</v>
          </cell>
        </row>
        <row r="1174">
          <cell r="C1174" t="str">
            <v>GS3</v>
          </cell>
        </row>
        <row r="1175">
          <cell r="C1175" t="str">
            <v>GS3</v>
          </cell>
        </row>
        <row r="1176">
          <cell r="C1176" t="str">
            <v>FLS</v>
          </cell>
          <cell r="K1176">
            <v>47163116.536751904</v>
          </cell>
        </row>
        <row r="1177">
          <cell r="C1177" t="str">
            <v>FLS</v>
          </cell>
        </row>
        <row r="1183">
          <cell r="C1183" t="str">
            <v>RS</v>
          </cell>
        </row>
        <row r="1184">
          <cell r="C1184" t="str">
            <v>RS</v>
          </cell>
          <cell r="K1184">
            <v>361122074.30423146</v>
          </cell>
        </row>
        <row r="1185">
          <cell r="C1185" t="str">
            <v>RS</v>
          </cell>
        </row>
        <row r="1186">
          <cell r="C1186" t="str">
            <v>RS</v>
          </cell>
        </row>
        <row r="1187">
          <cell r="C1187" t="str">
            <v>RTOD-E</v>
          </cell>
          <cell r="K1187">
            <v>19032.144537139611</v>
          </cell>
        </row>
        <row r="1188">
          <cell r="C1188" t="str">
            <v>RTOD-D</v>
          </cell>
        </row>
        <row r="1189">
          <cell r="C1189" t="str">
            <v>RS</v>
          </cell>
        </row>
        <row r="1190">
          <cell r="C1190" t="str">
            <v>RS</v>
          </cell>
        </row>
        <row r="1191">
          <cell r="C1191" t="str">
            <v>RS</v>
          </cell>
        </row>
        <row r="1192">
          <cell r="C1192" t="str">
            <v>RS</v>
          </cell>
        </row>
        <row r="1193">
          <cell r="C1193" t="str">
            <v>RTS</v>
          </cell>
        </row>
        <row r="1194">
          <cell r="C1194" t="str">
            <v>PSP</v>
          </cell>
          <cell r="K1194">
            <v>13975435.852137227</v>
          </cell>
        </row>
        <row r="1195">
          <cell r="C1195" t="str">
            <v>PSS</v>
          </cell>
        </row>
        <row r="1196">
          <cell r="C1196" t="str">
            <v>TODP</v>
          </cell>
        </row>
        <row r="1197">
          <cell r="C1197" t="str">
            <v>PSP</v>
          </cell>
        </row>
        <row r="1198">
          <cell r="C1198" t="str">
            <v>PSS</v>
          </cell>
        </row>
        <row r="1199">
          <cell r="C1199" t="str">
            <v>TODP</v>
          </cell>
        </row>
        <row r="1200">
          <cell r="C1200" t="str">
            <v>TODS</v>
          </cell>
          <cell r="K1200">
            <v>140186468.13315609</v>
          </cell>
        </row>
        <row r="1201">
          <cell r="C1201" t="str">
            <v>TOD</v>
          </cell>
        </row>
        <row r="1202">
          <cell r="C1202" t="str">
            <v>MPT</v>
          </cell>
        </row>
        <row r="1203">
          <cell r="C1203" t="str">
            <v>MPP</v>
          </cell>
        </row>
        <row r="1204">
          <cell r="C1204" t="str">
            <v>LTOD</v>
          </cell>
        </row>
        <row r="1205">
          <cell r="C1205" t="str">
            <v>LTOD</v>
          </cell>
        </row>
        <row r="1206">
          <cell r="C1206" t="str">
            <v>MPP PF</v>
          </cell>
        </row>
        <row r="1207">
          <cell r="C1207" t="str">
            <v>MPT PF</v>
          </cell>
        </row>
        <row r="1208">
          <cell r="C1208" t="str">
            <v>LEV</v>
          </cell>
        </row>
        <row r="1209">
          <cell r="C1209" t="str">
            <v>GS</v>
          </cell>
        </row>
        <row r="1210">
          <cell r="C1210" t="str">
            <v>GS</v>
          </cell>
        </row>
        <row r="1211">
          <cell r="C1211" t="str">
            <v>GS3</v>
          </cell>
        </row>
        <row r="1212">
          <cell r="C1212" t="str">
            <v>GS3</v>
          </cell>
        </row>
        <row r="1213">
          <cell r="C1213" t="str">
            <v>LEV</v>
          </cell>
        </row>
        <row r="1214">
          <cell r="C1214" t="str">
            <v>CSR</v>
          </cell>
        </row>
        <row r="1215">
          <cell r="C1215" t="str">
            <v>CSR</v>
          </cell>
        </row>
        <row r="1216">
          <cell r="C1216" t="str">
            <v>CSR</v>
          </cell>
        </row>
        <row r="1217">
          <cell r="C1217" t="str">
            <v>CSR</v>
          </cell>
        </row>
        <row r="1218">
          <cell r="C1218" t="str">
            <v>CSR</v>
          </cell>
        </row>
        <row r="1219">
          <cell r="C1219" t="str">
            <v>CSR</v>
          </cell>
        </row>
        <row r="1220">
          <cell r="C1220" t="str">
            <v>CSR</v>
          </cell>
        </row>
        <row r="1221">
          <cell r="C1221" t="str">
            <v>CSR</v>
          </cell>
        </row>
        <row r="1222">
          <cell r="C1222" t="str">
            <v>LEV</v>
          </cell>
        </row>
        <row r="1223">
          <cell r="C1223" t="str">
            <v>LEV</v>
          </cell>
        </row>
        <row r="1224">
          <cell r="C1224" t="str">
            <v>GS</v>
          </cell>
        </row>
        <row r="1225">
          <cell r="C1225" t="str">
            <v>PSP</v>
          </cell>
        </row>
        <row r="1226">
          <cell r="C1226" t="str">
            <v>PSS</v>
          </cell>
        </row>
        <row r="1227">
          <cell r="C1227" t="str">
            <v>PSS</v>
          </cell>
        </row>
        <row r="1228">
          <cell r="C1228" t="str">
            <v>PSP</v>
          </cell>
        </row>
        <row r="1229">
          <cell r="C1229" t="str">
            <v>PSP</v>
          </cell>
        </row>
        <row r="1230">
          <cell r="C1230" t="str">
            <v>GS</v>
          </cell>
        </row>
        <row r="1231">
          <cell r="C1231" t="str">
            <v>RS</v>
          </cell>
        </row>
        <row r="1232">
          <cell r="C1232" t="str">
            <v>RS</v>
          </cell>
        </row>
        <row r="1233">
          <cell r="C1233" t="str">
            <v>GS</v>
          </cell>
          <cell r="K1233">
            <v>54242795.903693855</v>
          </cell>
        </row>
        <row r="1234">
          <cell r="C1234" t="str">
            <v>GS</v>
          </cell>
        </row>
        <row r="1235">
          <cell r="C1235" t="str">
            <v>GS3</v>
          </cell>
          <cell r="K1235">
            <v>78819352.802513227</v>
          </cell>
        </row>
        <row r="1236">
          <cell r="C1236" t="str">
            <v>AES</v>
          </cell>
          <cell r="K1236">
            <v>605000</v>
          </cell>
        </row>
        <row r="1237">
          <cell r="C1237" t="str">
            <v>AES</v>
          </cell>
        </row>
        <row r="1238">
          <cell r="C1238" t="str">
            <v>AES3</v>
          </cell>
          <cell r="K1238">
            <v>12300000</v>
          </cell>
        </row>
        <row r="1239">
          <cell r="C1239" t="str">
            <v>AES3</v>
          </cell>
        </row>
        <row r="1240">
          <cell r="C1240" t="str">
            <v>AES3</v>
          </cell>
        </row>
        <row r="1241">
          <cell r="C1241" t="str">
            <v>AES3</v>
          </cell>
        </row>
        <row r="1242">
          <cell r="C1242" t="str">
            <v>AES3</v>
          </cell>
        </row>
        <row r="1243">
          <cell r="C1243" t="str">
            <v>AES</v>
          </cell>
        </row>
        <row r="1244">
          <cell r="C1244" t="str">
            <v>LE</v>
          </cell>
          <cell r="K1244">
            <v>50090.764433614298</v>
          </cell>
        </row>
        <row r="1245">
          <cell r="C1245" t="str">
            <v>LE</v>
          </cell>
        </row>
        <row r="1246">
          <cell r="C1246" t="str">
            <v>LE</v>
          </cell>
        </row>
        <row r="1247">
          <cell r="C1247" t="str">
            <v>TE</v>
          </cell>
          <cell r="K1247">
            <v>128553.97199665004</v>
          </cell>
        </row>
        <row r="1248">
          <cell r="C1248" t="str">
            <v>TE</v>
          </cell>
        </row>
        <row r="1249">
          <cell r="C1249" t="str">
            <v>TE</v>
          </cell>
        </row>
        <row r="1250">
          <cell r="C1250" t="str">
            <v>RTS</v>
          </cell>
        </row>
        <row r="1251">
          <cell r="C1251" t="str">
            <v>PSP</v>
          </cell>
        </row>
        <row r="1252">
          <cell r="C1252" t="str">
            <v>PSS</v>
          </cell>
          <cell r="K1252">
            <v>169713757.87580806</v>
          </cell>
        </row>
        <row r="1253">
          <cell r="C1253" t="str">
            <v>PSP</v>
          </cell>
        </row>
        <row r="1254">
          <cell r="C1254" t="str">
            <v>PSS</v>
          </cell>
        </row>
        <row r="1255">
          <cell r="C1255" t="str">
            <v>TODP</v>
          </cell>
          <cell r="K1255">
            <v>346339180.6060186</v>
          </cell>
        </row>
        <row r="1256">
          <cell r="C1256" t="str">
            <v>TODS</v>
          </cell>
        </row>
        <row r="1257">
          <cell r="C1257" t="str">
            <v>SQF</v>
          </cell>
        </row>
        <row r="1258">
          <cell r="C1258" t="str">
            <v>SQF</v>
          </cell>
        </row>
        <row r="1259">
          <cell r="C1259" t="str">
            <v>LQF</v>
          </cell>
        </row>
        <row r="1260">
          <cell r="C1260" t="str">
            <v>GS</v>
          </cell>
        </row>
        <row r="1261">
          <cell r="C1261" t="str">
            <v>GS3</v>
          </cell>
        </row>
        <row r="1262">
          <cell r="C1262" t="str">
            <v>RS</v>
          </cell>
        </row>
        <row r="1263">
          <cell r="C1263" t="str">
            <v>RS</v>
          </cell>
        </row>
        <row r="1264">
          <cell r="C1264" t="str">
            <v>CSR</v>
          </cell>
        </row>
        <row r="1265">
          <cell r="C1265" t="str">
            <v>CSR</v>
          </cell>
        </row>
        <row r="1266">
          <cell r="C1266" t="str">
            <v>CSR</v>
          </cell>
        </row>
        <row r="1267">
          <cell r="C1267" t="str">
            <v>CSR</v>
          </cell>
        </row>
        <row r="1268">
          <cell r="C1268" t="str">
            <v>CSR</v>
          </cell>
        </row>
        <row r="1269">
          <cell r="C1269" t="str">
            <v>GS</v>
          </cell>
        </row>
        <row r="1270">
          <cell r="C1270" t="str">
            <v>GS</v>
          </cell>
        </row>
        <row r="1271">
          <cell r="C1271" t="str">
            <v>GS</v>
          </cell>
        </row>
        <row r="1272">
          <cell r="C1272" t="str">
            <v>GS</v>
          </cell>
        </row>
        <row r="1273">
          <cell r="C1273" t="str">
            <v>GS</v>
          </cell>
        </row>
        <row r="1274">
          <cell r="C1274" t="str">
            <v>GS</v>
          </cell>
        </row>
        <row r="1275">
          <cell r="C1275" t="str">
            <v>GS</v>
          </cell>
        </row>
        <row r="1276">
          <cell r="C1276" t="str">
            <v>GS</v>
          </cell>
        </row>
        <row r="1277">
          <cell r="C1277" t="str">
            <v>GS</v>
          </cell>
        </row>
        <row r="1278">
          <cell r="C1278" t="str">
            <v>GS</v>
          </cell>
        </row>
        <row r="1279">
          <cell r="C1279" t="str">
            <v>GS</v>
          </cell>
        </row>
        <row r="1280">
          <cell r="C1280" t="str">
            <v>GS3</v>
          </cell>
        </row>
        <row r="1281">
          <cell r="C1281" t="str">
            <v>GS3</v>
          </cell>
        </row>
        <row r="1282">
          <cell r="C1282" t="str">
            <v>RTS</v>
          </cell>
        </row>
        <row r="1283">
          <cell r="C1283" t="str">
            <v>RTS</v>
          </cell>
          <cell r="K1283">
            <v>128966898.62774912</v>
          </cell>
        </row>
        <row r="1284">
          <cell r="C1284" t="str">
            <v>PSP</v>
          </cell>
        </row>
        <row r="1285">
          <cell r="C1285" t="str">
            <v>PSP</v>
          </cell>
        </row>
        <row r="1286">
          <cell r="C1286" t="str">
            <v>PSS</v>
          </cell>
        </row>
        <row r="1287">
          <cell r="C1287" t="str">
            <v>PSS</v>
          </cell>
        </row>
        <row r="1288">
          <cell r="C1288" t="str">
            <v>PSP</v>
          </cell>
        </row>
        <row r="1289">
          <cell r="C1289" t="str">
            <v>PSP</v>
          </cell>
        </row>
        <row r="1290">
          <cell r="C1290" t="str">
            <v>PSS</v>
          </cell>
        </row>
        <row r="1291">
          <cell r="C1291" t="str">
            <v>PSS</v>
          </cell>
        </row>
        <row r="1292">
          <cell r="C1292" t="str">
            <v>TODP</v>
          </cell>
        </row>
        <row r="1293">
          <cell r="C1293" t="str">
            <v>TODP</v>
          </cell>
        </row>
        <row r="1294">
          <cell r="C1294" t="str">
            <v>TODS</v>
          </cell>
        </row>
        <row r="1295">
          <cell r="C1295" t="str">
            <v>TODS</v>
          </cell>
        </row>
        <row r="1296">
          <cell r="C1296" t="str">
            <v>GS3</v>
          </cell>
        </row>
        <row r="1297">
          <cell r="C1297" t="str">
            <v>GS3</v>
          </cell>
        </row>
        <row r="1298">
          <cell r="C1298" t="str">
            <v>FLS</v>
          </cell>
          <cell r="K1298">
            <v>45730937.483929999</v>
          </cell>
        </row>
        <row r="1299">
          <cell r="C1299" t="str">
            <v>FLS</v>
          </cell>
        </row>
        <row r="1305">
          <cell r="C1305" t="str">
            <v>RS</v>
          </cell>
        </row>
        <row r="1306">
          <cell r="C1306" t="str">
            <v>RS</v>
          </cell>
          <cell r="K1306">
            <v>456877357.94351453</v>
          </cell>
        </row>
        <row r="1307">
          <cell r="C1307" t="str">
            <v>RS</v>
          </cell>
        </row>
        <row r="1308">
          <cell r="C1308" t="str">
            <v>RS</v>
          </cell>
        </row>
        <row r="1309">
          <cell r="C1309" t="str">
            <v>RTOD-E</v>
          </cell>
          <cell r="K1309">
            <v>24684.149398597205</v>
          </cell>
        </row>
        <row r="1310">
          <cell r="C1310" t="str">
            <v>RTOD-D</v>
          </cell>
        </row>
        <row r="1311">
          <cell r="C1311" t="str">
            <v>RS</v>
          </cell>
        </row>
        <row r="1312">
          <cell r="C1312" t="str">
            <v>RS</v>
          </cell>
        </row>
        <row r="1313">
          <cell r="C1313" t="str">
            <v>RS</v>
          </cell>
        </row>
        <row r="1314">
          <cell r="C1314" t="str">
            <v>RS</v>
          </cell>
        </row>
        <row r="1315">
          <cell r="C1315" t="str">
            <v>RTS</v>
          </cell>
        </row>
        <row r="1316">
          <cell r="C1316" t="str">
            <v>PSP</v>
          </cell>
          <cell r="K1316">
            <v>14282028.066227578</v>
          </cell>
        </row>
        <row r="1317">
          <cell r="C1317" t="str">
            <v>PSS</v>
          </cell>
        </row>
        <row r="1318">
          <cell r="C1318" t="str">
            <v>TODP</v>
          </cell>
        </row>
        <row r="1319">
          <cell r="C1319" t="str">
            <v>PSP</v>
          </cell>
        </row>
        <row r="1320">
          <cell r="C1320" t="str">
            <v>PSS</v>
          </cell>
        </row>
        <row r="1321">
          <cell r="C1321" t="str">
            <v>TODP</v>
          </cell>
        </row>
        <row r="1322">
          <cell r="C1322" t="str">
            <v>TODS</v>
          </cell>
          <cell r="K1322">
            <v>142849344.65883482</v>
          </cell>
        </row>
        <row r="1323">
          <cell r="C1323" t="str">
            <v>TOD</v>
          </cell>
        </row>
        <row r="1324">
          <cell r="C1324" t="str">
            <v>MPT</v>
          </cell>
        </row>
        <row r="1325">
          <cell r="C1325" t="str">
            <v>MPP</v>
          </cell>
        </row>
        <row r="1326">
          <cell r="C1326" t="str">
            <v>LTOD</v>
          </cell>
        </row>
        <row r="1327">
          <cell r="C1327" t="str">
            <v>LTOD</v>
          </cell>
        </row>
        <row r="1328">
          <cell r="C1328" t="str">
            <v>MPP PF</v>
          </cell>
        </row>
        <row r="1329">
          <cell r="C1329" t="str">
            <v>MPT PF</v>
          </cell>
        </row>
        <row r="1330">
          <cell r="C1330" t="str">
            <v>LEV</v>
          </cell>
        </row>
        <row r="1331">
          <cell r="C1331" t="str">
            <v>GS</v>
          </cell>
        </row>
        <row r="1332">
          <cell r="C1332" t="str">
            <v>GS</v>
          </cell>
        </row>
        <row r="1333">
          <cell r="C1333" t="str">
            <v>GS3</v>
          </cell>
        </row>
        <row r="1334">
          <cell r="C1334" t="str">
            <v>GS3</v>
          </cell>
        </row>
        <row r="1335">
          <cell r="C1335" t="str">
            <v>LEV</v>
          </cell>
        </row>
        <row r="1336">
          <cell r="C1336" t="str">
            <v>CSR</v>
          </cell>
        </row>
        <row r="1337">
          <cell r="C1337" t="str">
            <v>CSR</v>
          </cell>
        </row>
        <row r="1338">
          <cell r="C1338" t="str">
            <v>CSR</v>
          </cell>
        </row>
        <row r="1339">
          <cell r="C1339" t="str">
            <v>CSR</v>
          </cell>
        </row>
        <row r="1340">
          <cell r="C1340" t="str">
            <v>CSR</v>
          </cell>
        </row>
        <row r="1341">
          <cell r="C1341" t="str">
            <v>CSR</v>
          </cell>
        </row>
        <row r="1342">
          <cell r="C1342" t="str">
            <v>CSR</v>
          </cell>
        </row>
        <row r="1343">
          <cell r="C1343" t="str">
            <v>CSR</v>
          </cell>
        </row>
        <row r="1344">
          <cell r="C1344" t="str">
            <v>LEV</v>
          </cell>
        </row>
        <row r="1345">
          <cell r="C1345" t="str">
            <v>LEV</v>
          </cell>
        </row>
        <row r="1346">
          <cell r="C1346" t="str">
            <v>GS</v>
          </cell>
        </row>
        <row r="1347">
          <cell r="C1347" t="str">
            <v>PSP</v>
          </cell>
        </row>
        <row r="1348">
          <cell r="C1348" t="str">
            <v>PSS</v>
          </cell>
        </row>
        <row r="1349">
          <cell r="C1349" t="str">
            <v>PSS</v>
          </cell>
        </row>
        <row r="1350">
          <cell r="C1350" t="str">
            <v>PSP</v>
          </cell>
        </row>
        <row r="1351">
          <cell r="C1351" t="str">
            <v>PSP</v>
          </cell>
        </row>
        <row r="1352">
          <cell r="C1352" t="str">
            <v>GS</v>
          </cell>
        </row>
        <row r="1353">
          <cell r="C1353" t="str">
            <v>RS</v>
          </cell>
        </row>
        <row r="1354">
          <cell r="C1354" t="str">
            <v>RS</v>
          </cell>
        </row>
        <row r="1355">
          <cell r="C1355" t="str">
            <v>GS</v>
          </cell>
          <cell r="K1355">
            <v>79580535.01830551</v>
          </cell>
        </row>
        <row r="1356">
          <cell r="C1356" t="str">
            <v>GS</v>
          </cell>
        </row>
        <row r="1357">
          <cell r="C1357" t="str">
            <v>GS3</v>
          </cell>
          <cell r="K1357">
            <v>86182211.971874446</v>
          </cell>
        </row>
        <row r="1358">
          <cell r="C1358" t="str">
            <v>AES</v>
          </cell>
          <cell r="K1358">
            <v>677000</v>
          </cell>
        </row>
        <row r="1359">
          <cell r="C1359" t="str">
            <v>AES</v>
          </cell>
        </row>
        <row r="1360">
          <cell r="C1360" t="str">
            <v>AES3</v>
          </cell>
          <cell r="K1360">
            <v>13749000</v>
          </cell>
        </row>
        <row r="1361">
          <cell r="C1361" t="str">
            <v>AES3</v>
          </cell>
        </row>
        <row r="1362">
          <cell r="C1362" t="str">
            <v>AES3</v>
          </cell>
        </row>
        <row r="1363">
          <cell r="C1363" t="str">
            <v>AES3</v>
          </cell>
        </row>
        <row r="1364">
          <cell r="C1364" t="str">
            <v>AES3</v>
          </cell>
        </row>
        <row r="1365">
          <cell r="C1365" t="str">
            <v>AES</v>
          </cell>
        </row>
        <row r="1366">
          <cell r="C1366" t="str">
            <v>LE</v>
          </cell>
          <cell r="K1366">
            <v>52416.58819487811</v>
          </cell>
        </row>
        <row r="1367">
          <cell r="C1367" t="str">
            <v>LE</v>
          </cell>
        </row>
        <row r="1368">
          <cell r="C1368" t="str">
            <v>LE</v>
          </cell>
        </row>
        <row r="1369">
          <cell r="C1369" t="str">
            <v>TE</v>
          </cell>
          <cell r="K1369">
            <v>164746.68685094907</v>
          </cell>
        </row>
        <row r="1370">
          <cell r="C1370" t="str">
            <v>TE</v>
          </cell>
        </row>
        <row r="1371">
          <cell r="C1371" t="str">
            <v>TE</v>
          </cell>
        </row>
        <row r="1372">
          <cell r="C1372" t="str">
            <v>RTS</v>
          </cell>
        </row>
        <row r="1373">
          <cell r="C1373" t="str">
            <v>PSP</v>
          </cell>
        </row>
        <row r="1374">
          <cell r="C1374" t="str">
            <v>PSS</v>
          </cell>
          <cell r="K1374">
            <v>184186312.3441284</v>
          </cell>
        </row>
        <row r="1375">
          <cell r="C1375" t="str">
            <v>PSP</v>
          </cell>
        </row>
        <row r="1376">
          <cell r="C1376" t="str">
            <v>PSS</v>
          </cell>
        </row>
        <row r="1377">
          <cell r="C1377" t="str">
            <v>TODP</v>
          </cell>
          <cell r="K1377">
            <v>338786007.96074069</v>
          </cell>
        </row>
        <row r="1378">
          <cell r="C1378" t="str">
            <v>TODS</v>
          </cell>
        </row>
        <row r="1379">
          <cell r="C1379" t="str">
            <v>SQF</v>
          </cell>
        </row>
        <row r="1380">
          <cell r="C1380" t="str">
            <v>SQF</v>
          </cell>
        </row>
        <row r="1381">
          <cell r="C1381" t="str">
            <v>LQF</v>
          </cell>
        </row>
        <row r="1382">
          <cell r="C1382" t="str">
            <v>GS</v>
          </cell>
        </row>
        <row r="1383">
          <cell r="C1383" t="str">
            <v>GS3</v>
          </cell>
        </row>
        <row r="1384">
          <cell r="C1384" t="str">
            <v>RS</v>
          </cell>
        </row>
        <row r="1385">
          <cell r="C1385" t="str">
            <v>RS</v>
          </cell>
        </row>
        <row r="1386">
          <cell r="C1386" t="str">
            <v>CSR</v>
          </cell>
        </row>
        <row r="1387">
          <cell r="C1387" t="str">
            <v>CSR</v>
          </cell>
        </row>
        <row r="1388">
          <cell r="C1388" t="str">
            <v>CSR</v>
          </cell>
        </row>
        <row r="1389">
          <cell r="C1389" t="str">
            <v>CSR</v>
          </cell>
        </row>
        <row r="1390">
          <cell r="C1390" t="str">
            <v>CSR</v>
          </cell>
        </row>
        <row r="1391">
          <cell r="C1391" t="str">
            <v>GS</v>
          </cell>
        </row>
        <row r="1392">
          <cell r="C1392" t="str">
            <v>GS</v>
          </cell>
        </row>
        <row r="1393">
          <cell r="C1393" t="str">
            <v>GS</v>
          </cell>
        </row>
        <row r="1394">
          <cell r="C1394" t="str">
            <v>GS</v>
          </cell>
        </row>
        <row r="1395">
          <cell r="C1395" t="str">
            <v>GS</v>
          </cell>
        </row>
        <row r="1396">
          <cell r="C1396" t="str">
            <v>GS</v>
          </cell>
        </row>
        <row r="1397">
          <cell r="C1397" t="str">
            <v>GS</v>
          </cell>
        </row>
        <row r="1398">
          <cell r="C1398" t="str">
            <v>GS</v>
          </cell>
        </row>
        <row r="1399">
          <cell r="C1399" t="str">
            <v>GS</v>
          </cell>
        </row>
        <row r="1400">
          <cell r="C1400" t="str">
            <v>GS</v>
          </cell>
        </row>
        <row r="1401">
          <cell r="C1401" t="str">
            <v>GS</v>
          </cell>
        </row>
        <row r="1402">
          <cell r="C1402" t="str">
            <v>GS3</v>
          </cell>
        </row>
        <row r="1403">
          <cell r="C1403" t="str">
            <v>GS3</v>
          </cell>
        </row>
        <row r="1404">
          <cell r="C1404" t="str">
            <v>RTS</v>
          </cell>
        </row>
        <row r="1405">
          <cell r="C1405" t="str">
            <v>RTS</v>
          </cell>
          <cell r="K1405">
            <v>128141620.01965322</v>
          </cell>
        </row>
        <row r="1406">
          <cell r="C1406" t="str">
            <v>PSP</v>
          </cell>
        </row>
        <row r="1407">
          <cell r="C1407" t="str">
            <v>PSP</v>
          </cell>
        </row>
        <row r="1408">
          <cell r="C1408" t="str">
            <v>PSS</v>
          </cell>
        </row>
        <row r="1409">
          <cell r="C1409" t="str">
            <v>PSS</v>
          </cell>
        </row>
        <row r="1410">
          <cell r="C1410" t="str">
            <v>PSP</v>
          </cell>
        </row>
        <row r="1411">
          <cell r="C1411" t="str">
            <v>PSP</v>
          </cell>
        </row>
        <row r="1412">
          <cell r="C1412" t="str">
            <v>PSS</v>
          </cell>
        </row>
        <row r="1413">
          <cell r="C1413" t="str">
            <v>PSS</v>
          </cell>
        </row>
        <row r="1414">
          <cell r="C1414" t="str">
            <v>TODP</v>
          </cell>
        </row>
        <row r="1415">
          <cell r="C1415" t="str">
            <v>TODP</v>
          </cell>
        </row>
        <row r="1416">
          <cell r="C1416" t="str">
            <v>TODS</v>
          </cell>
        </row>
        <row r="1417">
          <cell r="C1417" t="str">
            <v>TODS</v>
          </cell>
        </row>
        <row r="1418">
          <cell r="C1418" t="str">
            <v>GS3</v>
          </cell>
        </row>
        <row r="1419">
          <cell r="C1419" t="str">
            <v>GS3</v>
          </cell>
        </row>
        <row r="1420">
          <cell r="C1420" t="str">
            <v>FLS</v>
          </cell>
          <cell r="K1420">
            <v>41843538.999491803</v>
          </cell>
        </row>
        <row r="1421">
          <cell r="C1421" t="str">
            <v>FLS</v>
          </cell>
        </row>
        <row r="1427">
          <cell r="C1427" t="str">
            <v>RS</v>
          </cell>
        </row>
        <row r="1428">
          <cell r="C1428" t="str">
            <v>RS</v>
          </cell>
          <cell r="K1428">
            <v>643584709.73703372</v>
          </cell>
        </row>
        <row r="1429">
          <cell r="C1429" t="str">
            <v>RS</v>
          </cell>
        </row>
        <row r="1430">
          <cell r="C1430" t="str">
            <v>RS</v>
          </cell>
        </row>
        <row r="1431">
          <cell r="C1431" t="str">
            <v>RTOD-E</v>
          </cell>
          <cell r="K1431">
            <v>35559.366300397873</v>
          </cell>
        </row>
        <row r="1432">
          <cell r="C1432" t="str">
            <v>RTOD-D</v>
          </cell>
        </row>
        <row r="1433">
          <cell r="C1433" t="str">
            <v>RS</v>
          </cell>
        </row>
        <row r="1434">
          <cell r="C1434" t="str">
            <v>RS</v>
          </cell>
        </row>
        <row r="1435">
          <cell r="C1435" t="str">
            <v>RS</v>
          </cell>
        </row>
        <row r="1436">
          <cell r="C1436" t="str">
            <v>RS</v>
          </cell>
        </row>
        <row r="1437">
          <cell r="C1437" t="str">
            <v>RTS</v>
          </cell>
        </row>
        <row r="1438">
          <cell r="C1438" t="str">
            <v>PSP</v>
          </cell>
          <cell r="K1438">
            <v>13970557.029308898</v>
          </cell>
        </row>
        <row r="1439">
          <cell r="C1439" t="str">
            <v>PSS</v>
          </cell>
        </row>
        <row r="1440">
          <cell r="C1440" t="str">
            <v>TODP</v>
          </cell>
        </row>
        <row r="1441">
          <cell r="C1441" t="str">
            <v>PSP</v>
          </cell>
        </row>
        <row r="1442">
          <cell r="C1442" t="str">
            <v>PSS</v>
          </cell>
        </row>
        <row r="1443">
          <cell r="C1443" t="str">
            <v>TODP</v>
          </cell>
        </row>
        <row r="1444">
          <cell r="C1444" t="str">
            <v>TODS</v>
          </cell>
          <cell r="K1444">
            <v>141890406.98313552</v>
          </cell>
        </row>
        <row r="1445">
          <cell r="C1445" t="str">
            <v>TOD</v>
          </cell>
        </row>
        <row r="1446">
          <cell r="C1446" t="str">
            <v>MPT</v>
          </cell>
        </row>
        <row r="1447">
          <cell r="C1447" t="str">
            <v>MPP</v>
          </cell>
        </row>
        <row r="1448">
          <cell r="C1448" t="str">
            <v>LTOD</v>
          </cell>
        </row>
        <row r="1449">
          <cell r="C1449" t="str">
            <v>LTOD</v>
          </cell>
        </row>
        <row r="1450">
          <cell r="C1450" t="str">
            <v>MPP PF</v>
          </cell>
        </row>
        <row r="1451">
          <cell r="C1451" t="str">
            <v>MPT PF</v>
          </cell>
        </row>
        <row r="1452">
          <cell r="C1452" t="str">
            <v>LEV</v>
          </cell>
        </row>
        <row r="1453">
          <cell r="C1453" t="str">
            <v>GS</v>
          </cell>
        </row>
        <row r="1454">
          <cell r="C1454" t="str">
            <v>GS</v>
          </cell>
        </row>
        <row r="1455">
          <cell r="C1455" t="str">
            <v>GS3</v>
          </cell>
        </row>
        <row r="1456">
          <cell r="C1456" t="str">
            <v>GS3</v>
          </cell>
        </row>
        <row r="1457">
          <cell r="C1457" t="str">
            <v>LEV</v>
          </cell>
        </row>
        <row r="1458">
          <cell r="C1458" t="str">
            <v>CSR</v>
          </cell>
        </row>
        <row r="1459">
          <cell r="C1459" t="str">
            <v>CSR</v>
          </cell>
        </row>
        <row r="1460">
          <cell r="C1460" t="str">
            <v>CSR</v>
          </cell>
        </row>
        <row r="1461">
          <cell r="C1461" t="str">
            <v>CSR</v>
          </cell>
        </row>
        <row r="1462">
          <cell r="C1462" t="str">
            <v>CSR</v>
          </cell>
        </row>
        <row r="1463">
          <cell r="C1463" t="str">
            <v>CSR</v>
          </cell>
        </row>
        <row r="1464">
          <cell r="C1464" t="str">
            <v>CSR</v>
          </cell>
        </row>
        <row r="1465">
          <cell r="C1465" t="str">
            <v>CSR</v>
          </cell>
        </row>
        <row r="1466">
          <cell r="C1466" t="str">
            <v>LEV</v>
          </cell>
        </row>
        <row r="1467">
          <cell r="C1467" t="str">
            <v>LEV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1451"/>
  <sheetViews>
    <sheetView zoomScale="85" zoomScaleNormal="85" zoomScaleSheetLayoutView="90" workbookViewId="0">
      <pane ySplit="22" topLeftCell="A23" activePane="bottomLeft" state="frozen"/>
      <selection pane="bottomLeft" activeCell="A13" sqref="A13"/>
    </sheetView>
  </sheetViews>
  <sheetFormatPr defaultColWidth="9.109375" defaultRowHeight="10.199999999999999" x14ac:dyDescent="0.2"/>
  <cols>
    <col min="1" max="1" width="3.5546875" style="35" customWidth="1"/>
    <col min="2" max="2" width="45.6640625" style="35" bestFit="1" customWidth="1"/>
    <col min="3" max="3" width="13.88671875" style="35" bestFit="1" customWidth="1"/>
    <col min="4" max="4" width="13.44140625" style="36" bestFit="1" customWidth="1"/>
    <col min="5" max="5" width="3.5546875" style="35" customWidth="1"/>
    <col min="6" max="6" width="20.6640625" style="35" customWidth="1"/>
    <col min="7" max="7" width="1.109375" style="35" customWidth="1"/>
    <col min="8" max="9" width="13.5546875" style="36" bestFit="1" customWidth="1"/>
    <col min="10" max="10" width="1" style="36" customWidth="1"/>
    <col min="11" max="11" width="0.88671875" style="36" customWidth="1"/>
    <col min="12" max="12" width="13.5546875" style="36" bestFit="1" customWidth="1"/>
    <col min="13" max="13" width="1.109375" style="36" customWidth="1"/>
    <col min="14" max="14" width="13.5546875" style="36" bestFit="1" customWidth="1"/>
    <col min="15" max="15" width="12.33203125" style="36" bestFit="1" customWidth="1"/>
    <col min="16" max="16" width="14.6640625" style="36" bestFit="1" customWidth="1"/>
    <col min="17" max="17" width="12.88671875" style="36" bestFit="1" customWidth="1"/>
    <col min="18" max="19" width="1.33203125" style="35" customWidth="1"/>
    <col min="20" max="20" width="18.5546875" style="36" customWidth="1"/>
    <col min="21" max="21" width="11.6640625" style="35" bestFit="1" customWidth="1"/>
    <col min="22" max="22" width="17.44140625" style="35" customWidth="1"/>
    <col min="23" max="23" width="13.5546875" style="35" customWidth="1"/>
    <col min="24" max="24" width="15.44140625" style="35" bestFit="1" customWidth="1"/>
    <col min="25" max="25" width="19.44140625" style="35" bestFit="1" customWidth="1"/>
    <col min="26" max="26" width="31.44140625" style="35" bestFit="1" customWidth="1"/>
    <col min="27" max="27" width="11.6640625" style="35" bestFit="1" customWidth="1"/>
    <col min="28" max="28" width="4.6640625" style="35" bestFit="1" customWidth="1"/>
    <col min="29" max="29" width="14.33203125" style="35" bestFit="1" customWidth="1"/>
    <col min="30" max="30" width="6.33203125" style="35" bestFit="1" customWidth="1"/>
    <col min="31" max="31" width="38.33203125" style="35" bestFit="1" customWidth="1"/>
    <col min="32" max="32" width="18" style="35" bestFit="1" customWidth="1"/>
    <col min="33" max="42" width="9.109375" style="35"/>
    <col min="43" max="43" width="6.44140625" style="35" bestFit="1" customWidth="1"/>
    <col min="44" max="44" width="41.44140625" style="35" bestFit="1" customWidth="1"/>
    <col min="45" max="45" width="18" style="35" bestFit="1" customWidth="1"/>
    <col min="46" max="58" width="9.109375" style="35"/>
    <col min="59" max="59" width="6.44140625" style="35" bestFit="1" customWidth="1"/>
    <col min="60" max="60" width="41.44140625" style="35" bestFit="1" customWidth="1"/>
    <col min="61" max="61" width="18" style="35" bestFit="1" customWidth="1"/>
    <col min="62" max="66" width="9.109375" style="35"/>
    <col min="67" max="67" width="6.44140625" style="35" bestFit="1" customWidth="1"/>
    <col min="68" max="68" width="41.109375" style="35" bestFit="1" customWidth="1"/>
    <col min="69" max="69" width="18" style="35" bestFit="1" customWidth="1"/>
    <col min="70" max="74" width="9.109375" style="35"/>
    <col min="75" max="75" width="6.33203125" style="35" bestFit="1" customWidth="1"/>
    <col min="76" max="76" width="41.33203125" style="35" bestFit="1" customWidth="1"/>
    <col min="77" max="77" width="18" style="35" bestFit="1" customWidth="1"/>
    <col min="78" max="82" width="9.109375" style="35"/>
    <col min="83" max="83" width="6.44140625" style="35" bestFit="1" customWidth="1"/>
    <col min="84" max="84" width="40.88671875" style="35" bestFit="1" customWidth="1"/>
    <col min="85" max="85" width="18" style="35" bestFit="1" customWidth="1"/>
    <col min="86" max="90" width="9.109375" style="35"/>
    <col min="91" max="91" width="6.33203125" style="35" bestFit="1" customWidth="1"/>
    <col min="92" max="92" width="41.33203125" style="35" bestFit="1" customWidth="1"/>
    <col min="93" max="93" width="18" style="35" bestFit="1" customWidth="1"/>
    <col min="94" max="98" width="9.109375" style="35"/>
    <col min="99" max="99" width="6.44140625" style="35" bestFit="1" customWidth="1"/>
    <col min="100" max="100" width="41.109375" style="35" bestFit="1" customWidth="1"/>
    <col min="101" max="101" width="18" style="35" bestFit="1" customWidth="1"/>
    <col min="102" max="112" width="9.109375" style="35"/>
    <col min="113" max="113" width="6.44140625" style="35" bestFit="1" customWidth="1"/>
    <col min="114" max="114" width="38" style="35" bestFit="1" customWidth="1"/>
    <col min="115" max="115" width="18" style="35" bestFit="1" customWidth="1"/>
    <col min="116" max="126" width="9.109375" style="35"/>
    <col min="127" max="127" width="4.109375" style="35" bestFit="1" customWidth="1"/>
    <col min="128" max="128" width="47.88671875" style="35" bestFit="1" customWidth="1"/>
    <col min="129" max="134" width="9.109375" style="35"/>
    <col min="135" max="135" width="6.88671875" style="35" bestFit="1" customWidth="1"/>
    <col min="136" max="136" width="28.6640625" style="35" bestFit="1" customWidth="1"/>
    <col min="137" max="137" width="53.6640625" style="35" bestFit="1" customWidth="1"/>
    <col min="138" max="142" width="9.109375" style="35"/>
    <col min="143" max="143" width="7.6640625" style="35" bestFit="1" customWidth="1"/>
    <col min="144" max="144" width="56.109375" style="35" bestFit="1" customWidth="1"/>
    <col min="145" max="145" width="60.6640625" style="35" bestFit="1" customWidth="1"/>
    <col min="146" max="153" width="9.109375" style="35"/>
    <col min="154" max="154" width="37.6640625" style="35" bestFit="1" customWidth="1"/>
    <col min="155" max="158" width="9.109375" style="35"/>
    <col min="159" max="159" width="4.88671875" style="35" bestFit="1" customWidth="1"/>
    <col min="160" max="160" width="93.6640625" style="35" bestFit="1" customWidth="1"/>
    <col min="161" max="166" width="9.109375" style="35"/>
    <col min="167" max="167" width="6.88671875" style="35" bestFit="1" customWidth="1"/>
    <col min="168" max="168" width="7" style="35" bestFit="1" customWidth="1"/>
    <col min="169" max="171" width="9.109375" style="35"/>
    <col min="172" max="172" width="2.88671875" style="35" bestFit="1" customWidth="1"/>
    <col min="173" max="173" width="116.33203125" style="35" bestFit="1" customWidth="1"/>
    <col min="174" max="16384" width="9.109375" style="35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>
      <c r="B6" s="121"/>
    </row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>
      <c r="A12" s="35">
        <v>1</v>
      </c>
      <c r="D12" s="36">
        <v>0</v>
      </c>
      <c r="E12" s="35">
        <v>1</v>
      </c>
      <c r="F12" s="35">
        <v>2</v>
      </c>
      <c r="G12" s="35">
        <v>3</v>
      </c>
      <c r="H12" s="36">
        <v>4</v>
      </c>
      <c r="I12" s="36">
        <v>5</v>
      </c>
      <c r="J12" s="36">
        <v>6</v>
      </c>
      <c r="K12" s="36">
        <v>7</v>
      </c>
      <c r="L12" s="36">
        <v>8</v>
      </c>
      <c r="M12" s="36">
        <v>9</v>
      </c>
      <c r="N12" s="36">
        <v>10</v>
      </c>
      <c r="O12" s="36">
        <v>11</v>
      </c>
      <c r="P12" s="36">
        <v>12</v>
      </c>
      <c r="Q12" s="36">
        <v>13</v>
      </c>
      <c r="R12" s="35">
        <v>14</v>
      </c>
      <c r="S12" s="35">
        <v>15</v>
      </c>
      <c r="T12" s="36">
        <v>16</v>
      </c>
      <c r="U12" s="35">
        <v>17</v>
      </c>
      <c r="V12" s="35">
        <v>18</v>
      </c>
      <c r="W12" s="35">
        <v>19</v>
      </c>
      <c r="X12" s="35">
        <v>20</v>
      </c>
      <c r="Y12" s="35">
        <v>21</v>
      </c>
    </row>
    <row r="13" spans="1:25" x14ac:dyDescent="0.2">
      <c r="B13" s="83">
        <v>42666.412729398151</v>
      </c>
      <c r="E13" s="35" t="s">
        <v>1305</v>
      </c>
      <c r="M13" s="36" t="s">
        <v>1305</v>
      </c>
    </row>
    <row r="14" spans="1:25" x14ac:dyDescent="0.2">
      <c r="B14" s="83">
        <v>42666.412729398151</v>
      </c>
      <c r="E14" s="35" t="s">
        <v>1306</v>
      </c>
      <c r="M14" s="36" t="s">
        <v>1306</v>
      </c>
    </row>
    <row r="15" spans="1:25" x14ac:dyDescent="0.2">
      <c r="E15" s="35" t="s">
        <v>1307</v>
      </c>
      <c r="M15" s="36" t="s">
        <v>1307</v>
      </c>
    </row>
    <row r="16" spans="1:25" x14ac:dyDescent="0.2">
      <c r="B16" s="35" t="s">
        <v>2382</v>
      </c>
    </row>
    <row r="17" spans="1:20" x14ac:dyDescent="0.2">
      <c r="B17" s="35" t="s">
        <v>1953</v>
      </c>
      <c r="E17" s="35" t="s">
        <v>2383</v>
      </c>
    </row>
    <row r="19" spans="1:20" x14ac:dyDescent="0.2">
      <c r="D19" s="84" t="s">
        <v>1308</v>
      </c>
      <c r="E19" s="80"/>
      <c r="F19" s="80" t="s">
        <v>1309</v>
      </c>
      <c r="G19" s="80"/>
      <c r="H19" s="84" t="s">
        <v>1310</v>
      </c>
      <c r="I19" s="84" t="s">
        <v>1311</v>
      </c>
      <c r="J19" s="84"/>
      <c r="K19" s="84"/>
      <c r="L19" s="84" t="s">
        <v>1312</v>
      </c>
      <c r="M19" s="84"/>
      <c r="N19" s="84"/>
      <c r="O19" s="84"/>
      <c r="P19" s="84"/>
      <c r="Q19" s="84"/>
      <c r="T19" s="84" t="s">
        <v>1313</v>
      </c>
    </row>
    <row r="20" spans="1:20" x14ac:dyDescent="0.2">
      <c r="D20" s="84" t="s">
        <v>1309</v>
      </c>
      <c r="E20" s="80"/>
      <c r="F20" s="80" t="s">
        <v>1314</v>
      </c>
      <c r="G20" s="80"/>
      <c r="H20" s="84" t="s">
        <v>1314</v>
      </c>
      <c r="I20" s="84" t="s">
        <v>1312</v>
      </c>
      <c r="J20" s="84"/>
      <c r="K20" s="84"/>
      <c r="L20" s="84" t="s">
        <v>1314</v>
      </c>
      <c r="M20" s="84"/>
      <c r="N20" s="84" t="s">
        <v>1315</v>
      </c>
      <c r="O20" s="84"/>
      <c r="P20" s="84"/>
      <c r="Q20" s="84"/>
      <c r="T20" s="84" t="s">
        <v>1308</v>
      </c>
    </row>
    <row r="21" spans="1:20" x14ac:dyDescent="0.2">
      <c r="C21" s="35" t="s">
        <v>1316</v>
      </c>
      <c r="D21" s="84" t="s">
        <v>1317</v>
      </c>
      <c r="E21" s="80"/>
      <c r="F21" s="80" t="s">
        <v>1318</v>
      </c>
      <c r="G21" s="80"/>
      <c r="H21" s="84" t="s">
        <v>1318</v>
      </c>
      <c r="I21" s="84" t="s">
        <v>1318</v>
      </c>
      <c r="J21" s="84"/>
      <c r="K21" s="84"/>
      <c r="L21" s="84" t="s">
        <v>1318</v>
      </c>
      <c r="M21" s="84"/>
      <c r="N21" s="84" t="s">
        <v>1318</v>
      </c>
      <c r="O21" s="84" t="s">
        <v>1319</v>
      </c>
      <c r="P21" s="84" t="s">
        <v>1320</v>
      </c>
      <c r="Q21" s="84" t="s">
        <v>1321</v>
      </c>
      <c r="T21" s="84" t="s">
        <v>1309</v>
      </c>
    </row>
    <row r="22" spans="1:20" x14ac:dyDescent="0.2">
      <c r="D22" s="84" t="s">
        <v>1322</v>
      </c>
      <c r="E22" s="80"/>
      <c r="F22" s="80" t="s">
        <v>1323</v>
      </c>
      <c r="H22" s="84">
        <v>-3</v>
      </c>
      <c r="I22" s="84">
        <v>-4</v>
      </c>
      <c r="J22" s="84"/>
      <c r="K22" s="84"/>
      <c r="L22" s="84">
        <v>-5</v>
      </c>
      <c r="M22" s="84"/>
      <c r="N22" s="84" t="s">
        <v>1324</v>
      </c>
      <c r="O22" s="84" t="s">
        <v>1325</v>
      </c>
      <c r="P22" s="84" t="s">
        <v>1326</v>
      </c>
      <c r="Q22" s="84" t="s">
        <v>1327</v>
      </c>
      <c r="T22" s="84" t="s">
        <v>1317</v>
      </c>
    </row>
    <row r="23" spans="1:20" x14ac:dyDescent="0.2">
      <c r="B23" s="35" t="s">
        <v>1328</v>
      </c>
    </row>
    <row r="25" spans="1:20" x14ac:dyDescent="0.2">
      <c r="B25" s="35" t="s">
        <v>1329</v>
      </c>
    </row>
    <row r="26" spans="1:20" x14ac:dyDescent="0.2">
      <c r="B26" s="35" t="s">
        <v>1330</v>
      </c>
    </row>
    <row r="27" spans="1:20" x14ac:dyDescent="0.2">
      <c r="B27" s="35" t="s">
        <v>1331</v>
      </c>
      <c r="F27" s="165"/>
    </row>
    <row r="28" spans="1:20" x14ac:dyDescent="0.2">
      <c r="A28" s="35">
        <v>1</v>
      </c>
      <c r="B28" s="35" t="s">
        <v>1332</v>
      </c>
      <c r="C28" s="35" t="s">
        <v>1333</v>
      </c>
      <c r="D28" s="36">
        <v>3574426</v>
      </c>
      <c r="F28" s="36">
        <v>3130401</v>
      </c>
      <c r="H28" s="36">
        <v>144667</v>
      </c>
      <c r="I28" s="36">
        <v>299358</v>
      </c>
      <c r="L28" s="36">
        <v>11</v>
      </c>
      <c r="N28" s="36">
        <v>299347</v>
      </c>
      <c r="O28" s="36">
        <v>92905</v>
      </c>
      <c r="P28" s="36">
        <v>206442</v>
      </c>
      <c r="Q28" s="36">
        <v>0</v>
      </c>
    </row>
    <row r="29" spans="1:20" x14ac:dyDescent="0.2">
      <c r="A29" s="35">
        <v>2</v>
      </c>
      <c r="B29" s="35" t="s">
        <v>1334</v>
      </c>
      <c r="C29" s="35" t="s">
        <v>1335</v>
      </c>
      <c r="D29" s="36">
        <v>444014</v>
      </c>
      <c r="F29" s="36">
        <v>0</v>
      </c>
      <c r="H29" s="36">
        <v>144667</v>
      </c>
      <c r="I29" s="36">
        <v>299347</v>
      </c>
      <c r="L29" s="36">
        <v>0</v>
      </c>
      <c r="N29" s="36">
        <v>299347</v>
      </c>
      <c r="O29" s="36">
        <v>92905</v>
      </c>
      <c r="P29" s="36">
        <v>206442</v>
      </c>
      <c r="Q29" s="36">
        <v>0</v>
      </c>
    </row>
    <row r="30" spans="1:20" x14ac:dyDescent="0.2">
      <c r="A30" s="35">
        <v>3</v>
      </c>
      <c r="B30" s="35" t="s">
        <v>1336</v>
      </c>
      <c r="C30" s="35" t="s">
        <v>1337</v>
      </c>
      <c r="D30" s="36">
        <v>144667</v>
      </c>
      <c r="F30" s="36">
        <v>0</v>
      </c>
      <c r="H30" s="36">
        <v>144667</v>
      </c>
      <c r="I30" s="36">
        <v>0</v>
      </c>
      <c r="L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1:20" x14ac:dyDescent="0.2">
      <c r="A31" s="35">
        <v>4</v>
      </c>
      <c r="B31" s="35" t="s">
        <v>1338</v>
      </c>
      <c r="C31" s="35" t="s">
        <v>1339</v>
      </c>
      <c r="D31" s="36">
        <v>3429748</v>
      </c>
      <c r="F31" s="36">
        <v>3130401</v>
      </c>
      <c r="H31" s="36">
        <v>0</v>
      </c>
      <c r="I31" s="36">
        <v>299347</v>
      </c>
      <c r="L31" s="36">
        <v>0</v>
      </c>
      <c r="N31" s="36">
        <v>299347</v>
      </c>
      <c r="O31" s="36">
        <v>92905</v>
      </c>
      <c r="P31" s="36">
        <v>206442</v>
      </c>
      <c r="Q31" s="36">
        <v>0</v>
      </c>
    </row>
    <row r="32" spans="1:20" x14ac:dyDescent="0.2">
      <c r="A32" s="35">
        <v>5</v>
      </c>
      <c r="B32" s="35" t="s">
        <v>1340</v>
      </c>
      <c r="C32" s="35" t="s">
        <v>1341</v>
      </c>
      <c r="D32" s="36">
        <v>299347</v>
      </c>
      <c r="F32" s="36">
        <v>0</v>
      </c>
      <c r="H32" s="36">
        <v>0</v>
      </c>
      <c r="I32" s="36">
        <v>299347</v>
      </c>
      <c r="L32" s="36">
        <v>0</v>
      </c>
      <c r="N32" s="36">
        <v>299347</v>
      </c>
      <c r="O32" s="36">
        <v>92905</v>
      </c>
      <c r="P32" s="36">
        <v>206442</v>
      </c>
      <c r="Q32" s="36">
        <v>0</v>
      </c>
    </row>
    <row r="33" spans="1:17" x14ac:dyDescent="0.2">
      <c r="A33" s="35">
        <v>6</v>
      </c>
      <c r="B33" s="35" t="s">
        <v>1342</v>
      </c>
      <c r="C33" s="35" t="s">
        <v>1343</v>
      </c>
      <c r="D33" s="36">
        <v>3429759</v>
      </c>
      <c r="F33" s="36">
        <v>3130401</v>
      </c>
      <c r="H33" s="36">
        <v>0</v>
      </c>
      <c r="I33" s="36">
        <v>299358</v>
      </c>
      <c r="L33" s="36">
        <v>11</v>
      </c>
      <c r="N33" s="36">
        <v>299347</v>
      </c>
      <c r="O33" s="36">
        <v>92905</v>
      </c>
      <c r="P33" s="36">
        <v>206442</v>
      </c>
      <c r="Q33" s="36">
        <v>0</v>
      </c>
    </row>
    <row r="34" spans="1:17" x14ac:dyDescent="0.2">
      <c r="B34" s="35" t="s">
        <v>1344</v>
      </c>
      <c r="F34" s="36"/>
    </row>
    <row r="35" spans="1:17" x14ac:dyDescent="0.2">
      <c r="A35" s="35">
        <v>7</v>
      </c>
      <c r="B35" s="35" t="s">
        <v>1345</v>
      </c>
      <c r="C35" s="35" t="s">
        <v>1346</v>
      </c>
      <c r="D35" s="36">
        <v>3574426</v>
      </c>
      <c r="F35" s="36">
        <v>3130401</v>
      </c>
      <c r="H35" s="36">
        <v>144667</v>
      </c>
      <c r="I35" s="36">
        <v>299358</v>
      </c>
      <c r="L35" s="36">
        <v>11</v>
      </c>
      <c r="N35" s="36">
        <v>299347</v>
      </c>
      <c r="O35" s="36">
        <v>92905</v>
      </c>
      <c r="P35" s="36">
        <v>206442</v>
      </c>
      <c r="Q35" s="36">
        <v>0</v>
      </c>
    </row>
    <row r="36" spans="1:17" x14ac:dyDescent="0.2">
      <c r="A36" s="35">
        <v>8</v>
      </c>
      <c r="B36" s="35" t="s">
        <v>1347</v>
      </c>
      <c r="C36" s="35" t="s">
        <v>1348</v>
      </c>
      <c r="D36" s="36">
        <v>144667</v>
      </c>
      <c r="F36" s="36">
        <v>0</v>
      </c>
      <c r="H36" s="36">
        <v>144667</v>
      </c>
      <c r="I36" s="36">
        <v>0</v>
      </c>
      <c r="L36" s="36">
        <v>0</v>
      </c>
      <c r="N36" s="36">
        <v>0</v>
      </c>
      <c r="O36" s="36">
        <v>0</v>
      </c>
      <c r="P36" s="36">
        <v>0</v>
      </c>
      <c r="Q36" s="36">
        <v>0</v>
      </c>
    </row>
    <row r="37" spans="1:17" x14ac:dyDescent="0.2">
      <c r="A37" s="35">
        <v>9</v>
      </c>
      <c r="B37" s="35" t="s">
        <v>1954</v>
      </c>
      <c r="C37" s="35" t="s">
        <v>1955</v>
      </c>
      <c r="D37" s="36">
        <v>3275079</v>
      </c>
      <c r="F37" s="36">
        <v>3130401</v>
      </c>
      <c r="H37" s="36">
        <v>144667</v>
      </c>
      <c r="I37" s="36">
        <v>11</v>
      </c>
      <c r="L37" s="36">
        <v>11</v>
      </c>
      <c r="N37" s="36">
        <v>0</v>
      </c>
      <c r="O37" s="36">
        <v>0</v>
      </c>
      <c r="P37" s="36">
        <v>0</v>
      </c>
      <c r="Q37" s="36">
        <v>0</v>
      </c>
    </row>
    <row r="38" spans="1:17" x14ac:dyDescent="0.2">
      <c r="A38" s="35">
        <v>10</v>
      </c>
      <c r="B38" s="35" t="s">
        <v>1349</v>
      </c>
      <c r="C38" s="35" t="s">
        <v>1350</v>
      </c>
      <c r="D38" s="36">
        <v>444014</v>
      </c>
      <c r="F38" s="36">
        <v>0</v>
      </c>
      <c r="H38" s="36">
        <v>144667</v>
      </c>
      <c r="I38" s="36">
        <v>299347</v>
      </c>
      <c r="L38" s="36">
        <v>0</v>
      </c>
      <c r="N38" s="36">
        <v>299347</v>
      </c>
      <c r="O38" s="36">
        <v>92905</v>
      </c>
      <c r="P38" s="36">
        <v>206442</v>
      </c>
      <c r="Q38" s="36">
        <v>0</v>
      </c>
    </row>
    <row r="39" spans="1:17" x14ac:dyDescent="0.2">
      <c r="A39" s="35">
        <v>11</v>
      </c>
      <c r="B39" s="35" t="s">
        <v>2268</v>
      </c>
      <c r="C39" s="35" t="s">
        <v>2269</v>
      </c>
      <c r="D39" s="36">
        <v>3130412</v>
      </c>
      <c r="F39" s="36">
        <v>3130401</v>
      </c>
      <c r="H39" s="36">
        <v>0</v>
      </c>
      <c r="I39" s="36">
        <v>11</v>
      </c>
      <c r="L39" s="36">
        <v>11</v>
      </c>
      <c r="N39" s="36">
        <v>0</v>
      </c>
      <c r="O39" s="36">
        <v>0</v>
      </c>
      <c r="P39" s="36">
        <v>0</v>
      </c>
      <c r="Q39" s="36">
        <v>0</v>
      </c>
    </row>
    <row r="40" spans="1:17" x14ac:dyDescent="0.2">
      <c r="F40" s="36"/>
    </row>
    <row r="41" spans="1:17" x14ac:dyDescent="0.2">
      <c r="B41" s="35" t="s">
        <v>1351</v>
      </c>
      <c r="F41" s="165"/>
    </row>
    <row r="42" spans="1:17" x14ac:dyDescent="0.2">
      <c r="A42" s="35">
        <v>12</v>
      </c>
      <c r="B42" s="35" t="s">
        <v>1956</v>
      </c>
      <c r="C42" s="35" t="s">
        <v>1957</v>
      </c>
      <c r="D42" s="36">
        <v>8379661.4015384596</v>
      </c>
      <c r="F42" s="36">
        <v>8370504.4015384596</v>
      </c>
      <c r="H42" s="36">
        <v>0</v>
      </c>
      <c r="I42" s="36">
        <v>9157</v>
      </c>
      <c r="L42" s="36">
        <v>0</v>
      </c>
      <c r="N42" s="36">
        <v>9157</v>
      </c>
      <c r="O42" s="36">
        <v>9157</v>
      </c>
      <c r="P42" s="36">
        <v>0</v>
      </c>
      <c r="Q42" s="36">
        <v>0</v>
      </c>
    </row>
    <row r="43" spans="1:17" x14ac:dyDescent="0.2">
      <c r="A43" s="35">
        <v>13</v>
      </c>
      <c r="B43" s="35" t="s">
        <v>1958</v>
      </c>
      <c r="C43" s="35" t="s">
        <v>1959</v>
      </c>
      <c r="D43" s="36">
        <v>13503119.586923074</v>
      </c>
      <c r="F43" s="36">
        <v>13150928.586923074</v>
      </c>
      <c r="H43" s="36">
        <v>0</v>
      </c>
      <c r="I43" s="36">
        <v>352191</v>
      </c>
      <c r="L43" s="36">
        <v>0</v>
      </c>
      <c r="N43" s="36">
        <v>352191</v>
      </c>
      <c r="O43" s="36">
        <v>352191</v>
      </c>
      <c r="P43" s="36">
        <v>0</v>
      </c>
      <c r="Q43" s="36">
        <v>0</v>
      </c>
    </row>
    <row r="44" spans="1:17" x14ac:dyDescent="0.2">
      <c r="A44" s="35">
        <v>14</v>
      </c>
      <c r="B44" s="35" t="s">
        <v>1960</v>
      </c>
      <c r="C44" s="35" t="s">
        <v>1961</v>
      </c>
      <c r="D44" s="36">
        <v>191808017.08615381</v>
      </c>
      <c r="F44" s="36">
        <v>188128728.08615381</v>
      </c>
      <c r="H44" s="36">
        <v>0</v>
      </c>
      <c r="I44" s="36">
        <v>3679289</v>
      </c>
      <c r="L44" s="36">
        <v>0</v>
      </c>
      <c r="N44" s="36">
        <v>3679289</v>
      </c>
      <c r="O44" s="36">
        <v>3679289</v>
      </c>
      <c r="P44" s="36">
        <v>0</v>
      </c>
      <c r="Q44" s="36">
        <v>0</v>
      </c>
    </row>
    <row r="45" spans="1:17" x14ac:dyDescent="0.2">
      <c r="A45" s="35">
        <v>15</v>
      </c>
      <c r="B45" s="35" t="s">
        <v>1962</v>
      </c>
      <c r="C45" s="35" t="s">
        <v>1963</v>
      </c>
      <c r="D45" s="36">
        <v>358366452.37769139</v>
      </c>
      <c r="F45" s="36">
        <v>358366452.37769139</v>
      </c>
      <c r="H45" s="36">
        <v>0</v>
      </c>
      <c r="I45" s="36">
        <v>0</v>
      </c>
      <c r="L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x14ac:dyDescent="0.2">
      <c r="A46" s="35">
        <v>16</v>
      </c>
      <c r="B46" s="35" t="s">
        <v>1964</v>
      </c>
      <c r="C46" s="35" t="s">
        <v>1965</v>
      </c>
      <c r="D46" s="36">
        <v>358797886.37922984</v>
      </c>
      <c r="F46" s="36">
        <v>358797886.37922984</v>
      </c>
      <c r="H46" s="36">
        <v>0</v>
      </c>
      <c r="I46" s="36">
        <v>0</v>
      </c>
      <c r="L46" s="36">
        <v>0</v>
      </c>
      <c r="N46" s="36">
        <v>0</v>
      </c>
      <c r="O46" s="36">
        <v>0</v>
      </c>
      <c r="P46" s="36">
        <v>0</v>
      </c>
      <c r="Q46" s="36">
        <v>0</v>
      </c>
    </row>
    <row r="47" spans="1:17" x14ac:dyDescent="0.2">
      <c r="A47" s="35">
        <v>17</v>
      </c>
      <c r="B47" s="35" t="s">
        <v>1966</v>
      </c>
      <c r="C47" s="35" t="s">
        <v>1967</v>
      </c>
      <c r="D47" s="36">
        <v>2381227.6699999906</v>
      </c>
      <c r="F47" s="36">
        <v>2381227.6699999906</v>
      </c>
      <c r="H47" s="36">
        <v>0</v>
      </c>
      <c r="I47" s="36">
        <v>0</v>
      </c>
      <c r="L47" s="36">
        <v>0</v>
      </c>
      <c r="N47" s="36">
        <v>0</v>
      </c>
      <c r="O47" s="36">
        <v>0</v>
      </c>
      <c r="P47" s="36">
        <v>0</v>
      </c>
      <c r="Q47" s="36">
        <v>0</v>
      </c>
    </row>
    <row r="48" spans="1:17" x14ac:dyDescent="0.2">
      <c r="A48" s="35">
        <v>18</v>
      </c>
      <c r="B48" s="35" t="s">
        <v>1968</v>
      </c>
      <c r="C48" s="35" t="s">
        <v>1969</v>
      </c>
      <c r="D48" s="36">
        <v>200004753.54538465</v>
      </c>
      <c r="F48" s="36">
        <v>200004753.54538465</v>
      </c>
      <c r="H48" s="36">
        <v>0</v>
      </c>
      <c r="I48" s="36">
        <v>0</v>
      </c>
      <c r="L48" s="36">
        <v>0</v>
      </c>
      <c r="N48" s="36">
        <v>0</v>
      </c>
      <c r="O48" s="36">
        <v>0</v>
      </c>
      <c r="P48" s="36">
        <v>0</v>
      </c>
      <c r="Q48" s="36">
        <v>0</v>
      </c>
    </row>
    <row r="49" spans="1:17" x14ac:dyDescent="0.2">
      <c r="A49" s="35">
        <v>19</v>
      </c>
      <c r="B49" s="35" t="s">
        <v>1970</v>
      </c>
      <c r="C49" s="35" t="s">
        <v>1430</v>
      </c>
      <c r="D49" s="36">
        <v>309061044.88846046</v>
      </c>
      <c r="F49" s="36">
        <v>309061044.88846046</v>
      </c>
      <c r="H49" s="36">
        <v>0</v>
      </c>
      <c r="I49" s="36">
        <v>0</v>
      </c>
      <c r="L49" s="36">
        <v>0</v>
      </c>
      <c r="N49" s="36">
        <v>0</v>
      </c>
      <c r="O49" s="36">
        <v>0</v>
      </c>
      <c r="P49" s="36">
        <v>0</v>
      </c>
      <c r="Q49" s="36">
        <v>0</v>
      </c>
    </row>
    <row r="50" spans="1:17" x14ac:dyDescent="0.2">
      <c r="A50" s="35">
        <v>20</v>
      </c>
      <c r="B50" s="35" t="s">
        <v>1971</v>
      </c>
      <c r="C50" s="35" t="s">
        <v>1873</v>
      </c>
      <c r="D50" s="36">
        <v>904896.86000000022</v>
      </c>
      <c r="F50" s="36">
        <v>904896.86000000022</v>
      </c>
      <c r="H50" s="36">
        <v>0</v>
      </c>
      <c r="I50" s="36">
        <v>0</v>
      </c>
      <c r="L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x14ac:dyDescent="0.2">
      <c r="A51" s="35">
        <v>21</v>
      </c>
      <c r="B51" s="35" t="s">
        <v>1972</v>
      </c>
      <c r="C51" s="35" t="s">
        <v>1973</v>
      </c>
      <c r="D51" s="36">
        <v>457132.68999999977</v>
      </c>
      <c r="F51" s="36">
        <v>0</v>
      </c>
      <c r="H51" s="36">
        <v>457132.68999999977</v>
      </c>
      <c r="I51" s="36">
        <v>0</v>
      </c>
      <c r="L51" s="36">
        <v>0</v>
      </c>
      <c r="N51" s="36">
        <v>0</v>
      </c>
      <c r="O51" s="36">
        <v>0</v>
      </c>
      <c r="P51" s="36">
        <v>0</v>
      </c>
      <c r="Q51" s="36">
        <v>0</v>
      </c>
    </row>
    <row r="52" spans="1:17" x14ac:dyDescent="0.2">
      <c r="A52" s="35">
        <v>22</v>
      </c>
      <c r="B52" s="35" t="s">
        <v>1974</v>
      </c>
      <c r="C52" s="35" t="s">
        <v>1975</v>
      </c>
      <c r="D52" s="36">
        <v>493671.5199999999</v>
      </c>
      <c r="F52" s="36">
        <v>0</v>
      </c>
      <c r="H52" s="36">
        <v>493671.5199999999</v>
      </c>
      <c r="I52" s="36">
        <v>0</v>
      </c>
      <c r="L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x14ac:dyDescent="0.2">
      <c r="A53" s="35">
        <v>23</v>
      </c>
      <c r="B53" s="35" t="s">
        <v>1976</v>
      </c>
      <c r="C53" s="35" t="s">
        <v>1977</v>
      </c>
      <c r="D53" s="36">
        <v>8233190.0100000016</v>
      </c>
      <c r="F53" s="36">
        <v>0</v>
      </c>
      <c r="H53" s="36">
        <v>8233190.0100000016</v>
      </c>
      <c r="I53" s="36">
        <v>0</v>
      </c>
      <c r="L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x14ac:dyDescent="0.2">
      <c r="A54" s="35">
        <v>24</v>
      </c>
      <c r="B54" s="35" t="s">
        <v>2343</v>
      </c>
      <c r="C54" s="35" t="s">
        <v>2344</v>
      </c>
      <c r="D54" s="36">
        <v>437970.09</v>
      </c>
      <c r="F54" s="36">
        <v>113882.25</v>
      </c>
      <c r="H54" s="36">
        <v>324087.84000000003</v>
      </c>
      <c r="I54" s="36">
        <v>0</v>
      </c>
      <c r="L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x14ac:dyDescent="0.2">
      <c r="A55" s="35">
        <v>25</v>
      </c>
      <c r="B55" s="35" t="s">
        <v>1978</v>
      </c>
      <c r="C55" s="35" t="s">
        <v>1979</v>
      </c>
      <c r="D55" s="36">
        <v>28832784.46153846</v>
      </c>
      <c r="F55" s="36">
        <v>0</v>
      </c>
      <c r="H55" s="36">
        <v>28832784.46153846</v>
      </c>
      <c r="I55" s="36">
        <v>0</v>
      </c>
      <c r="L55" s="36">
        <v>0</v>
      </c>
      <c r="N55" s="36">
        <v>0</v>
      </c>
      <c r="O55" s="36">
        <v>0</v>
      </c>
      <c r="P55" s="36">
        <v>0</v>
      </c>
      <c r="Q55" s="36">
        <v>0</v>
      </c>
    </row>
    <row r="56" spans="1:17" x14ac:dyDescent="0.2">
      <c r="A56" s="35">
        <v>26</v>
      </c>
      <c r="B56" s="35" t="s">
        <v>1980</v>
      </c>
      <c r="C56" s="35" t="s">
        <v>1981</v>
      </c>
      <c r="D56" s="36">
        <v>27415416.07230768</v>
      </c>
      <c r="F56" s="36">
        <v>0</v>
      </c>
      <c r="H56" s="36">
        <v>27415416.07230768</v>
      </c>
      <c r="I56" s="36">
        <v>0</v>
      </c>
      <c r="L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x14ac:dyDescent="0.2">
      <c r="A57" s="35">
        <v>27</v>
      </c>
      <c r="B57" s="35" t="s">
        <v>1982</v>
      </c>
      <c r="C57" s="35" t="s">
        <v>1983</v>
      </c>
      <c r="D57" s="36">
        <v>5574293.0184615385</v>
      </c>
      <c r="F57" s="36">
        <v>0</v>
      </c>
      <c r="H57" s="36">
        <v>5574293.0184615385</v>
      </c>
      <c r="I57" s="36">
        <v>0</v>
      </c>
      <c r="L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x14ac:dyDescent="0.2">
      <c r="A58" s="35">
        <v>28</v>
      </c>
      <c r="B58" s="35" t="s">
        <v>1984</v>
      </c>
      <c r="C58" s="35" t="s">
        <v>1431</v>
      </c>
      <c r="D58" s="36">
        <v>12723148.669999996</v>
      </c>
      <c r="F58" s="36">
        <v>0</v>
      </c>
      <c r="H58" s="36">
        <v>12723148.669999996</v>
      </c>
      <c r="I58" s="36">
        <v>0</v>
      </c>
      <c r="L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x14ac:dyDescent="0.2">
      <c r="A59" s="35">
        <v>29</v>
      </c>
      <c r="B59" s="35" t="s">
        <v>1985</v>
      </c>
      <c r="C59" s="35" t="s">
        <v>1986</v>
      </c>
      <c r="D59" s="36">
        <v>5040.2300000000005</v>
      </c>
      <c r="F59" s="36">
        <v>0</v>
      </c>
      <c r="H59" s="36">
        <v>0</v>
      </c>
      <c r="I59" s="36">
        <v>5040.2300000000005</v>
      </c>
      <c r="L59" s="36">
        <v>5040.2300000000005</v>
      </c>
      <c r="N59" s="36">
        <v>0</v>
      </c>
      <c r="O59" s="36">
        <v>0</v>
      </c>
      <c r="P59" s="36">
        <v>0</v>
      </c>
      <c r="Q59" s="36">
        <v>0</v>
      </c>
    </row>
    <row r="60" spans="1:17" x14ac:dyDescent="0.2">
      <c r="A60" s="35">
        <v>30</v>
      </c>
      <c r="B60" s="35" t="s">
        <v>1987</v>
      </c>
      <c r="C60" s="35" t="s">
        <v>1988</v>
      </c>
      <c r="D60" s="36">
        <v>2575.8900000000003</v>
      </c>
      <c r="F60" s="36">
        <v>0</v>
      </c>
      <c r="H60" s="36">
        <v>0</v>
      </c>
      <c r="I60" s="36">
        <v>2575.8900000000003</v>
      </c>
      <c r="L60" s="36">
        <v>2575.8900000000003</v>
      </c>
      <c r="N60" s="36">
        <v>0</v>
      </c>
      <c r="O60" s="36">
        <v>0</v>
      </c>
      <c r="P60" s="36">
        <v>0</v>
      </c>
      <c r="Q60" s="36">
        <v>0</v>
      </c>
    </row>
    <row r="61" spans="1:17" x14ac:dyDescent="0.2">
      <c r="A61" s="35">
        <v>31</v>
      </c>
      <c r="B61" s="35" t="s">
        <v>1989</v>
      </c>
      <c r="C61" s="35" t="s">
        <v>1990</v>
      </c>
      <c r="D61" s="36">
        <v>66887.25</v>
      </c>
      <c r="F61" s="36">
        <v>0</v>
      </c>
      <c r="H61" s="36">
        <v>0</v>
      </c>
      <c r="I61" s="36">
        <v>66887.25</v>
      </c>
      <c r="L61" s="36">
        <v>66887.25</v>
      </c>
      <c r="N61" s="36">
        <v>0</v>
      </c>
      <c r="O61" s="36">
        <v>0</v>
      </c>
      <c r="P61" s="36">
        <v>0</v>
      </c>
      <c r="Q61" s="36">
        <v>0</v>
      </c>
    </row>
    <row r="62" spans="1:17" x14ac:dyDescent="0.2">
      <c r="A62" s="35">
        <v>32</v>
      </c>
      <c r="B62" s="35" t="s">
        <v>1991</v>
      </c>
      <c r="C62" s="35" t="s">
        <v>1992</v>
      </c>
      <c r="D62" s="36">
        <v>47785.56</v>
      </c>
      <c r="F62" s="36">
        <v>0</v>
      </c>
      <c r="H62" s="36">
        <v>0</v>
      </c>
      <c r="I62" s="36">
        <v>47785.56</v>
      </c>
      <c r="L62" s="36">
        <v>47785.56</v>
      </c>
      <c r="N62" s="36">
        <v>0</v>
      </c>
      <c r="O62" s="36">
        <v>0</v>
      </c>
      <c r="P62" s="36">
        <v>0</v>
      </c>
      <c r="Q62" s="36">
        <v>0</v>
      </c>
    </row>
    <row r="63" spans="1:17" x14ac:dyDescent="0.2">
      <c r="A63" s="35">
        <v>33</v>
      </c>
      <c r="B63" s="35" t="s">
        <v>1993</v>
      </c>
      <c r="C63" s="35" t="s">
        <v>1994</v>
      </c>
      <c r="D63" s="36">
        <v>46763.22</v>
      </c>
      <c r="F63" s="36">
        <v>0</v>
      </c>
      <c r="H63" s="36">
        <v>0</v>
      </c>
      <c r="I63" s="36">
        <v>46763.22</v>
      </c>
      <c r="L63" s="36">
        <v>46763.22</v>
      </c>
      <c r="N63" s="36">
        <v>0</v>
      </c>
      <c r="O63" s="36">
        <v>0</v>
      </c>
      <c r="P63" s="36">
        <v>0</v>
      </c>
      <c r="Q63" s="36">
        <v>0</v>
      </c>
    </row>
    <row r="64" spans="1:17" x14ac:dyDescent="0.2">
      <c r="A64" s="35">
        <v>34</v>
      </c>
      <c r="B64" s="35" t="s">
        <v>1995</v>
      </c>
      <c r="C64" s="35" t="s">
        <v>1996</v>
      </c>
      <c r="D64" s="36">
        <v>3118.2799999999988</v>
      </c>
      <c r="F64" s="36">
        <v>0</v>
      </c>
      <c r="H64" s="36">
        <v>0</v>
      </c>
      <c r="I64" s="36">
        <v>3118.2799999999988</v>
      </c>
      <c r="L64" s="36">
        <v>3118.2799999999988</v>
      </c>
      <c r="N64" s="36">
        <v>0</v>
      </c>
      <c r="O64" s="36">
        <v>0</v>
      </c>
      <c r="P64" s="36">
        <v>0</v>
      </c>
      <c r="Q64" s="36">
        <v>0</v>
      </c>
    </row>
    <row r="65" spans="1:25" x14ac:dyDescent="0.2">
      <c r="A65" s="35">
        <v>35</v>
      </c>
      <c r="B65" s="35" t="s">
        <v>1997</v>
      </c>
      <c r="C65" s="35" t="s">
        <v>1998</v>
      </c>
      <c r="D65" s="36">
        <v>254.62</v>
      </c>
      <c r="F65" s="36">
        <v>0</v>
      </c>
      <c r="H65" s="36">
        <v>0</v>
      </c>
      <c r="I65" s="36">
        <v>254.62</v>
      </c>
      <c r="L65" s="36">
        <v>254.62</v>
      </c>
      <c r="N65" s="36">
        <v>0</v>
      </c>
      <c r="O65" s="36">
        <v>0</v>
      </c>
      <c r="P65" s="36">
        <v>0</v>
      </c>
      <c r="Q65" s="36">
        <v>0</v>
      </c>
    </row>
    <row r="66" spans="1:25" x14ac:dyDescent="0.2">
      <c r="A66" s="35">
        <v>36</v>
      </c>
      <c r="B66" s="35" t="s">
        <v>1999</v>
      </c>
      <c r="C66" s="35" t="s">
        <v>2000</v>
      </c>
      <c r="D66" s="36">
        <v>4199.21</v>
      </c>
      <c r="F66" s="36">
        <v>0</v>
      </c>
      <c r="H66" s="36">
        <v>0</v>
      </c>
      <c r="I66" s="36">
        <v>4199.21</v>
      </c>
      <c r="L66" s="36">
        <v>4199.21</v>
      </c>
      <c r="N66" s="36">
        <v>0</v>
      </c>
      <c r="O66" s="36">
        <v>0</v>
      </c>
      <c r="P66" s="36">
        <v>0</v>
      </c>
      <c r="Q66" s="36">
        <v>0</v>
      </c>
    </row>
    <row r="67" spans="1:25" x14ac:dyDescent="0.2">
      <c r="A67" s="35">
        <v>37</v>
      </c>
      <c r="B67" s="35" t="s">
        <v>2001</v>
      </c>
      <c r="C67" s="35" t="s">
        <v>2002</v>
      </c>
      <c r="D67" s="36">
        <v>0</v>
      </c>
      <c r="F67" s="36">
        <v>0</v>
      </c>
      <c r="H67" s="36">
        <v>0</v>
      </c>
      <c r="I67" s="36">
        <v>0</v>
      </c>
      <c r="L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25" x14ac:dyDescent="0.2">
      <c r="A68" s="35">
        <v>38</v>
      </c>
      <c r="B68" s="35" t="s">
        <v>1432</v>
      </c>
      <c r="C68" s="35" t="s">
        <v>1433</v>
      </c>
      <c r="D68" s="36">
        <v>42620005.168044701</v>
      </c>
      <c r="F68" s="36">
        <v>0</v>
      </c>
      <c r="H68" s="36">
        <v>42473285.895150907</v>
      </c>
      <c r="I68" s="36">
        <v>146719.27289379371</v>
      </c>
      <c r="L68" s="36">
        <v>146719.27289379371</v>
      </c>
      <c r="N68" s="36">
        <v>0</v>
      </c>
      <c r="O68" s="36">
        <v>0</v>
      </c>
      <c r="P68" s="36">
        <v>0</v>
      </c>
      <c r="Q68" s="36">
        <v>0</v>
      </c>
    </row>
    <row r="69" spans="1:25" x14ac:dyDescent="0.2">
      <c r="A69" s="35">
        <v>39</v>
      </c>
      <c r="B69" s="35" t="s">
        <v>1434</v>
      </c>
      <c r="C69" s="35" t="s">
        <v>1435</v>
      </c>
      <c r="D69" s="36">
        <v>0</v>
      </c>
      <c r="F69" s="36">
        <v>0</v>
      </c>
      <c r="H69" s="36">
        <v>0</v>
      </c>
      <c r="I69" s="36">
        <v>0</v>
      </c>
      <c r="L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25" x14ac:dyDescent="0.2">
      <c r="A70" s="35">
        <v>40</v>
      </c>
      <c r="B70" s="35" t="s">
        <v>2345</v>
      </c>
      <c r="C70" s="35" t="s">
        <v>1436</v>
      </c>
      <c r="D70" s="36">
        <v>8770086</v>
      </c>
      <c r="F70" s="36">
        <v>0</v>
      </c>
      <c r="H70" s="36">
        <v>8770086</v>
      </c>
      <c r="I70" s="36">
        <v>0</v>
      </c>
      <c r="L70" s="36">
        <v>0</v>
      </c>
      <c r="N70" s="36">
        <v>0</v>
      </c>
      <c r="O70" s="36">
        <v>0</v>
      </c>
      <c r="P70" s="36">
        <v>0</v>
      </c>
      <c r="Q70" s="36">
        <v>0</v>
      </c>
    </row>
    <row r="71" spans="1:25" x14ac:dyDescent="0.2">
      <c r="A71" s="35">
        <v>41</v>
      </c>
      <c r="B71" s="35" t="s">
        <v>2346</v>
      </c>
      <c r="C71" s="35" t="s">
        <v>1437</v>
      </c>
      <c r="D71" s="36">
        <v>0</v>
      </c>
      <c r="F71" s="36">
        <v>0</v>
      </c>
      <c r="H71" s="36">
        <v>0</v>
      </c>
      <c r="I71" s="36">
        <v>0</v>
      </c>
      <c r="L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25" x14ac:dyDescent="0.2">
      <c r="A72" s="35">
        <v>42</v>
      </c>
      <c r="B72" s="35" t="s">
        <v>2003</v>
      </c>
      <c r="C72" s="35" t="s">
        <v>2004</v>
      </c>
      <c r="D72" s="36">
        <v>3545605.71</v>
      </c>
      <c r="F72" s="36">
        <v>3308819.11</v>
      </c>
      <c r="H72" s="36">
        <v>236728.6</v>
      </c>
      <c r="I72" s="36">
        <v>58</v>
      </c>
      <c r="L72" s="36">
        <v>58</v>
      </c>
      <c r="N72" s="36">
        <v>0</v>
      </c>
      <c r="O72" s="36">
        <v>0</v>
      </c>
      <c r="P72" s="36">
        <v>0</v>
      </c>
      <c r="Q72" s="36">
        <v>0</v>
      </c>
      <c r="V72" s="35" t="s">
        <v>2384</v>
      </c>
      <c r="W72" s="35" t="s">
        <v>1319</v>
      </c>
      <c r="X72" s="35" t="s">
        <v>1320</v>
      </c>
    </row>
    <row r="73" spans="1:25" x14ac:dyDescent="0.2">
      <c r="A73" s="35">
        <v>43</v>
      </c>
      <c r="B73" s="35" t="s">
        <v>2005</v>
      </c>
      <c r="C73" s="35" t="s">
        <v>2006</v>
      </c>
      <c r="D73" s="36">
        <v>31159.913393999996</v>
      </c>
      <c r="F73" s="36">
        <v>22317.831393999993</v>
      </c>
      <c r="H73" s="36">
        <v>2038.25</v>
      </c>
      <c r="I73" s="36">
        <v>6803.8320000000003</v>
      </c>
      <c r="L73" s="36">
        <v>0</v>
      </c>
      <c r="N73" s="36">
        <v>6803.8320000000003</v>
      </c>
      <c r="O73" s="36">
        <v>2763.36</v>
      </c>
      <c r="P73" s="36">
        <v>4040.4720000000002</v>
      </c>
      <c r="Q73" s="36">
        <v>0</v>
      </c>
      <c r="U73" s="35" t="s">
        <v>2347</v>
      </c>
      <c r="V73" s="35">
        <v>6803.8320000000003</v>
      </c>
      <c r="W73" s="35">
        <v>2763.36</v>
      </c>
      <c r="X73" s="35">
        <v>4040.4720000000002</v>
      </c>
      <c r="Y73" s="35" t="s">
        <v>2385</v>
      </c>
    </row>
    <row r="74" spans="1:25" x14ac:dyDescent="0.2">
      <c r="A74" s="35">
        <v>44</v>
      </c>
      <c r="B74" s="35" t="s">
        <v>2007</v>
      </c>
      <c r="C74" s="35" t="s">
        <v>2008</v>
      </c>
      <c r="D74" s="36">
        <v>17812.882574000007</v>
      </c>
      <c r="F74" s="36">
        <v>17812.882574000007</v>
      </c>
      <c r="H74" s="36">
        <v>0</v>
      </c>
      <c r="I74" s="36">
        <v>0</v>
      </c>
      <c r="L74" s="36">
        <v>0</v>
      </c>
      <c r="N74" s="36">
        <v>0</v>
      </c>
      <c r="O74" s="36">
        <v>0</v>
      </c>
      <c r="P74" s="36">
        <v>0</v>
      </c>
      <c r="Q74" s="36">
        <v>0</v>
      </c>
      <c r="U74" s="35" t="s">
        <v>2348</v>
      </c>
      <c r="V74" s="35">
        <v>0</v>
      </c>
      <c r="W74" s="35">
        <v>0</v>
      </c>
      <c r="X74" s="35">
        <v>0</v>
      </c>
      <c r="Y74" s="35" t="s">
        <v>2386</v>
      </c>
    </row>
    <row r="75" spans="1:25" x14ac:dyDescent="0.2">
      <c r="A75" s="35">
        <v>45</v>
      </c>
      <c r="B75" s="35" t="s">
        <v>2009</v>
      </c>
      <c r="C75" s="35" t="s">
        <v>2010</v>
      </c>
      <c r="D75" s="36">
        <v>2176006</v>
      </c>
      <c r="F75" s="36">
        <v>2059708</v>
      </c>
      <c r="H75" s="36">
        <v>116298</v>
      </c>
      <c r="I75" s="36">
        <v>0</v>
      </c>
      <c r="L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25" x14ac:dyDescent="0.2">
      <c r="A76" s="35">
        <v>46</v>
      </c>
      <c r="B76" s="35" t="s">
        <v>2011</v>
      </c>
      <c r="C76" s="35" t="s">
        <v>2012</v>
      </c>
      <c r="D76" s="36">
        <v>58860.92</v>
      </c>
      <c r="F76" s="36">
        <v>58590.92</v>
      </c>
      <c r="H76" s="36">
        <v>270</v>
      </c>
      <c r="I76" s="36">
        <v>0</v>
      </c>
      <c r="L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25" x14ac:dyDescent="0.2">
      <c r="A77" s="35">
        <v>47</v>
      </c>
      <c r="B77" s="35" t="s">
        <v>2013</v>
      </c>
      <c r="C77" s="35" t="s">
        <v>2014</v>
      </c>
      <c r="D77" s="36">
        <v>149400</v>
      </c>
      <c r="F77" s="36">
        <v>149530</v>
      </c>
      <c r="H77" s="36">
        <v>-130</v>
      </c>
      <c r="I77" s="36">
        <v>0</v>
      </c>
      <c r="L77" s="36">
        <v>0</v>
      </c>
      <c r="N77" s="36">
        <v>0</v>
      </c>
      <c r="O77" s="36">
        <v>0</v>
      </c>
      <c r="P77" s="36">
        <v>0</v>
      </c>
      <c r="Q77" s="36">
        <v>0</v>
      </c>
    </row>
    <row r="78" spans="1:25" x14ac:dyDescent="0.2">
      <c r="A78" s="35">
        <v>48</v>
      </c>
      <c r="B78" s="35" t="s">
        <v>1438</v>
      </c>
      <c r="C78" s="35" t="s">
        <v>1439</v>
      </c>
      <c r="D78" s="36">
        <v>17604</v>
      </c>
      <c r="F78" s="36">
        <v>0</v>
      </c>
      <c r="H78" s="36">
        <v>17604</v>
      </c>
      <c r="I78" s="36">
        <v>0</v>
      </c>
      <c r="L78" s="36">
        <v>0</v>
      </c>
      <c r="N78" s="36">
        <v>0</v>
      </c>
      <c r="O78" s="36">
        <v>0</v>
      </c>
      <c r="P78" s="36">
        <v>0</v>
      </c>
      <c r="Q78" s="36">
        <v>0</v>
      </c>
    </row>
    <row r="79" spans="1:25" x14ac:dyDescent="0.2">
      <c r="A79" s="35">
        <v>49</v>
      </c>
      <c r="B79" s="35" t="s">
        <v>1440</v>
      </c>
      <c r="C79" s="35" t="s">
        <v>1441</v>
      </c>
      <c r="D79" s="36">
        <v>0</v>
      </c>
      <c r="F79" s="36">
        <v>0</v>
      </c>
      <c r="H79" s="36">
        <v>0</v>
      </c>
      <c r="I79" s="36">
        <v>0</v>
      </c>
      <c r="L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25" x14ac:dyDescent="0.2">
      <c r="A80" s="35">
        <v>50</v>
      </c>
      <c r="B80" s="35" t="s">
        <v>1442</v>
      </c>
      <c r="C80" s="35" t="s">
        <v>1443</v>
      </c>
      <c r="D80" s="36">
        <v>1750692.31</v>
      </c>
      <c r="F80" s="36">
        <v>0</v>
      </c>
      <c r="H80" s="36">
        <v>1750692.31</v>
      </c>
      <c r="I80" s="36">
        <v>0</v>
      </c>
      <c r="L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x14ac:dyDescent="0.2">
      <c r="F81" s="36"/>
    </row>
    <row r="82" spans="1:17" x14ac:dyDescent="0.2">
      <c r="F82" s="36"/>
    </row>
    <row r="83" spans="1:17" x14ac:dyDescent="0.2">
      <c r="B83" s="35" t="s">
        <v>1444</v>
      </c>
      <c r="F83" s="36"/>
    </row>
    <row r="84" spans="1:17" x14ac:dyDescent="0.2">
      <c r="B84" s="35" t="s">
        <v>1330</v>
      </c>
      <c r="F84" s="36"/>
    </row>
    <row r="85" spans="1:17" x14ac:dyDescent="0.2">
      <c r="A85" s="35">
        <v>1</v>
      </c>
      <c r="B85" s="35" t="s">
        <v>1445</v>
      </c>
      <c r="C85" s="35" t="s">
        <v>1444</v>
      </c>
      <c r="D85" s="36">
        <v>21478924.125000004</v>
      </c>
      <c r="F85" s="36">
        <v>18888188.453000002</v>
      </c>
      <c r="H85" s="36">
        <v>783018.848</v>
      </c>
      <c r="I85" s="36">
        <v>1807716.824</v>
      </c>
      <c r="L85" s="36">
        <v>91.09</v>
      </c>
      <c r="N85" s="36">
        <v>1807625.7339999999</v>
      </c>
      <c r="O85" s="36">
        <v>571233.973</v>
      </c>
      <c r="P85" s="36">
        <v>1236391.7609999999</v>
      </c>
      <c r="Q85" s="36">
        <v>0</v>
      </c>
    </row>
    <row r="86" spans="1:17" x14ac:dyDescent="0.2">
      <c r="A86" s="35">
        <v>2</v>
      </c>
      <c r="B86" s="35" t="s">
        <v>1446</v>
      </c>
      <c r="C86" s="35" t="s">
        <v>1447</v>
      </c>
      <c r="D86" s="36">
        <v>19671298.391000003</v>
      </c>
      <c r="F86" s="36">
        <v>18888188.453000002</v>
      </c>
      <c r="H86" s="36">
        <v>783018.848</v>
      </c>
      <c r="I86" s="36">
        <v>91.09</v>
      </c>
      <c r="L86" s="36">
        <v>91.09</v>
      </c>
      <c r="N86" s="36">
        <v>0</v>
      </c>
      <c r="O86" s="36">
        <v>0</v>
      </c>
      <c r="P86" s="36">
        <v>0</v>
      </c>
      <c r="Q86" s="36">
        <v>0</v>
      </c>
    </row>
    <row r="87" spans="1:17" x14ac:dyDescent="0.2">
      <c r="A87" s="35">
        <v>3</v>
      </c>
      <c r="F87" s="36"/>
    </row>
    <row r="88" spans="1:17" x14ac:dyDescent="0.2">
      <c r="A88" s="35">
        <v>4</v>
      </c>
      <c r="F88" s="36"/>
    </row>
    <row r="89" spans="1:17" x14ac:dyDescent="0.2">
      <c r="F89" s="36"/>
    </row>
    <row r="90" spans="1:17" x14ac:dyDescent="0.2">
      <c r="B90" s="35" t="s">
        <v>1448</v>
      </c>
      <c r="F90" s="36"/>
    </row>
    <row r="91" spans="1:17" x14ac:dyDescent="0.2">
      <c r="B91" s="35" t="s">
        <v>1330</v>
      </c>
      <c r="F91" s="36"/>
    </row>
    <row r="92" spans="1:17" x14ac:dyDescent="0.2">
      <c r="A92" s="35">
        <v>1</v>
      </c>
      <c r="B92" s="35" t="s">
        <v>2015</v>
      </c>
      <c r="C92" s="35" t="s">
        <v>1450</v>
      </c>
      <c r="D92" s="36">
        <v>97262576.699999869</v>
      </c>
      <c r="F92" s="36">
        <v>97262576.699999869</v>
      </c>
      <c r="H92" s="36">
        <v>0</v>
      </c>
      <c r="I92" s="36">
        <v>0</v>
      </c>
      <c r="L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x14ac:dyDescent="0.2">
      <c r="A93" s="35">
        <v>2</v>
      </c>
      <c r="B93" s="35" t="s">
        <v>2016</v>
      </c>
      <c r="C93" s="35" t="s">
        <v>1452</v>
      </c>
      <c r="D93" s="36">
        <v>83349160.264615372</v>
      </c>
      <c r="F93" s="36">
        <v>82987729.264615372</v>
      </c>
      <c r="H93" s="36">
        <v>0</v>
      </c>
      <c r="I93" s="36">
        <v>361431</v>
      </c>
      <c r="L93" s="36">
        <v>0</v>
      </c>
      <c r="N93" s="36">
        <v>361431</v>
      </c>
      <c r="O93" s="36">
        <v>63157</v>
      </c>
      <c r="P93" s="36">
        <v>298274</v>
      </c>
      <c r="Q93" s="36">
        <v>0</v>
      </c>
    </row>
    <row r="94" spans="1:17" x14ac:dyDescent="0.2">
      <c r="A94" s="35">
        <v>3</v>
      </c>
      <c r="B94" s="35" t="s">
        <v>2017</v>
      </c>
      <c r="C94" s="35" t="s">
        <v>1454</v>
      </c>
      <c r="D94" s="36">
        <v>282792.23923076928</v>
      </c>
      <c r="F94" s="36">
        <v>282792.23923076928</v>
      </c>
      <c r="H94" s="36">
        <v>0</v>
      </c>
      <c r="I94" s="36">
        <v>0</v>
      </c>
      <c r="L94" s="36">
        <v>0</v>
      </c>
      <c r="N94" s="36">
        <v>0</v>
      </c>
      <c r="O94" s="36">
        <v>0</v>
      </c>
      <c r="P94" s="36">
        <v>0</v>
      </c>
      <c r="Q94" s="36">
        <v>0</v>
      </c>
    </row>
    <row r="95" spans="1:17" x14ac:dyDescent="0.2">
      <c r="A95" s="35">
        <v>4</v>
      </c>
      <c r="B95" s="35" t="s">
        <v>2018</v>
      </c>
      <c r="C95" s="35" t="s">
        <v>1456</v>
      </c>
      <c r="D95" s="36">
        <v>114827799.3</v>
      </c>
      <c r="F95" s="36">
        <v>114827799.3</v>
      </c>
      <c r="H95" s="36">
        <v>0</v>
      </c>
      <c r="I95" s="36">
        <v>0</v>
      </c>
      <c r="L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x14ac:dyDescent="0.2">
      <c r="A96" s="35">
        <v>5</v>
      </c>
      <c r="B96" s="35" t="s">
        <v>1457</v>
      </c>
      <c r="C96" s="35" t="s">
        <v>1458</v>
      </c>
      <c r="D96" s="36">
        <v>1575372.0999999999</v>
      </c>
      <c r="F96" s="36">
        <v>1548687.19</v>
      </c>
      <c r="H96" s="36">
        <v>26684.91</v>
      </c>
      <c r="I96" s="36">
        <v>0</v>
      </c>
      <c r="L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x14ac:dyDescent="0.2">
      <c r="A97" s="35">
        <v>6</v>
      </c>
      <c r="B97" s="35" t="s">
        <v>1459</v>
      </c>
      <c r="C97" s="35" t="s">
        <v>1460</v>
      </c>
      <c r="D97" s="36">
        <v>27610573.629999999</v>
      </c>
      <c r="F97" s="36">
        <v>26251787.18</v>
      </c>
      <c r="H97" s="36">
        <v>1359505.3</v>
      </c>
      <c r="I97" s="36">
        <v>-718.85</v>
      </c>
      <c r="L97" s="36">
        <v>0</v>
      </c>
      <c r="N97" s="36">
        <v>-718.85</v>
      </c>
      <c r="O97" s="36">
        <v>-718.85</v>
      </c>
      <c r="P97" s="36">
        <v>0</v>
      </c>
      <c r="Q97" s="36">
        <v>0</v>
      </c>
    </row>
    <row r="98" spans="1:17" x14ac:dyDescent="0.2">
      <c r="A98" s="35">
        <v>7</v>
      </c>
      <c r="B98" s="35" t="s">
        <v>1461</v>
      </c>
      <c r="C98" s="35" t="s">
        <v>1462</v>
      </c>
      <c r="D98" s="36">
        <v>757621</v>
      </c>
      <c r="F98" s="36">
        <v>718818</v>
      </c>
      <c r="H98" s="36">
        <v>37912</v>
      </c>
      <c r="I98" s="36">
        <v>891</v>
      </c>
      <c r="L98" s="36">
        <v>6</v>
      </c>
      <c r="N98" s="36">
        <v>885</v>
      </c>
      <c r="O98" s="36">
        <v>459</v>
      </c>
      <c r="P98" s="36">
        <v>426</v>
      </c>
      <c r="Q98" s="36">
        <v>0</v>
      </c>
    </row>
    <row r="99" spans="1:17" x14ac:dyDescent="0.2">
      <c r="A99" s="35">
        <v>8</v>
      </c>
      <c r="B99" s="35" t="s">
        <v>1463</v>
      </c>
      <c r="C99" s="35" t="s">
        <v>1464</v>
      </c>
      <c r="D99" s="36">
        <v>757621</v>
      </c>
      <c r="F99" s="36">
        <v>718818</v>
      </c>
      <c r="H99" s="36">
        <v>37912</v>
      </c>
      <c r="I99" s="36">
        <v>891</v>
      </c>
      <c r="L99" s="36">
        <v>6</v>
      </c>
      <c r="N99" s="36">
        <v>885</v>
      </c>
      <c r="O99" s="36">
        <v>459</v>
      </c>
      <c r="P99" s="36">
        <v>426</v>
      </c>
      <c r="Q99" s="36">
        <v>0</v>
      </c>
    </row>
    <row r="100" spans="1:17" x14ac:dyDescent="0.2">
      <c r="A100" s="35">
        <v>9</v>
      </c>
      <c r="B100" s="35" t="s">
        <v>1465</v>
      </c>
      <c r="C100" s="35" t="s">
        <v>1466</v>
      </c>
      <c r="D100" s="36">
        <v>757621</v>
      </c>
      <c r="F100" s="36">
        <v>718818</v>
      </c>
      <c r="H100" s="36">
        <v>37912</v>
      </c>
      <c r="I100" s="36">
        <v>891</v>
      </c>
      <c r="L100" s="36">
        <v>6</v>
      </c>
      <c r="N100" s="36">
        <v>885</v>
      </c>
      <c r="O100" s="36">
        <v>459</v>
      </c>
      <c r="P100" s="36">
        <v>426</v>
      </c>
      <c r="Q100" s="36">
        <v>0</v>
      </c>
    </row>
    <row r="101" spans="1:17" x14ac:dyDescent="0.2">
      <c r="A101" s="35">
        <v>10</v>
      </c>
      <c r="B101" s="35" t="s">
        <v>1467</v>
      </c>
      <c r="C101" s="35" t="s">
        <v>1468</v>
      </c>
      <c r="D101" s="36">
        <v>5498987.4100000011</v>
      </c>
      <c r="F101" s="36">
        <v>0</v>
      </c>
      <c r="H101" s="36">
        <v>5498987.4100000011</v>
      </c>
      <c r="I101" s="36">
        <v>0</v>
      </c>
      <c r="L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x14ac:dyDescent="0.2">
      <c r="A102" s="35">
        <v>11</v>
      </c>
      <c r="B102" s="35" t="s">
        <v>1469</v>
      </c>
      <c r="C102" s="35" t="s">
        <v>1470</v>
      </c>
      <c r="D102" s="36">
        <v>3938073.7999999989</v>
      </c>
      <c r="F102" s="36">
        <v>0</v>
      </c>
      <c r="H102" s="36">
        <v>3938073.7999999989</v>
      </c>
      <c r="I102" s="36">
        <v>0</v>
      </c>
      <c r="L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x14ac:dyDescent="0.2">
      <c r="A103" s="35">
        <v>12</v>
      </c>
      <c r="B103" s="35" t="s">
        <v>2019</v>
      </c>
      <c r="C103" s="35" t="s">
        <v>1472</v>
      </c>
      <c r="D103" s="36">
        <v>0</v>
      </c>
      <c r="F103" s="36">
        <v>0</v>
      </c>
      <c r="H103" s="36">
        <v>0</v>
      </c>
      <c r="I103" s="36">
        <v>0</v>
      </c>
      <c r="L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x14ac:dyDescent="0.2">
      <c r="A104" s="35">
        <v>13</v>
      </c>
      <c r="B104" s="35" t="s">
        <v>1473</v>
      </c>
      <c r="C104" s="35" t="s">
        <v>1474</v>
      </c>
      <c r="D104" s="36">
        <v>3900880.5453846096</v>
      </c>
      <c r="F104" s="36">
        <v>0</v>
      </c>
      <c r="H104" s="36">
        <v>3900880.5453846096</v>
      </c>
      <c r="I104" s="36">
        <v>0</v>
      </c>
      <c r="L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x14ac:dyDescent="0.2">
      <c r="A105" s="35">
        <v>14</v>
      </c>
      <c r="B105" s="35" t="s">
        <v>1475</v>
      </c>
      <c r="C105" s="35" t="s">
        <v>1476</v>
      </c>
      <c r="D105" s="36">
        <v>517331</v>
      </c>
      <c r="F105" s="36">
        <v>517331</v>
      </c>
      <c r="H105" s="36">
        <v>0</v>
      </c>
      <c r="I105" s="36">
        <v>0</v>
      </c>
      <c r="L105" s="36">
        <v>0</v>
      </c>
      <c r="N105" s="36">
        <v>0</v>
      </c>
      <c r="O105" s="36">
        <v>0</v>
      </c>
      <c r="P105" s="36">
        <v>0</v>
      </c>
      <c r="Q105" s="36">
        <v>0</v>
      </c>
    </row>
    <row r="106" spans="1:17" x14ac:dyDescent="0.2">
      <c r="A106" s="35">
        <v>15</v>
      </c>
      <c r="B106" s="35" t="s">
        <v>1477</v>
      </c>
      <c r="C106" s="35" t="s">
        <v>1478</v>
      </c>
      <c r="D106" s="36">
        <v>545615</v>
      </c>
      <c r="F106" s="36">
        <v>517327</v>
      </c>
      <c r="H106" s="36">
        <v>28284</v>
      </c>
      <c r="I106" s="36">
        <v>4</v>
      </c>
      <c r="L106" s="36">
        <v>4</v>
      </c>
      <c r="N106" s="36">
        <v>0</v>
      </c>
      <c r="O106" s="36">
        <v>0</v>
      </c>
      <c r="P106" s="36">
        <v>0</v>
      </c>
      <c r="Q106" s="36">
        <v>0</v>
      </c>
    </row>
    <row r="107" spans="1:17" x14ac:dyDescent="0.2">
      <c r="A107" s="35">
        <v>16</v>
      </c>
      <c r="B107" s="35" t="s">
        <v>1479</v>
      </c>
      <c r="C107" s="35" t="s">
        <v>1480</v>
      </c>
      <c r="D107" s="36">
        <v>545615</v>
      </c>
      <c r="F107" s="36">
        <v>517327</v>
      </c>
      <c r="H107" s="36">
        <v>28284</v>
      </c>
      <c r="I107" s="36">
        <v>4</v>
      </c>
      <c r="L107" s="36">
        <v>4</v>
      </c>
      <c r="N107" s="36">
        <v>0</v>
      </c>
      <c r="O107" s="36">
        <v>0</v>
      </c>
      <c r="P107" s="36">
        <v>0</v>
      </c>
      <c r="Q107" s="36">
        <v>0</v>
      </c>
    </row>
    <row r="108" spans="1:17" x14ac:dyDescent="0.2">
      <c r="A108" s="35">
        <v>17</v>
      </c>
      <c r="B108" s="35" t="s">
        <v>1481</v>
      </c>
      <c r="C108" s="35" t="s">
        <v>1482</v>
      </c>
      <c r="D108" s="36">
        <v>545615</v>
      </c>
      <c r="F108" s="36">
        <v>517327</v>
      </c>
      <c r="H108" s="36">
        <v>28284</v>
      </c>
      <c r="I108" s="36">
        <v>4</v>
      </c>
      <c r="L108" s="36">
        <v>4</v>
      </c>
      <c r="N108" s="36">
        <v>0</v>
      </c>
      <c r="O108" s="36">
        <v>0</v>
      </c>
      <c r="P108" s="36">
        <v>0</v>
      </c>
      <c r="Q108" s="36">
        <v>0</v>
      </c>
    </row>
    <row r="109" spans="1:17" x14ac:dyDescent="0.2">
      <c r="A109" s="35">
        <v>18</v>
      </c>
      <c r="B109" s="35" t="s">
        <v>1483</v>
      </c>
      <c r="C109" s="35" t="s">
        <v>1484</v>
      </c>
      <c r="D109" s="36">
        <v>0</v>
      </c>
      <c r="F109" s="36">
        <v>0</v>
      </c>
      <c r="H109" s="36">
        <v>0</v>
      </c>
      <c r="I109" s="36">
        <v>0</v>
      </c>
      <c r="L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x14ac:dyDescent="0.2">
      <c r="A110" s="35">
        <v>19</v>
      </c>
      <c r="B110" s="35" t="s">
        <v>1485</v>
      </c>
      <c r="C110" s="35" t="s">
        <v>1486</v>
      </c>
      <c r="D110" s="36">
        <v>66010.960000000006</v>
      </c>
      <c r="F110" s="36">
        <v>62518.41</v>
      </c>
      <c r="H110" s="36">
        <v>3492.55</v>
      </c>
      <c r="I110" s="36">
        <v>0</v>
      </c>
      <c r="L110" s="36">
        <v>0</v>
      </c>
      <c r="N110" s="36">
        <v>0</v>
      </c>
      <c r="O110" s="36">
        <v>0</v>
      </c>
      <c r="P110" s="36">
        <v>0</v>
      </c>
      <c r="Q110" s="36">
        <v>0</v>
      </c>
    </row>
    <row r="111" spans="1:17" x14ac:dyDescent="0.2">
      <c r="A111" s="35">
        <v>20</v>
      </c>
      <c r="B111" s="35" t="s">
        <v>1833</v>
      </c>
      <c r="C111" s="35" t="s">
        <v>2020</v>
      </c>
      <c r="D111" s="36">
        <v>3813250.77</v>
      </c>
      <c r="F111" s="36">
        <v>3676663.1</v>
      </c>
      <c r="H111" s="36">
        <v>136549.35999999999</v>
      </c>
      <c r="I111" s="36">
        <v>38.31</v>
      </c>
      <c r="L111" s="36">
        <v>0</v>
      </c>
      <c r="N111" s="36">
        <v>38.31</v>
      </c>
      <c r="O111" s="36">
        <v>38.31</v>
      </c>
      <c r="P111" s="36">
        <v>0</v>
      </c>
      <c r="Q111" s="36">
        <v>0</v>
      </c>
    </row>
    <row r="112" spans="1:17" x14ac:dyDescent="0.2">
      <c r="A112" s="35">
        <v>21</v>
      </c>
      <c r="F112" s="36"/>
    </row>
    <row r="113" spans="1:17" x14ac:dyDescent="0.2">
      <c r="A113" s="35">
        <v>22</v>
      </c>
      <c r="F113" s="36"/>
    </row>
    <row r="114" spans="1:17" x14ac:dyDescent="0.2">
      <c r="A114" s="35">
        <v>23</v>
      </c>
      <c r="F114" s="36"/>
    </row>
    <row r="115" spans="1:17" x14ac:dyDescent="0.2">
      <c r="A115" s="35">
        <v>24</v>
      </c>
      <c r="F115" s="36"/>
    </row>
    <row r="116" spans="1:17" x14ac:dyDescent="0.2">
      <c r="A116" s="35">
        <v>25</v>
      </c>
      <c r="F116" s="36"/>
    </row>
    <row r="117" spans="1:17" x14ac:dyDescent="0.2">
      <c r="F117" s="36"/>
    </row>
    <row r="118" spans="1:17" x14ac:dyDescent="0.2">
      <c r="B118" s="35" t="s">
        <v>1487</v>
      </c>
      <c r="F118" s="36"/>
    </row>
    <row r="119" spans="1:17" x14ac:dyDescent="0.2">
      <c r="B119" s="35" t="s">
        <v>1330</v>
      </c>
      <c r="F119" s="36"/>
    </row>
    <row r="120" spans="1:17" x14ac:dyDescent="0.2">
      <c r="A120" s="35">
        <v>1</v>
      </c>
      <c r="B120" s="35" t="s">
        <v>1488</v>
      </c>
      <c r="C120" s="35" t="s">
        <v>1489</v>
      </c>
      <c r="D120" s="36">
        <v>9411035828.0815353</v>
      </c>
      <c r="F120" s="36">
        <v>8360449589.6852503</v>
      </c>
      <c r="H120" s="36">
        <v>465222856.49836028</v>
      </c>
      <c r="I120" s="36">
        <v>585363381.89792442</v>
      </c>
      <c r="L120" s="36">
        <v>203679.96580424803</v>
      </c>
      <c r="N120" s="36">
        <v>585159701.9321202</v>
      </c>
      <c r="O120" s="36">
        <v>184433373.30844113</v>
      </c>
      <c r="P120" s="36">
        <v>400726328.62367904</v>
      </c>
      <c r="Q120" s="36">
        <v>1.2505793398488384E-11</v>
      </c>
    </row>
    <row r="121" spans="1:17" x14ac:dyDescent="0.2">
      <c r="A121" s="35">
        <v>2</v>
      </c>
      <c r="B121" s="35" t="s">
        <v>1490</v>
      </c>
      <c r="C121" s="35" t="s">
        <v>1491</v>
      </c>
      <c r="D121" s="36">
        <v>8360449589.6852503</v>
      </c>
      <c r="F121" s="36">
        <v>8360449589.6852503</v>
      </c>
      <c r="H121" s="36">
        <v>0</v>
      </c>
      <c r="I121" s="36">
        <v>0</v>
      </c>
      <c r="L121" s="36">
        <v>0</v>
      </c>
      <c r="N121" s="36">
        <v>0</v>
      </c>
      <c r="O121" s="36">
        <v>0</v>
      </c>
      <c r="P121" s="36">
        <v>0</v>
      </c>
      <c r="Q121" s="36">
        <v>0</v>
      </c>
    </row>
    <row r="122" spans="1:17" x14ac:dyDescent="0.2">
      <c r="A122" s="35">
        <v>3</v>
      </c>
      <c r="B122" s="35" t="s">
        <v>1492</v>
      </c>
      <c r="C122" s="35" t="s">
        <v>1493</v>
      </c>
      <c r="D122" s="36">
        <v>188407217</v>
      </c>
      <c r="F122" s="36">
        <v>170265600.74430859</v>
      </c>
      <c r="H122" s="36">
        <v>8841043.886412181</v>
      </c>
      <c r="I122" s="36">
        <v>9300572.36927923</v>
      </c>
      <c r="L122" s="36">
        <v>4243.1654496821729</v>
      </c>
      <c r="N122" s="36">
        <v>9296329.2038295474</v>
      </c>
      <c r="O122" s="36">
        <v>2967765.096076705</v>
      </c>
      <c r="P122" s="36">
        <v>6328564.1077528428</v>
      </c>
      <c r="Q122" s="36">
        <v>9.533895433979988E-12</v>
      </c>
    </row>
    <row r="123" spans="1:17" x14ac:dyDescent="0.2">
      <c r="A123" s="35">
        <v>4</v>
      </c>
      <c r="B123" s="35" t="s">
        <v>1494</v>
      </c>
      <c r="C123" s="35" t="s">
        <v>1495</v>
      </c>
      <c r="D123" s="36">
        <v>5279167993.4476919</v>
      </c>
      <c r="F123" s="36">
        <v>4623375268.0448971</v>
      </c>
      <c r="H123" s="36">
        <v>213662668.10617903</v>
      </c>
      <c r="I123" s="36">
        <v>442130057.29661602</v>
      </c>
      <c r="L123" s="36">
        <v>16246.202307146548</v>
      </c>
      <c r="N123" s="36">
        <v>442113811.09430885</v>
      </c>
      <c r="O123" s="36">
        <v>137213947.75867727</v>
      </c>
      <c r="P123" s="36">
        <v>304899863.33563161</v>
      </c>
      <c r="Q123" s="36">
        <v>0</v>
      </c>
    </row>
    <row r="124" spans="1:17" x14ac:dyDescent="0.2">
      <c r="A124" s="35">
        <v>5</v>
      </c>
      <c r="B124" s="35" t="s">
        <v>1496</v>
      </c>
      <c r="C124" s="35" t="s">
        <v>1497</v>
      </c>
      <c r="D124" s="36">
        <v>109640454</v>
      </c>
      <c r="F124" s="36">
        <v>99083241.414200872</v>
      </c>
      <c r="H124" s="36">
        <v>5144898.8047000123</v>
      </c>
      <c r="I124" s="36">
        <v>5412313.781099109</v>
      </c>
      <c r="L124" s="36">
        <v>2469.2397335303112</v>
      </c>
      <c r="N124" s="36">
        <v>5409844.5413655788</v>
      </c>
      <c r="O124" s="36">
        <v>1727041.6583840498</v>
      </c>
      <c r="P124" s="36">
        <v>3682802.8829815295</v>
      </c>
      <c r="Q124" s="36">
        <v>0</v>
      </c>
    </row>
    <row r="125" spans="1:17" x14ac:dyDescent="0.2">
      <c r="A125" s="35">
        <v>6</v>
      </c>
      <c r="B125" s="35" t="s">
        <v>1498</v>
      </c>
      <c r="C125" s="35" t="s">
        <v>1499</v>
      </c>
      <c r="D125" s="36">
        <v>42479827.080769226</v>
      </c>
      <c r="F125" s="36">
        <v>37202866.466802523</v>
      </c>
      <c r="H125" s="36">
        <v>1719277.2054292471</v>
      </c>
      <c r="I125" s="36">
        <v>3557683.4085374586</v>
      </c>
      <c r="L125" s="36">
        <v>130.72814988713193</v>
      </c>
      <c r="N125" s="36">
        <v>3557552.6803875715</v>
      </c>
      <c r="O125" s="36">
        <v>1104118.0695694536</v>
      </c>
      <c r="P125" s="36">
        <v>2453434.6108181179</v>
      </c>
      <c r="Q125" s="36">
        <v>0</v>
      </c>
    </row>
    <row r="126" spans="1:17" x14ac:dyDescent="0.2">
      <c r="A126" s="35">
        <v>7</v>
      </c>
      <c r="B126" s="35" t="s">
        <v>1500</v>
      </c>
      <c r="C126" s="35" t="s">
        <v>1501</v>
      </c>
      <c r="D126" s="36">
        <v>1022068717.5784615</v>
      </c>
      <c r="F126" s="36">
        <v>895104538.62419689</v>
      </c>
      <c r="H126" s="36">
        <v>41365974.611286752</v>
      </c>
      <c r="I126" s="36">
        <v>85598204.342977881</v>
      </c>
      <c r="L126" s="36">
        <v>3145.3318360383109</v>
      </c>
      <c r="N126" s="36">
        <v>85595059.011141837</v>
      </c>
      <c r="O126" s="36">
        <v>26565186.747921754</v>
      </c>
      <c r="P126" s="36">
        <v>59029872.263220079</v>
      </c>
      <c r="Q126" s="36">
        <v>0</v>
      </c>
    </row>
    <row r="127" spans="1:17" x14ac:dyDescent="0.2">
      <c r="A127" s="35">
        <v>8</v>
      </c>
      <c r="B127" s="35" t="s">
        <v>1502</v>
      </c>
      <c r="C127" s="35" t="s">
        <v>1503</v>
      </c>
      <c r="D127" s="36">
        <v>918343861.11076915</v>
      </c>
      <c r="F127" s="36">
        <v>873403033.89332759</v>
      </c>
      <c r="H127" s="36">
        <v>41387411.327948786</v>
      </c>
      <c r="I127" s="36">
        <v>3553415.8894928005</v>
      </c>
      <c r="L127" s="36">
        <v>3069.0743367468272</v>
      </c>
      <c r="N127" s="36">
        <v>3550346.8151560538</v>
      </c>
      <c r="O127" s="36">
        <v>1101881.6652983767</v>
      </c>
      <c r="P127" s="36">
        <v>2448465.1498576771</v>
      </c>
      <c r="Q127" s="36">
        <v>0</v>
      </c>
    </row>
    <row r="128" spans="1:17" x14ac:dyDescent="0.2">
      <c r="A128" s="35">
        <v>9</v>
      </c>
      <c r="B128" s="35" t="s">
        <v>1504</v>
      </c>
      <c r="C128" s="35" t="s">
        <v>1505</v>
      </c>
      <c r="D128" s="36">
        <v>54886258.943076827</v>
      </c>
      <c r="F128" s="36">
        <v>0</v>
      </c>
      <c r="H128" s="36">
        <v>54886258.943076827</v>
      </c>
      <c r="I128" s="36">
        <v>0</v>
      </c>
      <c r="L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x14ac:dyDescent="0.2">
      <c r="A129" s="35">
        <v>10</v>
      </c>
      <c r="B129" s="35" t="s">
        <v>1506</v>
      </c>
      <c r="C129" s="35" t="s">
        <v>1507</v>
      </c>
      <c r="D129" s="36">
        <v>63116688.353076823</v>
      </c>
      <c r="F129" s="36">
        <v>8230400.4889750648</v>
      </c>
      <c r="H129" s="36">
        <v>54886258.943076827</v>
      </c>
      <c r="I129" s="36">
        <v>28.921024935375918</v>
      </c>
      <c r="L129" s="36">
        <v>28.921024935375918</v>
      </c>
      <c r="N129" s="36">
        <v>0</v>
      </c>
      <c r="O129" s="36">
        <v>0</v>
      </c>
      <c r="P129" s="36">
        <v>0</v>
      </c>
      <c r="Q129" s="36">
        <v>0</v>
      </c>
    </row>
    <row r="130" spans="1:17" x14ac:dyDescent="0.2">
      <c r="A130" s="35">
        <v>11</v>
      </c>
      <c r="B130" s="35" t="s">
        <v>1508</v>
      </c>
      <c r="C130" s="35" t="s">
        <v>1509</v>
      </c>
      <c r="D130" s="36">
        <v>1836173590.7569203</v>
      </c>
      <c r="F130" s="36">
        <v>1734009542.3257976</v>
      </c>
      <c r="H130" s="36">
        <v>97067578.19769229</v>
      </c>
      <c r="I130" s="36">
        <v>5096470.2334303223</v>
      </c>
      <c r="L130" s="36">
        <v>176624.25999999998</v>
      </c>
      <c r="N130" s="36">
        <v>4919845.9734303225</v>
      </c>
      <c r="O130" s="36">
        <v>4264490.9925255449</v>
      </c>
      <c r="P130" s="36">
        <v>655354.980904778</v>
      </c>
      <c r="Q130" s="36">
        <v>0</v>
      </c>
    </row>
    <row r="131" spans="1:17" x14ac:dyDescent="0.2">
      <c r="A131" s="35">
        <v>12</v>
      </c>
      <c r="B131" s="35" t="s">
        <v>1510</v>
      </c>
      <c r="C131" s="35" t="s">
        <v>1511</v>
      </c>
      <c r="D131" s="36">
        <v>1738929388.299228</v>
      </c>
      <c r="F131" s="36">
        <v>1734009542.3257976</v>
      </c>
      <c r="H131" s="36">
        <v>0</v>
      </c>
      <c r="I131" s="36">
        <v>4919845.9734303225</v>
      </c>
      <c r="L131" s="36">
        <v>0</v>
      </c>
      <c r="N131" s="36">
        <v>4919845.9734303225</v>
      </c>
      <c r="O131" s="36">
        <v>4264490.9925255449</v>
      </c>
      <c r="P131" s="36">
        <v>655354.980904778</v>
      </c>
      <c r="Q131" s="36">
        <v>0</v>
      </c>
    </row>
    <row r="132" spans="1:17" x14ac:dyDescent="0.2">
      <c r="A132" s="35">
        <v>13</v>
      </c>
      <c r="B132" s="35" t="s">
        <v>1512</v>
      </c>
      <c r="C132" s="35" t="s">
        <v>1513</v>
      </c>
      <c r="D132" s="36">
        <v>207698615.21384597</v>
      </c>
      <c r="F132" s="36">
        <v>188738968.75450593</v>
      </c>
      <c r="H132" s="36">
        <v>9239698.6054259427</v>
      </c>
      <c r="I132" s="36">
        <v>9719947.8539140876</v>
      </c>
      <c r="L132" s="36">
        <v>4434.495563162518</v>
      </c>
      <c r="N132" s="36">
        <v>9715513.3583509251</v>
      </c>
      <c r="O132" s="36">
        <v>3101585.6692664423</v>
      </c>
      <c r="P132" s="36">
        <v>6613927.6890844833</v>
      </c>
      <c r="Q132" s="36">
        <v>1.2505793398488384E-11</v>
      </c>
    </row>
    <row r="133" spans="1:17" x14ac:dyDescent="0.2">
      <c r="A133" s="35">
        <v>14</v>
      </c>
      <c r="B133" s="35" t="s">
        <v>1514</v>
      </c>
      <c r="C133" s="35" t="s">
        <v>2021</v>
      </c>
      <c r="D133" s="36">
        <v>55918.829999999994</v>
      </c>
      <c r="F133" s="36">
        <v>55918.829999999994</v>
      </c>
      <c r="H133" s="36">
        <v>0</v>
      </c>
      <c r="I133" s="36">
        <v>0</v>
      </c>
      <c r="L133" s="36">
        <v>0</v>
      </c>
      <c r="N133" s="36">
        <v>0</v>
      </c>
      <c r="O133" s="36">
        <v>0</v>
      </c>
      <c r="P133" s="36">
        <v>0</v>
      </c>
      <c r="Q133" s="36">
        <v>0</v>
      </c>
    </row>
    <row r="134" spans="1:17" x14ac:dyDescent="0.2">
      <c r="A134" s="35">
        <v>15</v>
      </c>
      <c r="B134" s="35" t="s">
        <v>507</v>
      </c>
      <c r="C134" s="35" t="s">
        <v>2022</v>
      </c>
      <c r="D134" s="36">
        <v>115922918.5592307</v>
      </c>
      <c r="F134" s="36">
        <v>102982045.18696477</v>
      </c>
      <c r="H134" s="36">
        <v>5730505.3652894096</v>
      </c>
      <c r="I134" s="36">
        <v>7210368.0069765281</v>
      </c>
      <c r="L134" s="36">
        <v>2508.8817553557165</v>
      </c>
      <c r="N134" s="36">
        <v>7207859.1252211723</v>
      </c>
      <c r="O134" s="36">
        <v>2271806.770710913</v>
      </c>
      <c r="P134" s="36">
        <v>4936052.3545102598</v>
      </c>
      <c r="Q134" s="36">
        <v>1.5404341202546043E-13</v>
      </c>
    </row>
    <row r="135" spans="1:17" x14ac:dyDescent="0.2">
      <c r="A135" s="35">
        <v>16</v>
      </c>
      <c r="B135" s="35" t="s">
        <v>508</v>
      </c>
      <c r="C135" s="35" t="s">
        <v>509</v>
      </c>
      <c r="D135" s="36">
        <v>6343716538.1069231</v>
      </c>
      <c r="F135" s="36">
        <v>5555682673.1358967</v>
      </c>
      <c r="H135" s="36">
        <v>256747919.92289504</v>
      </c>
      <c r="I135" s="36">
        <v>531285945.04813135</v>
      </c>
      <c r="L135" s="36">
        <v>19522.262293071992</v>
      </c>
      <c r="N135" s="36">
        <v>531266422.78583825</v>
      </c>
      <c r="O135" s="36">
        <v>164883252.57616851</v>
      </c>
      <c r="P135" s="36">
        <v>366383170.20966971</v>
      </c>
      <c r="Q135" s="36">
        <v>0</v>
      </c>
    </row>
    <row r="136" spans="1:17" x14ac:dyDescent="0.2">
      <c r="A136" s="35">
        <v>17</v>
      </c>
      <c r="B136" s="35" t="s">
        <v>949</v>
      </c>
      <c r="C136" s="35" t="s">
        <v>950</v>
      </c>
      <c r="D136" s="36">
        <v>6385265102.5569229</v>
      </c>
      <c r="F136" s="36">
        <v>5555953761.9726448</v>
      </c>
      <c r="H136" s="36">
        <v>262317821.58421645</v>
      </c>
      <c r="I136" s="36">
        <v>566993519.00006235</v>
      </c>
      <c r="L136" s="36">
        <v>19523.214879403335</v>
      </c>
      <c r="N136" s="36">
        <v>566973995.78518295</v>
      </c>
      <c r="O136" s="36">
        <v>175965414.98135078</v>
      </c>
      <c r="P136" s="36">
        <v>391008580.80383211</v>
      </c>
      <c r="Q136" s="36">
        <v>0</v>
      </c>
    </row>
    <row r="137" spans="1:17" x14ac:dyDescent="0.2">
      <c r="A137" s="35">
        <v>18</v>
      </c>
      <c r="B137" s="35" t="s">
        <v>951</v>
      </c>
      <c r="C137" s="35" t="s">
        <v>952</v>
      </c>
      <c r="D137" s="36">
        <v>981460549.46384609</v>
      </c>
      <c r="F137" s="36">
        <v>881633434.38230264</v>
      </c>
      <c r="H137" s="36">
        <v>96273670.271025613</v>
      </c>
      <c r="I137" s="36">
        <v>3553444.8105177358</v>
      </c>
      <c r="L137" s="36">
        <v>3097.9953616822031</v>
      </c>
      <c r="N137" s="36">
        <v>3550346.8151560538</v>
      </c>
      <c r="O137" s="36">
        <v>1101881.6652983767</v>
      </c>
      <c r="P137" s="36">
        <v>2448465.1498576771</v>
      </c>
      <c r="Q137" s="36">
        <v>0</v>
      </c>
    </row>
    <row r="138" spans="1:17" x14ac:dyDescent="0.2">
      <c r="A138" s="35">
        <v>19</v>
      </c>
      <c r="B138" s="35" t="s">
        <v>2270</v>
      </c>
      <c r="C138" s="35" t="s">
        <v>2271</v>
      </c>
      <c r="D138" s="36">
        <v>977910202.64868999</v>
      </c>
      <c r="F138" s="36">
        <v>881633434.38230264</v>
      </c>
      <c r="H138" s="36">
        <v>96273670.271025613</v>
      </c>
      <c r="I138" s="36">
        <v>3097.9953616822031</v>
      </c>
      <c r="L138" s="36">
        <v>3097.9953616822031</v>
      </c>
      <c r="N138" s="36">
        <v>0</v>
      </c>
      <c r="O138" s="36">
        <v>0</v>
      </c>
      <c r="P138" s="36">
        <v>0</v>
      </c>
      <c r="Q138" s="36">
        <v>0</v>
      </c>
    </row>
    <row r="139" spans="1:17" x14ac:dyDescent="0.2">
      <c r="A139" s="35">
        <v>20</v>
      </c>
      <c r="B139" s="35" t="s">
        <v>953</v>
      </c>
      <c r="C139" s="35" t="s">
        <v>954</v>
      </c>
      <c r="D139" s="36">
        <v>44048859</v>
      </c>
      <c r="F139" s="36">
        <v>39006996.400727212</v>
      </c>
      <c r="H139" s="36">
        <v>2320071.6635289136</v>
      </c>
      <c r="I139" s="36">
        <v>2721790.9357438744</v>
      </c>
      <c r="L139" s="36">
        <v>684.43720707364128</v>
      </c>
      <c r="N139" s="36">
        <v>2721106.498536801</v>
      </c>
      <c r="O139" s="36">
        <v>853306.61168336053</v>
      </c>
      <c r="P139" s="36">
        <v>1867799.8868534407</v>
      </c>
      <c r="Q139" s="36">
        <v>0</v>
      </c>
    </row>
    <row r="140" spans="1:17" x14ac:dyDescent="0.2">
      <c r="A140" s="35">
        <v>21</v>
      </c>
      <c r="B140" s="35" t="s">
        <v>955</v>
      </c>
      <c r="C140" s="35" t="s">
        <v>2023</v>
      </c>
      <c r="D140" s="36">
        <v>10560458.999999989</v>
      </c>
      <c r="F140" s="36">
        <v>9447961.4330750518</v>
      </c>
      <c r="H140" s="36">
        <v>511149.28615127259</v>
      </c>
      <c r="I140" s="36">
        <v>601348.28077366354</v>
      </c>
      <c r="L140" s="36">
        <v>232.32466968275835</v>
      </c>
      <c r="N140" s="36">
        <v>601115.95610398077</v>
      </c>
      <c r="O140" s="36">
        <v>190326.82348489683</v>
      </c>
      <c r="P140" s="36">
        <v>410789.13261908398</v>
      </c>
      <c r="Q140" s="36">
        <v>2.2683351751379717E-13</v>
      </c>
    </row>
    <row r="141" spans="1:17" x14ac:dyDescent="0.2">
      <c r="A141" s="35">
        <v>22</v>
      </c>
      <c r="B141" s="35" t="s">
        <v>956</v>
      </c>
      <c r="C141" s="35" t="s">
        <v>2024</v>
      </c>
      <c r="D141" s="36">
        <v>1611170006.6446187</v>
      </c>
      <c r="F141" s="36">
        <v>1611170006.6446187</v>
      </c>
      <c r="H141" s="36">
        <v>0</v>
      </c>
      <c r="I141" s="36">
        <v>0</v>
      </c>
      <c r="L141" s="36">
        <v>0</v>
      </c>
      <c r="N141" s="36">
        <v>0</v>
      </c>
      <c r="O141" s="36">
        <v>0</v>
      </c>
      <c r="P141" s="36">
        <v>0</v>
      </c>
      <c r="Q141" s="36">
        <v>0</v>
      </c>
    </row>
    <row r="142" spans="1:17" x14ac:dyDescent="0.2">
      <c r="A142" s="35">
        <v>23</v>
      </c>
      <c r="B142" s="35" t="s">
        <v>957</v>
      </c>
      <c r="C142" s="35" t="s">
        <v>958</v>
      </c>
      <c r="D142" s="36">
        <v>18078755.017977506</v>
      </c>
      <c r="F142" s="36">
        <v>0</v>
      </c>
      <c r="H142" s="36">
        <v>0</v>
      </c>
      <c r="I142" s="36">
        <v>18078755.017977506</v>
      </c>
      <c r="L142" s="36">
        <v>0</v>
      </c>
      <c r="N142" s="36">
        <v>18078755.017977506</v>
      </c>
      <c r="O142" s="36">
        <v>5610902.180229635</v>
      </c>
      <c r="P142" s="36">
        <v>12467852.83774787</v>
      </c>
      <c r="Q142" s="36">
        <v>0</v>
      </c>
    </row>
    <row r="143" spans="1:17" x14ac:dyDescent="0.2">
      <c r="A143" s="35">
        <v>24</v>
      </c>
      <c r="B143" s="35" t="s">
        <v>959</v>
      </c>
      <c r="C143" s="35" t="s">
        <v>960</v>
      </c>
      <c r="D143" s="36">
        <v>0</v>
      </c>
      <c r="F143" s="36">
        <v>0</v>
      </c>
      <c r="H143" s="36">
        <v>0</v>
      </c>
      <c r="I143" s="36">
        <v>0</v>
      </c>
      <c r="L143" s="36">
        <v>0</v>
      </c>
      <c r="N143" s="36">
        <v>0</v>
      </c>
      <c r="O143" s="36">
        <v>0</v>
      </c>
      <c r="P143" s="36">
        <v>0</v>
      </c>
      <c r="Q143" s="36">
        <v>0</v>
      </c>
    </row>
    <row r="144" spans="1:17" x14ac:dyDescent="0.2">
      <c r="A144" s="35">
        <v>25</v>
      </c>
      <c r="B144" s="35" t="s">
        <v>961</v>
      </c>
      <c r="C144" s="35" t="s">
        <v>1831</v>
      </c>
      <c r="D144" s="36">
        <v>1744332.1247257967</v>
      </c>
      <c r="F144" s="36">
        <v>0</v>
      </c>
      <c r="H144" s="36">
        <v>0</v>
      </c>
      <c r="I144" s="36">
        <v>1744332.1247257967</v>
      </c>
      <c r="L144" s="36">
        <v>0</v>
      </c>
      <c r="N144" s="36">
        <v>1744332.1247257967</v>
      </c>
      <c r="O144" s="36">
        <v>541368.96660948708</v>
      </c>
      <c r="P144" s="36">
        <v>1202963.1581163097</v>
      </c>
      <c r="Q144" s="36">
        <v>0</v>
      </c>
    </row>
    <row r="145" spans="1:17" x14ac:dyDescent="0.2">
      <c r="A145" s="35">
        <v>26</v>
      </c>
      <c r="B145" s="35" t="s">
        <v>962</v>
      </c>
      <c r="C145" s="35" t="s">
        <v>1832</v>
      </c>
      <c r="D145" s="36">
        <v>2233.5705878643466</v>
      </c>
      <c r="F145" s="36">
        <v>0</v>
      </c>
      <c r="H145" s="36">
        <v>0</v>
      </c>
      <c r="I145" s="36">
        <v>2233.5705878643466</v>
      </c>
      <c r="L145" s="36">
        <v>0</v>
      </c>
      <c r="N145" s="36">
        <v>2233.5705878643466</v>
      </c>
      <c r="O145" s="36">
        <v>693.20846865188935</v>
      </c>
      <c r="P145" s="36">
        <v>1540.3621192124572</v>
      </c>
      <c r="Q145" s="36">
        <v>0</v>
      </c>
    </row>
    <row r="146" spans="1:17" x14ac:dyDescent="0.2">
      <c r="A146" s="35">
        <v>27</v>
      </c>
      <c r="B146" s="35" t="s">
        <v>963</v>
      </c>
      <c r="C146" s="35" t="s">
        <v>964</v>
      </c>
      <c r="D146" s="36">
        <v>918343861.11076915</v>
      </c>
      <c r="F146" s="36">
        <v>873403033.89332759</v>
      </c>
      <c r="H146" s="36">
        <v>41387411.327948786</v>
      </c>
      <c r="I146" s="36">
        <v>3553415.8894928005</v>
      </c>
      <c r="L146" s="36">
        <v>3069.0743367468272</v>
      </c>
      <c r="N146" s="36">
        <v>3550346.8151560538</v>
      </c>
      <c r="O146" s="36">
        <v>1101881.6652983767</v>
      </c>
      <c r="P146" s="36">
        <v>2448465.1498576771</v>
      </c>
      <c r="Q146" s="36">
        <v>0</v>
      </c>
    </row>
    <row r="147" spans="1:17" x14ac:dyDescent="0.2">
      <c r="A147" s="35">
        <v>28</v>
      </c>
      <c r="B147" s="35" t="s">
        <v>1410</v>
      </c>
      <c r="C147" s="35" t="s">
        <v>1411</v>
      </c>
      <c r="D147" s="36">
        <v>63116688.353076823</v>
      </c>
      <c r="F147" s="36">
        <v>8230400.4889750648</v>
      </c>
      <c r="H147" s="36">
        <v>54886258.943076827</v>
      </c>
      <c r="I147" s="36">
        <v>28.921024935375918</v>
      </c>
      <c r="L147" s="36">
        <v>28.921024935375918</v>
      </c>
      <c r="N147" s="36">
        <v>0</v>
      </c>
      <c r="O147" s="36">
        <v>0</v>
      </c>
      <c r="P147" s="36">
        <v>0</v>
      </c>
      <c r="Q147" s="36">
        <v>0</v>
      </c>
    </row>
    <row r="148" spans="1:17" x14ac:dyDescent="0.2">
      <c r="A148" s="35">
        <v>29</v>
      </c>
      <c r="B148" s="35" t="s">
        <v>1412</v>
      </c>
      <c r="C148" s="35" t="s">
        <v>2025</v>
      </c>
      <c r="D148" s="36">
        <v>773507088.0707674</v>
      </c>
      <c r="F148" s="36">
        <v>717164338.75692129</v>
      </c>
      <c r="H148" s="36">
        <v>56248200.53384614</v>
      </c>
      <c r="I148" s="36">
        <v>94548.78</v>
      </c>
      <c r="L148" s="36">
        <v>94548.78</v>
      </c>
      <c r="N148" s="36">
        <v>0</v>
      </c>
      <c r="O148" s="36">
        <v>0</v>
      </c>
      <c r="P148" s="36">
        <v>0</v>
      </c>
      <c r="Q148" s="36">
        <v>0</v>
      </c>
    </row>
    <row r="149" spans="1:17" x14ac:dyDescent="0.2">
      <c r="A149" s="35">
        <v>30</v>
      </c>
      <c r="B149" s="35" t="s">
        <v>1413</v>
      </c>
      <c r="C149" s="35" t="s">
        <v>1414</v>
      </c>
      <c r="D149" s="36">
        <v>9527059121.0507679</v>
      </c>
      <c r="F149" s="36">
        <v>8463527046.5532007</v>
      </c>
      <c r="H149" s="36">
        <v>470955559.46998042</v>
      </c>
      <c r="I149" s="36">
        <v>592576515.02758551</v>
      </c>
      <c r="L149" s="36">
        <v>206189.80969716009</v>
      </c>
      <c r="N149" s="36">
        <v>592370325.21788836</v>
      </c>
      <c r="O149" s="36">
        <v>186706051.30020908</v>
      </c>
      <c r="P149" s="36">
        <v>405664273.91767925</v>
      </c>
      <c r="Q149" s="36">
        <v>1.2659895885020524E-11</v>
      </c>
    </row>
    <row r="150" spans="1:17" x14ac:dyDescent="0.2">
      <c r="A150" s="35">
        <v>31</v>
      </c>
      <c r="B150" s="35" t="s">
        <v>1415</v>
      </c>
      <c r="C150" s="35" t="s">
        <v>1416</v>
      </c>
      <c r="D150" s="36">
        <v>8463527046.5532007</v>
      </c>
      <c r="F150" s="36">
        <v>8463527046.5532007</v>
      </c>
      <c r="H150" s="36">
        <v>0</v>
      </c>
      <c r="I150" s="36">
        <v>0</v>
      </c>
      <c r="L150" s="36">
        <v>0</v>
      </c>
      <c r="N150" s="36">
        <v>0</v>
      </c>
      <c r="O150" s="36">
        <v>0</v>
      </c>
      <c r="P150" s="36">
        <v>0</v>
      </c>
      <c r="Q150" s="36">
        <v>0</v>
      </c>
    </row>
    <row r="151" spans="1:17" x14ac:dyDescent="0.2">
      <c r="A151" s="35">
        <v>32</v>
      </c>
      <c r="B151" s="35" t="s">
        <v>1417</v>
      </c>
      <c r="C151" s="35" t="s">
        <v>1418</v>
      </c>
      <c r="D151" s="36">
        <v>9056103561.5807858</v>
      </c>
      <c r="F151" s="36">
        <v>8463527046.5532007</v>
      </c>
      <c r="H151" s="36">
        <v>0</v>
      </c>
      <c r="I151" s="36">
        <v>592576515.02758551</v>
      </c>
      <c r="L151" s="36">
        <v>206189.80969716009</v>
      </c>
      <c r="N151" s="36">
        <v>592370325.21788836</v>
      </c>
      <c r="O151" s="36">
        <v>186706051.30020908</v>
      </c>
      <c r="P151" s="36">
        <v>405664273.91767925</v>
      </c>
      <c r="Q151" s="36">
        <v>1.2659895885020524E-11</v>
      </c>
    </row>
    <row r="152" spans="1:17" x14ac:dyDescent="0.2">
      <c r="A152" s="35">
        <v>33</v>
      </c>
      <c r="B152" s="35" t="s">
        <v>1419</v>
      </c>
      <c r="C152" s="35" t="s">
        <v>1420</v>
      </c>
      <c r="D152" s="36">
        <v>470955559.46998042</v>
      </c>
      <c r="F152" s="36">
        <v>0</v>
      </c>
      <c r="H152" s="36">
        <v>470955559.46998042</v>
      </c>
      <c r="I152" s="36">
        <v>0</v>
      </c>
      <c r="L152" s="36">
        <v>0</v>
      </c>
      <c r="N152" s="36">
        <v>0</v>
      </c>
      <c r="O152" s="36">
        <v>0</v>
      </c>
      <c r="P152" s="36">
        <v>0</v>
      </c>
      <c r="Q152" s="36">
        <v>0</v>
      </c>
    </row>
    <row r="153" spans="1:17" x14ac:dyDescent="0.2">
      <c r="A153" s="35">
        <v>34</v>
      </c>
      <c r="B153" s="35" t="s">
        <v>1421</v>
      </c>
      <c r="C153" s="35" t="s">
        <v>1422</v>
      </c>
      <c r="D153" s="36">
        <v>5318250786.5476923</v>
      </c>
      <c r="F153" s="36">
        <v>4623375268.0448971</v>
      </c>
      <c r="H153" s="36">
        <v>219219127.12095672</v>
      </c>
      <c r="I153" s="36">
        <v>475656391.38183838</v>
      </c>
      <c r="L153" s="36">
        <v>16246.202307146548</v>
      </c>
      <c r="N153" s="36">
        <v>475640145.17953122</v>
      </c>
      <c r="O153" s="36">
        <v>147619143.29491976</v>
      </c>
      <c r="P153" s="36">
        <v>328021001.88461149</v>
      </c>
      <c r="Q153" s="36">
        <v>0</v>
      </c>
    </row>
    <row r="154" spans="1:17" x14ac:dyDescent="0.2">
      <c r="A154" s="35">
        <v>35</v>
      </c>
      <c r="B154" s="35" t="s">
        <v>1423</v>
      </c>
      <c r="C154" s="35" t="s">
        <v>1424</v>
      </c>
      <c r="D154" s="36">
        <v>42585983.780769229</v>
      </c>
      <c r="F154" s="36">
        <v>37202866.466802523</v>
      </c>
      <c r="H154" s="36">
        <v>1719544.3747977805</v>
      </c>
      <c r="I154" s="36">
        <v>3663572.9391689245</v>
      </c>
      <c r="L154" s="36">
        <v>130.72814988713193</v>
      </c>
      <c r="N154" s="36">
        <v>3663442.2110190373</v>
      </c>
      <c r="O154" s="36">
        <v>1136981.8258232872</v>
      </c>
      <c r="P154" s="36">
        <v>2526460.3851957503</v>
      </c>
      <c r="Q154" s="36">
        <v>0</v>
      </c>
    </row>
    <row r="155" spans="1:17" x14ac:dyDescent="0.2">
      <c r="A155" s="35">
        <v>36</v>
      </c>
      <c r="B155" s="35" t="s">
        <v>1425</v>
      </c>
      <c r="C155" s="35" t="s">
        <v>1426</v>
      </c>
      <c r="D155" s="36">
        <v>1024118791.3784616</v>
      </c>
      <c r="F155" s="36">
        <v>895104538.62419689</v>
      </c>
      <c r="H155" s="36">
        <v>41366622.106025882</v>
      </c>
      <c r="I155" s="36">
        <v>87647630.648238748</v>
      </c>
      <c r="L155" s="36">
        <v>3145.3318360383109</v>
      </c>
      <c r="N155" s="36">
        <v>87644485.316402704</v>
      </c>
      <c r="O155" s="36">
        <v>27201244.403051957</v>
      </c>
      <c r="P155" s="36">
        <v>60443240.913350739</v>
      </c>
      <c r="Q155" s="36">
        <v>0</v>
      </c>
    </row>
    <row r="156" spans="1:17" x14ac:dyDescent="0.2">
      <c r="A156" s="35">
        <v>37</v>
      </c>
      <c r="B156" s="35" t="s">
        <v>892</v>
      </c>
      <c r="C156" s="35" t="s">
        <v>2026</v>
      </c>
      <c r="D156" s="36">
        <v>222949295.66461533</v>
      </c>
      <c r="F156" s="36">
        <v>209650161.07461533</v>
      </c>
      <c r="H156" s="36">
        <v>9183994.2200000007</v>
      </c>
      <c r="I156" s="36">
        <v>4115140.3700000006</v>
      </c>
      <c r="L156" s="36">
        <v>74503.37</v>
      </c>
      <c r="N156" s="36">
        <v>4040637.0000000005</v>
      </c>
      <c r="O156" s="36">
        <v>4040637.0000000005</v>
      </c>
      <c r="P156" s="36">
        <v>0</v>
      </c>
      <c r="Q156" s="36">
        <v>0</v>
      </c>
    </row>
    <row r="157" spans="1:17" x14ac:dyDescent="0.2">
      <c r="A157" s="35">
        <v>38</v>
      </c>
      <c r="B157" s="35" t="s">
        <v>893</v>
      </c>
      <c r="C157" s="35" t="s">
        <v>2027</v>
      </c>
      <c r="D157" s="36">
        <v>207960274.23384616</v>
      </c>
      <c r="F157" s="36">
        <v>202385981.21538463</v>
      </c>
      <c r="H157" s="36">
        <v>5574293.0184615385</v>
      </c>
      <c r="I157" s="36">
        <v>0</v>
      </c>
      <c r="L157" s="36">
        <v>0</v>
      </c>
      <c r="N157" s="36">
        <v>0</v>
      </c>
      <c r="O157" s="36">
        <v>0</v>
      </c>
      <c r="P157" s="36">
        <v>0</v>
      </c>
      <c r="Q157" s="36">
        <v>0</v>
      </c>
    </row>
    <row r="158" spans="1:17" x14ac:dyDescent="0.2">
      <c r="A158" s="35">
        <v>39</v>
      </c>
      <c r="B158" s="35" t="s">
        <v>894</v>
      </c>
      <c r="C158" s="35" t="s">
        <v>2028</v>
      </c>
      <c r="D158" s="36">
        <v>118728679.84538461</v>
      </c>
      <c r="F158" s="36">
        <v>114827799.3</v>
      </c>
      <c r="H158" s="36">
        <v>3900880.5453846096</v>
      </c>
      <c r="I158" s="36">
        <v>0</v>
      </c>
      <c r="L158" s="36">
        <v>0</v>
      </c>
      <c r="N158" s="36">
        <v>0</v>
      </c>
      <c r="O158" s="36">
        <v>0</v>
      </c>
      <c r="P158" s="36">
        <v>0</v>
      </c>
      <c r="Q158" s="36">
        <v>0</v>
      </c>
    </row>
    <row r="159" spans="1:17" x14ac:dyDescent="0.2">
      <c r="A159" s="35">
        <v>40</v>
      </c>
      <c r="B159" s="35" t="s">
        <v>895</v>
      </c>
      <c r="C159" s="35" t="s">
        <v>2029</v>
      </c>
      <c r="D159" s="36">
        <v>87291433.274615362</v>
      </c>
      <c r="F159" s="36">
        <v>82987729.264615372</v>
      </c>
      <c r="H159" s="36">
        <v>3938073.7999999989</v>
      </c>
      <c r="I159" s="36">
        <v>365630.21</v>
      </c>
      <c r="L159" s="36">
        <v>4199.21</v>
      </c>
      <c r="N159" s="36">
        <v>361431</v>
      </c>
      <c r="O159" s="36">
        <v>63157</v>
      </c>
      <c r="P159" s="36">
        <v>298274</v>
      </c>
      <c r="Q159" s="36">
        <v>0</v>
      </c>
    </row>
    <row r="160" spans="1:17" x14ac:dyDescent="0.2">
      <c r="A160" s="35">
        <v>41</v>
      </c>
      <c r="B160" s="35" t="s">
        <v>896</v>
      </c>
      <c r="C160" s="35" t="s">
        <v>2030</v>
      </c>
      <c r="D160" s="36">
        <v>282792.23923076928</v>
      </c>
      <c r="F160" s="36">
        <v>282792.23923076928</v>
      </c>
      <c r="H160" s="36">
        <v>0</v>
      </c>
      <c r="I160" s="36">
        <v>0</v>
      </c>
      <c r="L160" s="36">
        <v>0</v>
      </c>
      <c r="N160" s="36">
        <v>0</v>
      </c>
      <c r="O160" s="36">
        <v>0</v>
      </c>
      <c r="P160" s="36">
        <v>0</v>
      </c>
      <c r="Q160" s="36">
        <v>0</v>
      </c>
    </row>
    <row r="161" spans="1:17" x14ac:dyDescent="0.2">
      <c r="A161" s="35">
        <v>42</v>
      </c>
      <c r="B161" s="35" t="s">
        <v>897</v>
      </c>
      <c r="C161" s="35" t="s">
        <v>2031</v>
      </c>
      <c r="D161" s="36">
        <v>321787311.83846045</v>
      </c>
      <c r="F161" s="36">
        <v>308543266.91503012</v>
      </c>
      <c r="H161" s="36">
        <v>12723148.669999996</v>
      </c>
      <c r="I161" s="36">
        <v>520896.25343032228</v>
      </c>
      <c r="L161" s="36">
        <v>3118.2799999999988</v>
      </c>
      <c r="N161" s="36">
        <v>517777.97343032225</v>
      </c>
      <c r="O161" s="36">
        <v>160696.99252554422</v>
      </c>
      <c r="P161" s="36">
        <v>357080.980904778</v>
      </c>
      <c r="Q161" s="36">
        <v>0</v>
      </c>
    </row>
    <row r="162" spans="1:17" x14ac:dyDescent="0.2">
      <c r="A162" s="35">
        <v>43</v>
      </c>
      <c r="B162" s="35" t="s">
        <v>898</v>
      </c>
      <c r="C162" s="35" t="s">
        <v>2032</v>
      </c>
      <c r="D162" s="36">
        <v>32710437.331727192</v>
      </c>
      <c r="F162" s="36">
        <v>31035110.090556461</v>
      </c>
      <c r="H162" s="36">
        <v>1636858.1389909219</v>
      </c>
      <c r="I162" s="36">
        <v>38469.102179808804</v>
      </c>
      <c r="L162" s="36">
        <v>259.05119313002569</v>
      </c>
      <c r="N162" s="36">
        <v>38210.050986678776</v>
      </c>
      <c r="O162" s="36">
        <v>19817.416274446961</v>
      </c>
      <c r="P162" s="36">
        <v>18392.634712231818</v>
      </c>
      <c r="Q162" s="36">
        <v>0</v>
      </c>
    </row>
    <row r="163" spans="1:17" x14ac:dyDescent="0.2">
      <c r="A163" s="35">
        <v>44</v>
      </c>
      <c r="B163" s="35" t="s">
        <v>899</v>
      </c>
      <c r="C163" s="35" t="s">
        <v>2033</v>
      </c>
      <c r="D163" s="36">
        <v>21510857.999999996</v>
      </c>
      <c r="F163" s="36">
        <v>21489540.861255646</v>
      </c>
      <c r="H163" s="36">
        <v>21314.124443059667</v>
      </c>
      <c r="I163" s="36">
        <v>3.0143012930362985</v>
      </c>
      <c r="L163" s="36">
        <v>3.0143012930362985</v>
      </c>
      <c r="N163" s="36">
        <v>0</v>
      </c>
      <c r="O163" s="36">
        <v>0</v>
      </c>
      <c r="P163" s="36">
        <v>0</v>
      </c>
      <c r="Q163" s="36">
        <v>0</v>
      </c>
    </row>
    <row r="164" spans="1:17" x14ac:dyDescent="0.2">
      <c r="A164" s="35">
        <v>45</v>
      </c>
      <c r="B164" s="35" t="s">
        <v>900</v>
      </c>
      <c r="C164" s="35" t="s">
        <v>901</v>
      </c>
      <c r="D164" s="36">
        <v>2817634140.2207665</v>
      </c>
      <c r="F164" s="36">
        <v>2615642976.7081003</v>
      </c>
      <c r="H164" s="36">
        <v>193341248.4687179</v>
      </c>
      <c r="I164" s="36">
        <v>8649915.0439480599</v>
      </c>
      <c r="L164" s="36">
        <v>179722.25536168218</v>
      </c>
      <c r="N164" s="36">
        <v>8470192.7885863781</v>
      </c>
      <c r="O164" s="36">
        <v>5366372.6578239221</v>
      </c>
      <c r="P164" s="36">
        <v>3103820.1307624551</v>
      </c>
      <c r="Q164" s="36">
        <v>0</v>
      </c>
    </row>
    <row r="165" spans="1:17" x14ac:dyDescent="0.2">
      <c r="F165" s="36"/>
    </row>
    <row r="166" spans="1:17" x14ac:dyDescent="0.2">
      <c r="B166" s="35" t="s">
        <v>902</v>
      </c>
      <c r="F166" s="36"/>
    </row>
    <row r="167" spans="1:17" x14ac:dyDescent="0.2">
      <c r="B167" s="35" t="s">
        <v>1330</v>
      </c>
      <c r="F167" s="36"/>
    </row>
    <row r="168" spans="1:17" x14ac:dyDescent="0.2">
      <c r="A168" s="35">
        <v>1</v>
      </c>
      <c r="B168" s="35" t="s">
        <v>903</v>
      </c>
      <c r="C168" s="35" t="s">
        <v>2034</v>
      </c>
      <c r="D168" s="36">
        <v>837646</v>
      </c>
      <c r="F168" s="36">
        <v>794217.3368437452</v>
      </c>
      <c r="H168" s="36">
        <v>43422.5222253787</v>
      </c>
      <c r="I168" s="36">
        <v>6.1409308761672605</v>
      </c>
      <c r="L168" s="36">
        <v>6.1409308761672605</v>
      </c>
      <c r="N168" s="36">
        <v>0</v>
      </c>
      <c r="O168" s="36">
        <v>0</v>
      </c>
      <c r="P168" s="36">
        <v>0</v>
      </c>
      <c r="Q168" s="36">
        <v>0</v>
      </c>
    </row>
    <row r="169" spans="1:17" x14ac:dyDescent="0.2">
      <c r="A169" s="35">
        <v>2</v>
      </c>
      <c r="B169" s="35" t="s">
        <v>904</v>
      </c>
      <c r="C169" s="35" t="s">
        <v>905</v>
      </c>
      <c r="D169" s="36">
        <v>115357386.76034714</v>
      </c>
      <c r="F169" s="36">
        <v>0</v>
      </c>
      <c r="H169" s="36">
        <v>0</v>
      </c>
      <c r="I169" s="36">
        <v>115357386.76034714</v>
      </c>
      <c r="L169" s="36">
        <v>0</v>
      </c>
      <c r="N169" s="36">
        <v>115357386.76034714</v>
      </c>
      <c r="O169" s="36">
        <v>35884986.826446235</v>
      </c>
      <c r="P169" s="36">
        <v>79472399.933900908</v>
      </c>
      <c r="Q169" s="36">
        <v>0</v>
      </c>
    </row>
    <row r="170" spans="1:17" x14ac:dyDescent="0.2">
      <c r="A170" s="35">
        <v>3</v>
      </c>
      <c r="B170" s="35" t="s">
        <v>906</v>
      </c>
      <c r="C170" s="35" t="s">
        <v>907</v>
      </c>
      <c r="D170" s="36">
        <v>74476153.136714563</v>
      </c>
      <c r="F170" s="36">
        <v>0</v>
      </c>
      <c r="H170" s="36">
        <v>74476153.136714563</v>
      </c>
      <c r="I170" s="36">
        <v>0</v>
      </c>
      <c r="L170" s="36">
        <v>0</v>
      </c>
      <c r="N170" s="36">
        <v>0</v>
      </c>
      <c r="O170" s="36">
        <v>0</v>
      </c>
      <c r="P170" s="36">
        <v>0</v>
      </c>
      <c r="Q170" s="36">
        <v>0</v>
      </c>
    </row>
    <row r="171" spans="1:17" x14ac:dyDescent="0.2">
      <c r="A171" s="35">
        <v>4</v>
      </c>
      <c r="B171" s="35" t="s">
        <v>908</v>
      </c>
      <c r="C171" s="35" t="s">
        <v>909</v>
      </c>
      <c r="D171" s="36">
        <v>1801003609.2728405</v>
      </c>
      <c r="F171" s="36">
        <v>1611170006.6446187</v>
      </c>
      <c r="H171" s="36">
        <v>74476153.136714563</v>
      </c>
      <c r="I171" s="36">
        <v>115357449.49150735</v>
      </c>
      <c r="L171" s="36">
        <v>62.731160203622458</v>
      </c>
      <c r="N171" s="36">
        <v>115357386.76034714</v>
      </c>
      <c r="O171" s="36">
        <v>35884986.826446235</v>
      </c>
      <c r="P171" s="36">
        <v>79472399.933900908</v>
      </c>
      <c r="Q171" s="36">
        <v>0</v>
      </c>
    </row>
    <row r="172" spans="1:17" x14ac:dyDescent="0.2">
      <c r="A172" s="35">
        <v>5</v>
      </c>
      <c r="B172" s="35" t="s">
        <v>910</v>
      </c>
      <c r="C172" s="35" t="s">
        <v>911</v>
      </c>
      <c r="D172" s="36">
        <v>1</v>
      </c>
      <c r="F172" s="36">
        <v>0</v>
      </c>
      <c r="H172" s="36">
        <v>1</v>
      </c>
      <c r="I172" s="36">
        <v>0</v>
      </c>
      <c r="L172" s="36">
        <v>0</v>
      </c>
      <c r="N172" s="36">
        <v>0</v>
      </c>
      <c r="O172" s="36">
        <v>0</v>
      </c>
      <c r="P172" s="36">
        <v>0</v>
      </c>
      <c r="Q172" s="36">
        <v>0</v>
      </c>
    </row>
    <row r="173" spans="1:17" x14ac:dyDescent="0.2">
      <c r="A173" s="35">
        <v>6</v>
      </c>
      <c r="B173" s="35" t="s">
        <v>912</v>
      </c>
      <c r="C173" s="35" t="s">
        <v>913</v>
      </c>
      <c r="D173" s="36">
        <v>1685646222.5124934</v>
      </c>
      <c r="F173" s="36">
        <v>1611170006.6446187</v>
      </c>
      <c r="H173" s="36">
        <v>74476153.136714563</v>
      </c>
      <c r="I173" s="36">
        <v>62.731160203622458</v>
      </c>
      <c r="L173" s="36">
        <v>62.731160203622458</v>
      </c>
      <c r="N173" s="36">
        <v>0</v>
      </c>
      <c r="O173" s="36">
        <v>0</v>
      </c>
      <c r="P173" s="36">
        <v>0</v>
      </c>
      <c r="Q173" s="36">
        <v>0</v>
      </c>
    </row>
    <row r="174" spans="1:17" x14ac:dyDescent="0.2">
      <c r="A174" s="35">
        <v>7</v>
      </c>
      <c r="B174" s="35" t="s">
        <v>965</v>
      </c>
      <c r="C174" s="35" t="s">
        <v>966</v>
      </c>
      <c r="D174" s="36">
        <v>1738929388.299228</v>
      </c>
      <c r="F174" s="36">
        <v>1734009542.3257976</v>
      </c>
      <c r="H174" s="36">
        <v>0</v>
      </c>
      <c r="I174" s="36">
        <v>4919845.9734303225</v>
      </c>
      <c r="L174" s="36">
        <v>0</v>
      </c>
      <c r="N174" s="36">
        <v>4919845.9734303225</v>
      </c>
      <c r="O174" s="36">
        <v>4264490.9925255449</v>
      </c>
      <c r="P174" s="36">
        <v>655354.980904778</v>
      </c>
      <c r="Q174" s="36">
        <v>0</v>
      </c>
    </row>
    <row r="175" spans="1:17" x14ac:dyDescent="0.2">
      <c r="A175" s="35">
        <v>8</v>
      </c>
      <c r="B175" s="35" t="s">
        <v>27</v>
      </c>
      <c r="C175" s="35" t="s">
        <v>28</v>
      </c>
      <c r="D175" s="36">
        <v>97067578.19769229</v>
      </c>
      <c r="F175" s="36">
        <v>0</v>
      </c>
      <c r="H175" s="36">
        <v>97067578.19769229</v>
      </c>
      <c r="I175" s="36">
        <v>0</v>
      </c>
      <c r="L175" s="36">
        <v>0</v>
      </c>
      <c r="N175" s="36">
        <v>0</v>
      </c>
      <c r="O175" s="36">
        <v>0</v>
      </c>
      <c r="P175" s="36">
        <v>0</v>
      </c>
      <c r="Q175" s="36">
        <v>0</v>
      </c>
    </row>
    <row r="176" spans="1:17" x14ac:dyDescent="0.2">
      <c r="A176" s="35">
        <v>9</v>
      </c>
      <c r="B176" s="35" t="s">
        <v>29</v>
      </c>
      <c r="C176" s="35" t="s">
        <v>30</v>
      </c>
      <c r="D176" s="36">
        <v>176624.25999999998</v>
      </c>
      <c r="F176" s="36">
        <v>0</v>
      </c>
      <c r="H176" s="36">
        <v>0</v>
      </c>
      <c r="I176" s="36">
        <v>176624.25999999998</v>
      </c>
      <c r="L176" s="36">
        <v>176624.25999999998</v>
      </c>
      <c r="N176" s="36">
        <v>0</v>
      </c>
      <c r="O176" s="36">
        <v>0</v>
      </c>
      <c r="P176" s="36">
        <v>0</v>
      </c>
      <c r="Q176" s="36">
        <v>0</v>
      </c>
    </row>
    <row r="177" spans="1:17" x14ac:dyDescent="0.2">
      <c r="A177" s="35">
        <v>10</v>
      </c>
      <c r="B177" s="35" t="s">
        <v>31</v>
      </c>
      <c r="C177" s="35" t="s">
        <v>32</v>
      </c>
      <c r="D177" s="36">
        <v>6225458640.2517805</v>
      </c>
      <c r="F177" s="36">
        <v>5551466851.1186314</v>
      </c>
      <c r="H177" s="36">
        <v>289092416.89037615</v>
      </c>
      <c r="I177" s="36">
        <v>384899372.242773</v>
      </c>
      <c r="L177" s="36">
        <v>49153.459548537678</v>
      </c>
      <c r="N177" s="36">
        <v>384850218.78322446</v>
      </c>
      <c r="O177" s="36">
        <v>121248033.73569658</v>
      </c>
      <c r="P177" s="36">
        <v>263602185.04752791</v>
      </c>
      <c r="Q177" s="36">
        <v>8.462640667800329E-12</v>
      </c>
    </row>
    <row r="178" spans="1:17" x14ac:dyDescent="0.2">
      <c r="A178" s="35">
        <v>11</v>
      </c>
      <c r="B178" s="35" t="s">
        <v>33</v>
      </c>
      <c r="C178" s="35" t="s">
        <v>34</v>
      </c>
      <c r="D178" s="36">
        <v>5384798852.5190477</v>
      </c>
      <c r="F178" s="36">
        <v>4813674990.8033257</v>
      </c>
      <c r="H178" s="36">
        <v>234912477.105712</v>
      </c>
      <c r="I178" s="36">
        <v>336211384.61000985</v>
      </c>
      <c r="L178" s="36">
        <v>24781.486740542554</v>
      </c>
      <c r="N178" s="36">
        <v>336186603.12326932</v>
      </c>
      <c r="O178" s="36">
        <v>105859579.04227933</v>
      </c>
      <c r="P178" s="36">
        <v>230327024.08098999</v>
      </c>
      <c r="Q178" s="36">
        <v>5.8315245409352819E-12</v>
      </c>
    </row>
    <row r="179" spans="1:17" x14ac:dyDescent="0.2">
      <c r="A179" s="35">
        <v>12</v>
      </c>
      <c r="B179" s="35" t="s">
        <v>35</v>
      </c>
      <c r="C179" s="35" t="s">
        <v>542</v>
      </c>
      <c r="D179" s="36">
        <v>0</v>
      </c>
      <c r="F179" s="36">
        <v>0</v>
      </c>
      <c r="H179" s="36">
        <v>0</v>
      </c>
      <c r="I179" s="36">
        <v>0</v>
      </c>
      <c r="L179" s="36">
        <v>0</v>
      </c>
      <c r="N179" s="36">
        <v>0</v>
      </c>
      <c r="O179" s="36">
        <v>0</v>
      </c>
      <c r="P179" s="36">
        <v>0</v>
      </c>
      <c r="Q179" s="36">
        <v>0</v>
      </c>
    </row>
    <row r="180" spans="1:17" x14ac:dyDescent="0.2">
      <c r="A180" s="35">
        <v>13</v>
      </c>
      <c r="B180" s="35" t="s">
        <v>36</v>
      </c>
      <c r="C180" s="35" t="s">
        <v>2272</v>
      </c>
      <c r="D180" s="36">
        <v>-1087307</v>
      </c>
      <c r="F180" s="36">
        <v>-984053</v>
      </c>
      <c r="H180" s="36">
        <v>-34356</v>
      </c>
      <c r="I180" s="36">
        <v>-68898</v>
      </c>
      <c r="L180" s="36">
        <v>-24</v>
      </c>
      <c r="N180" s="36">
        <v>-68874</v>
      </c>
      <c r="O180" s="36">
        <v>-21708</v>
      </c>
      <c r="P180" s="36">
        <v>-47166</v>
      </c>
    </row>
    <row r="181" spans="1:17" x14ac:dyDescent="0.2">
      <c r="A181" s="35">
        <v>14</v>
      </c>
      <c r="B181" s="35" t="s">
        <v>37</v>
      </c>
      <c r="C181" s="35" t="s">
        <v>2035</v>
      </c>
      <c r="D181" s="36">
        <v>425830447.58712506</v>
      </c>
      <c r="F181" s="36">
        <v>373867723.20571953</v>
      </c>
      <c r="H181" s="36">
        <v>15812678.776876308</v>
      </c>
      <c r="I181" s="36">
        <v>36150045.604529172</v>
      </c>
      <c r="L181" s="36">
        <v>1731.3115367198582</v>
      </c>
      <c r="N181" s="36">
        <v>36148314.29299245</v>
      </c>
      <c r="O181" s="36">
        <v>11391910.449499061</v>
      </c>
      <c r="P181" s="36">
        <v>24756403.843493387</v>
      </c>
      <c r="Q181" s="36">
        <v>0</v>
      </c>
    </row>
    <row r="182" spans="1:17" x14ac:dyDescent="0.2">
      <c r="A182" s="35">
        <v>15</v>
      </c>
      <c r="B182" s="35" t="s">
        <v>38</v>
      </c>
      <c r="C182" s="35" t="s">
        <v>2036</v>
      </c>
      <c r="D182" s="36">
        <v>69199174.999999985</v>
      </c>
      <c r="F182" s="36">
        <v>60808442.883026898</v>
      </c>
      <c r="H182" s="36">
        <v>2552017.3369733118</v>
      </c>
      <c r="I182" s="36">
        <v>5838714.7799997758</v>
      </c>
      <c r="L182" s="36">
        <v>280.76669228109114</v>
      </c>
      <c r="N182" s="36">
        <v>5838434.013307495</v>
      </c>
      <c r="O182" s="36">
        <v>1840341.137392825</v>
      </c>
      <c r="P182" s="36">
        <v>3998092.8759146701</v>
      </c>
      <c r="Q182" s="36">
        <v>0</v>
      </c>
    </row>
    <row r="183" spans="1:17" x14ac:dyDescent="0.2">
      <c r="A183" s="35">
        <v>16</v>
      </c>
      <c r="B183" s="35" t="s">
        <v>39</v>
      </c>
      <c r="C183" s="35" t="s">
        <v>2037</v>
      </c>
      <c r="D183" s="36">
        <v>9756</v>
      </c>
      <c r="F183" s="36">
        <v>8522.7845649540959</v>
      </c>
      <c r="H183" s="36">
        <v>393.92949114170079</v>
      </c>
      <c r="I183" s="36">
        <v>839.28594390420415</v>
      </c>
      <c r="L183" s="36">
        <v>2.9948441178780302E-2</v>
      </c>
      <c r="N183" s="36">
        <v>839.25599546302533</v>
      </c>
      <c r="O183" s="36">
        <v>260.4705517626445</v>
      </c>
      <c r="P183" s="36">
        <v>578.78544370038082</v>
      </c>
      <c r="Q183" s="36">
        <v>0</v>
      </c>
    </row>
    <row r="184" spans="1:17" x14ac:dyDescent="0.2">
      <c r="A184" s="35">
        <v>17</v>
      </c>
      <c r="B184" s="35" t="s">
        <v>40</v>
      </c>
      <c r="C184" s="35" t="s">
        <v>2038</v>
      </c>
      <c r="D184" s="36">
        <v>208107.9999999998</v>
      </c>
      <c r="F184" s="36">
        <v>182019.33975534621</v>
      </c>
      <c r="H184" s="36">
        <v>8255.6752315126596</v>
      </c>
      <c r="I184" s="36">
        <v>17832.985013140926</v>
      </c>
      <c r="L184" s="36">
        <v>0.68282728451837027</v>
      </c>
      <c r="N184" s="36">
        <v>17832.302185856406</v>
      </c>
      <c r="O184" s="36">
        <v>5552.2872018295593</v>
      </c>
      <c r="P184" s="36">
        <v>12280.014984026848</v>
      </c>
      <c r="Q184" s="36">
        <v>0</v>
      </c>
    </row>
    <row r="185" spans="1:17" x14ac:dyDescent="0.2">
      <c r="A185" s="35">
        <v>18</v>
      </c>
      <c r="B185" s="35" t="s">
        <v>41</v>
      </c>
      <c r="C185" s="35" t="s">
        <v>2039</v>
      </c>
      <c r="D185" s="36">
        <v>149405641.29642856</v>
      </c>
      <c r="F185" s="36">
        <v>131380947.95834172</v>
      </c>
      <c r="H185" s="36">
        <v>5449368.8635857869</v>
      </c>
      <c r="I185" s="36">
        <v>12575324.474501032</v>
      </c>
      <c r="L185" s="36">
        <v>632.7965294255664</v>
      </c>
      <c r="N185" s="36">
        <v>12574691.677971607</v>
      </c>
      <c r="O185" s="36">
        <v>3973432.7432181486</v>
      </c>
      <c r="P185" s="36">
        <v>8601258.9347534589</v>
      </c>
      <c r="Q185" s="36">
        <v>0</v>
      </c>
    </row>
    <row r="186" spans="1:17" x14ac:dyDescent="0.2">
      <c r="A186" s="35">
        <v>19</v>
      </c>
      <c r="B186" s="35" t="s">
        <v>42</v>
      </c>
      <c r="C186" s="35" t="s">
        <v>2040</v>
      </c>
      <c r="D186" s="36">
        <v>13403898.999999998</v>
      </c>
      <c r="F186" s="36">
        <v>11715331.200993977</v>
      </c>
      <c r="H186" s="36">
        <v>541415.73160084034</v>
      </c>
      <c r="I186" s="36">
        <v>1147152.0674051803</v>
      </c>
      <c r="L186" s="36">
        <v>41.16681639538632</v>
      </c>
      <c r="N186" s="36">
        <v>1147110.9005887848</v>
      </c>
      <c r="O186" s="36">
        <v>356016.05567853048</v>
      </c>
      <c r="P186" s="36">
        <v>791094.84491025424</v>
      </c>
      <c r="Q186" s="36">
        <v>0</v>
      </c>
    </row>
    <row r="187" spans="1:17" x14ac:dyDescent="0.2">
      <c r="A187" s="35">
        <v>20</v>
      </c>
      <c r="B187" s="35" t="s">
        <v>43</v>
      </c>
      <c r="C187" s="35" t="s">
        <v>44</v>
      </c>
      <c r="D187" s="36">
        <v>0</v>
      </c>
      <c r="F187" s="36">
        <v>0</v>
      </c>
      <c r="H187" s="36">
        <v>0</v>
      </c>
      <c r="I187" s="36">
        <v>0</v>
      </c>
      <c r="L187" s="36">
        <v>0</v>
      </c>
      <c r="N187" s="36">
        <v>0</v>
      </c>
      <c r="O187" s="36">
        <v>0</v>
      </c>
      <c r="P187" s="36">
        <v>0</v>
      </c>
      <c r="Q187" s="36">
        <v>0</v>
      </c>
    </row>
    <row r="188" spans="1:17" x14ac:dyDescent="0.2">
      <c r="A188" s="35">
        <v>21</v>
      </c>
      <c r="B188" s="35" t="s">
        <v>45</v>
      </c>
      <c r="C188" s="35" t="s">
        <v>46</v>
      </c>
      <c r="D188" s="36">
        <v>0</v>
      </c>
      <c r="F188" s="36">
        <v>0</v>
      </c>
      <c r="H188" s="36">
        <v>0</v>
      </c>
      <c r="I188" s="36">
        <v>0</v>
      </c>
      <c r="L188" s="36">
        <v>0</v>
      </c>
      <c r="N188" s="36">
        <v>0</v>
      </c>
      <c r="O188" s="36">
        <v>0</v>
      </c>
      <c r="P188" s="36">
        <v>0</v>
      </c>
      <c r="Q188" s="36">
        <v>0</v>
      </c>
    </row>
    <row r="189" spans="1:17" x14ac:dyDescent="0.2">
      <c r="A189" s="35">
        <v>22</v>
      </c>
      <c r="B189" s="35" t="s">
        <v>47</v>
      </c>
      <c r="C189" s="35" t="s">
        <v>48</v>
      </c>
      <c r="D189" s="36">
        <v>0</v>
      </c>
      <c r="F189" s="36">
        <v>0</v>
      </c>
      <c r="H189" s="36">
        <v>0</v>
      </c>
      <c r="I189" s="36">
        <v>0</v>
      </c>
      <c r="L189" s="36">
        <v>0</v>
      </c>
      <c r="N189" s="36">
        <v>0</v>
      </c>
      <c r="O189" s="36">
        <v>0</v>
      </c>
      <c r="P189" s="36">
        <v>0</v>
      </c>
      <c r="Q189" s="36">
        <v>0</v>
      </c>
    </row>
    <row r="190" spans="1:17" x14ac:dyDescent="0.2">
      <c r="A190" s="35">
        <v>23</v>
      </c>
      <c r="B190" s="35" t="s">
        <v>49</v>
      </c>
      <c r="C190" s="35" t="s">
        <v>50</v>
      </c>
      <c r="D190" s="36">
        <v>0</v>
      </c>
      <c r="F190" s="36">
        <v>0</v>
      </c>
      <c r="H190" s="36">
        <v>0</v>
      </c>
      <c r="I190" s="36">
        <v>0</v>
      </c>
      <c r="L190" s="36">
        <v>0</v>
      </c>
      <c r="N190" s="36">
        <v>0</v>
      </c>
      <c r="O190" s="36">
        <v>0</v>
      </c>
      <c r="P190" s="36">
        <v>0</v>
      </c>
      <c r="Q190" s="36">
        <v>0</v>
      </c>
    </row>
    <row r="191" spans="1:17" x14ac:dyDescent="0.2">
      <c r="A191" s="35">
        <v>24</v>
      </c>
      <c r="B191" s="35" t="s">
        <v>51</v>
      </c>
      <c r="C191" s="35" t="s">
        <v>52</v>
      </c>
      <c r="D191" s="36">
        <v>0</v>
      </c>
      <c r="F191" s="36">
        <v>0</v>
      </c>
      <c r="H191" s="36">
        <v>0</v>
      </c>
      <c r="I191" s="36">
        <v>0</v>
      </c>
      <c r="L191" s="36">
        <v>0</v>
      </c>
      <c r="N191" s="36">
        <v>0</v>
      </c>
      <c r="O191" s="36">
        <v>0</v>
      </c>
      <c r="P191" s="36">
        <v>0</v>
      </c>
      <c r="Q191" s="36">
        <v>0</v>
      </c>
    </row>
    <row r="192" spans="1:17" x14ac:dyDescent="0.2">
      <c r="A192" s="35">
        <v>25</v>
      </c>
      <c r="B192" s="35" t="s">
        <v>533</v>
      </c>
      <c r="C192" s="35" t="s">
        <v>534</v>
      </c>
      <c r="D192" s="36">
        <v>0</v>
      </c>
      <c r="F192" s="36">
        <v>0</v>
      </c>
      <c r="H192" s="36">
        <v>0</v>
      </c>
      <c r="I192" s="36">
        <v>0</v>
      </c>
      <c r="L192" s="36">
        <v>0</v>
      </c>
      <c r="N192" s="36">
        <v>0</v>
      </c>
      <c r="O192" s="36">
        <v>0</v>
      </c>
      <c r="P192" s="36">
        <v>0</v>
      </c>
      <c r="Q192" s="36">
        <v>0</v>
      </c>
    </row>
    <row r="193" spans="1:17" x14ac:dyDescent="0.2">
      <c r="A193" s="35">
        <v>26</v>
      </c>
      <c r="B193" s="35" t="s">
        <v>535</v>
      </c>
      <c r="C193" s="35" t="s">
        <v>2041</v>
      </c>
      <c r="D193" s="36">
        <v>19501338.999999993</v>
      </c>
      <c r="F193" s="36">
        <v>17581402.086874489</v>
      </c>
      <c r="H193" s="36">
        <v>1919875.1333653515</v>
      </c>
      <c r="I193" s="36">
        <v>61.779760150734489</v>
      </c>
      <c r="L193" s="36">
        <v>61.779760150734489</v>
      </c>
      <c r="N193" s="36">
        <v>0</v>
      </c>
      <c r="O193" s="36">
        <v>0</v>
      </c>
      <c r="P193" s="36">
        <v>0</v>
      </c>
      <c r="Q193" s="36">
        <v>0</v>
      </c>
    </row>
    <row r="194" spans="1:17" x14ac:dyDescent="0.2">
      <c r="A194" s="35">
        <v>27</v>
      </c>
      <c r="B194" s="35" t="s">
        <v>536</v>
      </c>
      <c r="C194" s="35" t="s">
        <v>2042</v>
      </c>
      <c r="D194" s="36">
        <v>14294092</v>
      </c>
      <c r="F194" s="36">
        <v>12894337.451283412</v>
      </c>
      <c r="H194" s="36">
        <v>1399709.5073927299</v>
      </c>
      <c r="I194" s="36">
        <v>45.041323857268623</v>
      </c>
      <c r="L194" s="36">
        <v>45.041323857268623</v>
      </c>
      <c r="N194" s="36">
        <v>0</v>
      </c>
      <c r="O194" s="36">
        <v>0</v>
      </c>
      <c r="P194" s="36">
        <v>0</v>
      </c>
      <c r="Q194" s="36">
        <v>0</v>
      </c>
    </row>
    <row r="195" spans="1:17" x14ac:dyDescent="0.2">
      <c r="A195" s="35">
        <v>28</v>
      </c>
      <c r="B195" s="35" t="s">
        <v>537</v>
      </c>
      <c r="C195" s="35" t="s">
        <v>538</v>
      </c>
      <c r="D195" s="36">
        <v>7478244</v>
      </c>
      <c r="F195" s="36">
        <v>6741999.3400328392</v>
      </c>
      <c r="H195" s="36">
        <v>736220.96907492587</v>
      </c>
      <c r="I195" s="36">
        <v>23.690892234049645</v>
      </c>
      <c r="L195" s="36">
        <v>23.690892234049645</v>
      </c>
      <c r="N195" s="36">
        <v>0</v>
      </c>
      <c r="O195" s="36">
        <v>0</v>
      </c>
      <c r="P195" s="36">
        <v>0</v>
      </c>
      <c r="Q195" s="36">
        <v>0</v>
      </c>
    </row>
    <row r="196" spans="1:17" x14ac:dyDescent="0.2">
      <c r="A196" s="35">
        <v>29</v>
      </c>
      <c r="B196" s="35" t="s">
        <v>539</v>
      </c>
      <c r="C196" s="35" t="s">
        <v>540</v>
      </c>
      <c r="D196" s="36">
        <v>0</v>
      </c>
      <c r="F196" s="36">
        <v>0</v>
      </c>
      <c r="H196" s="36">
        <v>0</v>
      </c>
      <c r="I196" s="36">
        <v>0</v>
      </c>
      <c r="L196" s="36">
        <v>0</v>
      </c>
      <c r="N196" s="36">
        <v>0</v>
      </c>
      <c r="O196" s="36">
        <v>0</v>
      </c>
      <c r="P196" s="36">
        <v>0</v>
      </c>
      <c r="Q196" s="36">
        <v>0</v>
      </c>
    </row>
    <row r="197" spans="1:17" x14ac:dyDescent="0.2">
      <c r="A197" s="35">
        <v>30</v>
      </c>
      <c r="B197" s="35" t="s">
        <v>541</v>
      </c>
      <c r="C197" s="35" t="s">
        <v>2043</v>
      </c>
      <c r="D197" s="36">
        <v>23189273</v>
      </c>
      <c r="F197" s="36">
        <v>21854417.593013715</v>
      </c>
      <c r="H197" s="36">
        <v>1240565.5228361445</v>
      </c>
      <c r="I197" s="36">
        <v>94289.884150140846</v>
      </c>
      <c r="L197" s="36">
        <v>2389.1795010451551</v>
      </c>
      <c r="N197" s="36">
        <v>91900.704649095685</v>
      </c>
      <c r="O197" s="36">
        <v>57905.916921434313</v>
      </c>
      <c r="P197" s="36">
        <v>33994.78772766138</v>
      </c>
      <c r="Q197" s="36">
        <v>0</v>
      </c>
    </row>
    <row r="198" spans="1:17" x14ac:dyDescent="0.2">
      <c r="A198" s="35">
        <v>31</v>
      </c>
      <c r="B198" s="35" t="s">
        <v>554</v>
      </c>
      <c r="C198" s="35" t="s">
        <v>2044</v>
      </c>
      <c r="D198" s="36">
        <v>36697291.999999993</v>
      </c>
      <c r="F198" s="36">
        <v>34335004.998139046</v>
      </c>
      <c r="H198" s="36">
        <v>2325993.1843311517</v>
      </c>
      <c r="I198" s="36">
        <v>36293.817529796892</v>
      </c>
      <c r="L198" s="36">
        <v>3796.8816995598081</v>
      </c>
      <c r="N198" s="36">
        <v>32496.935830237082</v>
      </c>
      <c r="O198" s="36">
        <v>27246.398203274592</v>
      </c>
      <c r="P198" s="36">
        <v>5250.5376269624903</v>
      </c>
      <c r="Q198" s="36">
        <v>0</v>
      </c>
    </row>
    <row r="199" spans="1:17" x14ac:dyDescent="0.2">
      <c r="A199" s="35">
        <v>32</v>
      </c>
      <c r="B199" s="35" t="s">
        <v>555</v>
      </c>
      <c r="C199" s="35" t="s">
        <v>556</v>
      </c>
      <c r="D199" s="36">
        <v>21780730</v>
      </c>
      <c r="F199" s="36">
        <v>20568857.894994985</v>
      </c>
      <c r="H199" s="36">
        <v>1151417.6672186484</v>
      </c>
      <c r="I199" s="36">
        <v>60454.437786366179</v>
      </c>
      <c r="L199" s="36">
        <v>2095.1207107406221</v>
      </c>
      <c r="N199" s="36">
        <v>58359.317075625557</v>
      </c>
      <c r="O199" s="36">
        <v>50585.482420178872</v>
      </c>
      <c r="P199" s="36">
        <v>7773.8346554466852</v>
      </c>
      <c r="Q199" s="36">
        <v>0</v>
      </c>
    </row>
    <row r="200" spans="1:17" x14ac:dyDescent="0.2">
      <c r="A200" s="35">
        <v>33</v>
      </c>
      <c r="B200" s="35" t="s">
        <v>557</v>
      </c>
      <c r="C200" s="35" t="s">
        <v>558</v>
      </c>
      <c r="D200" s="36">
        <v>0</v>
      </c>
      <c r="F200" s="36">
        <v>0</v>
      </c>
      <c r="H200" s="36">
        <v>0</v>
      </c>
      <c r="I200" s="36">
        <v>0</v>
      </c>
      <c r="L200" s="36">
        <v>0</v>
      </c>
      <c r="N200" s="36">
        <v>0</v>
      </c>
      <c r="O200" s="36">
        <v>0</v>
      </c>
      <c r="P200" s="36">
        <v>0</v>
      </c>
      <c r="Q200" s="36">
        <v>0</v>
      </c>
    </row>
    <row r="201" spans="1:17" x14ac:dyDescent="0.2">
      <c r="A201" s="35">
        <v>34</v>
      </c>
      <c r="B201" s="35" t="s">
        <v>559</v>
      </c>
      <c r="C201" s="35" t="s">
        <v>2045</v>
      </c>
      <c r="D201" s="36">
        <v>26843810</v>
      </c>
      <c r="F201" s="36">
        <v>25468953.231998585</v>
      </c>
      <c r="H201" s="36">
        <v>1343287.1115240997</v>
      </c>
      <c r="I201" s="36">
        <v>31569.656477315177</v>
      </c>
      <c r="L201" s="36">
        <v>212.59027930851974</v>
      </c>
      <c r="N201" s="36">
        <v>31357.066198006658</v>
      </c>
      <c r="O201" s="36">
        <v>16263.156367101757</v>
      </c>
      <c r="P201" s="36">
        <v>15093.909830904899</v>
      </c>
      <c r="Q201" s="36">
        <v>0</v>
      </c>
    </row>
    <row r="202" spans="1:17" x14ac:dyDescent="0.2">
      <c r="A202" s="35">
        <v>35</v>
      </c>
      <c r="B202" s="35" t="s">
        <v>560</v>
      </c>
      <c r="C202" s="35" t="s">
        <v>561</v>
      </c>
      <c r="D202" s="36">
        <v>3435471.9999999995</v>
      </c>
      <c r="F202" s="36">
        <v>3259517.7695655213</v>
      </c>
      <c r="H202" s="36">
        <v>171913.94439172093</v>
      </c>
      <c r="I202" s="36">
        <v>4040.286042757526</v>
      </c>
      <c r="L202" s="36">
        <v>27.20731341924261</v>
      </c>
      <c r="N202" s="36">
        <v>4013.0787293382837</v>
      </c>
      <c r="O202" s="36">
        <v>2081.3594765720591</v>
      </c>
      <c r="P202" s="36">
        <v>1931.7192527662248</v>
      </c>
      <c r="Q202" s="36">
        <v>0</v>
      </c>
    </row>
    <row r="203" spans="1:17" x14ac:dyDescent="0.2">
      <c r="A203" s="35">
        <v>36</v>
      </c>
      <c r="B203" s="35" t="s">
        <v>562</v>
      </c>
      <c r="C203" s="35" t="s">
        <v>2046</v>
      </c>
      <c r="D203" s="36">
        <v>24211377</v>
      </c>
      <c r="F203" s="36">
        <v>24144785.101481389</v>
      </c>
      <c r="H203" s="36">
        <v>66582.482243365957</v>
      </c>
      <c r="I203" s="36">
        <v>9.416275243015976</v>
      </c>
      <c r="L203" s="36">
        <v>9.416275243015976</v>
      </c>
      <c r="N203" s="36">
        <v>0</v>
      </c>
      <c r="O203" s="36">
        <v>0</v>
      </c>
      <c r="P203" s="36">
        <v>0</v>
      </c>
      <c r="Q203" s="36">
        <v>0</v>
      </c>
    </row>
    <row r="204" spans="1:17" x14ac:dyDescent="0.2">
      <c r="A204" s="35">
        <v>37</v>
      </c>
      <c r="B204" s="35" t="s">
        <v>563</v>
      </c>
      <c r="C204" s="35" t="s">
        <v>564</v>
      </c>
      <c r="D204" s="36">
        <v>3435471.9999999995</v>
      </c>
      <c r="F204" s="36">
        <v>3259517.7695655213</v>
      </c>
      <c r="H204" s="36">
        <v>171913.94439172093</v>
      </c>
      <c r="I204" s="36">
        <v>4040.286042757526</v>
      </c>
      <c r="L204" s="36">
        <v>27.20731341924261</v>
      </c>
      <c r="N204" s="36">
        <v>4013.0787293382837</v>
      </c>
      <c r="O204" s="36">
        <v>2081.3594765720591</v>
      </c>
      <c r="P204" s="36">
        <v>1931.7192527662248</v>
      </c>
      <c r="Q204" s="36">
        <v>0</v>
      </c>
    </row>
    <row r="205" spans="1:17" x14ac:dyDescent="0.2">
      <c r="A205" s="35">
        <v>38</v>
      </c>
      <c r="B205" s="35" t="s">
        <v>565</v>
      </c>
      <c r="C205" s="35" t="s">
        <v>2047</v>
      </c>
      <c r="D205" s="36">
        <v>837646</v>
      </c>
      <c r="F205" s="36">
        <v>794217.3368437452</v>
      </c>
      <c r="H205" s="36">
        <v>43422.5222253787</v>
      </c>
      <c r="I205" s="36">
        <v>6.1409308761672605</v>
      </c>
      <c r="L205" s="36">
        <v>6.1409308761672605</v>
      </c>
      <c r="N205" s="36">
        <v>0</v>
      </c>
      <c r="O205" s="36">
        <v>0</v>
      </c>
      <c r="P205" s="36">
        <v>0</v>
      </c>
      <c r="Q205" s="36">
        <v>0</v>
      </c>
    </row>
    <row r="206" spans="1:17" x14ac:dyDescent="0.2">
      <c r="A206" s="35">
        <v>39</v>
      </c>
      <c r="B206" s="35" t="s">
        <v>566</v>
      </c>
      <c r="C206" s="35" t="s">
        <v>567</v>
      </c>
      <c r="D206" s="36">
        <v>2206342.9999999995</v>
      </c>
      <c r="F206" s="36">
        <v>2200274.5897169644</v>
      </c>
      <c r="H206" s="36">
        <v>6067.5521933459122</v>
      </c>
      <c r="I206" s="36">
        <v>0.85808968934322072</v>
      </c>
      <c r="L206" s="36">
        <v>0.85808968934322072</v>
      </c>
      <c r="N206" s="36">
        <v>0</v>
      </c>
      <c r="O206" s="36">
        <v>0</v>
      </c>
      <c r="P206" s="36">
        <v>0</v>
      </c>
      <c r="Q206" s="36">
        <v>0</v>
      </c>
    </row>
    <row r="207" spans="1:17" x14ac:dyDescent="0.2">
      <c r="A207" s="35">
        <v>40</v>
      </c>
      <c r="B207" s="35" t="s">
        <v>568</v>
      </c>
      <c r="C207" s="35" t="s">
        <v>569</v>
      </c>
      <c r="D207" s="36">
        <v>126592021.99999997</v>
      </c>
      <c r="F207" s="36">
        <v>113859772.53423992</v>
      </c>
      <c r="H207" s="36">
        <v>6164836.4565697508</v>
      </c>
      <c r="I207" s="36">
        <v>6567413.0091903135</v>
      </c>
      <c r="L207" s="36">
        <v>2920.0941878699177</v>
      </c>
      <c r="N207" s="36">
        <v>6564492.9150024438</v>
      </c>
      <c r="O207" s="36">
        <v>2093959.3914748589</v>
      </c>
      <c r="P207" s="36">
        <v>4470533.523527585</v>
      </c>
      <c r="Q207" s="36">
        <v>5.957114543656152E-12</v>
      </c>
    </row>
    <row r="208" spans="1:17" x14ac:dyDescent="0.2">
      <c r="F208" s="36"/>
    </row>
    <row r="209" spans="1:17" x14ac:dyDescent="0.2">
      <c r="B209" s="35" t="s">
        <v>902</v>
      </c>
      <c r="F209" s="36"/>
    </row>
    <row r="210" spans="1:17" x14ac:dyDescent="0.2">
      <c r="B210" s="35" t="s">
        <v>1330</v>
      </c>
      <c r="F210" s="36"/>
    </row>
    <row r="211" spans="1:17" x14ac:dyDescent="0.2">
      <c r="A211" s="35">
        <v>1</v>
      </c>
      <c r="B211" s="35" t="s">
        <v>2349</v>
      </c>
      <c r="C211" s="35" t="s">
        <v>571</v>
      </c>
      <c r="D211" s="36">
        <v>5737713</v>
      </c>
      <c r="F211" s="36">
        <v>5197262.0211860752</v>
      </c>
      <c r="H211" s="36">
        <v>264548.70820775116</v>
      </c>
      <c r="I211" s="36">
        <v>275902.27060617344</v>
      </c>
      <c r="L211" s="36">
        <v>126.96735282022406</v>
      </c>
      <c r="N211" s="36">
        <v>275775.30325335322</v>
      </c>
      <c r="O211" s="36">
        <v>88038.654979873361</v>
      </c>
      <c r="P211" s="36">
        <v>187736.64827347989</v>
      </c>
      <c r="Q211" s="36">
        <v>2.828226977384265E-13</v>
      </c>
    </row>
    <row r="212" spans="1:17" x14ac:dyDescent="0.2">
      <c r="A212" s="35">
        <v>2</v>
      </c>
      <c r="B212" s="35" t="s">
        <v>572</v>
      </c>
      <c r="C212" s="35" t="s">
        <v>573</v>
      </c>
      <c r="D212" s="36">
        <v>24026953</v>
      </c>
      <c r="F212" s="36">
        <v>24001993.117832545</v>
      </c>
      <c r="H212" s="36">
        <v>24956.3527723513</v>
      </c>
      <c r="I212" s="36">
        <v>3.5293951028639934</v>
      </c>
      <c r="L212" s="36">
        <v>3.5293951028639934</v>
      </c>
      <c r="N212" s="36">
        <v>0</v>
      </c>
      <c r="O212" s="36">
        <v>0</v>
      </c>
      <c r="P212" s="36">
        <v>0</v>
      </c>
      <c r="Q212" s="36">
        <v>0</v>
      </c>
    </row>
    <row r="213" spans="1:17" x14ac:dyDescent="0.2">
      <c r="A213" s="35">
        <v>3</v>
      </c>
      <c r="B213" s="35" t="s">
        <v>976</v>
      </c>
      <c r="C213" s="35" t="s">
        <v>977</v>
      </c>
      <c r="D213" s="36">
        <v>1739106012.5592279</v>
      </c>
      <c r="F213" s="36">
        <v>1734009542.3257976</v>
      </c>
      <c r="H213" s="36">
        <v>0</v>
      </c>
      <c r="I213" s="36">
        <v>5096470.2334303223</v>
      </c>
      <c r="L213" s="36">
        <v>176624.25999999998</v>
      </c>
      <c r="N213" s="36">
        <v>4919845.9734303225</v>
      </c>
      <c r="O213" s="36">
        <v>4264490.9925255449</v>
      </c>
      <c r="P213" s="36">
        <v>655354.980904778</v>
      </c>
      <c r="Q213" s="36">
        <v>0</v>
      </c>
    </row>
    <row r="214" spans="1:17" x14ac:dyDescent="0.2">
      <c r="A214" s="35">
        <v>4</v>
      </c>
      <c r="B214" s="35" t="s">
        <v>978</v>
      </c>
      <c r="C214" s="35" t="s">
        <v>979</v>
      </c>
      <c r="D214" s="36">
        <v>80876899.173988476</v>
      </c>
      <c r="F214" s="36">
        <v>80876899.173988476</v>
      </c>
      <c r="H214" s="36">
        <v>0</v>
      </c>
      <c r="I214" s="36">
        <v>0</v>
      </c>
      <c r="L214" s="36">
        <v>0</v>
      </c>
      <c r="N214" s="36">
        <v>0</v>
      </c>
      <c r="O214" s="36">
        <v>0</v>
      </c>
      <c r="P214" s="36">
        <v>0</v>
      </c>
      <c r="Q214" s="36">
        <v>0</v>
      </c>
    </row>
    <row r="215" spans="1:17" x14ac:dyDescent="0.2">
      <c r="A215" s="35">
        <v>5</v>
      </c>
      <c r="B215" s="35" t="s">
        <v>980</v>
      </c>
      <c r="C215" s="35" t="s">
        <v>981</v>
      </c>
      <c r="D215" s="36">
        <v>4294636.9825167898</v>
      </c>
      <c r="F215" s="36">
        <v>0</v>
      </c>
      <c r="H215" s="36">
        <v>4294636.9825167898</v>
      </c>
      <c r="I215" s="36">
        <v>0</v>
      </c>
      <c r="L215" s="36">
        <v>0</v>
      </c>
      <c r="N215" s="36">
        <v>0</v>
      </c>
      <c r="O215" s="36">
        <v>0</v>
      </c>
      <c r="P215" s="36">
        <v>0</v>
      </c>
      <c r="Q215" s="36">
        <v>0</v>
      </c>
    </row>
    <row r="216" spans="1:17" x14ac:dyDescent="0.2">
      <c r="A216" s="35">
        <v>6</v>
      </c>
      <c r="B216" s="35" t="s">
        <v>982</v>
      </c>
      <c r="C216" s="35" t="s">
        <v>983</v>
      </c>
      <c r="D216" s="36">
        <v>0</v>
      </c>
      <c r="F216" s="36">
        <v>0</v>
      </c>
      <c r="H216" s="36">
        <v>0</v>
      </c>
      <c r="I216" s="36">
        <v>0</v>
      </c>
      <c r="L216" s="36">
        <v>0</v>
      </c>
      <c r="N216" s="36">
        <v>0</v>
      </c>
      <c r="O216" s="36">
        <v>0</v>
      </c>
      <c r="P216" s="36">
        <v>0</v>
      </c>
      <c r="Q216" s="36">
        <v>0</v>
      </c>
    </row>
    <row r="217" spans="1:17" x14ac:dyDescent="0.2">
      <c r="A217" s="35">
        <v>7</v>
      </c>
      <c r="B217" s="35" t="s">
        <v>984</v>
      </c>
      <c r="C217" s="35" t="s">
        <v>59</v>
      </c>
      <c r="D217" s="36">
        <v>5390138.0650799433</v>
      </c>
      <c r="F217" s="36">
        <v>0</v>
      </c>
      <c r="H217" s="36">
        <v>0</v>
      </c>
      <c r="I217" s="36">
        <v>5390138.0650799433</v>
      </c>
      <c r="L217" s="36">
        <v>0</v>
      </c>
      <c r="N217" s="36">
        <v>5390138.0650799433</v>
      </c>
      <c r="O217" s="36">
        <v>1716821.01136133</v>
      </c>
      <c r="P217" s="36">
        <v>3673317.053718613</v>
      </c>
      <c r="Q217" s="36">
        <v>0</v>
      </c>
    </row>
    <row r="218" spans="1:17" x14ac:dyDescent="0.2">
      <c r="A218" s="35">
        <v>8</v>
      </c>
      <c r="B218" s="35" t="s">
        <v>2273</v>
      </c>
      <c r="C218" s="35" t="s">
        <v>2274</v>
      </c>
      <c r="D218" s="36">
        <v>-392308</v>
      </c>
      <c r="F218" s="36">
        <v>-366638</v>
      </c>
      <c r="H218" s="36">
        <v>0</v>
      </c>
      <c r="I218" s="36">
        <v>-25670</v>
      </c>
      <c r="L218" s="36">
        <v>-9</v>
      </c>
      <c r="N218" s="36">
        <v>-25661</v>
      </c>
      <c r="O218" s="36">
        <v>-8088</v>
      </c>
      <c r="P218" s="36">
        <v>-17573</v>
      </c>
      <c r="Q218" s="36">
        <v>0</v>
      </c>
    </row>
    <row r="219" spans="1:17" x14ac:dyDescent="0.2">
      <c r="A219" s="35">
        <v>9</v>
      </c>
      <c r="B219" s="35" t="s">
        <v>2275</v>
      </c>
      <c r="C219" s="35" t="s">
        <v>2276</v>
      </c>
      <c r="D219" s="36">
        <v>179110887.79617044</v>
      </c>
      <c r="F219" s="36">
        <v>170265600.74430859</v>
      </c>
      <c r="H219" s="36">
        <v>8841043.886412181</v>
      </c>
      <c r="I219" s="36">
        <v>4243.1654496821729</v>
      </c>
      <c r="L219" s="36">
        <v>4243.1654496821729</v>
      </c>
      <c r="N219" s="36">
        <v>0</v>
      </c>
      <c r="O219" s="36">
        <v>0</v>
      </c>
      <c r="P219" s="36">
        <v>0</v>
      </c>
      <c r="Q219" s="36">
        <v>0</v>
      </c>
    </row>
    <row r="220" spans="1:17" x14ac:dyDescent="0.2">
      <c r="A220" s="35">
        <v>10</v>
      </c>
      <c r="B220" s="35" t="s">
        <v>2277</v>
      </c>
      <c r="C220" s="35" t="s">
        <v>2278</v>
      </c>
      <c r="D220" s="36">
        <v>914793514.29561317</v>
      </c>
      <c r="F220" s="36">
        <v>873403033.89332759</v>
      </c>
      <c r="H220" s="36">
        <v>41387411.327948786</v>
      </c>
      <c r="I220" s="36">
        <v>3069.0743367468272</v>
      </c>
      <c r="L220" s="36">
        <v>3069.0743367468272</v>
      </c>
      <c r="N220" s="36">
        <v>0</v>
      </c>
      <c r="O220" s="36">
        <v>0</v>
      </c>
      <c r="P220" s="36">
        <v>0</v>
      </c>
      <c r="Q220" s="36">
        <v>0</v>
      </c>
    </row>
    <row r="221" spans="1:17" x14ac:dyDescent="0.2">
      <c r="A221" s="35">
        <v>11</v>
      </c>
      <c r="F221" s="36"/>
    </row>
    <row r="222" spans="1:17" x14ac:dyDescent="0.2">
      <c r="A222" s="35">
        <v>12</v>
      </c>
      <c r="F222" s="36"/>
    </row>
    <row r="223" spans="1:17" x14ac:dyDescent="0.2">
      <c r="A223" s="35">
        <v>13</v>
      </c>
      <c r="F223" s="36"/>
    </row>
    <row r="224" spans="1:17" x14ac:dyDescent="0.2">
      <c r="A224" s="35">
        <v>14</v>
      </c>
      <c r="F224" s="36"/>
    </row>
    <row r="225" spans="1:6" x14ac:dyDescent="0.2">
      <c r="A225" s="35">
        <v>15</v>
      </c>
      <c r="F225" s="36"/>
    </row>
    <row r="226" spans="1:6" x14ac:dyDescent="0.2">
      <c r="A226" s="35">
        <v>16</v>
      </c>
      <c r="F226" s="36"/>
    </row>
    <row r="227" spans="1:6" x14ac:dyDescent="0.2">
      <c r="A227" s="35">
        <v>17</v>
      </c>
      <c r="F227" s="36"/>
    </row>
    <row r="228" spans="1:6" x14ac:dyDescent="0.2">
      <c r="A228" s="35">
        <v>18</v>
      </c>
      <c r="F228" s="36"/>
    </row>
    <row r="229" spans="1:6" x14ac:dyDescent="0.2">
      <c r="A229" s="35">
        <v>19</v>
      </c>
      <c r="F229" s="36"/>
    </row>
    <row r="230" spans="1:6" x14ac:dyDescent="0.2">
      <c r="A230" s="35">
        <v>20</v>
      </c>
      <c r="F230" s="36"/>
    </row>
    <row r="231" spans="1:6" x14ac:dyDescent="0.2">
      <c r="A231" s="35">
        <v>21</v>
      </c>
      <c r="F231" s="36"/>
    </row>
    <row r="232" spans="1:6" x14ac:dyDescent="0.2">
      <c r="A232" s="35">
        <v>22</v>
      </c>
      <c r="F232" s="36"/>
    </row>
    <row r="233" spans="1:6" x14ac:dyDescent="0.2">
      <c r="A233" s="35">
        <v>23</v>
      </c>
      <c r="F233" s="36"/>
    </row>
    <row r="234" spans="1:6" x14ac:dyDescent="0.2">
      <c r="A234" s="35">
        <v>24</v>
      </c>
      <c r="F234" s="36"/>
    </row>
    <row r="235" spans="1:6" x14ac:dyDescent="0.2">
      <c r="A235" s="35">
        <v>25</v>
      </c>
      <c r="F235" s="36"/>
    </row>
    <row r="236" spans="1:6" x14ac:dyDescent="0.2">
      <c r="A236" s="35">
        <v>26</v>
      </c>
      <c r="F236" s="36"/>
    </row>
    <row r="237" spans="1:6" x14ac:dyDescent="0.2">
      <c r="A237" s="35">
        <v>27</v>
      </c>
      <c r="F237" s="36"/>
    </row>
    <row r="238" spans="1:6" x14ac:dyDescent="0.2">
      <c r="A238" s="35">
        <v>28</v>
      </c>
      <c r="F238" s="36"/>
    </row>
    <row r="239" spans="1:6" x14ac:dyDescent="0.2">
      <c r="A239" s="35">
        <v>29</v>
      </c>
      <c r="F239" s="36"/>
    </row>
    <row r="240" spans="1:6" x14ac:dyDescent="0.2">
      <c r="A240" s="35">
        <v>30</v>
      </c>
      <c r="F240" s="36"/>
    </row>
    <row r="241" spans="1:17" x14ac:dyDescent="0.2">
      <c r="A241" s="35">
        <v>31</v>
      </c>
      <c r="F241" s="36"/>
    </row>
    <row r="242" spans="1:17" x14ac:dyDescent="0.2">
      <c r="A242" s="35">
        <v>32</v>
      </c>
      <c r="B242" s="120"/>
      <c r="F242" s="36"/>
    </row>
    <row r="243" spans="1:17" x14ac:dyDescent="0.2">
      <c r="A243" s="35">
        <v>33</v>
      </c>
      <c r="F243" s="36"/>
    </row>
    <row r="244" spans="1:17" x14ac:dyDescent="0.2">
      <c r="A244" s="35">
        <v>34</v>
      </c>
      <c r="F244" s="36"/>
    </row>
    <row r="245" spans="1:17" x14ac:dyDescent="0.2">
      <c r="A245" s="35">
        <v>35</v>
      </c>
      <c r="F245" s="36"/>
    </row>
    <row r="246" spans="1:17" x14ac:dyDescent="0.2">
      <c r="A246" s="35">
        <v>36</v>
      </c>
      <c r="F246" s="36"/>
    </row>
    <row r="247" spans="1:17" x14ac:dyDescent="0.2">
      <c r="A247" s="35">
        <v>37</v>
      </c>
      <c r="F247" s="36"/>
    </row>
    <row r="248" spans="1:17" x14ac:dyDescent="0.2">
      <c r="A248" s="35">
        <v>38</v>
      </c>
      <c r="F248" s="36"/>
    </row>
    <row r="249" spans="1:17" x14ac:dyDescent="0.2">
      <c r="A249" s="35">
        <v>39</v>
      </c>
      <c r="F249" s="36"/>
    </row>
    <row r="250" spans="1:17" x14ac:dyDescent="0.2">
      <c r="A250" s="35">
        <v>40</v>
      </c>
      <c r="F250" s="36"/>
    </row>
    <row r="251" spans="1:17" x14ac:dyDescent="0.2">
      <c r="F251" s="36"/>
    </row>
    <row r="252" spans="1:17" x14ac:dyDescent="0.2">
      <c r="B252" s="35" t="s">
        <v>60</v>
      </c>
      <c r="F252" s="36"/>
    </row>
    <row r="253" spans="1:17" x14ac:dyDescent="0.2">
      <c r="B253" s="35" t="s">
        <v>1330</v>
      </c>
      <c r="F253" s="36"/>
    </row>
    <row r="254" spans="1:17" x14ac:dyDescent="0.2">
      <c r="A254" s="35">
        <v>1</v>
      </c>
      <c r="B254" s="35" t="s">
        <v>2048</v>
      </c>
      <c r="D254" s="36">
        <v>666571847.7876842</v>
      </c>
      <c r="F254" s="36">
        <v>627798768.9953624</v>
      </c>
      <c r="H254" s="36">
        <v>38773078.792321846</v>
      </c>
      <c r="I254" s="36">
        <v>0</v>
      </c>
      <c r="L254" s="36">
        <v>0</v>
      </c>
      <c r="N254" s="36">
        <v>0</v>
      </c>
      <c r="O254" s="36">
        <v>0</v>
      </c>
      <c r="P254" s="36">
        <v>0</v>
      </c>
      <c r="Q254" s="36">
        <v>0</v>
      </c>
    </row>
    <row r="255" spans="1:17" x14ac:dyDescent="0.2">
      <c r="A255" s="35">
        <v>2</v>
      </c>
      <c r="B255" s="35" t="s">
        <v>2279</v>
      </c>
      <c r="D255" s="36">
        <v>412651662.28964722</v>
      </c>
      <c r="F255" s="36">
        <v>395380927.94330788</v>
      </c>
      <c r="H255" s="36">
        <v>17270734.346339371</v>
      </c>
      <c r="I255" s="36">
        <v>0</v>
      </c>
      <c r="L255" s="36">
        <v>0</v>
      </c>
      <c r="N255" s="36">
        <v>0</v>
      </c>
      <c r="O255" s="36">
        <v>0</v>
      </c>
      <c r="P255" s="36">
        <v>0</v>
      </c>
      <c r="Q255" s="36">
        <v>0</v>
      </c>
    </row>
    <row r="256" spans="1:17" x14ac:dyDescent="0.2">
      <c r="A256" s="35">
        <v>3</v>
      </c>
      <c r="B256" s="35" t="s">
        <v>2049</v>
      </c>
      <c r="D256" s="36">
        <v>0</v>
      </c>
      <c r="F256" s="36">
        <v>0</v>
      </c>
      <c r="H256" s="36">
        <v>0</v>
      </c>
      <c r="I256" s="36">
        <v>0</v>
      </c>
      <c r="L256" s="36">
        <v>0</v>
      </c>
      <c r="N256" s="36">
        <v>0</v>
      </c>
      <c r="O256" s="36">
        <v>0</v>
      </c>
      <c r="P256" s="36">
        <v>0</v>
      </c>
      <c r="Q256" s="36">
        <v>0</v>
      </c>
    </row>
    <row r="257" spans="1:17" x14ac:dyDescent="0.2">
      <c r="A257" s="35">
        <v>4</v>
      </c>
      <c r="B257" s="35" t="s">
        <v>2050</v>
      </c>
      <c r="D257" s="36">
        <v>444219949.74474078</v>
      </c>
      <c r="F257" s="36">
        <v>433353219.59153575</v>
      </c>
      <c r="H257" s="36">
        <v>10866730.153205052</v>
      </c>
      <c r="I257" s="36">
        <v>0</v>
      </c>
      <c r="L257" s="36">
        <v>0</v>
      </c>
      <c r="N257" s="36">
        <v>0</v>
      </c>
      <c r="O257" s="36">
        <v>0</v>
      </c>
      <c r="P257" s="36">
        <v>0</v>
      </c>
      <c r="Q257" s="36">
        <v>0</v>
      </c>
    </row>
    <row r="258" spans="1:17" x14ac:dyDescent="0.2">
      <c r="A258" s="35">
        <v>5</v>
      </c>
      <c r="B258" s="35" t="s">
        <v>2051</v>
      </c>
      <c r="D258" s="36">
        <v>0</v>
      </c>
      <c r="F258" s="36">
        <v>0</v>
      </c>
      <c r="H258" s="36">
        <v>0</v>
      </c>
      <c r="I258" s="36">
        <v>0</v>
      </c>
      <c r="L258" s="36">
        <v>0</v>
      </c>
      <c r="N258" s="36">
        <v>0</v>
      </c>
      <c r="O258" s="36">
        <v>0</v>
      </c>
      <c r="P258" s="36">
        <v>0</v>
      </c>
      <c r="Q258" s="36">
        <v>0</v>
      </c>
    </row>
    <row r="259" spans="1:17" x14ac:dyDescent="0.2">
      <c r="A259" s="35">
        <v>6</v>
      </c>
      <c r="B259" s="35" t="s">
        <v>2052</v>
      </c>
      <c r="D259" s="36">
        <v>12586396.617513351</v>
      </c>
      <c r="F259" s="36">
        <v>12175289.873640023</v>
      </c>
      <c r="H259" s="36">
        <v>411106.74387332791</v>
      </c>
      <c r="I259" s="36">
        <v>0</v>
      </c>
      <c r="L259" s="36">
        <v>0</v>
      </c>
      <c r="N259" s="36">
        <v>0</v>
      </c>
      <c r="O259" s="36">
        <v>0</v>
      </c>
      <c r="P259" s="36">
        <v>0</v>
      </c>
      <c r="Q259" s="36">
        <v>0</v>
      </c>
    </row>
    <row r="260" spans="1:17" x14ac:dyDescent="0.2">
      <c r="A260" s="35">
        <v>7</v>
      </c>
      <c r="B260" s="35" t="s">
        <v>2053</v>
      </c>
      <c r="D260" s="36">
        <v>136069287.68033916</v>
      </c>
      <c r="E260" s="85"/>
      <c r="F260" s="36">
        <v>129454027.9737691</v>
      </c>
      <c r="G260" s="85"/>
      <c r="H260" s="36">
        <v>6615259.7065700479</v>
      </c>
      <c r="I260" s="36">
        <v>0</v>
      </c>
      <c r="J260" s="81"/>
      <c r="K260" s="81"/>
      <c r="L260" s="81">
        <v>0</v>
      </c>
      <c r="M260" s="81"/>
      <c r="N260" s="81">
        <v>0</v>
      </c>
      <c r="O260" s="81">
        <v>0</v>
      </c>
      <c r="P260" s="81">
        <v>0</v>
      </c>
      <c r="Q260" s="81">
        <v>0</v>
      </c>
    </row>
    <row r="261" spans="1:17" x14ac:dyDescent="0.2">
      <c r="A261" s="35">
        <v>8</v>
      </c>
      <c r="B261" s="35" t="s">
        <v>2054</v>
      </c>
      <c r="D261" s="81">
        <v>0</v>
      </c>
      <c r="E261" s="85"/>
      <c r="F261" s="81">
        <v>0</v>
      </c>
      <c r="G261" s="85"/>
      <c r="H261" s="36">
        <v>0</v>
      </c>
      <c r="I261" s="36">
        <v>0</v>
      </c>
      <c r="J261" s="81"/>
      <c r="K261" s="81"/>
      <c r="L261" s="81">
        <v>0</v>
      </c>
      <c r="M261" s="81"/>
      <c r="N261" s="81">
        <v>0</v>
      </c>
      <c r="O261" s="81">
        <v>0</v>
      </c>
      <c r="P261" s="81">
        <v>0</v>
      </c>
      <c r="Q261" s="81">
        <v>0</v>
      </c>
    </row>
    <row r="262" spans="1:17" x14ac:dyDescent="0.2">
      <c r="A262" s="35">
        <v>9</v>
      </c>
      <c r="B262" s="35" t="s">
        <v>2055</v>
      </c>
      <c r="D262" s="36">
        <v>114112524.98070344</v>
      </c>
      <c r="E262" s="85"/>
      <c r="F262" s="81">
        <v>0</v>
      </c>
      <c r="G262" s="85"/>
      <c r="H262" s="36">
        <v>0</v>
      </c>
      <c r="I262" s="36">
        <v>114112524.98070344</v>
      </c>
      <c r="J262" s="81"/>
      <c r="K262" s="81"/>
      <c r="L262" s="81">
        <v>0</v>
      </c>
      <c r="M262" s="81"/>
      <c r="N262" s="36">
        <v>114112524.98070344</v>
      </c>
      <c r="O262" s="36">
        <v>35491593.809934929</v>
      </c>
      <c r="P262" s="36">
        <v>78620931.170768514</v>
      </c>
      <c r="Q262" s="81">
        <v>0</v>
      </c>
    </row>
    <row r="263" spans="1:17" x14ac:dyDescent="0.2">
      <c r="A263" s="35">
        <v>10</v>
      </c>
      <c r="B263" s="35" t="s">
        <v>61</v>
      </c>
      <c r="D263" s="81">
        <v>0</v>
      </c>
      <c r="E263" s="85"/>
      <c r="F263" s="81">
        <v>0</v>
      </c>
      <c r="G263" s="85"/>
      <c r="H263" s="81">
        <v>0</v>
      </c>
      <c r="I263" s="81">
        <v>0</v>
      </c>
      <c r="J263" s="81"/>
      <c r="K263" s="81"/>
      <c r="L263" s="81">
        <v>0</v>
      </c>
      <c r="M263" s="81"/>
      <c r="N263" s="81">
        <v>0</v>
      </c>
      <c r="O263" s="81">
        <v>0</v>
      </c>
      <c r="P263" s="81">
        <v>0</v>
      </c>
      <c r="Q263" s="81">
        <v>0</v>
      </c>
    </row>
    <row r="264" spans="1:17" x14ac:dyDescent="0.2">
      <c r="A264" s="35">
        <v>11</v>
      </c>
      <c r="B264" s="35" t="s">
        <v>2056</v>
      </c>
      <c r="D264" s="81">
        <v>0</v>
      </c>
      <c r="E264" s="85"/>
      <c r="F264" s="81">
        <v>0</v>
      </c>
      <c r="G264" s="85"/>
      <c r="H264" s="81">
        <v>0</v>
      </c>
      <c r="I264" s="81">
        <v>0</v>
      </c>
      <c r="J264" s="81"/>
      <c r="K264" s="81"/>
      <c r="L264" s="81">
        <v>0</v>
      </c>
      <c r="M264" s="81"/>
      <c r="N264" s="81">
        <v>0</v>
      </c>
      <c r="O264" s="81">
        <v>0</v>
      </c>
      <c r="P264" s="81">
        <v>0</v>
      </c>
      <c r="Q264" s="81">
        <v>0</v>
      </c>
    </row>
    <row r="265" spans="1:17" x14ac:dyDescent="0.2">
      <c r="A265" s="35">
        <v>12</v>
      </c>
      <c r="D265" s="81"/>
      <c r="E265" s="85"/>
      <c r="F265" s="81"/>
      <c r="G265" s="85"/>
      <c r="H265" s="81"/>
      <c r="I265" s="81"/>
      <c r="J265" s="81"/>
      <c r="K265" s="81"/>
      <c r="L265" s="81"/>
      <c r="M265" s="81"/>
      <c r="N265" s="81"/>
      <c r="O265" s="81"/>
      <c r="P265" s="81"/>
      <c r="Q265" s="81"/>
    </row>
    <row r="266" spans="1:17" x14ac:dyDescent="0.2">
      <c r="A266" s="35">
        <v>13</v>
      </c>
      <c r="D266" s="81"/>
      <c r="E266" s="85"/>
      <c r="F266" s="81"/>
      <c r="G266" s="85"/>
      <c r="H266" s="81"/>
      <c r="I266" s="81"/>
      <c r="J266" s="81"/>
      <c r="K266" s="81"/>
      <c r="L266" s="81"/>
      <c r="M266" s="81"/>
      <c r="N266" s="81"/>
      <c r="O266" s="81"/>
      <c r="P266" s="81"/>
      <c r="Q266" s="81"/>
    </row>
    <row r="267" spans="1:17" x14ac:dyDescent="0.2">
      <c r="D267" s="81"/>
      <c r="E267" s="85"/>
      <c r="F267" s="81"/>
      <c r="G267" s="85"/>
      <c r="H267" s="81"/>
      <c r="I267" s="81"/>
      <c r="J267" s="81"/>
      <c r="K267" s="81"/>
      <c r="L267" s="81"/>
      <c r="M267" s="81"/>
      <c r="N267" s="81"/>
      <c r="O267" s="81"/>
      <c r="P267" s="81"/>
      <c r="Q267" s="81"/>
    </row>
    <row r="268" spans="1:17" x14ac:dyDescent="0.2">
      <c r="D268" s="81"/>
      <c r="E268" s="85"/>
      <c r="F268" s="81"/>
      <c r="G268" s="85"/>
      <c r="H268" s="81"/>
      <c r="I268" s="81"/>
      <c r="J268" s="81"/>
      <c r="K268" s="81"/>
      <c r="L268" s="81"/>
      <c r="M268" s="81"/>
      <c r="N268" s="81"/>
      <c r="O268" s="81"/>
      <c r="P268" s="81"/>
      <c r="Q268" s="81"/>
    </row>
    <row r="269" spans="1:17" x14ac:dyDescent="0.2">
      <c r="D269" s="81"/>
      <c r="E269" s="85"/>
      <c r="F269" s="81"/>
      <c r="G269" s="85"/>
      <c r="H269" s="81"/>
      <c r="I269" s="81"/>
      <c r="J269" s="81"/>
      <c r="K269" s="81"/>
      <c r="L269" s="81"/>
      <c r="M269" s="81"/>
      <c r="N269" s="81"/>
      <c r="O269" s="81"/>
      <c r="P269" s="81"/>
      <c r="Q269" s="81"/>
    </row>
    <row r="270" spans="1:17" x14ac:dyDescent="0.2">
      <c r="D270" s="81"/>
      <c r="E270" s="85"/>
      <c r="F270" s="81"/>
      <c r="G270" s="85"/>
      <c r="H270" s="81"/>
      <c r="I270" s="81"/>
      <c r="J270" s="81"/>
      <c r="K270" s="81"/>
      <c r="L270" s="81"/>
      <c r="M270" s="81"/>
      <c r="N270" s="81"/>
      <c r="O270" s="81"/>
      <c r="P270" s="81"/>
      <c r="Q270" s="81"/>
    </row>
    <row r="271" spans="1:17" x14ac:dyDescent="0.2">
      <c r="D271" s="81"/>
      <c r="E271" s="85"/>
      <c r="F271" s="81"/>
      <c r="G271" s="85"/>
      <c r="H271" s="81"/>
      <c r="I271" s="81"/>
      <c r="J271" s="81"/>
      <c r="K271" s="81"/>
      <c r="L271" s="81"/>
      <c r="M271" s="81"/>
      <c r="N271" s="81"/>
      <c r="O271" s="81"/>
      <c r="P271" s="81"/>
      <c r="Q271" s="81"/>
    </row>
    <row r="272" spans="1:17" x14ac:dyDescent="0.2">
      <c r="B272" s="35" t="s">
        <v>62</v>
      </c>
      <c r="D272" s="81"/>
      <c r="E272" s="85"/>
      <c r="F272" s="81"/>
      <c r="G272" s="85"/>
      <c r="H272" s="81"/>
      <c r="I272" s="81"/>
      <c r="J272" s="81"/>
      <c r="K272" s="81"/>
      <c r="L272" s="81"/>
      <c r="M272" s="81"/>
      <c r="N272" s="81"/>
      <c r="O272" s="81"/>
      <c r="P272" s="81"/>
      <c r="Q272" s="81"/>
    </row>
    <row r="273" spans="1:17" x14ac:dyDescent="0.2">
      <c r="D273" s="81"/>
      <c r="E273" s="85"/>
      <c r="F273" s="81"/>
      <c r="G273" s="85"/>
      <c r="H273" s="81"/>
      <c r="I273" s="81"/>
      <c r="J273" s="81"/>
      <c r="K273" s="81"/>
      <c r="L273" s="81"/>
      <c r="M273" s="81"/>
      <c r="N273" s="81"/>
      <c r="O273" s="81"/>
      <c r="P273" s="81"/>
      <c r="Q273" s="81"/>
    </row>
    <row r="274" spans="1:17" x14ac:dyDescent="0.2">
      <c r="B274" s="35" t="s">
        <v>63</v>
      </c>
      <c r="D274" s="81"/>
      <c r="E274" s="85"/>
      <c r="F274" s="81"/>
      <c r="G274" s="85"/>
      <c r="H274" s="81"/>
      <c r="I274" s="81"/>
      <c r="J274" s="81"/>
      <c r="K274" s="81"/>
      <c r="L274" s="81"/>
      <c r="M274" s="81"/>
      <c r="N274" s="81"/>
      <c r="O274" s="81"/>
      <c r="P274" s="81"/>
      <c r="Q274" s="81"/>
    </row>
    <row r="275" spans="1:17" x14ac:dyDescent="0.2">
      <c r="B275" s="35" t="s">
        <v>1330</v>
      </c>
      <c r="D275" s="81"/>
      <c r="E275" s="85"/>
      <c r="F275" s="81"/>
      <c r="G275" s="85"/>
      <c r="H275" s="81"/>
      <c r="I275" s="81"/>
      <c r="J275" s="81"/>
      <c r="K275" s="81"/>
      <c r="L275" s="81"/>
      <c r="M275" s="81"/>
      <c r="N275" s="81"/>
      <c r="O275" s="81"/>
      <c r="P275" s="81"/>
      <c r="Q275" s="81"/>
    </row>
    <row r="276" spans="1:17" x14ac:dyDescent="0.2">
      <c r="B276" s="35" t="s">
        <v>1331</v>
      </c>
      <c r="D276" s="81"/>
      <c r="E276" s="85"/>
      <c r="F276" s="81"/>
      <c r="G276" s="85"/>
      <c r="H276" s="81"/>
      <c r="I276" s="81"/>
      <c r="J276" s="81"/>
      <c r="K276" s="81"/>
      <c r="L276" s="81"/>
      <c r="M276" s="81"/>
      <c r="N276" s="81"/>
      <c r="O276" s="81"/>
      <c r="P276" s="81"/>
      <c r="Q276" s="81"/>
    </row>
    <row r="277" spans="1:17" x14ac:dyDescent="0.2">
      <c r="A277" s="35">
        <v>1</v>
      </c>
      <c r="B277" s="35" t="s">
        <v>1332</v>
      </c>
      <c r="C277" s="35" t="s">
        <v>1333</v>
      </c>
      <c r="D277" s="81">
        <v>1</v>
      </c>
      <c r="E277" s="85"/>
      <c r="F277" s="81">
        <v>0.87577725766318848</v>
      </c>
      <c r="G277" s="85"/>
      <c r="H277" s="81">
        <v>4.0472791995134323E-2</v>
      </c>
      <c r="I277" s="81">
        <v>8.3749950341677232E-2</v>
      </c>
      <c r="J277" s="81"/>
      <c r="K277" s="81"/>
      <c r="L277" s="81">
        <v>3.0774171853047175E-6</v>
      </c>
      <c r="M277" s="81"/>
      <c r="N277" s="81">
        <v>8.3746872924491927E-2</v>
      </c>
      <c r="O277" s="81">
        <v>2.5991585781884978E-2</v>
      </c>
      <c r="P277" s="81">
        <v>5.7755287142606949E-2</v>
      </c>
      <c r="Q277" s="81">
        <v>0</v>
      </c>
    </row>
    <row r="278" spans="1:17" x14ac:dyDescent="0.2">
      <c r="A278" s="35">
        <v>2</v>
      </c>
      <c r="B278" s="35" t="s">
        <v>1334</v>
      </c>
      <c r="C278" s="35" t="s">
        <v>1335</v>
      </c>
      <c r="D278" s="81">
        <v>1</v>
      </c>
      <c r="E278" s="85"/>
      <c r="F278" s="81">
        <v>0</v>
      </c>
      <c r="G278" s="85"/>
      <c r="H278" s="81">
        <v>0.32581630308954224</v>
      </c>
      <c r="I278" s="81">
        <v>0.67418369691045776</v>
      </c>
      <c r="J278" s="81"/>
      <c r="K278" s="81"/>
      <c r="L278" s="81">
        <v>0</v>
      </c>
      <c r="M278" s="81"/>
      <c r="N278" s="81">
        <v>0.67418369691045776</v>
      </c>
      <c r="O278" s="81">
        <v>0.20923889787258959</v>
      </c>
      <c r="P278" s="81">
        <v>0.46494479903786817</v>
      </c>
      <c r="Q278" s="81">
        <v>0</v>
      </c>
    </row>
    <row r="279" spans="1:17" x14ac:dyDescent="0.2">
      <c r="A279" s="35">
        <v>3</v>
      </c>
      <c r="B279" s="35" t="s">
        <v>1336</v>
      </c>
      <c r="C279" s="35" t="s">
        <v>1337</v>
      </c>
      <c r="D279" s="81">
        <v>1</v>
      </c>
      <c r="E279" s="85"/>
      <c r="F279" s="81">
        <v>0</v>
      </c>
      <c r="G279" s="85"/>
      <c r="H279" s="81">
        <v>1</v>
      </c>
      <c r="I279" s="81">
        <v>0</v>
      </c>
      <c r="J279" s="81"/>
      <c r="K279" s="81"/>
      <c r="L279" s="81">
        <v>0</v>
      </c>
      <c r="M279" s="81"/>
      <c r="N279" s="81">
        <v>0</v>
      </c>
      <c r="O279" s="81">
        <v>0</v>
      </c>
      <c r="P279" s="81">
        <v>0</v>
      </c>
      <c r="Q279" s="81">
        <v>0</v>
      </c>
    </row>
    <row r="280" spans="1:17" x14ac:dyDescent="0.2">
      <c r="A280" s="35">
        <v>4</v>
      </c>
      <c r="B280" s="35" t="s">
        <v>1338</v>
      </c>
      <c r="C280" s="35" t="s">
        <v>1339</v>
      </c>
      <c r="D280" s="81">
        <v>1</v>
      </c>
      <c r="E280" s="85"/>
      <c r="F280" s="81">
        <v>0.91272040977937741</v>
      </c>
      <c r="G280" s="85"/>
      <c r="H280" s="81">
        <v>0</v>
      </c>
      <c r="I280" s="81">
        <v>8.7279590220622622E-2</v>
      </c>
      <c r="J280" s="81"/>
      <c r="K280" s="81"/>
      <c r="L280" s="81">
        <v>0</v>
      </c>
      <c r="M280" s="81"/>
      <c r="N280" s="81">
        <v>8.7279590220622622E-2</v>
      </c>
      <c r="O280" s="81">
        <v>2.7087995969383175E-2</v>
      </c>
      <c r="P280" s="81">
        <v>6.0191594251239447E-2</v>
      </c>
      <c r="Q280" s="81">
        <v>0</v>
      </c>
    </row>
    <row r="281" spans="1:17" x14ac:dyDescent="0.2">
      <c r="A281" s="35">
        <v>5</v>
      </c>
      <c r="B281" s="35" t="s">
        <v>1340</v>
      </c>
      <c r="C281" s="35" t="s">
        <v>1341</v>
      </c>
      <c r="D281" s="81">
        <v>1</v>
      </c>
      <c r="E281" s="85"/>
      <c r="F281" s="81">
        <v>0</v>
      </c>
      <c r="G281" s="85"/>
      <c r="H281" s="81">
        <v>0</v>
      </c>
      <c r="I281" s="81">
        <v>1</v>
      </c>
      <c r="J281" s="81"/>
      <c r="K281" s="81"/>
      <c r="L281" s="81">
        <v>0</v>
      </c>
      <c r="M281" s="81"/>
      <c r="N281" s="81">
        <v>1</v>
      </c>
      <c r="O281" s="81">
        <v>0.31035888116466842</v>
      </c>
      <c r="P281" s="81">
        <v>0.68964111883533152</v>
      </c>
      <c r="Q281" s="81">
        <v>0</v>
      </c>
    </row>
    <row r="282" spans="1:17" x14ac:dyDescent="0.2">
      <c r="A282" s="35">
        <v>6</v>
      </c>
      <c r="B282" s="35" t="s">
        <v>1342</v>
      </c>
      <c r="C282" s="35" t="s">
        <v>1343</v>
      </c>
      <c r="D282" s="81">
        <v>1</v>
      </c>
      <c r="E282" s="85"/>
      <c r="F282" s="81">
        <v>0.91271748248200535</v>
      </c>
      <c r="G282" s="85"/>
      <c r="H282" s="81">
        <v>0</v>
      </c>
      <c r="I282" s="81">
        <v>8.7282517517994707E-2</v>
      </c>
      <c r="J282" s="81"/>
      <c r="K282" s="81"/>
      <c r="L282" s="81">
        <v>3.2072224316635657E-6</v>
      </c>
      <c r="M282" s="81"/>
      <c r="N282" s="81">
        <v>8.7279310295563045E-2</v>
      </c>
      <c r="O282" s="81">
        <v>2.7087909092154871E-2</v>
      </c>
      <c r="P282" s="81">
        <v>6.0191401203408171E-2</v>
      </c>
      <c r="Q282" s="81">
        <v>0</v>
      </c>
    </row>
    <row r="283" spans="1:17" x14ac:dyDescent="0.2">
      <c r="B283" s="35" t="s">
        <v>1344</v>
      </c>
      <c r="D283" s="81"/>
      <c r="E283" s="85"/>
      <c r="F283" s="81"/>
      <c r="G283" s="85"/>
      <c r="H283" s="81"/>
      <c r="I283" s="81"/>
      <c r="J283" s="81"/>
      <c r="K283" s="81"/>
      <c r="L283" s="81"/>
      <c r="M283" s="81"/>
      <c r="N283" s="81"/>
      <c r="O283" s="81"/>
      <c r="P283" s="81"/>
      <c r="Q283" s="81"/>
    </row>
    <row r="284" spans="1:17" x14ac:dyDescent="0.2">
      <c r="A284" s="35">
        <v>7</v>
      </c>
      <c r="B284" s="35" t="s">
        <v>1345</v>
      </c>
      <c r="C284" s="35" t="s">
        <v>1346</v>
      </c>
      <c r="D284" s="81">
        <v>1</v>
      </c>
      <c r="E284" s="85"/>
      <c r="F284" s="81">
        <v>0.87577725766318848</v>
      </c>
      <c r="G284" s="85"/>
      <c r="H284" s="81">
        <v>4.0472791995134323E-2</v>
      </c>
      <c r="I284" s="81">
        <v>8.3749950341677232E-2</v>
      </c>
      <c r="J284" s="81"/>
      <c r="K284" s="81"/>
      <c r="L284" s="81">
        <v>3.0774171853047175E-6</v>
      </c>
      <c r="M284" s="81"/>
      <c r="N284" s="81">
        <v>8.3746872924491927E-2</v>
      </c>
      <c r="O284" s="81">
        <v>2.5991585781884978E-2</v>
      </c>
      <c r="P284" s="81">
        <v>5.7755287142606949E-2</v>
      </c>
      <c r="Q284" s="81">
        <v>0</v>
      </c>
    </row>
    <row r="285" spans="1:17" x14ac:dyDescent="0.2">
      <c r="A285" s="35">
        <v>8</v>
      </c>
      <c r="B285" s="35" t="s">
        <v>1347</v>
      </c>
      <c r="C285" s="35" t="s">
        <v>1348</v>
      </c>
      <c r="D285" s="81">
        <v>1</v>
      </c>
      <c r="E285" s="85"/>
      <c r="F285" s="81">
        <v>0</v>
      </c>
      <c r="G285" s="85"/>
      <c r="H285" s="81">
        <v>1</v>
      </c>
      <c r="I285" s="81">
        <v>0</v>
      </c>
      <c r="J285" s="81"/>
      <c r="K285" s="81"/>
      <c r="L285" s="81">
        <v>0</v>
      </c>
      <c r="M285" s="81"/>
      <c r="N285" s="81">
        <v>0</v>
      </c>
      <c r="O285" s="81">
        <v>0</v>
      </c>
      <c r="P285" s="81">
        <v>0</v>
      </c>
      <c r="Q285" s="81">
        <v>0</v>
      </c>
    </row>
    <row r="286" spans="1:17" x14ac:dyDescent="0.2">
      <c r="A286" s="35">
        <v>9</v>
      </c>
      <c r="B286" s="35" t="s">
        <v>1954</v>
      </c>
      <c r="C286" s="35" t="s">
        <v>1955</v>
      </c>
      <c r="D286" s="81">
        <v>1</v>
      </c>
      <c r="E286" s="85"/>
      <c r="F286" s="81">
        <v>0.95582457705600388</v>
      </c>
      <c r="G286" s="85"/>
      <c r="H286" s="81">
        <v>4.417206424638917E-2</v>
      </c>
      <c r="I286" s="81">
        <v>3.3586976069890221E-6</v>
      </c>
      <c r="J286" s="81"/>
      <c r="K286" s="81"/>
      <c r="L286" s="81">
        <v>3.3586976069890221E-6</v>
      </c>
      <c r="M286" s="81"/>
      <c r="N286" s="81">
        <v>0</v>
      </c>
      <c r="O286" s="81">
        <v>0</v>
      </c>
      <c r="P286" s="81">
        <v>0</v>
      </c>
      <c r="Q286" s="81">
        <v>0</v>
      </c>
    </row>
    <row r="287" spans="1:17" x14ac:dyDescent="0.2">
      <c r="A287" s="35">
        <v>10</v>
      </c>
      <c r="B287" s="35" t="s">
        <v>1349</v>
      </c>
      <c r="C287" s="35" t="s">
        <v>1350</v>
      </c>
      <c r="D287" s="81">
        <v>1</v>
      </c>
      <c r="E287" s="85"/>
      <c r="F287" s="81">
        <v>0</v>
      </c>
      <c r="G287" s="85"/>
      <c r="H287" s="81">
        <v>0.32581630308954224</v>
      </c>
      <c r="I287" s="81">
        <v>0.67418369691045776</v>
      </c>
      <c r="J287" s="81"/>
      <c r="K287" s="81"/>
      <c r="L287" s="81">
        <v>0</v>
      </c>
      <c r="M287" s="81"/>
      <c r="N287" s="81">
        <v>0.67418369691045776</v>
      </c>
      <c r="O287" s="81">
        <v>0.20923889787258959</v>
      </c>
      <c r="P287" s="81">
        <v>0.46494479903786817</v>
      </c>
      <c r="Q287" s="81">
        <v>0</v>
      </c>
    </row>
    <row r="288" spans="1:17" x14ac:dyDescent="0.2">
      <c r="A288" s="35">
        <v>11</v>
      </c>
      <c r="B288" s="35" t="s">
        <v>2268</v>
      </c>
      <c r="C288" s="35" t="s">
        <v>2269</v>
      </c>
      <c r="D288" s="81">
        <v>1</v>
      </c>
      <c r="E288" s="85"/>
      <c r="F288" s="81">
        <v>0.99999648608553759</v>
      </c>
      <c r="G288" s="85"/>
      <c r="H288" s="81">
        <v>0</v>
      </c>
      <c r="I288" s="81">
        <v>3.5139144623774761E-6</v>
      </c>
      <c r="J288" s="81"/>
      <c r="K288" s="81"/>
      <c r="L288" s="81">
        <v>3.5139144623774761E-6</v>
      </c>
      <c r="M288" s="81"/>
      <c r="N288" s="81">
        <v>0</v>
      </c>
      <c r="O288" s="81">
        <v>0</v>
      </c>
      <c r="P288" s="81">
        <v>0</v>
      </c>
      <c r="Q288" s="81">
        <v>0</v>
      </c>
    </row>
    <row r="289" spans="1:17" x14ac:dyDescent="0.2">
      <c r="D289" s="81"/>
      <c r="E289" s="85"/>
      <c r="F289" s="81"/>
      <c r="G289" s="85"/>
      <c r="H289" s="81"/>
      <c r="I289" s="81"/>
      <c r="J289" s="81"/>
      <c r="K289" s="81"/>
      <c r="L289" s="81"/>
      <c r="M289" s="81"/>
      <c r="N289" s="81"/>
      <c r="O289" s="81"/>
      <c r="P289" s="81"/>
      <c r="Q289" s="81"/>
    </row>
    <row r="290" spans="1:17" x14ac:dyDescent="0.2">
      <c r="B290" s="35" t="s">
        <v>1351</v>
      </c>
      <c r="D290" s="81"/>
      <c r="E290" s="85"/>
      <c r="F290" s="81"/>
      <c r="G290" s="85"/>
      <c r="H290" s="81"/>
      <c r="I290" s="81"/>
      <c r="J290" s="81"/>
      <c r="K290" s="81"/>
      <c r="L290" s="81"/>
      <c r="M290" s="81"/>
      <c r="N290" s="81"/>
      <c r="O290" s="81"/>
      <c r="P290" s="81"/>
      <c r="Q290" s="81"/>
    </row>
    <row r="291" spans="1:17" x14ac:dyDescent="0.2">
      <c r="A291" s="35">
        <v>12</v>
      </c>
      <c r="B291" s="35" t="s">
        <v>1956</v>
      </c>
      <c r="C291" s="35" t="s">
        <v>1957</v>
      </c>
      <c r="D291" s="81">
        <v>1</v>
      </c>
      <c r="E291" s="85"/>
      <c r="F291" s="81">
        <v>0.99890723508251555</v>
      </c>
      <c r="G291" s="85"/>
      <c r="H291" s="81">
        <v>0</v>
      </c>
      <c r="I291" s="81">
        <v>1.0927649174844731E-3</v>
      </c>
      <c r="J291" s="81"/>
      <c r="K291" s="81"/>
      <c r="L291" s="81">
        <v>0</v>
      </c>
      <c r="M291" s="81"/>
      <c r="N291" s="81">
        <v>1.0927649174844731E-3</v>
      </c>
      <c r="O291" s="81">
        <v>1.0927649174844731E-3</v>
      </c>
      <c r="P291" s="81">
        <v>0</v>
      </c>
      <c r="Q291" s="81">
        <v>0</v>
      </c>
    </row>
    <row r="292" spans="1:17" x14ac:dyDescent="0.2">
      <c r="A292" s="35">
        <v>13</v>
      </c>
      <c r="B292" s="35" t="s">
        <v>1958</v>
      </c>
      <c r="C292" s="35" t="s">
        <v>1959</v>
      </c>
      <c r="D292" s="81">
        <v>1</v>
      </c>
      <c r="E292" s="85"/>
      <c r="F292" s="81">
        <v>0.97391780486480506</v>
      </c>
      <c r="G292" s="85"/>
      <c r="H292" s="81">
        <v>0</v>
      </c>
      <c r="I292" s="81">
        <v>2.6082195135194903E-2</v>
      </c>
      <c r="J292" s="81"/>
      <c r="K292" s="81"/>
      <c r="L292" s="81">
        <v>0</v>
      </c>
      <c r="M292" s="81"/>
      <c r="N292" s="81">
        <v>2.6082195135194903E-2</v>
      </c>
      <c r="O292" s="81">
        <v>2.6082195135194903E-2</v>
      </c>
      <c r="P292" s="81">
        <v>0</v>
      </c>
      <c r="Q292" s="81">
        <v>0</v>
      </c>
    </row>
    <row r="293" spans="1:17" x14ac:dyDescent="0.2">
      <c r="A293" s="35">
        <v>14</v>
      </c>
      <c r="B293" s="35" t="s">
        <v>1960</v>
      </c>
      <c r="C293" s="35" t="s">
        <v>1961</v>
      </c>
      <c r="D293" s="81">
        <v>1</v>
      </c>
      <c r="E293" s="85"/>
      <c r="F293" s="81">
        <v>0.98081785602138105</v>
      </c>
      <c r="G293" s="85"/>
      <c r="H293" s="81">
        <v>0</v>
      </c>
      <c r="I293" s="81">
        <v>1.9182143978618921E-2</v>
      </c>
      <c r="J293" s="81"/>
      <c r="K293" s="81"/>
      <c r="L293" s="81">
        <v>0</v>
      </c>
      <c r="M293" s="81"/>
      <c r="N293" s="81">
        <v>1.9182143978618921E-2</v>
      </c>
      <c r="O293" s="81">
        <v>1.9182143978618921E-2</v>
      </c>
      <c r="P293" s="81">
        <v>0</v>
      </c>
      <c r="Q293" s="81">
        <v>0</v>
      </c>
    </row>
    <row r="294" spans="1:17" x14ac:dyDescent="0.2">
      <c r="A294" s="35">
        <v>15</v>
      </c>
      <c r="B294" s="35" t="s">
        <v>1962</v>
      </c>
      <c r="C294" s="35" t="s">
        <v>1963</v>
      </c>
      <c r="D294" s="81">
        <v>1</v>
      </c>
      <c r="E294" s="85"/>
      <c r="F294" s="81">
        <v>1</v>
      </c>
      <c r="G294" s="85"/>
      <c r="H294" s="81">
        <v>0</v>
      </c>
      <c r="I294" s="81">
        <v>0</v>
      </c>
      <c r="J294" s="81"/>
      <c r="K294" s="81"/>
      <c r="L294" s="81">
        <v>0</v>
      </c>
      <c r="M294" s="81"/>
      <c r="N294" s="81">
        <v>0</v>
      </c>
      <c r="O294" s="81">
        <v>0</v>
      </c>
      <c r="P294" s="81">
        <v>0</v>
      </c>
      <c r="Q294" s="81">
        <v>0</v>
      </c>
    </row>
    <row r="295" spans="1:17" x14ac:dyDescent="0.2">
      <c r="A295" s="35">
        <v>16</v>
      </c>
      <c r="B295" s="35" t="s">
        <v>1964</v>
      </c>
      <c r="C295" s="35" t="s">
        <v>1965</v>
      </c>
      <c r="D295" s="81">
        <v>1</v>
      </c>
      <c r="E295" s="85"/>
      <c r="F295" s="81">
        <v>1</v>
      </c>
      <c r="G295" s="85"/>
      <c r="H295" s="81">
        <v>0</v>
      </c>
      <c r="I295" s="81">
        <v>0</v>
      </c>
      <c r="J295" s="81"/>
      <c r="K295" s="81"/>
      <c r="L295" s="81">
        <v>0</v>
      </c>
      <c r="M295" s="81"/>
      <c r="N295" s="81">
        <v>0</v>
      </c>
      <c r="O295" s="81">
        <v>0</v>
      </c>
      <c r="P295" s="81">
        <v>0</v>
      </c>
      <c r="Q295" s="81">
        <v>0</v>
      </c>
    </row>
    <row r="296" spans="1:17" x14ac:dyDescent="0.2">
      <c r="A296" s="35">
        <v>17</v>
      </c>
      <c r="B296" s="35" t="s">
        <v>1966</v>
      </c>
      <c r="C296" s="35" t="s">
        <v>1967</v>
      </c>
      <c r="D296" s="81">
        <v>1</v>
      </c>
      <c r="E296" s="85"/>
      <c r="F296" s="81">
        <v>1</v>
      </c>
      <c r="G296" s="85"/>
      <c r="H296" s="81">
        <v>0</v>
      </c>
      <c r="I296" s="81">
        <v>0</v>
      </c>
      <c r="J296" s="81"/>
      <c r="K296" s="81"/>
      <c r="L296" s="81">
        <v>0</v>
      </c>
      <c r="M296" s="81"/>
      <c r="N296" s="81">
        <v>0</v>
      </c>
      <c r="O296" s="81">
        <v>0</v>
      </c>
      <c r="P296" s="81">
        <v>0</v>
      </c>
      <c r="Q296" s="81">
        <v>0</v>
      </c>
    </row>
    <row r="297" spans="1:17" x14ac:dyDescent="0.2">
      <c r="A297" s="35">
        <v>18</v>
      </c>
      <c r="B297" s="35" t="s">
        <v>1968</v>
      </c>
      <c r="C297" s="35" t="s">
        <v>1969</v>
      </c>
      <c r="D297" s="81">
        <v>1</v>
      </c>
      <c r="E297" s="85"/>
      <c r="F297" s="81">
        <v>1</v>
      </c>
      <c r="G297" s="85"/>
      <c r="H297" s="81">
        <v>0</v>
      </c>
      <c r="I297" s="81">
        <v>0</v>
      </c>
      <c r="J297" s="81"/>
      <c r="K297" s="81"/>
      <c r="L297" s="81">
        <v>0</v>
      </c>
      <c r="M297" s="81"/>
      <c r="N297" s="81">
        <v>0</v>
      </c>
      <c r="O297" s="81">
        <v>0</v>
      </c>
      <c r="P297" s="81">
        <v>0</v>
      </c>
      <c r="Q297" s="81">
        <v>0</v>
      </c>
    </row>
    <row r="298" spans="1:17" x14ac:dyDescent="0.2">
      <c r="A298" s="35">
        <v>19</v>
      </c>
      <c r="B298" s="35" t="s">
        <v>1970</v>
      </c>
      <c r="C298" s="35" t="s">
        <v>1430</v>
      </c>
      <c r="D298" s="81">
        <v>1</v>
      </c>
      <c r="E298" s="85"/>
      <c r="F298" s="81">
        <v>1</v>
      </c>
      <c r="G298" s="85"/>
      <c r="H298" s="81">
        <v>0</v>
      </c>
      <c r="I298" s="81">
        <v>0</v>
      </c>
      <c r="J298" s="81"/>
      <c r="K298" s="81"/>
      <c r="L298" s="81">
        <v>0</v>
      </c>
      <c r="M298" s="81"/>
      <c r="N298" s="81">
        <v>0</v>
      </c>
      <c r="O298" s="81">
        <v>0</v>
      </c>
      <c r="P298" s="81">
        <v>0</v>
      </c>
      <c r="Q298" s="81">
        <v>0</v>
      </c>
    </row>
    <row r="299" spans="1:17" x14ac:dyDescent="0.2">
      <c r="A299" s="35">
        <v>20</v>
      </c>
      <c r="B299" s="35" t="s">
        <v>1971</v>
      </c>
      <c r="C299" s="35" t="s">
        <v>1873</v>
      </c>
      <c r="D299" s="81">
        <v>1</v>
      </c>
      <c r="E299" s="85"/>
      <c r="F299" s="81">
        <v>1</v>
      </c>
      <c r="G299" s="85"/>
      <c r="H299" s="81">
        <v>0</v>
      </c>
      <c r="I299" s="81">
        <v>0</v>
      </c>
      <c r="J299" s="81"/>
      <c r="K299" s="81"/>
      <c r="L299" s="81">
        <v>0</v>
      </c>
      <c r="M299" s="81"/>
      <c r="N299" s="81">
        <v>0</v>
      </c>
      <c r="O299" s="81">
        <v>0</v>
      </c>
      <c r="P299" s="81">
        <v>0</v>
      </c>
      <c r="Q299" s="81">
        <v>0</v>
      </c>
    </row>
    <row r="300" spans="1:17" ht="13.2" x14ac:dyDescent="0.25">
      <c r="A300" s="35">
        <v>21</v>
      </c>
      <c r="B300" s="35" t="s">
        <v>1972</v>
      </c>
      <c r="C300" s="35" t="s">
        <v>1973</v>
      </c>
      <c r="D300" s="338">
        <v>1</v>
      </c>
      <c r="E300" s="339"/>
      <c r="F300" s="338">
        <v>0</v>
      </c>
      <c r="G300" s="338"/>
      <c r="H300" s="338">
        <v>1</v>
      </c>
      <c r="I300" s="338">
        <v>0</v>
      </c>
      <c r="J300" s="339"/>
      <c r="K300" s="338"/>
      <c r="L300" s="338">
        <v>0</v>
      </c>
      <c r="M300" s="338"/>
      <c r="N300" s="338">
        <v>0</v>
      </c>
      <c r="O300" s="338">
        <v>0</v>
      </c>
      <c r="P300" s="338">
        <v>0</v>
      </c>
      <c r="Q300" s="338">
        <v>0</v>
      </c>
    </row>
    <row r="301" spans="1:17" ht="13.2" x14ac:dyDescent="0.25">
      <c r="A301" s="35">
        <v>22</v>
      </c>
      <c r="B301" s="35" t="s">
        <v>1974</v>
      </c>
      <c r="C301" s="35" t="s">
        <v>1975</v>
      </c>
      <c r="D301" s="338">
        <v>1</v>
      </c>
      <c r="E301" s="339"/>
      <c r="F301" s="338">
        <v>0</v>
      </c>
      <c r="G301" s="338"/>
      <c r="H301" s="338">
        <v>1</v>
      </c>
      <c r="I301" s="338">
        <v>0</v>
      </c>
      <c r="J301" s="339"/>
      <c r="K301" s="338"/>
      <c r="L301" s="338">
        <v>0</v>
      </c>
      <c r="M301" s="338"/>
      <c r="N301" s="338">
        <v>0</v>
      </c>
      <c r="O301" s="338">
        <v>0</v>
      </c>
      <c r="P301" s="338">
        <v>0</v>
      </c>
      <c r="Q301" s="338">
        <v>0</v>
      </c>
    </row>
    <row r="302" spans="1:17" x14ac:dyDescent="0.2">
      <c r="A302" s="35">
        <v>23</v>
      </c>
      <c r="B302" s="35" t="s">
        <v>1976</v>
      </c>
      <c r="C302" s="35" t="s">
        <v>1977</v>
      </c>
      <c r="D302" s="81">
        <v>1</v>
      </c>
      <c r="E302" s="85"/>
      <c r="F302" s="81">
        <v>0</v>
      </c>
      <c r="G302" s="85"/>
      <c r="H302" s="81">
        <v>1</v>
      </c>
      <c r="I302" s="81">
        <v>0</v>
      </c>
      <c r="J302" s="81"/>
      <c r="K302" s="81"/>
      <c r="L302" s="81">
        <v>0</v>
      </c>
      <c r="M302" s="81"/>
      <c r="N302" s="81">
        <v>0</v>
      </c>
      <c r="O302" s="81">
        <v>0</v>
      </c>
      <c r="P302" s="81">
        <v>0</v>
      </c>
      <c r="Q302" s="81">
        <v>0</v>
      </c>
    </row>
    <row r="303" spans="1:17" x14ac:dyDescent="0.2">
      <c r="A303" s="35">
        <v>24</v>
      </c>
      <c r="B303" s="35" t="s">
        <v>2343</v>
      </c>
      <c r="C303" s="35" t="s">
        <v>2344</v>
      </c>
      <c r="D303" s="81">
        <v>1</v>
      </c>
      <c r="E303" s="85"/>
      <c r="F303" s="81">
        <v>0.26002289334415507</v>
      </c>
      <c r="G303" s="85"/>
      <c r="H303" s="81">
        <v>0.73997710665584493</v>
      </c>
      <c r="I303" s="81">
        <v>0</v>
      </c>
      <c r="J303" s="81"/>
      <c r="K303" s="81"/>
      <c r="L303" s="81">
        <v>0</v>
      </c>
      <c r="M303" s="81"/>
      <c r="N303" s="81">
        <v>0</v>
      </c>
      <c r="O303" s="81">
        <v>0</v>
      </c>
      <c r="P303" s="81">
        <v>0</v>
      </c>
      <c r="Q303" s="81">
        <v>0</v>
      </c>
    </row>
    <row r="304" spans="1:17" x14ac:dyDescent="0.2">
      <c r="A304" s="35">
        <v>25</v>
      </c>
      <c r="B304" s="35" t="s">
        <v>1978</v>
      </c>
      <c r="C304" s="35" t="s">
        <v>1979</v>
      </c>
      <c r="D304" s="81">
        <v>1</v>
      </c>
      <c r="E304" s="85"/>
      <c r="F304" s="81">
        <v>0</v>
      </c>
      <c r="G304" s="85"/>
      <c r="H304" s="81">
        <v>1</v>
      </c>
      <c r="I304" s="81">
        <v>0</v>
      </c>
      <c r="J304" s="81"/>
      <c r="K304" s="81"/>
      <c r="L304" s="81">
        <v>0</v>
      </c>
      <c r="M304" s="81"/>
      <c r="N304" s="81">
        <v>0</v>
      </c>
      <c r="O304" s="81">
        <v>0</v>
      </c>
      <c r="P304" s="81">
        <v>0</v>
      </c>
      <c r="Q304" s="81">
        <v>0</v>
      </c>
    </row>
    <row r="305" spans="1:17" x14ac:dyDescent="0.2">
      <c r="A305" s="35">
        <v>26</v>
      </c>
      <c r="B305" s="35" t="s">
        <v>1980</v>
      </c>
      <c r="C305" s="35" t="s">
        <v>1981</v>
      </c>
      <c r="D305" s="81">
        <v>1</v>
      </c>
      <c r="E305" s="85"/>
      <c r="F305" s="81">
        <v>0</v>
      </c>
      <c r="G305" s="85"/>
      <c r="H305" s="81">
        <v>1</v>
      </c>
      <c r="I305" s="81">
        <v>0</v>
      </c>
      <c r="J305" s="81"/>
      <c r="K305" s="81"/>
      <c r="L305" s="81">
        <v>0</v>
      </c>
      <c r="M305" s="81"/>
      <c r="N305" s="81">
        <v>0</v>
      </c>
      <c r="O305" s="81">
        <v>0</v>
      </c>
      <c r="P305" s="81">
        <v>0</v>
      </c>
      <c r="Q305" s="81">
        <v>0</v>
      </c>
    </row>
    <row r="306" spans="1:17" x14ac:dyDescent="0.2">
      <c r="A306" s="35">
        <v>27</v>
      </c>
      <c r="B306" s="35" t="s">
        <v>1982</v>
      </c>
      <c r="C306" s="35" t="s">
        <v>1983</v>
      </c>
      <c r="D306" s="81">
        <v>1</v>
      </c>
      <c r="E306" s="85"/>
      <c r="F306" s="81">
        <v>0</v>
      </c>
      <c r="G306" s="85"/>
      <c r="H306" s="81">
        <v>1</v>
      </c>
      <c r="I306" s="81">
        <v>0</v>
      </c>
      <c r="J306" s="81"/>
      <c r="K306" s="81"/>
      <c r="L306" s="81">
        <v>0</v>
      </c>
      <c r="M306" s="81"/>
      <c r="N306" s="81">
        <v>0</v>
      </c>
      <c r="O306" s="81">
        <v>0</v>
      </c>
      <c r="P306" s="81">
        <v>0</v>
      </c>
      <c r="Q306" s="81">
        <v>0</v>
      </c>
    </row>
    <row r="307" spans="1:17" x14ac:dyDescent="0.2">
      <c r="A307" s="35">
        <v>28</v>
      </c>
      <c r="B307" s="35" t="s">
        <v>1984</v>
      </c>
      <c r="C307" s="35" t="s">
        <v>1431</v>
      </c>
      <c r="D307" s="81">
        <v>1</v>
      </c>
      <c r="E307" s="85"/>
      <c r="F307" s="81">
        <v>0</v>
      </c>
      <c r="G307" s="85"/>
      <c r="H307" s="81">
        <v>1</v>
      </c>
      <c r="I307" s="81">
        <v>0</v>
      </c>
      <c r="J307" s="81"/>
      <c r="K307" s="81"/>
      <c r="L307" s="81">
        <v>0</v>
      </c>
      <c r="M307" s="81"/>
      <c r="N307" s="81">
        <v>0</v>
      </c>
      <c r="O307" s="81">
        <v>0</v>
      </c>
      <c r="P307" s="81">
        <v>0</v>
      </c>
      <c r="Q307" s="81">
        <v>0</v>
      </c>
    </row>
    <row r="308" spans="1:17" x14ac:dyDescent="0.2">
      <c r="A308" s="35">
        <v>29</v>
      </c>
      <c r="B308" s="35" t="s">
        <v>1985</v>
      </c>
      <c r="C308" s="35" t="s">
        <v>1986</v>
      </c>
      <c r="D308" s="81">
        <v>1</v>
      </c>
      <c r="E308" s="85"/>
      <c r="F308" s="81">
        <v>0</v>
      </c>
      <c r="G308" s="85"/>
      <c r="H308" s="81">
        <v>0</v>
      </c>
      <c r="I308" s="81">
        <v>1</v>
      </c>
      <c r="J308" s="81"/>
      <c r="K308" s="81"/>
      <c r="L308" s="81">
        <v>1</v>
      </c>
      <c r="M308" s="81"/>
      <c r="N308" s="81">
        <v>0</v>
      </c>
      <c r="O308" s="81">
        <v>0</v>
      </c>
      <c r="P308" s="81">
        <v>0</v>
      </c>
      <c r="Q308" s="81">
        <v>0</v>
      </c>
    </row>
    <row r="309" spans="1:17" x14ac:dyDescent="0.2">
      <c r="A309" s="35">
        <v>30</v>
      </c>
      <c r="B309" s="35" t="s">
        <v>1987</v>
      </c>
      <c r="C309" s="35" t="s">
        <v>1988</v>
      </c>
      <c r="D309" s="81">
        <v>1</v>
      </c>
      <c r="E309" s="85"/>
      <c r="F309" s="81">
        <v>0</v>
      </c>
      <c r="G309" s="85"/>
      <c r="H309" s="81">
        <v>0</v>
      </c>
      <c r="I309" s="81">
        <v>1</v>
      </c>
      <c r="J309" s="81"/>
      <c r="K309" s="81"/>
      <c r="L309" s="81">
        <v>1</v>
      </c>
      <c r="M309" s="81"/>
      <c r="N309" s="81">
        <v>0</v>
      </c>
      <c r="O309" s="81">
        <v>0</v>
      </c>
      <c r="P309" s="81">
        <v>0</v>
      </c>
      <c r="Q309" s="81">
        <v>0</v>
      </c>
    </row>
    <row r="310" spans="1:17" x14ac:dyDescent="0.2">
      <c r="A310" s="35">
        <v>31</v>
      </c>
      <c r="B310" s="35" t="s">
        <v>1989</v>
      </c>
      <c r="C310" s="35" t="s">
        <v>1990</v>
      </c>
      <c r="D310" s="81">
        <v>1</v>
      </c>
      <c r="E310" s="85"/>
      <c r="F310" s="81">
        <v>0</v>
      </c>
      <c r="G310" s="85"/>
      <c r="H310" s="81">
        <v>0</v>
      </c>
      <c r="I310" s="81">
        <v>1</v>
      </c>
      <c r="J310" s="81"/>
      <c r="K310" s="81"/>
      <c r="L310" s="81">
        <v>1</v>
      </c>
      <c r="M310" s="81"/>
      <c r="N310" s="81">
        <v>0</v>
      </c>
      <c r="O310" s="81">
        <v>0</v>
      </c>
      <c r="P310" s="81">
        <v>0</v>
      </c>
      <c r="Q310" s="81">
        <v>0</v>
      </c>
    </row>
    <row r="311" spans="1:17" x14ac:dyDescent="0.2">
      <c r="A311" s="35">
        <v>32</v>
      </c>
      <c r="B311" s="35" t="s">
        <v>1991</v>
      </c>
      <c r="C311" s="35" t="s">
        <v>1992</v>
      </c>
      <c r="D311" s="81">
        <v>1</v>
      </c>
      <c r="E311" s="85"/>
      <c r="F311" s="81">
        <v>0</v>
      </c>
      <c r="G311" s="85"/>
      <c r="H311" s="81">
        <v>0</v>
      </c>
      <c r="I311" s="81">
        <v>1</v>
      </c>
      <c r="J311" s="81"/>
      <c r="K311" s="81"/>
      <c r="L311" s="81">
        <v>1</v>
      </c>
      <c r="M311" s="81"/>
      <c r="N311" s="81">
        <v>0</v>
      </c>
      <c r="O311" s="81">
        <v>0</v>
      </c>
      <c r="P311" s="81">
        <v>0</v>
      </c>
      <c r="Q311" s="81">
        <v>0</v>
      </c>
    </row>
    <row r="312" spans="1:17" x14ac:dyDescent="0.2">
      <c r="A312" s="35">
        <v>33</v>
      </c>
      <c r="B312" s="35" t="s">
        <v>1993</v>
      </c>
      <c r="C312" s="35" t="s">
        <v>1994</v>
      </c>
      <c r="D312" s="81">
        <v>1</v>
      </c>
      <c r="E312" s="85"/>
      <c r="F312" s="81">
        <v>0</v>
      </c>
      <c r="G312" s="85"/>
      <c r="H312" s="81">
        <v>0</v>
      </c>
      <c r="I312" s="81">
        <v>1</v>
      </c>
      <c r="J312" s="81"/>
      <c r="K312" s="81"/>
      <c r="L312" s="81">
        <v>1</v>
      </c>
      <c r="M312" s="81"/>
      <c r="N312" s="81">
        <v>0</v>
      </c>
      <c r="O312" s="81">
        <v>0</v>
      </c>
      <c r="P312" s="81">
        <v>0</v>
      </c>
      <c r="Q312" s="81">
        <v>0</v>
      </c>
    </row>
    <row r="313" spans="1:17" x14ac:dyDescent="0.2">
      <c r="A313" s="35">
        <v>34</v>
      </c>
      <c r="B313" s="35" t="s">
        <v>1995</v>
      </c>
      <c r="C313" s="35" t="s">
        <v>1996</v>
      </c>
      <c r="D313" s="81">
        <v>1</v>
      </c>
      <c r="E313" s="85"/>
      <c r="F313" s="81">
        <v>0</v>
      </c>
      <c r="G313" s="85"/>
      <c r="H313" s="81">
        <v>0</v>
      </c>
      <c r="I313" s="81">
        <v>1</v>
      </c>
      <c r="J313" s="81"/>
      <c r="K313" s="81"/>
      <c r="L313" s="81">
        <v>1</v>
      </c>
      <c r="M313" s="81"/>
      <c r="N313" s="81">
        <v>0</v>
      </c>
      <c r="O313" s="81">
        <v>0</v>
      </c>
      <c r="P313" s="81">
        <v>0</v>
      </c>
      <c r="Q313" s="81">
        <v>0</v>
      </c>
    </row>
    <row r="314" spans="1:17" x14ac:dyDescent="0.2">
      <c r="A314" s="35">
        <v>35</v>
      </c>
      <c r="B314" s="35" t="s">
        <v>1997</v>
      </c>
      <c r="C314" s="35" t="s">
        <v>1998</v>
      </c>
      <c r="D314" s="81">
        <v>1</v>
      </c>
      <c r="E314" s="85"/>
      <c r="F314" s="81">
        <v>0</v>
      </c>
      <c r="G314" s="85"/>
      <c r="H314" s="81">
        <v>0</v>
      </c>
      <c r="I314" s="81">
        <v>1</v>
      </c>
      <c r="J314" s="81"/>
      <c r="K314" s="81"/>
      <c r="L314" s="81">
        <v>1</v>
      </c>
      <c r="M314" s="81"/>
      <c r="N314" s="81">
        <v>0</v>
      </c>
      <c r="O314" s="81">
        <v>0</v>
      </c>
      <c r="P314" s="81">
        <v>0</v>
      </c>
      <c r="Q314" s="81">
        <v>0</v>
      </c>
    </row>
    <row r="315" spans="1:17" x14ac:dyDescent="0.2">
      <c r="A315" s="35">
        <v>36</v>
      </c>
      <c r="B315" s="35" t="s">
        <v>1999</v>
      </c>
      <c r="C315" s="35" t="s">
        <v>2000</v>
      </c>
      <c r="D315" s="81">
        <v>1</v>
      </c>
      <c r="E315" s="85"/>
      <c r="F315" s="81">
        <v>0</v>
      </c>
      <c r="G315" s="85"/>
      <c r="H315" s="81">
        <v>0</v>
      </c>
      <c r="I315" s="81">
        <v>1</v>
      </c>
      <c r="J315" s="81"/>
      <c r="K315" s="81"/>
      <c r="L315" s="81">
        <v>1</v>
      </c>
      <c r="M315" s="81"/>
      <c r="N315" s="81">
        <v>0</v>
      </c>
      <c r="O315" s="81">
        <v>0</v>
      </c>
      <c r="P315" s="81">
        <v>0</v>
      </c>
      <c r="Q315" s="81">
        <v>0</v>
      </c>
    </row>
    <row r="316" spans="1:17" x14ac:dyDescent="0.2">
      <c r="A316" s="35">
        <v>37</v>
      </c>
      <c r="B316" s="35" t="s">
        <v>2001</v>
      </c>
      <c r="C316" s="35" t="s">
        <v>2002</v>
      </c>
      <c r="D316" s="81">
        <v>0</v>
      </c>
      <c r="E316" s="85"/>
      <c r="F316" s="81">
        <v>0</v>
      </c>
      <c r="G316" s="85"/>
      <c r="H316" s="81">
        <v>0</v>
      </c>
      <c r="I316" s="81">
        <v>0</v>
      </c>
      <c r="J316" s="81"/>
      <c r="K316" s="81"/>
      <c r="L316" s="81">
        <v>0</v>
      </c>
      <c r="M316" s="81"/>
      <c r="N316" s="81">
        <v>0</v>
      </c>
      <c r="O316" s="81">
        <v>0</v>
      </c>
      <c r="P316" s="81">
        <v>0</v>
      </c>
      <c r="Q316" s="81">
        <v>0</v>
      </c>
    </row>
    <row r="317" spans="1:17" x14ac:dyDescent="0.2">
      <c r="A317" s="35">
        <v>38</v>
      </c>
      <c r="B317" s="35" t="s">
        <v>64</v>
      </c>
      <c r="C317" s="35" t="s">
        <v>1433</v>
      </c>
      <c r="D317" s="81">
        <v>1</v>
      </c>
      <c r="E317" s="85"/>
      <c r="F317" s="81">
        <v>0</v>
      </c>
      <c r="G317" s="85"/>
      <c r="H317" s="81">
        <v>0.99655750222658823</v>
      </c>
      <c r="I317" s="81">
        <v>3.4424977734118095E-3</v>
      </c>
      <c r="J317" s="81"/>
      <c r="K317" s="81"/>
      <c r="L317" s="81">
        <v>3.4424977734118095E-3</v>
      </c>
      <c r="M317" s="81"/>
      <c r="N317" s="81">
        <v>0</v>
      </c>
      <c r="O317" s="81">
        <v>0</v>
      </c>
      <c r="P317" s="81">
        <v>0</v>
      </c>
      <c r="Q317" s="81">
        <v>0</v>
      </c>
    </row>
    <row r="318" spans="1:17" x14ac:dyDescent="0.2">
      <c r="A318" s="35">
        <v>39</v>
      </c>
      <c r="B318" s="35" t="s">
        <v>65</v>
      </c>
      <c r="C318" s="35" t="s">
        <v>1435</v>
      </c>
      <c r="D318" s="81">
        <v>0</v>
      </c>
      <c r="E318" s="85"/>
      <c r="F318" s="81">
        <v>0</v>
      </c>
      <c r="G318" s="85"/>
      <c r="H318" s="81">
        <v>0</v>
      </c>
      <c r="I318" s="81">
        <v>0</v>
      </c>
      <c r="J318" s="81"/>
      <c r="K318" s="81"/>
      <c r="L318" s="81">
        <v>0</v>
      </c>
      <c r="M318" s="81"/>
      <c r="N318" s="81">
        <v>0</v>
      </c>
      <c r="O318" s="81">
        <v>0</v>
      </c>
      <c r="P318" s="81">
        <v>0</v>
      </c>
      <c r="Q318" s="81">
        <v>0</v>
      </c>
    </row>
    <row r="319" spans="1:17" x14ac:dyDescent="0.2">
      <c r="A319" s="35">
        <v>40</v>
      </c>
      <c r="B319" s="35" t="s">
        <v>66</v>
      </c>
      <c r="C319" s="35" t="s">
        <v>1436</v>
      </c>
      <c r="D319" s="81">
        <v>1</v>
      </c>
      <c r="E319" s="85"/>
      <c r="F319" s="81">
        <v>0</v>
      </c>
      <c r="G319" s="85"/>
      <c r="H319" s="81">
        <v>1</v>
      </c>
      <c r="I319" s="81">
        <v>0</v>
      </c>
      <c r="J319" s="81"/>
      <c r="K319" s="81"/>
      <c r="L319" s="81">
        <v>0</v>
      </c>
      <c r="M319" s="81"/>
      <c r="N319" s="81">
        <v>0</v>
      </c>
      <c r="O319" s="81">
        <v>0</v>
      </c>
      <c r="P319" s="81">
        <v>0</v>
      </c>
      <c r="Q319" s="81">
        <v>0</v>
      </c>
    </row>
    <row r="320" spans="1:17" x14ac:dyDescent="0.2">
      <c r="A320" s="35">
        <v>41</v>
      </c>
      <c r="B320" s="35" t="s">
        <v>1517</v>
      </c>
      <c r="C320" s="35" t="s">
        <v>1437</v>
      </c>
      <c r="D320" s="81">
        <v>0</v>
      </c>
      <c r="E320" s="85"/>
      <c r="F320" s="81">
        <v>0</v>
      </c>
      <c r="G320" s="85"/>
      <c r="H320" s="81">
        <v>0</v>
      </c>
      <c r="I320" s="81">
        <v>0</v>
      </c>
      <c r="J320" s="81"/>
      <c r="K320" s="81"/>
      <c r="L320" s="81">
        <v>0</v>
      </c>
      <c r="M320" s="81"/>
      <c r="N320" s="81">
        <v>0</v>
      </c>
      <c r="O320" s="81">
        <v>0</v>
      </c>
      <c r="P320" s="81">
        <v>0</v>
      </c>
      <c r="Q320" s="81">
        <v>0</v>
      </c>
    </row>
    <row r="321" spans="1:17" x14ac:dyDescent="0.2">
      <c r="A321" s="35">
        <v>42</v>
      </c>
      <c r="B321" s="35" t="s">
        <v>2003</v>
      </c>
      <c r="C321" s="35" t="s">
        <v>2004</v>
      </c>
      <c r="D321" s="81">
        <v>0.99999999999999989</v>
      </c>
      <c r="E321" s="85"/>
      <c r="F321" s="81">
        <v>0.93321688327267494</v>
      </c>
      <c r="G321" s="85"/>
      <c r="H321" s="81">
        <v>6.676675845042003E-2</v>
      </c>
      <c r="I321" s="81">
        <v>1.635827690496358E-5</v>
      </c>
      <c r="J321" s="81"/>
      <c r="K321" s="81"/>
      <c r="L321" s="81">
        <v>1.635827690496358E-5</v>
      </c>
      <c r="M321" s="81"/>
      <c r="N321" s="81">
        <v>0</v>
      </c>
      <c r="O321" s="81">
        <v>0</v>
      </c>
      <c r="P321" s="81">
        <v>0</v>
      </c>
      <c r="Q321" s="81">
        <v>0</v>
      </c>
    </row>
    <row r="322" spans="1:17" x14ac:dyDescent="0.2">
      <c r="A322" s="35">
        <v>43</v>
      </c>
      <c r="B322" s="35" t="s">
        <v>2005</v>
      </c>
      <c r="C322" s="35" t="s">
        <v>2006</v>
      </c>
      <c r="D322" s="81">
        <v>1</v>
      </c>
      <c r="E322" s="85"/>
      <c r="F322" s="81">
        <v>0.7162353473773585</v>
      </c>
      <c r="G322" s="85"/>
      <c r="H322" s="81">
        <v>6.5412569483985661E-2</v>
      </c>
      <c r="I322" s="81">
        <v>0.21835208313865578</v>
      </c>
      <c r="J322" s="81"/>
      <c r="K322" s="81"/>
      <c r="L322" s="81">
        <v>0</v>
      </c>
      <c r="M322" s="81"/>
      <c r="N322" s="81">
        <v>0.21835208313865578</v>
      </c>
      <c r="O322" s="81">
        <v>8.8683173314984237E-2</v>
      </c>
      <c r="P322" s="81">
        <v>0.12966890982367155</v>
      </c>
      <c r="Q322" s="81">
        <v>0</v>
      </c>
    </row>
    <row r="323" spans="1:17" x14ac:dyDescent="0.2">
      <c r="A323" s="35">
        <v>44</v>
      </c>
      <c r="B323" s="35" t="s">
        <v>2007</v>
      </c>
      <c r="C323" s="35" t="s">
        <v>2008</v>
      </c>
      <c r="D323" s="81">
        <v>1</v>
      </c>
      <c r="E323" s="85"/>
      <c r="F323" s="81">
        <v>1</v>
      </c>
      <c r="G323" s="85"/>
      <c r="H323" s="81">
        <v>0</v>
      </c>
      <c r="I323" s="81">
        <v>0</v>
      </c>
      <c r="J323" s="81"/>
      <c r="K323" s="81"/>
      <c r="L323" s="81">
        <v>0</v>
      </c>
      <c r="M323" s="81"/>
      <c r="N323" s="81">
        <v>0</v>
      </c>
      <c r="O323" s="81">
        <v>0</v>
      </c>
      <c r="P323" s="81">
        <v>0</v>
      </c>
      <c r="Q323" s="81">
        <v>0</v>
      </c>
    </row>
    <row r="324" spans="1:17" x14ac:dyDescent="0.2">
      <c r="A324" s="35">
        <v>45</v>
      </c>
      <c r="B324" s="35" t="s">
        <v>2057</v>
      </c>
      <c r="C324" s="35" t="s">
        <v>2010</v>
      </c>
      <c r="D324" s="81">
        <v>1</v>
      </c>
      <c r="E324" s="85"/>
      <c r="F324" s="81">
        <v>0.94655437530962694</v>
      </c>
      <c r="G324" s="85"/>
      <c r="H324" s="81">
        <v>5.3445624690373096E-2</v>
      </c>
      <c r="I324" s="81">
        <v>0</v>
      </c>
      <c r="J324" s="81"/>
      <c r="K324" s="81"/>
      <c r="L324" s="81">
        <v>0</v>
      </c>
      <c r="M324" s="81"/>
      <c r="N324" s="81">
        <v>0</v>
      </c>
      <c r="O324" s="81">
        <v>0</v>
      </c>
      <c r="P324" s="81">
        <v>0</v>
      </c>
      <c r="Q324" s="81">
        <v>0</v>
      </c>
    </row>
    <row r="325" spans="1:17" x14ac:dyDescent="0.2">
      <c r="A325" s="35">
        <v>46</v>
      </c>
      <c r="B325" s="35" t="s">
        <v>2058</v>
      </c>
      <c r="C325" s="35" t="s">
        <v>2012</v>
      </c>
      <c r="D325" s="81">
        <v>1</v>
      </c>
      <c r="E325" s="85"/>
      <c r="F325" s="81">
        <v>0.99541291573424273</v>
      </c>
      <c r="G325" s="85"/>
      <c r="H325" s="81">
        <v>4.5870842657573145E-3</v>
      </c>
      <c r="I325" s="81">
        <v>0</v>
      </c>
      <c r="J325" s="81"/>
      <c r="K325" s="81"/>
      <c r="L325" s="81">
        <v>0</v>
      </c>
      <c r="M325" s="81"/>
      <c r="N325" s="81">
        <v>0</v>
      </c>
      <c r="O325" s="81">
        <v>0</v>
      </c>
      <c r="P325" s="81">
        <v>0</v>
      </c>
      <c r="Q325" s="81">
        <v>0</v>
      </c>
    </row>
    <row r="326" spans="1:17" x14ac:dyDescent="0.2">
      <c r="A326" s="35">
        <v>47</v>
      </c>
      <c r="B326" s="35" t="s">
        <v>2059</v>
      </c>
      <c r="C326" s="35" t="s">
        <v>2014</v>
      </c>
      <c r="D326" s="81">
        <v>0.99999999999999989</v>
      </c>
      <c r="E326" s="85"/>
      <c r="F326" s="81">
        <v>1.0008701472556893</v>
      </c>
      <c r="G326" s="85"/>
      <c r="H326" s="81">
        <v>-8.7014725568942432E-4</v>
      </c>
      <c r="I326" s="81">
        <v>0</v>
      </c>
      <c r="J326" s="81"/>
      <c r="K326" s="81"/>
      <c r="L326" s="81">
        <v>0</v>
      </c>
      <c r="M326" s="81"/>
      <c r="N326" s="81">
        <v>0</v>
      </c>
      <c r="O326" s="81">
        <v>0</v>
      </c>
      <c r="P326" s="81">
        <v>0</v>
      </c>
      <c r="Q326" s="81">
        <v>0</v>
      </c>
    </row>
    <row r="327" spans="1:17" x14ac:dyDescent="0.2">
      <c r="A327" s="35">
        <v>48</v>
      </c>
      <c r="B327" s="35" t="s">
        <v>1438</v>
      </c>
      <c r="C327" s="35" t="s">
        <v>1439</v>
      </c>
      <c r="D327" s="81">
        <v>1</v>
      </c>
      <c r="E327" s="85"/>
      <c r="F327" s="81">
        <v>0</v>
      </c>
      <c r="G327" s="85"/>
      <c r="H327" s="81">
        <v>1</v>
      </c>
      <c r="I327" s="81">
        <v>0</v>
      </c>
      <c r="J327" s="81"/>
      <c r="K327" s="81"/>
      <c r="L327" s="81">
        <v>0</v>
      </c>
      <c r="M327" s="81"/>
      <c r="N327" s="81">
        <v>0</v>
      </c>
      <c r="O327" s="81">
        <v>0</v>
      </c>
      <c r="P327" s="81">
        <v>0</v>
      </c>
      <c r="Q327" s="81">
        <v>0</v>
      </c>
    </row>
    <row r="328" spans="1:17" x14ac:dyDescent="0.2">
      <c r="A328" s="35">
        <v>49</v>
      </c>
      <c r="B328" s="35" t="s">
        <v>1440</v>
      </c>
      <c r="C328" s="35" t="s">
        <v>1441</v>
      </c>
      <c r="D328" s="81">
        <v>0</v>
      </c>
      <c r="E328" s="85"/>
      <c r="F328" s="81">
        <v>0</v>
      </c>
      <c r="G328" s="85"/>
      <c r="H328" s="81">
        <v>0</v>
      </c>
      <c r="I328" s="81">
        <v>0</v>
      </c>
      <c r="J328" s="81"/>
      <c r="K328" s="81"/>
      <c r="L328" s="81">
        <v>0</v>
      </c>
      <c r="M328" s="81"/>
      <c r="N328" s="81">
        <v>0</v>
      </c>
      <c r="O328" s="81">
        <v>0</v>
      </c>
      <c r="P328" s="81">
        <v>0</v>
      </c>
      <c r="Q328" s="81">
        <v>0</v>
      </c>
    </row>
    <row r="329" spans="1:17" x14ac:dyDescent="0.2">
      <c r="A329" s="35">
        <v>50</v>
      </c>
      <c r="B329" s="35" t="s">
        <v>1442</v>
      </c>
      <c r="C329" s="35" t="s">
        <v>1443</v>
      </c>
      <c r="D329" s="81">
        <v>1</v>
      </c>
      <c r="E329" s="85"/>
      <c r="F329" s="81">
        <v>0</v>
      </c>
      <c r="G329" s="85"/>
      <c r="H329" s="81">
        <v>1</v>
      </c>
      <c r="I329" s="81">
        <v>0</v>
      </c>
      <c r="J329" s="81"/>
      <c r="K329" s="81"/>
      <c r="L329" s="81">
        <v>0</v>
      </c>
      <c r="M329" s="81"/>
      <c r="N329" s="81">
        <v>0</v>
      </c>
      <c r="O329" s="81">
        <v>0</v>
      </c>
      <c r="P329" s="81">
        <v>0</v>
      </c>
      <c r="Q329" s="81">
        <v>0</v>
      </c>
    </row>
    <row r="330" spans="1:17" x14ac:dyDescent="0.2">
      <c r="D330" s="81"/>
      <c r="E330" s="85"/>
      <c r="F330" s="81"/>
      <c r="G330" s="85"/>
      <c r="H330" s="81"/>
      <c r="I330" s="81"/>
      <c r="J330" s="81"/>
      <c r="K330" s="81"/>
      <c r="L330" s="81"/>
      <c r="M330" s="81"/>
      <c r="N330" s="81"/>
      <c r="O330" s="81"/>
      <c r="P330" s="81"/>
      <c r="Q330" s="81"/>
    </row>
    <row r="331" spans="1:17" x14ac:dyDescent="0.2">
      <c r="D331" s="81"/>
      <c r="E331" s="85"/>
      <c r="F331" s="81"/>
      <c r="G331" s="85"/>
      <c r="H331" s="81"/>
      <c r="I331" s="81"/>
      <c r="J331" s="81"/>
      <c r="K331" s="81"/>
      <c r="L331" s="81"/>
      <c r="M331" s="81"/>
      <c r="N331" s="81"/>
      <c r="O331" s="81"/>
      <c r="P331" s="81"/>
      <c r="Q331" s="81"/>
    </row>
    <row r="332" spans="1:17" x14ac:dyDescent="0.2">
      <c r="B332" s="35" t="s">
        <v>1444</v>
      </c>
      <c r="D332" s="81"/>
      <c r="E332" s="85"/>
      <c r="F332" s="81"/>
      <c r="G332" s="85"/>
      <c r="H332" s="81"/>
      <c r="I332" s="81"/>
      <c r="J332" s="81"/>
      <c r="K332" s="81"/>
      <c r="L332" s="81"/>
      <c r="M332" s="81"/>
      <c r="N332" s="81"/>
      <c r="O332" s="81"/>
      <c r="P332" s="81"/>
      <c r="Q332" s="81"/>
    </row>
    <row r="333" spans="1:17" x14ac:dyDescent="0.2">
      <c r="B333" s="35" t="s">
        <v>1330</v>
      </c>
      <c r="D333" s="81"/>
      <c r="E333" s="85"/>
      <c r="F333" s="81"/>
      <c r="G333" s="85"/>
      <c r="H333" s="81"/>
      <c r="I333" s="81"/>
      <c r="J333" s="81"/>
      <c r="K333" s="81"/>
      <c r="L333" s="81"/>
      <c r="M333" s="81"/>
      <c r="N333" s="81"/>
      <c r="O333" s="81"/>
      <c r="P333" s="81"/>
      <c r="Q333" s="81"/>
    </row>
    <row r="334" spans="1:17" x14ac:dyDescent="0.2">
      <c r="A334" s="35">
        <v>1</v>
      </c>
      <c r="B334" s="35" t="s">
        <v>1445</v>
      </c>
      <c r="C334" s="35" t="s">
        <v>1444</v>
      </c>
      <c r="D334" s="81">
        <v>0.99999999999999989</v>
      </c>
      <c r="E334" s="85"/>
      <c r="F334" s="81">
        <v>0.87938242823882584</v>
      </c>
      <c r="G334" s="85"/>
      <c r="H334" s="81">
        <v>3.645521737695509E-2</v>
      </c>
      <c r="I334" s="81">
        <v>8.4162354384218929E-2</v>
      </c>
      <c r="J334" s="81"/>
      <c r="K334" s="81"/>
      <c r="L334" s="81">
        <v>4.2409014282972137E-6</v>
      </c>
      <c r="M334" s="81"/>
      <c r="N334" s="81">
        <v>8.4158113482790634E-2</v>
      </c>
      <c r="O334" s="81">
        <v>2.6595092457872348E-2</v>
      </c>
      <c r="P334" s="81">
        <v>5.7563021024918289E-2</v>
      </c>
      <c r="Q334" s="81">
        <v>0</v>
      </c>
    </row>
    <row r="335" spans="1:17" x14ac:dyDescent="0.2">
      <c r="A335" s="35">
        <v>2</v>
      </c>
      <c r="B335" s="35" t="s">
        <v>1446</v>
      </c>
      <c r="C335" s="35" t="s">
        <v>1447</v>
      </c>
      <c r="D335" s="81">
        <v>1</v>
      </c>
      <c r="E335" s="85"/>
      <c r="F335" s="81">
        <v>0.96019022626598516</v>
      </c>
      <c r="G335" s="85"/>
      <c r="H335" s="81">
        <v>3.9805143129659715E-2</v>
      </c>
      <c r="I335" s="81">
        <v>4.6306043551083253E-6</v>
      </c>
      <c r="J335" s="81"/>
      <c r="K335" s="81"/>
      <c r="L335" s="81">
        <v>4.6306043551083253E-6</v>
      </c>
      <c r="M335" s="81"/>
      <c r="N335" s="81">
        <v>0</v>
      </c>
      <c r="O335" s="81">
        <v>0</v>
      </c>
      <c r="P335" s="81">
        <v>0</v>
      </c>
      <c r="Q335" s="81">
        <v>0</v>
      </c>
    </row>
    <row r="336" spans="1:17" x14ac:dyDescent="0.2">
      <c r="A336" s="35">
        <v>3</v>
      </c>
      <c r="D336" s="81"/>
      <c r="E336" s="85"/>
      <c r="F336" s="81"/>
      <c r="G336" s="85"/>
      <c r="H336" s="81"/>
      <c r="I336" s="81"/>
      <c r="J336" s="81"/>
      <c r="K336" s="81"/>
      <c r="L336" s="81"/>
      <c r="M336" s="81"/>
      <c r="N336" s="81"/>
      <c r="O336" s="81"/>
      <c r="P336" s="81"/>
      <c r="Q336" s="81"/>
    </row>
    <row r="337" spans="1:17" x14ac:dyDescent="0.2">
      <c r="A337" s="35">
        <v>4</v>
      </c>
      <c r="D337" s="81"/>
      <c r="E337" s="85"/>
      <c r="F337" s="81"/>
      <c r="G337" s="85"/>
      <c r="H337" s="81"/>
      <c r="I337" s="81"/>
      <c r="J337" s="81"/>
      <c r="K337" s="81"/>
      <c r="L337" s="81"/>
      <c r="M337" s="81"/>
      <c r="N337" s="81"/>
      <c r="O337" s="81"/>
      <c r="P337" s="81"/>
      <c r="Q337" s="81"/>
    </row>
    <row r="338" spans="1:17" x14ac:dyDescent="0.2">
      <c r="D338" s="81"/>
      <c r="E338" s="85"/>
      <c r="F338" s="81"/>
      <c r="G338" s="85"/>
      <c r="H338" s="81"/>
      <c r="I338" s="81"/>
      <c r="J338" s="81"/>
      <c r="K338" s="81"/>
      <c r="L338" s="81"/>
      <c r="M338" s="81"/>
      <c r="N338" s="81"/>
      <c r="O338" s="81"/>
      <c r="P338" s="81"/>
      <c r="Q338" s="81"/>
    </row>
    <row r="339" spans="1:17" x14ac:dyDescent="0.2">
      <c r="B339" s="35" t="s">
        <v>1448</v>
      </c>
      <c r="D339" s="81"/>
      <c r="E339" s="85"/>
      <c r="F339" s="81"/>
      <c r="G339" s="85"/>
      <c r="H339" s="81"/>
      <c r="I339" s="81"/>
      <c r="J339" s="81"/>
      <c r="K339" s="81"/>
      <c r="L339" s="81"/>
      <c r="M339" s="81"/>
      <c r="N339" s="81"/>
      <c r="O339" s="81"/>
      <c r="P339" s="81"/>
      <c r="Q339" s="81"/>
    </row>
    <row r="340" spans="1:17" x14ac:dyDescent="0.2">
      <c r="B340" s="35" t="s">
        <v>1330</v>
      </c>
      <c r="D340" s="81"/>
      <c r="E340" s="85"/>
      <c r="F340" s="81"/>
      <c r="G340" s="85"/>
      <c r="H340" s="81"/>
      <c r="I340" s="81"/>
      <c r="J340" s="81"/>
      <c r="K340" s="81"/>
      <c r="L340" s="81"/>
      <c r="M340" s="81"/>
      <c r="N340" s="81"/>
      <c r="O340" s="81"/>
      <c r="P340" s="81"/>
      <c r="Q340" s="81"/>
    </row>
    <row r="341" spans="1:17" x14ac:dyDescent="0.2">
      <c r="A341" s="35">
        <v>1</v>
      </c>
      <c r="B341" s="35" t="s">
        <v>1449</v>
      </c>
      <c r="C341" s="35" t="s">
        <v>1450</v>
      </c>
      <c r="D341" s="81">
        <v>1</v>
      </c>
      <c r="E341" s="85"/>
      <c r="F341" s="81">
        <v>1</v>
      </c>
      <c r="G341" s="85"/>
      <c r="H341" s="81">
        <v>0</v>
      </c>
      <c r="I341" s="81">
        <v>0</v>
      </c>
      <c r="J341" s="81"/>
      <c r="K341" s="81"/>
      <c r="L341" s="81">
        <v>0</v>
      </c>
      <c r="M341" s="81"/>
      <c r="N341" s="81">
        <v>0</v>
      </c>
      <c r="O341" s="81">
        <v>0</v>
      </c>
      <c r="P341" s="81">
        <v>0</v>
      </c>
      <c r="Q341" s="81">
        <v>0</v>
      </c>
    </row>
    <row r="342" spans="1:17" x14ac:dyDescent="0.2">
      <c r="A342" s="35">
        <v>2</v>
      </c>
      <c r="B342" s="35" t="s">
        <v>1451</v>
      </c>
      <c r="C342" s="35" t="s">
        <v>1452</v>
      </c>
      <c r="D342" s="81">
        <v>1</v>
      </c>
      <c r="E342" s="85"/>
      <c r="F342" s="81">
        <v>0.9956636515730628</v>
      </c>
      <c r="G342" s="85"/>
      <c r="H342" s="81">
        <v>0</v>
      </c>
      <c r="I342" s="81">
        <v>4.3363484269371829E-3</v>
      </c>
      <c r="J342" s="81"/>
      <c r="K342" s="81"/>
      <c r="L342" s="81">
        <v>0</v>
      </c>
      <c r="M342" s="81"/>
      <c r="N342" s="81">
        <v>4.3363484269371829E-3</v>
      </c>
      <c r="O342" s="81">
        <v>7.5774008759644758E-4</v>
      </c>
      <c r="P342" s="81">
        <v>3.5786083393407352E-3</v>
      </c>
      <c r="Q342" s="81">
        <v>0</v>
      </c>
    </row>
    <row r="343" spans="1:17" x14ac:dyDescent="0.2">
      <c r="A343" s="35">
        <v>3</v>
      </c>
      <c r="B343" s="35" t="s">
        <v>1453</v>
      </c>
      <c r="C343" s="35" t="s">
        <v>1454</v>
      </c>
      <c r="D343" s="81">
        <v>1</v>
      </c>
      <c r="E343" s="85"/>
      <c r="F343" s="81">
        <v>1</v>
      </c>
      <c r="G343" s="85"/>
      <c r="H343" s="81">
        <v>0</v>
      </c>
      <c r="I343" s="81">
        <v>0</v>
      </c>
      <c r="J343" s="81"/>
      <c r="K343" s="81"/>
      <c r="L343" s="81">
        <v>0</v>
      </c>
      <c r="M343" s="81"/>
      <c r="N343" s="81">
        <v>0</v>
      </c>
      <c r="O343" s="81">
        <v>0</v>
      </c>
      <c r="P343" s="81">
        <v>0</v>
      </c>
      <c r="Q343" s="81">
        <v>0</v>
      </c>
    </row>
    <row r="344" spans="1:17" x14ac:dyDescent="0.2">
      <c r="A344" s="35">
        <v>4</v>
      </c>
      <c r="B344" s="35" t="s">
        <v>1455</v>
      </c>
      <c r="C344" s="35" t="s">
        <v>1456</v>
      </c>
      <c r="D344" s="81">
        <v>1</v>
      </c>
      <c r="E344" s="85"/>
      <c r="F344" s="81">
        <v>1</v>
      </c>
      <c r="G344" s="85"/>
      <c r="H344" s="81">
        <v>0</v>
      </c>
      <c r="I344" s="81">
        <v>0</v>
      </c>
      <c r="J344" s="81"/>
      <c r="K344" s="81"/>
      <c r="L344" s="81">
        <v>0</v>
      </c>
      <c r="M344" s="81"/>
      <c r="N344" s="81">
        <v>0</v>
      </c>
      <c r="O344" s="81">
        <v>0</v>
      </c>
      <c r="P344" s="81">
        <v>0</v>
      </c>
      <c r="Q344" s="81">
        <v>0</v>
      </c>
    </row>
    <row r="345" spans="1:17" x14ac:dyDescent="0.2">
      <c r="A345" s="35">
        <v>5</v>
      </c>
      <c r="B345" s="35" t="s">
        <v>1457</v>
      </c>
      <c r="C345" s="35" t="s">
        <v>1458</v>
      </c>
      <c r="D345" s="81">
        <v>1</v>
      </c>
      <c r="E345" s="85"/>
      <c r="F345" s="81">
        <v>0.9830612018582785</v>
      </c>
      <c r="G345" s="85"/>
      <c r="H345" s="81">
        <v>1.6938798141721566E-2</v>
      </c>
      <c r="I345" s="81">
        <v>0</v>
      </c>
      <c r="J345" s="81"/>
      <c r="K345" s="81"/>
      <c r="L345" s="81">
        <v>0</v>
      </c>
      <c r="M345" s="81"/>
      <c r="N345" s="81">
        <v>0</v>
      </c>
      <c r="O345" s="81">
        <v>0</v>
      </c>
      <c r="P345" s="81">
        <v>0</v>
      </c>
      <c r="Q345" s="81">
        <v>0</v>
      </c>
    </row>
    <row r="346" spans="1:17" x14ac:dyDescent="0.2">
      <c r="A346" s="35">
        <v>6</v>
      </c>
      <c r="B346" s="35" t="s">
        <v>1459</v>
      </c>
      <c r="C346" s="35" t="s">
        <v>1460</v>
      </c>
      <c r="D346" s="81">
        <v>1</v>
      </c>
      <c r="E346" s="85"/>
      <c r="F346" s="81">
        <v>0.95078746033281891</v>
      </c>
      <c r="G346" s="85"/>
      <c r="H346" s="81">
        <v>4.9238574982840733E-2</v>
      </c>
      <c r="I346" s="81">
        <v>-2.603531565961167E-5</v>
      </c>
      <c r="J346" s="81"/>
      <c r="K346" s="81"/>
      <c r="L346" s="81">
        <v>0</v>
      </c>
      <c r="M346" s="81"/>
      <c r="N346" s="81">
        <v>-2.603531565961167E-5</v>
      </c>
      <c r="O346" s="81">
        <v>-2.603531565961167E-5</v>
      </c>
      <c r="P346" s="81">
        <v>0</v>
      </c>
      <c r="Q346" s="81">
        <v>0</v>
      </c>
    </row>
    <row r="347" spans="1:17" x14ac:dyDescent="0.2">
      <c r="A347" s="35">
        <v>7</v>
      </c>
      <c r="B347" s="35" t="s">
        <v>1461</v>
      </c>
      <c r="C347" s="35" t="s">
        <v>1462</v>
      </c>
      <c r="D347" s="81">
        <v>0.99999999999999989</v>
      </c>
      <c r="E347" s="85"/>
      <c r="F347" s="81">
        <v>0.9487830986733472</v>
      </c>
      <c r="G347" s="85"/>
      <c r="H347" s="81">
        <v>5.0040851560344816E-2</v>
      </c>
      <c r="I347" s="81">
        <v>1.1760497663079561E-3</v>
      </c>
      <c r="J347" s="81"/>
      <c r="K347" s="81"/>
      <c r="L347" s="81">
        <v>7.9195270458448229E-6</v>
      </c>
      <c r="M347" s="81"/>
      <c r="N347" s="81">
        <v>1.1681302392621113E-3</v>
      </c>
      <c r="O347" s="81">
        <v>6.0584381900712894E-4</v>
      </c>
      <c r="P347" s="81">
        <v>5.6228642025498235E-4</v>
      </c>
      <c r="Q347" s="81">
        <v>0</v>
      </c>
    </row>
    <row r="348" spans="1:17" x14ac:dyDescent="0.2">
      <c r="A348" s="35">
        <v>8</v>
      </c>
      <c r="B348" s="35" t="s">
        <v>1463</v>
      </c>
      <c r="C348" s="35" t="s">
        <v>1464</v>
      </c>
      <c r="D348" s="81">
        <v>0.99999999999999989</v>
      </c>
      <c r="E348" s="85"/>
      <c r="F348" s="81">
        <v>0.9487830986733472</v>
      </c>
      <c r="G348" s="85"/>
      <c r="H348" s="81">
        <v>5.0040851560344816E-2</v>
      </c>
      <c r="I348" s="81">
        <v>1.1760497663079561E-3</v>
      </c>
      <c r="J348" s="81"/>
      <c r="K348" s="81"/>
      <c r="L348" s="81">
        <v>7.9195270458448229E-6</v>
      </c>
      <c r="M348" s="81"/>
      <c r="N348" s="81">
        <v>1.1681302392621113E-3</v>
      </c>
      <c r="O348" s="81">
        <v>6.0584381900712894E-4</v>
      </c>
      <c r="P348" s="81">
        <v>5.6228642025498235E-4</v>
      </c>
      <c r="Q348" s="81">
        <v>0</v>
      </c>
    </row>
    <row r="349" spans="1:17" x14ac:dyDescent="0.2">
      <c r="A349" s="35">
        <v>9</v>
      </c>
      <c r="B349" s="35" t="s">
        <v>1465</v>
      </c>
      <c r="C349" s="35" t="s">
        <v>1466</v>
      </c>
      <c r="D349" s="81">
        <v>0.99999999999999989</v>
      </c>
      <c r="E349" s="85"/>
      <c r="F349" s="81">
        <v>0.9487830986733472</v>
      </c>
      <c r="G349" s="85"/>
      <c r="H349" s="81">
        <v>5.0040851560344816E-2</v>
      </c>
      <c r="I349" s="81">
        <v>1.1760497663079561E-3</v>
      </c>
      <c r="J349" s="81"/>
      <c r="K349" s="81"/>
      <c r="L349" s="81">
        <v>7.9195270458448229E-6</v>
      </c>
      <c r="M349" s="81"/>
      <c r="N349" s="81">
        <v>1.1681302392621113E-3</v>
      </c>
      <c r="O349" s="81">
        <v>6.0584381900712894E-4</v>
      </c>
      <c r="P349" s="81">
        <v>5.6228642025498235E-4</v>
      </c>
      <c r="Q349" s="81">
        <v>0</v>
      </c>
    </row>
    <row r="350" spans="1:17" x14ac:dyDescent="0.2">
      <c r="A350" s="35">
        <v>10</v>
      </c>
      <c r="B350" s="35" t="s">
        <v>1467</v>
      </c>
      <c r="C350" s="35" t="s">
        <v>1468</v>
      </c>
      <c r="D350" s="81">
        <v>1</v>
      </c>
      <c r="E350" s="85"/>
      <c r="F350" s="81">
        <v>0</v>
      </c>
      <c r="G350" s="85"/>
      <c r="H350" s="81">
        <v>1</v>
      </c>
      <c r="I350" s="81">
        <v>0</v>
      </c>
      <c r="J350" s="81"/>
      <c r="K350" s="81"/>
      <c r="L350" s="81">
        <v>0</v>
      </c>
      <c r="M350" s="81"/>
      <c r="N350" s="81">
        <v>0</v>
      </c>
      <c r="O350" s="81">
        <v>0</v>
      </c>
      <c r="P350" s="81">
        <v>0</v>
      </c>
      <c r="Q350" s="81">
        <v>0</v>
      </c>
    </row>
    <row r="351" spans="1:17" x14ac:dyDescent="0.2">
      <c r="A351" s="35">
        <v>11</v>
      </c>
      <c r="B351" s="35" t="s">
        <v>1469</v>
      </c>
      <c r="C351" s="35" t="s">
        <v>1470</v>
      </c>
      <c r="D351" s="81">
        <v>1</v>
      </c>
      <c r="E351" s="85"/>
      <c r="F351" s="81">
        <v>0</v>
      </c>
      <c r="G351" s="85"/>
      <c r="H351" s="81">
        <v>1</v>
      </c>
      <c r="I351" s="81">
        <v>0</v>
      </c>
      <c r="J351" s="81"/>
      <c r="K351" s="81"/>
      <c r="L351" s="81">
        <v>0</v>
      </c>
      <c r="M351" s="81"/>
      <c r="N351" s="81">
        <v>0</v>
      </c>
      <c r="O351" s="81">
        <v>0</v>
      </c>
      <c r="P351" s="81">
        <v>0</v>
      </c>
      <c r="Q351" s="81">
        <v>0</v>
      </c>
    </row>
    <row r="352" spans="1:17" x14ac:dyDescent="0.2">
      <c r="A352" s="35">
        <v>12</v>
      </c>
      <c r="B352" s="35" t="s">
        <v>1471</v>
      </c>
      <c r="C352" s="35" t="s">
        <v>1472</v>
      </c>
      <c r="D352" s="81">
        <v>0</v>
      </c>
      <c r="E352" s="85"/>
      <c r="F352" s="81">
        <v>0</v>
      </c>
      <c r="G352" s="85"/>
      <c r="H352" s="81">
        <v>0</v>
      </c>
      <c r="I352" s="81">
        <v>0</v>
      </c>
      <c r="J352" s="81"/>
      <c r="K352" s="81"/>
      <c r="L352" s="81">
        <v>0</v>
      </c>
      <c r="M352" s="81"/>
      <c r="N352" s="81">
        <v>0</v>
      </c>
      <c r="O352" s="81">
        <v>0</v>
      </c>
      <c r="P352" s="81">
        <v>0</v>
      </c>
      <c r="Q352" s="81">
        <v>0</v>
      </c>
    </row>
    <row r="353" spans="1:17" x14ac:dyDescent="0.2">
      <c r="A353" s="35">
        <v>13</v>
      </c>
      <c r="B353" s="35" t="s">
        <v>1473</v>
      </c>
      <c r="C353" s="35" t="s">
        <v>1474</v>
      </c>
      <c r="D353" s="81">
        <v>1</v>
      </c>
      <c r="E353" s="85"/>
      <c r="F353" s="81">
        <v>0</v>
      </c>
      <c r="G353" s="85"/>
      <c r="H353" s="81">
        <v>1</v>
      </c>
      <c r="I353" s="81">
        <v>0</v>
      </c>
      <c r="J353" s="81"/>
      <c r="K353" s="81"/>
      <c r="L353" s="81">
        <v>0</v>
      </c>
      <c r="M353" s="81"/>
      <c r="N353" s="81">
        <v>0</v>
      </c>
      <c r="O353" s="81">
        <v>0</v>
      </c>
      <c r="P353" s="81">
        <v>0</v>
      </c>
      <c r="Q353" s="81">
        <v>0</v>
      </c>
    </row>
    <row r="354" spans="1:17" x14ac:dyDescent="0.2">
      <c r="A354" s="35">
        <v>14</v>
      </c>
      <c r="B354" s="35" t="s">
        <v>1475</v>
      </c>
      <c r="C354" s="35" t="s">
        <v>1476</v>
      </c>
      <c r="D354" s="81">
        <v>1</v>
      </c>
      <c r="E354" s="85"/>
      <c r="F354" s="81">
        <v>1</v>
      </c>
      <c r="G354" s="85"/>
      <c r="H354" s="81">
        <v>0</v>
      </c>
      <c r="I354" s="81">
        <v>0</v>
      </c>
      <c r="J354" s="81"/>
      <c r="K354" s="81"/>
      <c r="L354" s="81">
        <v>0</v>
      </c>
      <c r="M354" s="81"/>
      <c r="N354" s="81">
        <v>0</v>
      </c>
      <c r="O354" s="81">
        <v>0</v>
      </c>
      <c r="P354" s="81">
        <v>0</v>
      </c>
      <c r="Q354" s="81">
        <v>0</v>
      </c>
    </row>
    <row r="355" spans="1:17" x14ac:dyDescent="0.2">
      <c r="A355" s="35">
        <v>15</v>
      </c>
      <c r="B355" s="35" t="s">
        <v>1477</v>
      </c>
      <c r="C355" s="35" t="s">
        <v>1478</v>
      </c>
      <c r="D355" s="81">
        <v>1</v>
      </c>
      <c r="E355" s="85"/>
      <c r="F355" s="81">
        <v>0.94815391805577198</v>
      </c>
      <c r="G355" s="85"/>
      <c r="H355" s="81">
        <v>5.1838750767482566E-2</v>
      </c>
      <c r="I355" s="81">
        <v>7.3311767455073634E-6</v>
      </c>
      <c r="J355" s="81"/>
      <c r="K355" s="81"/>
      <c r="L355" s="81">
        <v>7.3311767455073634E-6</v>
      </c>
      <c r="M355" s="81"/>
      <c r="N355" s="81">
        <v>0</v>
      </c>
      <c r="O355" s="81">
        <v>0</v>
      </c>
      <c r="P355" s="81">
        <v>0</v>
      </c>
      <c r="Q355" s="81">
        <v>0</v>
      </c>
    </row>
    <row r="356" spans="1:17" x14ac:dyDescent="0.2">
      <c r="A356" s="35">
        <v>16</v>
      </c>
      <c r="B356" s="35" t="s">
        <v>1479</v>
      </c>
      <c r="C356" s="35" t="s">
        <v>1480</v>
      </c>
      <c r="D356" s="81">
        <v>1</v>
      </c>
      <c r="E356" s="85"/>
      <c r="F356" s="81">
        <v>0.94815391805577198</v>
      </c>
      <c r="G356" s="85"/>
      <c r="H356" s="81">
        <v>5.1838750767482566E-2</v>
      </c>
      <c r="I356" s="81">
        <v>7.3311767455073634E-6</v>
      </c>
      <c r="J356" s="81"/>
      <c r="K356" s="81"/>
      <c r="L356" s="81">
        <v>7.3311767455073634E-6</v>
      </c>
      <c r="M356" s="81"/>
      <c r="N356" s="81">
        <v>0</v>
      </c>
      <c r="O356" s="81">
        <v>0</v>
      </c>
      <c r="P356" s="81">
        <v>0</v>
      </c>
      <c r="Q356" s="81">
        <v>0</v>
      </c>
    </row>
    <row r="357" spans="1:17" x14ac:dyDescent="0.2">
      <c r="A357" s="35">
        <v>17</v>
      </c>
      <c r="B357" s="35" t="s">
        <v>1481</v>
      </c>
      <c r="C357" s="35" t="s">
        <v>1482</v>
      </c>
      <c r="D357" s="81">
        <v>1</v>
      </c>
      <c r="E357" s="85"/>
      <c r="F357" s="81">
        <v>0.94815391805577198</v>
      </c>
      <c r="G357" s="85"/>
      <c r="H357" s="81">
        <v>5.1838750767482566E-2</v>
      </c>
      <c r="I357" s="81">
        <v>7.3311767455073634E-6</v>
      </c>
      <c r="J357" s="81"/>
      <c r="K357" s="81"/>
      <c r="L357" s="81">
        <v>7.3311767455073634E-6</v>
      </c>
      <c r="M357" s="81"/>
      <c r="N357" s="81">
        <v>0</v>
      </c>
      <c r="O357" s="81">
        <v>0</v>
      </c>
      <c r="P357" s="81">
        <v>0</v>
      </c>
      <c r="Q357" s="81">
        <v>0</v>
      </c>
    </row>
    <row r="358" spans="1:17" x14ac:dyDescent="0.2">
      <c r="A358" s="35">
        <v>18</v>
      </c>
      <c r="B358" s="35" t="s">
        <v>1483</v>
      </c>
      <c r="C358" s="35" t="s">
        <v>1484</v>
      </c>
      <c r="D358" s="81">
        <v>0</v>
      </c>
      <c r="E358" s="85"/>
      <c r="F358" s="81">
        <v>0</v>
      </c>
      <c r="G358" s="85"/>
      <c r="H358" s="81">
        <v>0</v>
      </c>
      <c r="I358" s="81">
        <v>0</v>
      </c>
      <c r="J358" s="81"/>
      <c r="K358" s="81"/>
      <c r="L358" s="81">
        <v>0</v>
      </c>
      <c r="M358" s="81"/>
      <c r="N358" s="81">
        <v>0</v>
      </c>
      <c r="O358" s="81">
        <v>0</v>
      </c>
      <c r="P358" s="81">
        <v>0</v>
      </c>
      <c r="Q358" s="81">
        <v>0</v>
      </c>
    </row>
    <row r="359" spans="1:17" x14ac:dyDescent="0.2">
      <c r="A359" s="35">
        <v>19</v>
      </c>
      <c r="B359" s="35" t="s">
        <v>1485</v>
      </c>
      <c r="C359" s="35" t="s">
        <v>1486</v>
      </c>
      <c r="D359" s="81">
        <v>1</v>
      </c>
      <c r="E359" s="85"/>
      <c r="F359" s="81">
        <v>0.94709136179810138</v>
      </c>
      <c r="G359" s="85"/>
      <c r="H359" s="81">
        <v>5.2908638201898589E-2</v>
      </c>
      <c r="I359" s="81">
        <v>0</v>
      </c>
      <c r="J359" s="81"/>
      <c r="K359" s="81"/>
      <c r="L359" s="81">
        <v>0</v>
      </c>
      <c r="M359" s="81"/>
      <c r="N359" s="81">
        <v>0</v>
      </c>
      <c r="O359" s="81">
        <v>0</v>
      </c>
      <c r="P359" s="81">
        <v>0</v>
      </c>
      <c r="Q359" s="81">
        <v>0</v>
      </c>
    </row>
    <row r="360" spans="1:17" x14ac:dyDescent="0.2">
      <c r="A360" s="35">
        <v>20</v>
      </c>
      <c r="B360" s="35" t="s">
        <v>1834</v>
      </c>
      <c r="C360" s="35" t="s">
        <v>2020</v>
      </c>
      <c r="D360" s="81">
        <v>0.99999999999999989</v>
      </c>
      <c r="E360" s="85"/>
      <c r="F360" s="81">
        <v>0.96418077953997239</v>
      </c>
      <c r="G360" s="85"/>
      <c r="H360" s="81">
        <v>3.5809173913836249E-2</v>
      </c>
      <c r="I360" s="81">
        <v>1.004654619134844E-5</v>
      </c>
      <c r="J360" s="81"/>
      <c r="K360" s="81"/>
      <c r="L360" s="81">
        <v>0</v>
      </c>
      <c r="M360" s="81"/>
      <c r="N360" s="81">
        <v>1.004654619134844E-5</v>
      </c>
      <c r="O360" s="81">
        <v>1.004654619134844E-5</v>
      </c>
      <c r="P360" s="81">
        <v>0</v>
      </c>
      <c r="Q360" s="81">
        <v>0</v>
      </c>
    </row>
    <row r="361" spans="1:17" x14ac:dyDescent="0.2">
      <c r="A361" s="35">
        <v>21</v>
      </c>
      <c r="D361" s="81"/>
      <c r="E361" s="85"/>
      <c r="F361" s="81"/>
      <c r="G361" s="85"/>
      <c r="H361" s="81"/>
      <c r="I361" s="81"/>
      <c r="J361" s="81"/>
      <c r="K361" s="81"/>
      <c r="L361" s="81"/>
      <c r="M361" s="81"/>
      <c r="N361" s="81"/>
      <c r="O361" s="81"/>
      <c r="P361" s="81"/>
      <c r="Q361" s="81"/>
    </row>
    <row r="362" spans="1:17" x14ac:dyDescent="0.2">
      <c r="A362" s="35">
        <v>22</v>
      </c>
      <c r="D362" s="81"/>
      <c r="E362" s="85"/>
      <c r="F362" s="81"/>
      <c r="G362" s="85"/>
      <c r="H362" s="81"/>
      <c r="I362" s="81"/>
      <c r="J362" s="81"/>
      <c r="K362" s="81"/>
      <c r="L362" s="81"/>
      <c r="M362" s="81"/>
      <c r="N362" s="81"/>
      <c r="O362" s="81"/>
      <c r="P362" s="81"/>
      <c r="Q362" s="81"/>
    </row>
    <row r="363" spans="1:17" x14ac:dyDescent="0.2">
      <c r="A363" s="35">
        <v>23</v>
      </c>
      <c r="D363" s="81"/>
      <c r="E363" s="85"/>
      <c r="F363" s="81"/>
      <c r="G363" s="85"/>
      <c r="H363" s="81"/>
      <c r="I363" s="81"/>
      <c r="J363" s="81"/>
      <c r="K363" s="81"/>
      <c r="L363" s="81"/>
      <c r="M363" s="81"/>
      <c r="N363" s="81"/>
      <c r="O363" s="81"/>
      <c r="P363" s="81"/>
      <c r="Q363" s="81"/>
    </row>
    <row r="364" spans="1:17" x14ac:dyDescent="0.2">
      <c r="A364" s="35">
        <v>24</v>
      </c>
      <c r="D364" s="81"/>
      <c r="E364" s="85"/>
      <c r="F364" s="81"/>
      <c r="G364" s="85"/>
      <c r="H364" s="81"/>
      <c r="I364" s="81"/>
      <c r="J364" s="81"/>
      <c r="K364" s="81"/>
      <c r="L364" s="81"/>
      <c r="M364" s="81"/>
      <c r="N364" s="81"/>
      <c r="O364" s="81"/>
      <c r="P364" s="81"/>
      <c r="Q364" s="81"/>
    </row>
    <row r="365" spans="1:17" x14ac:dyDescent="0.2">
      <c r="A365" s="35">
        <v>25</v>
      </c>
      <c r="D365" s="81"/>
      <c r="E365" s="85"/>
      <c r="F365" s="81"/>
      <c r="G365" s="85"/>
      <c r="H365" s="81"/>
      <c r="I365" s="81"/>
      <c r="J365" s="81"/>
      <c r="K365" s="81"/>
      <c r="L365" s="81"/>
      <c r="M365" s="81"/>
      <c r="N365" s="81"/>
      <c r="O365" s="81"/>
      <c r="P365" s="81"/>
      <c r="Q365" s="81"/>
    </row>
    <row r="366" spans="1:17" x14ac:dyDescent="0.2">
      <c r="D366" s="81"/>
      <c r="E366" s="85"/>
      <c r="F366" s="81"/>
      <c r="G366" s="85"/>
      <c r="H366" s="81"/>
      <c r="I366" s="81"/>
      <c r="J366" s="81"/>
      <c r="K366" s="81"/>
      <c r="L366" s="81"/>
      <c r="M366" s="81"/>
      <c r="N366" s="81"/>
      <c r="O366" s="81"/>
      <c r="P366" s="81"/>
      <c r="Q366" s="81"/>
    </row>
    <row r="367" spans="1:17" x14ac:dyDescent="0.2">
      <c r="B367" s="35" t="s">
        <v>1487</v>
      </c>
      <c r="D367" s="81"/>
      <c r="E367" s="85"/>
      <c r="F367" s="81"/>
      <c r="G367" s="85"/>
      <c r="H367" s="81"/>
      <c r="I367" s="81"/>
      <c r="J367" s="81"/>
      <c r="K367" s="81"/>
      <c r="L367" s="81"/>
      <c r="M367" s="81"/>
      <c r="N367" s="81"/>
      <c r="O367" s="81"/>
      <c r="P367" s="81"/>
      <c r="Q367" s="81"/>
    </row>
    <row r="368" spans="1:17" x14ac:dyDescent="0.2">
      <c r="B368" s="35" t="s">
        <v>1330</v>
      </c>
      <c r="D368" s="81"/>
      <c r="E368" s="85"/>
      <c r="F368" s="81"/>
      <c r="G368" s="85"/>
      <c r="H368" s="81"/>
      <c r="I368" s="81"/>
      <c r="J368" s="81"/>
      <c r="K368" s="81"/>
      <c r="L368" s="81"/>
      <c r="M368" s="81"/>
      <c r="N368" s="81"/>
      <c r="O368" s="81"/>
      <c r="P368" s="81"/>
      <c r="Q368" s="81"/>
    </row>
    <row r="369" spans="1:17" x14ac:dyDescent="0.2">
      <c r="A369" s="35">
        <v>1</v>
      </c>
      <c r="B369" s="35" t="s">
        <v>1488</v>
      </c>
      <c r="C369" s="35" t="s">
        <v>1489</v>
      </c>
      <c r="D369" s="81">
        <v>0.99999999999999989</v>
      </c>
      <c r="E369" s="85"/>
      <c r="F369" s="81">
        <v>0.88836656691270399</v>
      </c>
      <c r="G369" s="85"/>
      <c r="H369" s="81">
        <v>4.9433756814545801E-2</v>
      </c>
      <c r="I369" s="81">
        <v>6.219967627275013E-2</v>
      </c>
      <c r="J369" s="81"/>
      <c r="K369" s="81"/>
      <c r="L369" s="81">
        <v>2.1642672445947826E-5</v>
      </c>
      <c r="M369" s="81"/>
      <c r="N369" s="81">
        <v>6.2178033600304182E-2</v>
      </c>
      <c r="O369" s="81">
        <v>1.9597563613360333E-2</v>
      </c>
      <c r="P369" s="81">
        <v>4.2580469986943849E-2</v>
      </c>
      <c r="Q369" s="81">
        <v>1.3288434585672727E-21</v>
      </c>
    </row>
    <row r="370" spans="1:17" x14ac:dyDescent="0.2">
      <c r="A370" s="35">
        <v>2</v>
      </c>
      <c r="B370" s="35" t="s">
        <v>1490</v>
      </c>
      <c r="C370" s="35" t="s">
        <v>1491</v>
      </c>
      <c r="D370" s="81">
        <v>1</v>
      </c>
      <c r="E370" s="85"/>
      <c r="F370" s="81">
        <v>1</v>
      </c>
      <c r="G370" s="85"/>
      <c r="H370" s="81">
        <v>0</v>
      </c>
      <c r="I370" s="81">
        <v>0</v>
      </c>
      <c r="J370" s="81"/>
      <c r="K370" s="81"/>
      <c r="L370" s="81">
        <v>0</v>
      </c>
      <c r="M370" s="81"/>
      <c r="N370" s="81">
        <v>0</v>
      </c>
      <c r="O370" s="81">
        <v>0</v>
      </c>
      <c r="P370" s="81">
        <v>0</v>
      </c>
      <c r="Q370" s="81">
        <v>0</v>
      </c>
    </row>
    <row r="371" spans="1:17" x14ac:dyDescent="0.2">
      <c r="A371" s="35">
        <v>3</v>
      </c>
      <c r="B371" s="35" t="s">
        <v>1492</v>
      </c>
      <c r="C371" s="35" t="s">
        <v>1493</v>
      </c>
      <c r="D371" s="81">
        <v>1</v>
      </c>
      <c r="E371" s="85"/>
      <c r="F371" s="81">
        <v>0.90371060862444874</v>
      </c>
      <c r="G371" s="85"/>
      <c r="H371" s="81">
        <v>4.6925186981622798E-2</v>
      </c>
      <c r="I371" s="81">
        <v>4.936420439392844E-2</v>
      </c>
      <c r="J371" s="81"/>
      <c r="K371" s="81"/>
      <c r="L371" s="81">
        <v>2.2521246888765271E-5</v>
      </c>
      <c r="M371" s="81"/>
      <c r="N371" s="81">
        <v>4.9341683147039676E-2</v>
      </c>
      <c r="O371" s="81">
        <v>1.5751865259369044E-2</v>
      </c>
      <c r="P371" s="81">
        <v>3.3589817887670632E-2</v>
      </c>
      <c r="Q371" s="81">
        <v>5.0602602096606458E-20</v>
      </c>
    </row>
    <row r="372" spans="1:17" x14ac:dyDescent="0.2">
      <c r="A372" s="35">
        <v>4</v>
      </c>
      <c r="B372" s="35" t="s">
        <v>1492</v>
      </c>
      <c r="C372" s="35" t="s">
        <v>1497</v>
      </c>
      <c r="D372" s="81">
        <v>1</v>
      </c>
      <c r="E372" s="85"/>
      <c r="F372" s="81">
        <v>0.90371060862444874</v>
      </c>
      <c r="G372" s="85"/>
      <c r="H372" s="81">
        <v>4.6925186981622791E-2</v>
      </c>
      <c r="I372" s="81">
        <v>4.936420439392844E-2</v>
      </c>
      <c r="J372" s="81"/>
      <c r="K372" s="81"/>
      <c r="L372" s="81">
        <v>2.2521246888765267E-5</v>
      </c>
      <c r="M372" s="81"/>
      <c r="N372" s="81">
        <v>4.9341683147039676E-2</v>
      </c>
      <c r="O372" s="81">
        <v>1.5751865259369044E-2</v>
      </c>
      <c r="P372" s="81">
        <v>3.3589817887670632E-2</v>
      </c>
      <c r="Q372" s="81">
        <v>0</v>
      </c>
    </row>
    <row r="373" spans="1:17" x14ac:dyDescent="0.2">
      <c r="A373" s="35">
        <v>5</v>
      </c>
      <c r="B373" s="35" t="s">
        <v>1494</v>
      </c>
      <c r="C373" s="35" t="s">
        <v>1495</v>
      </c>
      <c r="D373" s="81">
        <v>1</v>
      </c>
      <c r="E373" s="85"/>
      <c r="F373" s="81">
        <v>0.87577725766318848</v>
      </c>
      <c r="G373" s="85"/>
      <c r="H373" s="81">
        <v>4.0472791995134316E-2</v>
      </c>
      <c r="I373" s="81">
        <v>8.3749950341677232E-2</v>
      </c>
      <c r="J373" s="81"/>
      <c r="K373" s="81"/>
      <c r="L373" s="81">
        <v>3.0774171853047175E-6</v>
      </c>
      <c r="M373" s="81"/>
      <c r="N373" s="81">
        <v>8.3746872924491927E-2</v>
      </c>
      <c r="O373" s="81">
        <v>2.5991585781884978E-2</v>
      </c>
      <c r="P373" s="81">
        <v>5.7755287142606949E-2</v>
      </c>
      <c r="Q373" s="81">
        <v>0</v>
      </c>
    </row>
    <row r="374" spans="1:17" x14ac:dyDescent="0.2">
      <c r="A374" s="35">
        <v>6</v>
      </c>
      <c r="B374" s="35" t="s">
        <v>1498</v>
      </c>
      <c r="C374" s="35" t="s">
        <v>1499</v>
      </c>
      <c r="D374" s="81">
        <v>1</v>
      </c>
      <c r="E374" s="85"/>
      <c r="F374" s="81">
        <v>0.87577725766318848</v>
      </c>
      <c r="G374" s="85"/>
      <c r="H374" s="81">
        <v>4.0472791995134323E-2</v>
      </c>
      <c r="I374" s="81">
        <v>8.3749950341677232E-2</v>
      </c>
      <c r="J374" s="81"/>
      <c r="K374" s="81"/>
      <c r="L374" s="81">
        <v>3.0774171853047171E-6</v>
      </c>
      <c r="M374" s="81"/>
      <c r="N374" s="81">
        <v>8.3746872924491927E-2</v>
      </c>
      <c r="O374" s="81">
        <v>2.5991585781884971E-2</v>
      </c>
      <c r="P374" s="81">
        <v>5.7755287142606963E-2</v>
      </c>
      <c r="Q374" s="81">
        <v>0</v>
      </c>
    </row>
    <row r="375" spans="1:17" x14ac:dyDescent="0.2">
      <c r="A375" s="35">
        <v>7</v>
      </c>
      <c r="B375" s="35" t="s">
        <v>1500</v>
      </c>
      <c r="C375" s="35" t="s">
        <v>1501</v>
      </c>
      <c r="D375" s="81">
        <v>1</v>
      </c>
      <c r="E375" s="85"/>
      <c r="F375" s="81">
        <v>0.87577725766318848</v>
      </c>
      <c r="G375" s="85"/>
      <c r="H375" s="81">
        <v>4.0472791995134316E-2</v>
      </c>
      <c r="I375" s="81">
        <v>8.3749950341677218E-2</v>
      </c>
      <c r="J375" s="81"/>
      <c r="K375" s="81"/>
      <c r="L375" s="81">
        <v>3.0774171853047171E-6</v>
      </c>
      <c r="M375" s="81"/>
      <c r="N375" s="81">
        <v>8.3746872924491914E-2</v>
      </c>
      <c r="O375" s="81">
        <v>2.5991585781884978E-2</v>
      </c>
      <c r="P375" s="81">
        <v>5.7755287142606936E-2</v>
      </c>
      <c r="Q375" s="81">
        <v>0</v>
      </c>
    </row>
    <row r="376" spans="1:17" x14ac:dyDescent="0.2">
      <c r="A376" s="35">
        <v>8</v>
      </c>
      <c r="B376" s="35" t="s">
        <v>1502</v>
      </c>
      <c r="C376" s="35" t="s">
        <v>1503</v>
      </c>
      <c r="D376" s="81">
        <v>1</v>
      </c>
      <c r="E376" s="85"/>
      <c r="F376" s="81">
        <v>0.95106318110181076</v>
      </c>
      <c r="G376" s="85"/>
      <c r="H376" s="81">
        <v>4.5067444865248253E-2</v>
      </c>
      <c r="I376" s="81">
        <v>3.8693740329410154E-3</v>
      </c>
      <c r="J376" s="81"/>
      <c r="K376" s="81"/>
      <c r="L376" s="81">
        <v>3.3419664100924831E-6</v>
      </c>
      <c r="M376" s="81"/>
      <c r="N376" s="81">
        <v>3.8660320665309228E-3</v>
      </c>
      <c r="O376" s="81">
        <v>1.1998573867152682E-3</v>
      </c>
      <c r="P376" s="81">
        <v>2.6661746798156546E-3</v>
      </c>
      <c r="Q376" s="81">
        <v>0</v>
      </c>
    </row>
    <row r="377" spans="1:17" x14ac:dyDescent="0.2">
      <c r="A377" s="35">
        <v>9</v>
      </c>
      <c r="B377" s="35" t="s">
        <v>1504</v>
      </c>
      <c r="C377" s="35" t="s">
        <v>1505</v>
      </c>
      <c r="D377" s="81">
        <v>1</v>
      </c>
      <c r="E377" s="85"/>
      <c r="F377" s="81">
        <v>0</v>
      </c>
      <c r="G377" s="85"/>
      <c r="H377" s="81">
        <v>1</v>
      </c>
      <c r="I377" s="81">
        <v>0</v>
      </c>
      <c r="J377" s="81"/>
      <c r="K377" s="81"/>
      <c r="L377" s="81">
        <v>0</v>
      </c>
      <c r="M377" s="81"/>
      <c r="N377" s="81">
        <v>0</v>
      </c>
      <c r="O377" s="81">
        <v>0</v>
      </c>
      <c r="P377" s="81">
        <v>0</v>
      </c>
      <c r="Q377" s="81">
        <v>0</v>
      </c>
    </row>
    <row r="378" spans="1:17" x14ac:dyDescent="0.2">
      <c r="A378" s="35">
        <v>10</v>
      </c>
      <c r="B378" s="35" t="s">
        <v>1506</v>
      </c>
      <c r="C378" s="35" t="s">
        <v>1507</v>
      </c>
      <c r="D378" s="81">
        <v>1</v>
      </c>
      <c r="E378" s="85"/>
      <c r="F378" s="81">
        <v>0.1303997516937824</v>
      </c>
      <c r="G378" s="85"/>
      <c r="H378" s="81">
        <v>0.86959979009103416</v>
      </c>
      <c r="I378" s="81">
        <v>4.5821518349617388E-7</v>
      </c>
      <c r="J378" s="81"/>
      <c r="K378" s="81"/>
      <c r="L378" s="81">
        <v>4.5821518349617388E-7</v>
      </c>
      <c r="M378" s="81"/>
      <c r="N378" s="81">
        <v>0</v>
      </c>
      <c r="O378" s="81">
        <v>0</v>
      </c>
      <c r="P378" s="81">
        <v>0</v>
      </c>
      <c r="Q378" s="81">
        <v>0</v>
      </c>
    </row>
    <row r="379" spans="1:17" x14ac:dyDescent="0.2">
      <c r="A379" s="35">
        <v>11</v>
      </c>
      <c r="B379" s="35" t="s">
        <v>1508</v>
      </c>
      <c r="C379" s="35" t="s">
        <v>1509</v>
      </c>
      <c r="D379" s="81">
        <v>0.99999999999999989</v>
      </c>
      <c r="E379" s="85"/>
      <c r="F379" s="81">
        <v>0.94436035408340235</v>
      </c>
      <c r="G379" s="85"/>
      <c r="H379" s="81">
        <v>5.2864053097331831E-2</v>
      </c>
      <c r="I379" s="81">
        <v>2.7755928192657532E-3</v>
      </c>
      <c r="J379" s="81"/>
      <c r="K379" s="81"/>
      <c r="L379" s="81">
        <v>9.6191482596801037E-5</v>
      </c>
      <c r="M379" s="81"/>
      <c r="N379" s="81">
        <v>2.6794013366689524E-3</v>
      </c>
      <c r="O379" s="81">
        <v>2.3224879248849267E-3</v>
      </c>
      <c r="P379" s="81">
        <v>3.5691341178402581E-4</v>
      </c>
      <c r="Q379" s="81">
        <v>0</v>
      </c>
    </row>
    <row r="380" spans="1:17" x14ac:dyDescent="0.2">
      <c r="A380" s="35">
        <v>12</v>
      </c>
      <c r="B380" s="35" t="s">
        <v>1510</v>
      </c>
      <c r="C380" s="35" t="s">
        <v>1511</v>
      </c>
      <c r="D380" s="81">
        <v>0.99999999999999989</v>
      </c>
      <c r="E380" s="85"/>
      <c r="F380" s="81">
        <v>0.99717076150041817</v>
      </c>
      <c r="G380" s="85"/>
      <c r="H380" s="81">
        <v>0</v>
      </c>
      <c r="I380" s="81">
        <v>2.8292384995817527E-3</v>
      </c>
      <c r="J380" s="81"/>
      <c r="K380" s="81"/>
      <c r="L380" s="81">
        <v>0</v>
      </c>
      <c r="M380" s="81"/>
      <c r="N380" s="81">
        <v>2.8292384995817527E-3</v>
      </c>
      <c r="O380" s="81">
        <v>2.4523658184283492E-3</v>
      </c>
      <c r="P380" s="81">
        <v>3.7687268115340353E-4</v>
      </c>
      <c r="Q380" s="81">
        <v>0</v>
      </c>
    </row>
    <row r="381" spans="1:17" x14ac:dyDescent="0.2">
      <c r="A381" s="35">
        <v>13</v>
      </c>
      <c r="B381" s="35" t="s">
        <v>1512</v>
      </c>
      <c r="C381" s="35" t="s">
        <v>1513</v>
      </c>
      <c r="D381" s="81">
        <v>1</v>
      </c>
      <c r="E381" s="85"/>
      <c r="F381" s="81">
        <v>0.90871558561033627</v>
      </c>
      <c r="G381" s="85"/>
      <c r="H381" s="81">
        <v>4.4486086707476467E-2</v>
      </c>
      <c r="I381" s="81">
        <v>4.6798327682187259E-2</v>
      </c>
      <c r="J381" s="81"/>
      <c r="K381" s="81"/>
      <c r="L381" s="81">
        <v>2.1350626524865236E-5</v>
      </c>
      <c r="M381" s="81"/>
      <c r="N381" s="81">
        <v>4.6776977055662396E-2</v>
      </c>
      <c r="O381" s="81">
        <v>1.4933107118085778E-2</v>
      </c>
      <c r="P381" s="81">
        <v>3.1843869937576617E-2</v>
      </c>
      <c r="Q381" s="81">
        <v>6.0211250737576903E-20</v>
      </c>
    </row>
    <row r="382" spans="1:17" x14ac:dyDescent="0.2">
      <c r="A382" s="35">
        <v>14</v>
      </c>
      <c r="B382" s="35" t="s">
        <v>1514</v>
      </c>
      <c r="C382" s="35" t="s">
        <v>2021</v>
      </c>
      <c r="D382" s="81">
        <v>1</v>
      </c>
      <c r="E382" s="85"/>
      <c r="F382" s="81">
        <v>1</v>
      </c>
      <c r="G382" s="85"/>
      <c r="H382" s="81">
        <v>0</v>
      </c>
      <c r="I382" s="81">
        <v>0</v>
      </c>
      <c r="J382" s="81"/>
      <c r="K382" s="81"/>
      <c r="L382" s="81">
        <v>0</v>
      </c>
      <c r="M382" s="81"/>
      <c r="N382" s="81">
        <v>0</v>
      </c>
      <c r="O382" s="81">
        <v>0</v>
      </c>
      <c r="P382" s="81">
        <v>0</v>
      </c>
      <c r="Q382" s="81">
        <v>0</v>
      </c>
    </row>
    <row r="383" spans="1:17" x14ac:dyDescent="0.2">
      <c r="A383" s="35">
        <v>15</v>
      </c>
      <c r="B383" s="35" t="s">
        <v>507</v>
      </c>
      <c r="C383" s="35" t="s">
        <v>2022</v>
      </c>
      <c r="D383" s="81">
        <v>1</v>
      </c>
      <c r="E383" s="85"/>
      <c r="F383" s="81">
        <v>0.8883665669127041</v>
      </c>
      <c r="G383" s="85"/>
      <c r="H383" s="81">
        <v>4.9433756814545808E-2</v>
      </c>
      <c r="I383" s="81">
        <v>6.2199676272750137E-2</v>
      </c>
      <c r="J383" s="81"/>
      <c r="K383" s="81"/>
      <c r="L383" s="81">
        <v>2.1642672445947829E-5</v>
      </c>
      <c r="M383" s="81"/>
      <c r="N383" s="81">
        <v>6.2178033600304189E-2</v>
      </c>
      <c r="O383" s="81">
        <v>1.9597563613360333E-2</v>
      </c>
      <c r="P383" s="81">
        <v>4.2580469986943856E-2</v>
      </c>
      <c r="Q383" s="81">
        <v>1.3288434585672729E-21</v>
      </c>
    </row>
    <row r="384" spans="1:17" x14ac:dyDescent="0.2">
      <c r="A384" s="35">
        <v>16</v>
      </c>
      <c r="B384" s="35" t="s">
        <v>508</v>
      </c>
      <c r="C384" s="35" t="s">
        <v>509</v>
      </c>
      <c r="D384" s="81">
        <v>1</v>
      </c>
      <c r="E384" s="85"/>
      <c r="F384" s="81">
        <v>0.87577725766318848</v>
      </c>
      <c r="G384" s="85"/>
      <c r="H384" s="81">
        <v>4.0472791995134316E-2</v>
      </c>
      <c r="I384" s="81">
        <v>8.3749950341677204E-2</v>
      </c>
      <c r="J384" s="81"/>
      <c r="K384" s="81"/>
      <c r="L384" s="81">
        <v>3.0774171853047171E-6</v>
      </c>
      <c r="M384" s="81"/>
      <c r="N384" s="81">
        <v>8.37468729244919E-2</v>
      </c>
      <c r="O384" s="81">
        <v>2.5991585781884978E-2</v>
      </c>
      <c r="P384" s="81">
        <v>5.7755287142606929E-2</v>
      </c>
      <c r="Q384" s="81">
        <v>0</v>
      </c>
    </row>
    <row r="385" spans="1:17" x14ac:dyDescent="0.2">
      <c r="A385" s="35">
        <v>17</v>
      </c>
      <c r="B385" s="35" t="s">
        <v>949</v>
      </c>
      <c r="C385" s="35" t="s">
        <v>950</v>
      </c>
      <c r="D385" s="81">
        <v>1</v>
      </c>
      <c r="E385" s="85"/>
      <c r="F385" s="81">
        <v>0.87012107919337789</v>
      </c>
      <c r="G385" s="85"/>
      <c r="H385" s="81">
        <v>4.1081743259050216E-2</v>
      </c>
      <c r="I385" s="81">
        <v>8.8797177547571951E-2</v>
      </c>
      <c r="J385" s="81"/>
      <c r="K385" s="81"/>
      <c r="L385" s="81">
        <v>3.0575417881374158E-6</v>
      </c>
      <c r="M385" s="81"/>
      <c r="N385" s="81">
        <v>8.8794120005783808E-2</v>
      </c>
      <c r="O385" s="81">
        <v>2.7558043738996361E-2</v>
      </c>
      <c r="P385" s="81">
        <v>6.1236076266787447E-2</v>
      </c>
      <c r="Q385" s="81">
        <v>0</v>
      </c>
    </row>
    <row r="386" spans="1:17" x14ac:dyDescent="0.2">
      <c r="A386" s="35">
        <v>18</v>
      </c>
      <c r="B386" s="35" t="s">
        <v>951</v>
      </c>
      <c r="C386" s="35" t="s">
        <v>952</v>
      </c>
      <c r="D386" s="81">
        <v>0.99999999999999989</v>
      </c>
      <c r="E386" s="85"/>
      <c r="F386" s="81">
        <v>0.89828718521994877</v>
      </c>
      <c r="G386" s="85"/>
      <c r="H386" s="81">
        <v>9.8092246625315863E-2</v>
      </c>
      <c r="I386" s="81">
        <v>3.620568154735224E-3</v>
      </c>
      <c r="J386" s="81"/>
      <c r="K386" s="81"/>
      <c r="L386" s="81">
        <v>3.1565154232379298E-6</v>
      </c>
      <c r="M386" s="81"/>
      <c r="N386" s="81">
        <v>3.6174116393119862E-3</v>
      </c>
      <c r="O386" s="81">
        <v>1.122695829088917E-3</v>
      </c>
      <c r="P386" s="81">
        <v>2.494715810223069E-3</v>
      </c>
      <c r="Q386" s="81">
        <v>0</v>
      </c>
    </row>
    <row r="387" spans="1:17" x14ac:dyDescent="0.2">
      <c r="A387" s="35">
        <v>19</v>
      </c>
      <c r="B387" s="35" t="s">
        <v>2270</v>
      </c>
      <c r="C387" s="35" t="s">
        <v>2271</v>
      </c>
      <c r="D387" s="81">
        <v>1</v>
      </c>
      <c r="E387" s="85"/>
      <c r="F387" s="81">
        <v>0.90154845710207365</v>
      </c>
      <c r="G387" s="85"/>
      <c r="H387" s="81">
        <v>9.8448374922632351E-2</v>
      </c>
      <c r="I387" s="81">
        <v>3.1679752939392787E-6</v>
      </c>
      <c r="J387" s="81"/>
      <c r="K387" s="81"/>
      <c r="L387" s="81">
        <v>3.1679752939392787E-6</v>
      </c>
      <c r="M387" s="81"/>
      <c r="N387" s="81">
        <v>0</v>
      </c>
      <c r="O387" s="81">
        <v>0</v>
      </c>
      <c r="P387" s="81">
        <v>0</v>
      </c>
      <c r="Q387" s="81">
        <v>0</v>
      </c>
    </row>
    <row r="388" spans="1:17" x14ac:dyDescent="0.2">
      <c r="A388" s="35">
        <v>20</v>
      </c>
      <c r="B388" s="35" t="s">
        <v>953</v>
      </c>
      <c r="C388" s="35" t="s">
        <v>954</v>
      </c>
      <c r="D388" s="81">
        <v>1</v>
      </c>
      <c r="E388" s="85"/>
      <c r="F388" s="81">
        <v>0.88553931444006784</v>
      </c>
      <c r="G388" s="85"/>
      <c r="H388" s="81">
        <v>5.2670414539657283E-2</v>
      </c>
      <c r="I388" s="81">
        <v>6.1790271020274894E-2</v>
      </c>
      <c r="J388" s="81"/>
      <c r="K388" s="81"/>
      <c r="L388" s="81">
        <v>1.5538137028104208E-5</v>
      </c>
      <c r="M388" s="81"/>
      <c r="N388" s="81">
        <v>6.1774732883246787E-2</v>
      </c>
      <c r="O388" s="81">
        <v>1.9371820997301212E-2</v>
      </c>
      <c r="P388" s="81">
        <v>4.2402911885945575E-2</v>
      </c>
      <c r="Q388" s="81">
        <v>0</v>
      </c>
    </row>
    <row r="389" spans="1:17" x14ac:dyDescent="0.2">
      <c r="A389" s="35">
        <v>21</v>
      </c>
      <c r="B389" s="35" t="s">
        <v>955</v>
      </c>
      <c r="C389" s="35" t="s">
        <v>2023</v>
      </c>
      <c r="D389" s="81">
        <v>0.99999999999999989</v>
      </c>
      <c r="E389" s="85"/>
      <c r="F389" s="81">
        <v>0.89465443055790106</v>
      </c>
      <c r="G389" s="85"/>
      <c r="H389" s="81">
        <v>4.8402184616338467E-2</v>
      </c>
      <c r="I389" s="81">
        <v>5.6943384825760342E-2</v>
      </c>
      <c r="J389" s="81"/>
      <c r="K389" s="81"/>
      <c r="L389" s="81">
        <v>2.1999485977149155E-5</v>
      </c>
      <c r="M389" s="81"/>
      <c r="N389" s="81">
        <v>5.6921385339783193E-2</v>
      </c>
      <c r="O389" s="81">
        <v>1.8022590067808323E-2</v>
      </c>
      <c r="P389" s="81">
        <v>3.8898795271974866E-2</v>
      </c>
      <c r="Q389" s="81">
        <v>2.1479513107697062E-20</v>
      </c>
    </row>
    <row r="390" spans="1:17" x14ac:dyDescent="0.2">
      <c r="A390" s="35">
        <v>22</v>
      </c>
      <c r="B390" s="35" t="s">
        <v>956</v>
      </c>
      <c r="C390" s="35" t="s">
        <v>2024</v>
      </c>
      <c r="D390" s="81">
        <v>1</v>
      </c>
      <c r="E390" s="85"/>
      <c r="F390" s="81">
        <v>1</v>
      </c>
      <c r="G390" s="85"/>
      <c r="H390" s="81">
        <v>0</v>
      </c>
      <c r="I390" s="81">
        <v>0</v>
      </c>
      <c r="J390" s="81"/>
      <c r="K390" s="81"/>
      <c r="L390" s="81">
        <v>0</v>
      </c>
      <c r="M390" s="81"/>
      <c r="N390" s="81">
        <v>0</v>
      </c>
      <c r="O390" s="81">
        <v>0</v>
      </c>
      <c r="P390" s="81">
        <v>0</v>
      </c>
      <c r="Q390" s="81">
        <v>0</v>
      </c>
    </row>
    <row r="391" spans="1:17" x14ac:dyDescent="0.2">
      <c r="A391" s="35">
        <v>23</v>
      </c>
      <c r="B391" s="35" t="s">
        <v>957</v>
      </c>
      <c r="C391" s="35" t="s">
        <v>958</v>
      </c>
      <c r="D391" s="81">
        <v>0.99999999999999989</v>
      </c>
      <c r="E391" s="85"/>
      <c r="F391" s="81">
        <v>0</v>
      </c>
      <c r="G391" s="85"/>
      <c r="H391" s="81">
        <v>0</v>
      </c>
      <c r="I391" s="81">
        <v>0.99999999999999989</v>
      </c>
      <c r="J391" s="81"/>
      <c r="K391" s="81"/>
      <c r="L391" s="81">
        <v>0</v>
      </c>
      <c r="M391" s="81"/>
      <c r="N391" s="81">
        <v>0.99999999999999989</v>
      </c>
      <c r="O391" s="81">
        <v>0.31035888116466848</v>
      </c>
      <c r="P391" s="81">
        <v>0.68964111883533141</v>
      </c>
      <c r="Q391" s="81">
        <v>0</v>
      </c>
    </row>
    <row r="392" spans="1:17" x14ac:dyDescent="0.2">
      <c r="A392" s="35">
        <v>24</v>
      </c>
      <c r="B392" s="35" t="s">
        <v>959</v>
      </c>
      <c r="C392" s="35" t="s">
        <v>960</v>
      </c>
      <c r="D392" s="81">
        <v>0</v>
      </c>
      <c r="E392" s="85"/>
      <c r="F392" s="81">
        <v>0</v>
      </c>
      <c r="G392" s="85"/>
      <c r="H392" s="81">
        <v>0</v>
      </c>
      <c r="I392" s="81">
        <v>0</v>
      </c>
      <c r="J392" s="81"/>
      <c r="K392" s="81"/>
      <c r="L392" s="81">
        <v>0</v>
      </c>
      <c r="M392" s="81"/>
      <c r="N392" s="81">
        <v>0</v>
      </c>
      <c r="O392" s="81">
        <v>0</v>
      </c>
      <c r="P392" s="81">
        <v>0</v>
      </c>
      <c r="Q392" s="81">
        <v>0</v>
      </c>
    </row>
    <row r="393" spans="1:17" x14ac:dyDescent="0.2">
      <c r="A393" s="35">
        <v>25</v>
      </c>
      <c r="B393" s="35" t="s">
        <v>961</v>
      </c>
      <c r="C393" s="35" t="s">
        <v>1831</v>
      </c>
      <c r="D393" s="81">
        <v>1</v>
      </c>
      <c r="E393" s="85"/>
      <c r="F393" s="81">
        <v>0</v>
      </c>
      <c r="G393" s="85"/>
      <c r="H393" s="81">
        <v>0</v>
      </c>
      <c r="I393" s="81">
        <v>1</v>
      </c>
      <c r="J393" s="81"/>
      <c r="K393" s="81"/>
      <c r="L393" s="81">
        <v>0</v>
      </c>
      <c r="M393" s="81"/>
      <c r="N393" s="81">
        <v>1</v>
      </c>
      <c r="O393" s="81">
        <v>0.31035888116466837</v>
      </c>
      <c r="P393" s="81">
        <v>0.68964111883533163</v>
      </c>
      <c r="Q393" s="81">
        <v>0</v>
      </c>
    </row>
    <row r="394" spans="1:17" x14ac:dyDescent="0.2">
      <c r="A394" s="35">
        <v>26</v>
      </c>
      <c r="B394" s="35" t="s">
        <v>962</v>
      </c>
      <c r="C394" s="35" t="s">
        <v>1832</v>
      </c>
      <c r="D394" s="81">
        <v>1</v>
      </c>
      <c r="E394" s="85"/>
      <c r="F394" s="81">
        <v>0</v>
      </c>
      <c r="G394" s="85"/>
      <c r="H394" s="81">
        <v>0</v>
      </c>
      <c r="I394" s="81">
        <v>1</v>
      </c>
      <c r="J394" s="81"/>
      <c r="K394" s="81"/>
      <c r="L394" s="81">
        <v>0</v>
      </c>
      <c r="M394" s="81"/>
      <c r="N394" s="81">
        <v>1</v>
      </c>
      <c r="O394" s="81">
        <v>0.31035888116466842</v>
      </c>
      <c r="P394" s="81">
        <v>0.68964111883533152</v>
      </c>
      <c r="Q394" s="81">
        <v>0</v>
      </c>
    </row>
    <row r="395" spans="1:17" x14ac:dyDescent="0.2">
      <c r="A395" s="35">
        <v>27</v>
      </c>
      <c r="B395" s="35" t="s">
        <v>963</v>
      </c>
      <c r="C395" s="35" t="s">
        <v>964</v>
      </c>
      <c r="D395" s="81">
        <v>1</v>
      </c>
      <c r="E395" s="85"/>
      <c r="F395" s="81">
        <v>0.95106318110181076</v>
      </c>
      <c r="G395" s="85"/>
      <c r="H395" s="81">
        <v>4.5067444865248253E-2</v>
      </c>
      <c r="I395" s="81">
        <v>3.8693740329410154E-3</v>
      </c>
      <c r="J395" s="81"/>
      <c r="K395" s="81"/>
      <c r="L395" s="81">
        <v>3.3419664100924831E-6</v>
      </c>
      <c r="M395" s="81"/>
      <c r="N395" s="81">
        <v>3.8660320665309228E-3</v>
      </c>
      <c r="O395" s="81">
        <v>1.1998573867152682E-3</v>
      </c>
      <c r="P395" s="81">
        <v>2.6661746798156546E-3</v>
      </c>
      <c r="Q395" s="81">
        <v>0</v>
      </c>
    </row>
    <row r="396" spans="1:17" x14ac:dyDescent="0.2">
      <c r="A396" s="35">
        <v>28</v>
      </c>
      <c r="B396" s="35" t="s">
        <v>1518</v>
      </c>
      <c r="C396" s="35" t="s">
        <v>1411</v>
      </c>
      <c r="D396" s="81">
        <v>1</v>
      </c>
      <c r="E396" s="85"/>
      <c r="F396" s="81">
        <v>0.1303997516937824</v>
      </c>
      <c r="G396" s="85"/>
      <c r="H396" s="81">
        <v>0.86959979009103416</v>
      </c>
      <c r="I396" s="81">
        <v>4.5821518349617388E-7</v>
      </c>
      <c r="J396" s="81"/>
      <c r="K396" s="81"/>
      <c r="L396" s="81">
        <v>4.5821518349617388E-7</v>
      </c>
      <c r="M396" s="81"/>
      <c r="N396" s="81">
        <v>0</v>
      </c>
      <c r="O396" s="81">
        <v>0</v>
      </c>
      <c r="P396" s="81">
        <v>0</v>
      </c>
      <c r="Q396" s="81">
        <v>0</v>
      </c>
    </row>
    <row r="397" spans="1:17" x14ac:dyDescent="0.2">
      <c r="A397" s="35">
        <v>29</v>
      </c>
      <c r="B397" s="35" t="s">
        <v>1412</v>
      </c>
      <c r="C397" s="35" t="s">
        <v>2025</v>
      </c>
      <c r="D397" s="81">
        <v>0.99999999999999989</v>
      </c>
      <c r="E397" s="85"/>
      <c r="F397" s="81">
        <v>0.92715936261893517</v>
      </c>
      <c r="G397" s="85"/>
      <c r="H397" s="81">
        <v>7.2718403491475236E-2</v>
      </c>
      <c r="I397" s="81">
        <v>1.2223388958958038E-4</v>
      </c>
      <c r="J397" s="81"/>
      <c r="K397" s="81"/>
      <c r="L397" s="81">
        <v>1.2223388958958038E-4</v>
      </c>
      <c r="M397" s="81"/>
      <c r="N397" s="81">
        <v>0</v>
      </c>
      <c r="O397" s="81">
        <v>0</v>
      </c>
      <c r="P397" s="81">
        <v>0</v>
      </c>
      <c r="Q397" s="81">
        <v>0</v>
      </c>
    </row>
    <row r="398" spans="1:17" x14ac:dyDescent="0.2">
      <c r="A398" s="35">
        <v>30</v>
      </c>
      <c r="B398" s="35" t="s">
        <v>1413</v>
      </c>
      <c r="C398" s="35" t="s">
        <v>1414</v>
      </c>
      <c r="D398" s="81">
        <v>0.99999999999999989</v>
      </c>
      <c r="E398" s="85"/>
      <c r="F398" s="81">
        <v>0.88836722214228614</v>
      </c>
      <c r="G398" s="85"/>
      <c r="H398" s="81">
        <v>4.943346666437369E-2</v>
      </c>
      <c r="I398" s="81">
        <v>6.2199311193340052E-2</v>
      </c>
      <c r="J398" s="81"/>
      <c r="K398" s="81"/>
      <c r="L398" s="81">
        <v>2.1642545414835085E-5</v>
      </c>
      <c r="M398" s="81"/>
      <c r="N398" s="81">
        <v>6.2177668647925219E-2</v>
      </c>
      <c r="O398" s="81">
        <v>1.9597448585961616E-2</v>
      </c>
      <c r="P398" s="81">
        <v>4.2580220061963603E-2</v>
      </c>
      <c r="Q398" s="81">
        <v>1.3288356589545575E-21</v>
      </c>
    </row>
    <row r="399" spans="1:17" x14ac:dyDescent="0.2">
      <c r="A399" s="35">
        <v>31</v>
      </c>
      <c r="B399" s="35" t="s">
        <v>1415</v>
      </c>
      <c r="C399" s="35" t="s">
        <v>1416</v>
      </c>
      <c r="D399" s="81">
        <v>1</v>
      </c>
      <c r="E399" s="85"/>
      <c r="F399" s="81">
        <v>1</v>
      </c>
      <c r="G399" s="85"/>
      <c r="H399" s="81">
        <v>0</v>
      </c>
      <c r="I399" s="81">
        <v>0</v>
      </c>
      <c r="J399" s="81"/>
      <c r="K399" s="81"/>
      <c r="L399" s="81">
        <v>0</v>
      </c>
      <c r="M399" s="81"/>
      <c r="N399" s="81">
        <v>0</v>
      </c>
      <c r="O399" s="81">
        <v>0</v>
      </c>
      <c r="P399" s="81">
        <v>0</v>
      </c>
      <c r="Q399" s="81">
        <v>0</v>
      </c>
    </row>
    <row r="400" spans="1:17" x14ac:dyDescent="0.2">
      <c r="A400" s="35">
        <v>32</v>
      </c>
      <c r="B400" s="35" t="s">
        <v>1417</v>
      </c>
      <c r="C400" s="35" t="s">
        <v>1418</v>
      </c>
      <c r="D400" s="81">
        <v>1</v>
      </c>
      <c r="E400" s="85"/>
      <c r="F400" s="81">
        <v>0.93456606243533857</v>
      </c>
      <c r="G400" s="85"/>
      <c r="H400" s="81">
        <v>0</v>
      </c>
      <c r="I400" s="81">
        <v>6.5433937564661468E-2</v>
      </c>
      <c r="J400" s="81"/>
      <c r="K400" s="81"/>
      <c r="L400" s="81">
        <v>2.2768049006406093E-5</v>
      </c>
      <c r="M400" s="81"/>
      <c r="N400" s="81">
        <v>6.5411169515655065E-2</v>
      </c>
      <c r="O400" s="81">
        <v>2.0616598521717728E-2</v>
      </c>
      <c r="P400" s="81">
        <v>4.4794570993937334E-2</v>
      </c>
      <c r="Q400" s="81">
        <v>1.3979407146720702E-21</v>
      </c>
    </row>
    <row r="401" spans="1:17" x14ac:dyDescent="0.2">
      <c r="A401" s="35">
        <v>33</v>
      </c>
      <c r="B401" s="35" t="s">
        <v>1419</v>
      </c>
      <c r="C401" s="35" t="s">
        <v>1420</v>
      </c>
      <c r="D401" s="81">
        <v>1</v>
      </c>
      <c r="E401" s="85"/>
      <c r="F401" s="81">
        <v>0</v>
      </c>
      <c r="G401" s="85"/>
      <c r="H401" s="81">
        <v>1</v>
      </c>
      <c r="I401" s="81">
        <v>0</v>
      </c>
      <c r="J401" s="81"/>
      <c r="K401" s="81"/>
      <c r="L401" s="81">
        <v>0</v>
      </c>
      <c r="M401" s="81"/>
      <c r="N401" s="81">
        <v>0</v>
      </c>
      <c r="O401" s="81">
        <v>0</v>
      </c>
      <c r="P401" s="81">
        <v>0</v>
      </c>
      <c r="Q401" s="81">
        <v>0</v>
      </c>
    </row>
    <row r="402" spans="1:17" x14ac:dyDescent="0.2">
      <c r="A402" s="35">
        <v>34</v>
      </c>
      <c r="B402" s="35" t="s">
        <v>1421</v>
      </c>
      <c r="C402" s="35" t="s">
        <v>1422</v>
      </c>
      <c r="D402" s="81">
        <v>1</v>
      </c>
      <c r="E402" s="85"/>
      <c r="F402" s="81">
        <v>0.86934134052864609</v>
      </c>
      <c r="G402" s="85"/>
      <c r="H402" s="81">
        <v>4.1220156009841233E-2</v>
      </c>
      <c r="I402" s="81">
        <v>8.9438503461512692E-2</v>
      </c>
      <c r="J402" s="81"/>
      <c r="K402" s="81"/>
      <c r="L402" s="81">
        <v>3.0548018435386092E-6</v>
      </c>
      <c r="M402" s="81"/>
      <c r="N402" s="81">
        <v>8.9435448659669153E-2</v>
      </c>
      <c r="O402" s="81">
        <v>2.7757085782475061E-2</v>
      </c>
      <c r="P402" s="81">
        <v>6.1678362877194096E-2</v>
      </c>
      <c r="Q402" s="81">
        <v>0</v>
      </c>
    </row>
    <row r="403" spans="1:17" x14ac:dyDescent="0.2">
      <c r="A403" s="35">
        <v>35</v>
      </c>
      <c r="B403" s="35" t="s">
        <v>1423</v>
      </c>
      <c r="C403" s="35" t="s">
        <v>1424</v>
      </c>
      <c r="D403" s="81">
        <v>1</v>
      </c>
      <c r="E403" s="85"/>
      <c r="F403" s="81">
        <v>0.87359415384933325</v>
      </c>
      <c r="G403" s="85"/>
      <c r="H403" s="81">
        <v>4.037817662379057E-2</v>
      </c>
      <c r="I403" s="81">
        <v>8.6027669526876183E-2</v>
      </c>
      <c r="J403" s="81"/>
      <c r="K403" s="81"/>
      <c r="L403" s="81">
        <v>3.0697459182841638E-6</v>
      </c>
      <c r="M403" s="81"/>
      <c r="N403" s="81">
        <v>8.6024599780957903E-2</v>
      </c>
      <c r="O403" s="81">
        <v>2.6698498540656469E-2</v>
      </c>
      <c r="P403" s="81">
        <v>5.9326101240301438E-2</v>
      </c>
      <c r="Q403" s="81">
        <v>0</v>
      </c>
    </row>
    <row r="404" spans="1:17" x14ac:dyDescent="0.2">
      <c r="A404" s="35">
        <v>36</v>
      </c>
      <c r="B404" s="35" t="s">
        <v>1425</v>
      </c>
      <c r="C404" s="35" t="s">
        <v>1426</v>
      </c>
      <c r="D404" s="81">
        <v>0.99999999999999978</v>
      </c>
      <c r="E404" s="85"/>
      <c r="F404" s="81">
        <v>0.87402413290296932</v>
      </c>
      <c r="G404" s="85"/>
      <c r="H404" s="81">
        <v>4.0392406090260784E-2</v>
      </c>
      <c r="I404" s="81">
        <v>8.5583461006769765E-2</v>
      </c>
      <c r="J404" s="81"/>
      <c r="K404" s="81"/>
      <c r="L404" s="81">
        <v>3.0712568332084808E-6</v>
      </c>
      <c r="M404" s="81"/>
      <c r="N404" s="81">
        <v>8.558038974993655E-2</v>
      </c>
      <c r="O404" s="81">
        <v>2.656063401242657E-2</v>
      </c>
      <c r="P404" s="81">
        <v>5.9019755737509977E-2</v>
      </c>
      <c r="Q404" s="81">
        <v>0</v>
      </c>
    </row>
    <row r="405" spans="1:17" x14ac:dyDescent="0.2">
      <c r="A405" s="35">
        <v>37</v>
      </c>
      <c r="B405" s="35" t="s">
        <v>892</v>
      </c>
      <c r="C405" s="35" t="s">
        <v>2026</v>
      </c>
      <c r="D405" s="81">
        <v>1</v>
      </c>
      <c r="E405" s="85"/>
      <c r="F405" s="81">
        <v>0.94034906210241631</v>
      </c>
      <c r="G405" s="85"/>
      <c r="H405" s="81">
        <v>4.1193196832590886E-2</v>
      </c>
      <c r="I405" s="81">
        <v>1.8457741064992837E-2</v>
      </c>
      <c r="J405" s="81"/>
      <c r="K405" s="81"/>
      <c r="L405" s="81">
        <v>3.3417181147805058E-4</v>
      </c>
      <c r="M405" s="81"/>
      <c r="N405" s="81">
        <v>1.8123569253514788E-2</v>
      </c>
      <c r="O405" s="81">
        <v>1.8123569253514788E-2</v>
      </c>
      <c r="P405" s="81">
        <v>0</v>
      </c>
      <c r="Q405" s="81">
        <v>0</v>
      </c>
    </row>
    <row r="406" spans="1:17" x14ac:dyDescent="0.2">
      <c r="A406" s="35">
        <v>38</v>
      </c>
      <c r="B406" s="35" t="s">
        <v>893</v>
      </c>
      <c r="C406" s="35" t="s">
        <v>2027</v>
      </c>
      <c r="D406" s="81">
        <v>1</v>
      </c>
      <c r="E406" s="85"/>
      <c r="F406" s="81">
        <v>0.97319539494262552</v>
      </c>
      <c r="G406" s="85"/>
      <c r="H406" s="81">
        <v>2.6804605057374489E-2</v>
      </c>
      <c r="I406" s="81">
        <v>0</v>
      </c>
      <c r="J406" s="81"/>
      <c r="K406" s="81"/>
      <c r="L406" s="81">
        <v>0</v>
      </c>
      <c r="M406" s="81"/>
      <c r="N406" s="81">
        <v>0</v>
      </c>
      <c r="O406" s="81">
        <v>0</v>
      </c>
      <c r="P406" s="81">
        <v>0</v>
      </c>
      <c r="Q406" s="81">
        <v>0</v>
      </c>
    </row>
    <row r="407" spans="1:17" x14ac:dyDescent="0.2">
      <c r="A407" s="35">
        <v>39</v>
      </c>
      <c r="B407" s="35" t="s">
        <v>894</v>
      </c>
      <c r="C407" s="35" t="s">
        <v>2028</v>
      </c>
      <c r="D407" s="81">
        <v>0.99999999999999989</v>
      </c>
      <c r="E407" s="85"/>
      <c r="F407" s="81">
        <v>0.96714458081682897</v>
      </c>
      <c r="G407" s="85"/>
      <c r="H407" s="81">
        <v>3.2855419183170934E-2</v>
      </c>
      <c r="I407" s="81">
        <v>0</v>
      </c>
      <c r="J407" s="81"/>
      <c r="K407" s="81"/>
      <c r="L407" s="81">
        <v>0</v>
      </c>
      <c r="M407" s="81"/>
      <c r="N407" s="81">
        <v>0</v>
      </c>
      <c r="O407" s="81">
        <v>0</v>
      </c>
      <c r="P407" s="81">
        <v>0</v>
      </c>
      <c r="Q407" s="81">
        <v>0</v>
      </c>
    </row>
    <row r="408" spans="1:17" x14ac:dyDescent="0.2">
      <c r="A408" s="35">
        <v>40</v>
      </c>
      <c r="B408" s="35" t="s">
        <v>895</v>
      </c>
      <c r="C408" s="35" t="s">
        <v>2029</v>
      </c>
      <c r="D408" s="81">
        <v>1</v>
      </c>
      <c r="E408" s="85"/>
      <c r="F408" s="81">
        <v>0.95069729240828582</v>
      </c>
      <c r="G408" s="85"/>
      <c r="H408" s="81">
        <v>4.5114092554889962E-2</v>
      </c>
      <c r="I408" s="81">
        <v>4.1886150368243115E-3</v>
      </c>
      <c r="J408" s="81"/>
      <c r="K408" s="81"/>
      <c r="L408" s="81">
        <v>4.8105636973441062E-5</v>
      </c>
      <c r="M408" s="81"/>
      <c r="N408" s="81">
        <v>4.1405093998508708E-3</v>
      </c>
      <c r="O408" s="81">
        <v>7.2351887958249693E-4</v>
      </c>
      <c r="P408" s="81">
        <v>3.4169905202683739E-3</v>
      </c>
      <c r="Q408" s="81">
        <v>0</v>
      </c>
    </row>
    <row r="409" spans="1:17" x14ac:dyDescent="0.2">
      <c r="A409" s="35">
        <v>41</v>
      </c>
      <c r="B409" s="35" t="s">
        <v>896</v>
      </c>
      <c r="C409" s="35" t="s">
        <v>2030</v>
      </c>
      <c r="D409" s="81">
        <v>1</v>
      </c>
      <c r="E409" s="85"/>
      <c r="F409" s="81">
        <v>1</v>
      </c>
      <c r="G409" s="85"/>
      <c r="H409" s="81">
        <v>0</v>
      </c>
      <c r="I409" s="81">
        <v>0</v>
      </c>
      <c r="J409" s="81"/>
      <c r="K409" s="81"/>
      <c r="L409" s="81">
        <v>0</v>
      </c>
      <c r="M409" s="81"/>
      <c r="N409" s="81">
        <v>0</v>
      </c>
      <c r="O409" s="81">
        <v>0</v>
      </c>
      <c r="P409" s="81">
        <v>0</v>
      </c>
      <c r="Q409" s="81">
        <v>0</v>
      </c>
    </row>
    <row r="410" spans="1:17" x14ac:dyDescent="0.2">
      <c r="A410" s="35">
        <v>42</v>
      </c>
      <c r="B410" s="35" t="s">
        <v>897</v>
      </c>
      <c r="C410" s="35" t="s">
        <v>2031</v>
      </c>
      <c r="D410" s="81">
        <v>1</v>
      </c>
      <c r="E410" s="85"/>
      <c r="F410" s="81">
        <v>0.95884224008782881</v>
      </c>
      <c r="G410" s="85"/>
      <c r="H410" s="81">
        <v>3.9539000457504393E-2</v>
      </c>
      <c r="I410" s="81">
        <v>1.6187594546668014E-3</v>
      </c>
      <c r="J410" s="81"/>
      <c r="K410" s="81"/>
      <c r="L410" s="81">
        <v>9.6905001697686518E-6</v>
      </c>
      <c r="M410" s="81"/>
      <c r="N410" s="81">
        <v>1.6090689544970328E-3</v>
      </c>
      <c r="O410" s="81">
        <v>4.9938884043450186E-4</v>
      </c>
      <c r="P410" s="81">
        <v>1.1096801140625309E-3</v>
      </c>
      <c r="Q410" s="81">
        <v>0</v>
      </c>
    </row>
    <row r="411" spans="1:17" x14ac:dyDescent="0.2">
      <c r="A411" s="35">
        <v>43</v>
      </c>
      <c r="B411" s="35" t="s">
        <v>898</v>
      </c>
      <c r="C411" s="35" t="s">
        <v>2032</v>
      </c>
      <c r="D411" s="81">
        <v>0.99999999999999989</v>
      </c>
      <c r="E411" s="85"/>
      <c r="F411" s="81">
        <v>0.9487830986733472</v>
      </c>
      <c r="G411" s="85"/>
      <c r="H411" s="81">
        <v>5.0040851560344816E-2</v>
      </c>
      <c r="I411" s="81">
        <v>1.1760497663079561E-3</v>
      </c>
      <c r="J411" s="81"/>
      <c r="K411" s="81"/>
      <c r="L411" s="81">
        <v>7.9195270458448246E-6</v>
      </c>
      <c r="M411" s="81"/>
      <c r="N411" s="81">
        <v>1.1681302392621113E-3</v>
      </c>
      <c r="O411" s="81">
        <v>6.0584381900712894E-4</v>
      </c>
      <c r="P411" s="81">
        <v>5.6228642025498235E-4</v>
      </c>
      <c r="Q411" s="81">
        <v>0</v>
      </c>
    </row>
    <row r="412" spans="1:17" x14ac:dyDescent="0.2">
      <c r="A412" s="35">
        <v>44</v>
      </c>
      <c r="B412" s="35" t="s">
        <v>899</v>
      </c>
      <c r="C412" s="35" t="s">
        <v>2033</v>
      </c>
      <c r="D412" s="81">
        <v>1</v>
      </c>
      <c r="E412" s="85"/>
      <c r="F412" s="81">
        <v>0.9990090056498746</v>
      </c>
      <c r="G412" s="85"/>
      <c r="H412" s="81">
        <v>9.9085422083394683E-4</v>
      </c>
      <c r="I412" s="81">
        <v>1.4012929159014945E-7</v>
      </c>
      <c r="J412" s="81"/>
      <c r="K412" s="81"/>
      <c r="L412" s="81">
        <v>1.4012929159014945E-7</v>
      </c>
      <c r="M412" s="81"/>
      <c r="N412" s="81">
        <v>0</v>
      </c>
      <c r="O412" s="81">
        <v>0</v>
      </c>
      <c r="P412" s="81">
        <v>0</v>
      </c>
      <c r="Q412" s="81">
        <v>0</v>
      </c>
    </row>
    <row r="413" spans="1:17" x14ac:dyDescent="0.2">
      <c r="A413" s="35">
        <v>45</v>
      </c>
      <c r="B413" s="35" t="s">
        <v>900</v>
      </c>
      <c r="C413" s="35" t="s">
        <v>901</v>
      </c>
      <c r="D413" s="81">
        <v>1</v>
      </c>
      <c r="E413" s="85"/>
      <c r="F413" s="81">
        <v>0.92831178447573759</v>
      </c>
      <c r="G413" s="85"/>
      <c r="H413" s="81">
        <v>6.8618294230907234E-2</v>
      </c>
      <c r="I413" s="81">
        <v>3.0699212933551138E-3</v>
      </c>
      <c r="J413" s="81"/>
      <c r="K413" s="81"/>
      <c r="L413" s="81">
        <v>6.3784808963026203E-5</v>
      </c>
      <c r="M413" s="81"/>
      <c r="N413" s="81">
        <v>3.0061364843920876E-3</v>
      </c>
      <c r="O413" s="81">
        <v>1.9045668780132887E-3</v>
      </c>
      <c r="P413" s="81">
        <v>1.1015696063787989E-3</v>
      </c>
      <c r="Q413" s="81">
        <v>0</v>
      </c>
    </row>
    <row r="414" spans="1:17" x14ac:dyDescent="0.2">
      <c r="D414" s="81"/>
      <c r="E414" s="85"/>
      <c r="F414" s="81"/>
      <c r="G414" s="85"/>
      <c r="H414" s="81"/>
      <c r="I414" s="81"/>
      <c r="J414" s="81"/>
      <c r="K414" s="81"/>
      <c r="L414" s="81"/>
      <c r="M414" s="81"/>
      <c r="N414" s="81"/>
      <c r="O414" s="81"/>
      <c r="P414" s="81"/>
      <c r="Q414" s="81"/>
    </row>
    <row r="415" spans="1:17" x14ac:dyDescent="0.2">
      <c r="B415" s="35" t="s">
        <v>902</v>
      </c>
      <c r="D415" s="81"/>
      <c r="E415" s="85"/>
      <c r="F415" s="81"/>
      <c r="G415" s="85"/>
      <c r="H415" s="81"/>
      <c r="I415" s="81"/>
      <c r="J415" s="81"/>
      <c r="K415" s="81"/>
      <c r="L415" s="81"/>
      <c r="M415" s="81"/>
      <c r="N415" s="81"/>
      <c r="O415" s="81"/>
      <c r="P415" s="81"/>
      <c r="Q415" s="81"/>
    </row>
    <row r="416" spans="1:17" x14ac:dyDescent="0.2">
      <c r="B416" s="35" t="s">
        <v>1330</v>
      </c>
      <c r="D416" s="81"/>
      <c r="E416" s="85"/>
      <c r="F416" s="81"/>
      <c r="G416" s="85"/>
      <c r="H416" s="81"/>
      <c r="I416" s="81"/>
      <c r="J416" s="81"/>
      <c r="K416" s="81"/>
      <c r="L416" s="81"/>
      <c r="M416" s="81"/>
      <c r="N416" s="81"/>
      <c r="O416" s="81"/>
      <c r="P416" s="81"/>
      <c r="Q416" s="81"/>
    </row>
    <row r="417" spans="1:17" x14ac:dyDescent="0.2">
      <c r="A417" s="35">
        <v>1</v>
      </c>
      <c r="B417" s="35" t="s">
        <v>903</v>
      </c>
      <c r="C417" s="35" t="s">
        <v>2034</v>
      </c>
      <c r="D417" s="81">
        <v>1</v>
      </c>
      <c r="E417" s="85"/>
      <c r="F417" s="81">
        <v>0.94815391805577198</v>
      </c>
      <c r="G417" s="85"/>
      <c r="H417" s="81">
        <v>5.1838750767482566E-2</v>
      </c>
      <c r="I417" s="81">
        <v>7.3311767455073626E-6</v>
      </c>
      <c r="J417" s="81"/>
      <c r="K417" s="81"/>
      <c r="L417" s="81">
        <v>7.3311767455073626E-6</v>
      </c>
      <c r="M417" s="81"/>
      <c r="N417" s="81">
        <v>0</v>
      </c>
      <c r="O417" s="81">
        <v>0</v>
      </c>
      <c r="P417" s="81">
        <v>0</v>
      </c>
      <c r="Q417" s="81">
        <v>0</v>
      </c>
    </row>
    <row r="418" spans="1:17" x14ac:dyDescent="0.2">
      <c r="A418" s="35">
        <v>2</v>
      </c>
      <c r="B418" s="35" t="s">
        <v>904</v>
      </c>
      <c r="C418" s="35" t="s">
        <v>905</v>
      </c>
      <c r="D418" s="81">
        <v>1</v>
      </c>
      <c r="E418" s="85"/>
      <c r="F418" s="81">
        <v>0</v>
      </c>
      <c r="G418" s="85"/>
      <c r="H418" s="81">
        <v>0</v>
      </c>
      <c r="I418" s="81">
        <v>1</v>
      </c>
      <c r="J418" s="81"/>
      <c r="K418" s="81"/>
      <c r="L418" s="81">
        <v>0</v>
      </c>
      <c r="M418" s="81"/>
      <c r="N418" s="81">
        <v>1</v>
      </c>
      <c r="O418" s="81">
        <v>0.31107662746380199</v>
      </c>
      <c r="P418" s="81">
        <v>0.68892337253619795</v>
      </c>
      <c r="Q418" s="81">
        <v>0</v>
      </c>
    </row>
    <row r="419" spans="1:17" x14ac:dyDescent="0.2">
      <c r="A419" s="35">
        <v>3</v>
      </c>
      <c r="B419" s="35" t="s">
        <v>906</v>
      </c>
      <c r="C419" s="35" t="s">
        <v>907</v>
      </c>
      <c r="D419" s="81">
        <v>1</v>
      </c>
      <c r="E419" s="85"/>
      <c r="F419" s="81">
        <v>0</v>
      </c>
      <c r="G419" s="85"/>
      <c r="H419" s="81">
        <v>1</v>
      </c>
      <c r="I419" s="81">
        <v>0</v>
      </c>
      <c r="J419" s="81"/>
      <c r="K419" s="81"/>
      <c r="L419" s="81">
        <v>0</v>
      </c>
      <c r="M419" s="81"/>
      <c r="N419" s="81">
        <v>0</v>
      </c>
      <c r="O419" s="81">
        <v>0</v>
      </c>
      <c r="P419" s="81">
        <v>0</v>
      </c>
      <c r="Q419" s="81">
        <v>0</v>
      </c>
    </row>
    <row r="420" spans="1:17" x14ac:dyDescent="0.2">
      <c r="A420" s="35">
        <v>4</v>
      </c>
      <c r="B420" s="35" t="s">
        <v>908</v>
      </c>
      <c r="C420" s="35" t="s">
        <v>909</v>
      </c>
      <c r="D420" s="81">
        <v>1.0000000000000002</v>
      </c>
      <c r="E420" s="85"/>
      <c r="F420" s="81">
        <v>0.89459565674892372</v>
      </c>
      <c r="G420" s="85"/>
      <c r="H420" s="81">
        <v>4.1352584055500304E-2</v>
      </c>
      <c r="I420" s="81">
        <v>6.4051759195576055E-2</v>
      </c>
      <c r="J420" s="81"/>
      <c r="K420" s="81"/>
      <c r="L420" s="81">
        <v>3.4831224035664376E-8</v>
      </c>
      <c r="M420" s="81"/>
      <c r="N420" s="81">
        <v>6.4051724364352025E-2</v>
      </c>
      <c r="O420" s="81">
        <v>1.9924994398503669E-2</v>
      </c>
      <c r="P420" s="81">
        <v>4.4126729965848363E-2</v>
      </c>
      <c r="Q420" s="81">
        <v>0</v>
      </c>
    </row>
    <row r="421" spans="1:17" x14ac:dyDescent="0.2">
      <c r="A421" s="35">
        <v>5</v>
      </c>
      <c r="B421" s="35" t="s">
        <v>910</v>
      </c>
      <c r="C421" s="35" t="s">
        <v>911</v>
      </c>
      <c r="D421" s="81">
        <v>1</v>
      </c>
      <c r="E421" s="85"/>
      <c r="F421" s="81">
        <v>0</v>
      </c>
      <c r="G421" s="85"/>
      <c r="H421" s="81">
        <v>1</v>
      </c>
      <c r="I421" s="81">
        <v>0</v>
      </c>
      <c r="J421" s="81"/>
      <c r="K421" s="81"/>
      <c r="L421" s="81">
        <v>0</v>
      </c>
      <c r="M421" s="81"/>
      <c r="N421" s="81">
        <v>0</v>
      </c>
      <c r="O421" s="81">
        <v>0</v>
      </c>
      <c r="P421" s="81">
        <v>0</v>
      </c>
      <c r="Q421" s="81">
        <v>0</v>
      </c>
    </row>
    <row r="422" spans="1:17" x14ac:dyDescent="0.2">
      <c r="A422" s="35">
        <v>6</v>
      </c>
      <c r="B422" s="35" t="s">
        <v>912</v>
      </c>
      <c r="C422" s="35" t="s">
        <v>913</v>
      </c>
      <c r="D422" s="81">
        <v>1.0000000000000002</v>
      </c>
      <c r="E422" s="85"/>
      <c r="F422" s="81">
        <v>0.95581741003941734</v>
      </c>
      <c r="G422" s="85"/>
      <c r="H422" s="81">
        <v>4.4182552745680045E-2</v>
      </c>
      <c r="I422" s="81">
        <v>3.7214902727406386E-8</v>
      </c>
      <c r="J422" s="81"/>
      <c r="K422" s="81"/>
      <c r="L422" s="81">
        <v>3.7214902727406386E-8</v>
      </c>
      <c r="M422" s="81"/>
      <c r="N422" s="81">
        <v>0</v>
      </c>
      <c r="O422" s="81">
        <v>0</v>
      </c>
      <c r="P422" s="81">
        <v>0</v>
      </c>
      <c r="Q422" s="81">
        <v>0</v>
      </c>
    </row>
    <row r="423" spans="1:17" x14ac:dyDescent="0.2">
      <c r="A423" s="35">
        <v>7</v>
      </c>
      <c r="B423" s="35" t="s">
        <v>965</v>
      </c>
      <c r="C423" s="35" t="s">
        <v>966</v>
      </c>
      <c r="D423" s="81">
        <v>0.99999999999999989</v>
      </c>
      <c r="E423" s="85"/>
      <c r="F423" s="81">
        <v>0.99717076150041817</v>
      </c>
      <c r="G423" s="85"/>
      <c r="H423" s="81">
        <v>0</v>
      </c>
      <c r="I423" s="81">
        <v>2.8292384995817527E-3</v>
      </c>
      <c r="J423" s="81"/>
      <c r="K423" s="81"/>
      <c r="L423" s="81">
        <v>0</v>
      </c>
      <c r="M423" s="81"/>
      <c r="N423" s="81">
        <v>2.8292384995817527E-3</v>
      </c>
      <c r="O423" s="81">
        <v>2.4523658184283492E-3</v>
      </c>
      <c r="P423" s="81">
        <v>3.7687268115340353E-4</v>
      </c>
      <c r="Q423" s="81">
        <v>0</v>
      </c>
    </row>
    <row r="424" spans="1:17" x14ac:dyDescent="0.2">
      <c r="A424" s="35">
        <v>8</v>
      </c>
      <c r="B424" s="35" t="s">
        <v>27</v>
      </c>
      <c r="C424" s="35" t="s">
        <v>28</v>
      </c>
      <c r="D424" s="81">
        <v>1</v>
      </c>
      <c r="E424" s="85"/>
      <c r="F424" s="81">
        <v>0</v>
      </c>
      <c r="G424" s="85"/>
      <c r="H424" s="81">
        <v>1</v>
      </c>
      <c r="I424" s="81">
        <v>0</v>
      </c>
      <c r="J424" s="81"/>
      <c r="K424" s="81"/>
      <c r="L424" s="81">
        <v>0</v>
      </c>
      <c r="M424" s="81"/>
      <c r="N424" s="81">
        <v>0</v>
      </c>
      <c r="O424" s="81">
        <v>0</v>
      </c>
      <c r="P424" s="81">
        <v>0</v>
      </c>
      <c r="Q424" s="81">
        <v>0</v>
      </c>
    </row>
    <row r="425" spans="1:17" x14ac:dyDescent="0.2">
      <c r="A425" s="35">
        <v>9</v>
      </c>
      <c r="B425" s="35" t="s">
        <v>29</v>
      </c>
      <c r="C425" s="35" t="s">
        <v>30</v>
      </c>
      <c r="D425" s="81">
        <v>1</v>
      </c>
      <c r="E425" s="85"/>
      <c r="F425" s="81">
        <v>0</v>
      </c>
      <c r="G425" s="85"/>
      <c r="H425" s="81">
        <v>0</v>
      </c>
      <c r="I425" s="81">
        <v>1</v>
      </c>
      <c r="J425" s="81"/>
      <c r="K425" s="81"/>
      <c r="L425" s="81">
        <v>1</v>
      </c>
      <c r="M425" s="81"/>
      <c r="N425" s="81">
        <v>0</v>
      </c>
      <c r="O425" s="81">
        <v>0</v>
      </c>
      <c r="P425" s="81">
        <v>0</v>
      </c>
      <c r="Q425" s="81">
        <v>0</v>
      </c>
    </row>
    <row r="426" spans="1:17" x14ac:dyDescent="0.2">
      <c r="A426" s="35">
        <v>10</v>
      </c>
      <c r="B426" s="35" t="s">
        <v>31</v>
      </c>
      <c r="C426" s="35" t="s">
        <v>32</v>
      </c>
      <c r="D426" s="81">
        <v>1</v>
      </c>
      <c r="E426" s="85"/>
      <c r="F426" s="81">
        <v>0.8917362032131515</v>
      </c>
      <c r="G426" s="85"/>
      <c r="H426" s="81">
        <v>4.6437127542892837E-2</v>
      </c>
      <c r="I426" s="81">
        <v>6.1826669243955697E-2</v>
      </c>
      <c r="J426" s="81"/>
      <c r="K426" s="81"/>
      <c r="L426" s="81">
        <v>7.8955563580050912E-6</v>
      </c>
      <c r="M426" s="81"/>
      <c r="N426" s="81">
        <v>6.1818773687597695E-2</v>
      </c>
      <c r="O426" s="81">
        <v>1.9476160832833492E-2</v>
      </c>
      <c r="P426" s="81">
        <v>4.2342612854764199E-2</v>
      </c>
      <c r="Q426" s="81">
        <v>1.3593601944575875E-21</v>
      </c>
    </row>
    <row r="427" spans="1:17" x14ac:dyDescent="0.2">
      <c r="A427" s="35">
        <v>11</v>
      </c>
      <c r="B427" s="35" t="s">
        <v>33</v>
      </c>
      <c r="C427" s="35" t="s">
        <v>34</v>
      </c>
      <c r="D427" s="81">
        <v>0.99999999999999989</v>
      </c>
      <c r="E427" s="85"/>
      <c r="F427" s="81">
        <v>0.8939377537847033</v>
      </c>
      <c r="G427" s="85"/>
      <c r="H427" s="81">
        <v>4.3625116469451455E-2</v>
      </c>
      <c r="I427" s="81">
        <v>6.243712974584515E-2</v>
      </c>
      <c r="J427" s="81"/>
      <c r="K427" s="81"/>
      <c r="L427" s="81">
        <v>4.6021193027385961E-6</v>
      </c>
      <c r="M427" s="81"/>
      <c r="N427" s="81">
        <v>6.243252762654241E-2</v>
      </c>
      <c r="O427" s="81">
        <v>1.9658966275547592E-2</v>
      </c>
      <c r="P427" s="81">
        <v>4.2773561350994818E-2</v>
      </c>
      <c r="Q427" s="81">
        <v>1.0829605154530987E-21</v>
      </c>
    </row>
    <row r="428" spans="1:17" x14ac:dyDescent="0.2">
      <c r="A428" s="35">
        <v>12</v>
      </c>
      <c r="B428" s="35" t="s">
        <v>35</v>
      </c>
      <c r="C428" s="35" t="s">
        <v>542</v>
      </c>
      <c r="D428" s="81">
        <v>0</v>
      </c>
      <c r="E428" s="85"/>
      <c r="F428" s="81">
        <v>0</v>
      </c>
      <c r="G428" s="85"/>
      <c r="H428" s="81">
        <v>0</v>
      </c>
      <c r="I428" s="81">
        <v>0</v>
      </c>
      <c r="J428" s="81"/>
      <c r="K428" s="81"/>
      <c r="L428" s="81">
        <v>0</v>
      </c>
      <c r="M428" s="81"/>
      <c r="N428" s="81">
        <v>0</v>
      </c>
      <c r="O428" s="81">
        <v>0</v>
      </c>
      <c r="P428" s="81">
        <v>0</v>
      </c>
      <c r="Q428" s="81">
        <v>0</v>
      </c>
    </row>
    <row r="429" spans="1:17" x14ac:dyDescent="0.2">
      <c r="A429" s="35">
        <v>13</v>
      </c>
      <c r="B429" s="35" t="s">
        <v>1519</v>
      </c>
      <c r="C429" s="35" t="s">
        <v>2272</v>
      </c>
      <c r="D429" s="81">
        <v>1</v>
      </c>
      <c r="E429" s="85"/>
      <c r="F429" s="81">
        <v>0.90503693988910217</v>
      </c>
      <c r="G429" s="85"/>
      <c r="H429" s="81">
        <v>3.1597331756348483E-2</v>
      </c>
      <c r="I429" s="81">
        <v>6.3365728354549358E-2</v>
      </c>
      <c r="J429" s="81"/>
      <c r="K429" s="81"/>
      <c r="L429" s="81">
        <v>2.2072882819663626E-5</v>
      </c>
      <c r="M429" s="81"/>
      <c r="N429" s="81">
        <v>6.3343655471729696E-2</v>
      </c>
      <c r="O429" s="81">
        <v>1.9964922510385751E-2</v>
      </c>
      <c r="P429" s="81">
        <v>4.3378732961343945E-2</v>
      </c>
      <c r="Q429" s="81">
        <v>0</v>
      </c>
    </row>
    <row r="430" spans="1:17" x14ac:dyDescent="0.2">
      <c r="A430" s="35">
        <v>14</v>
      </c>
      <c r="B430" s="35" t="s">
        <v>37</v>
      </c>
      <c r="C430" s="35" t="s">
        <v>2035</v>
      </c>
      <c r="D430" s="81">
        <v>0.99999999999999978</v>
      </c>
      <c r="E430" s="85"/>
      <c r="F430" s="81">
        <v>0.87797320582442862</v>
      </c>
      <c r="G430" s="85"/>
      <c r="H430" s="81">
        <v>3.7133743879695286E-2</v>
      </c>
      <c r="I430" s="81">
        <v>8.4893050295875933E-2</v>
      </c>
      <c r="J430" s="81"/>
      <c r="K430" s="81"/>
      <c r="L430" s="81">
        <v>4.065729791117464E-6</v>
      </c>
      <c r="M430" s="81"/>
      <c r="N430" s="81">
        <v>8.4888984566084819E-2</v>
      </c>
      <c r="O430" s="81">
        <v>2.6752221486389303E-2</v>
      </c>
      <c r="P430" s="81">
        <v>5.8136763079695515E-2</v>
      </c>
      <c r="Q430" s="81">
        <v>0</v>
      </c>
    </row>
    <row r="431" spans="1:17" x14ac:dyDescent="0.2">
      <c r="A431" s="35">
        <v>15</v>
      </c>
      <c r="B431" s="35" t="s">
        <v>38</v>
      </c>
      <c r="C431" s="35" t="s">
        <v>2036</v>
      </c>
      <c r="D431" s="81">
        <v>1</v>
      </c>
      <c r="E431" s="85"/>
      <c r="F431" s="81">
        <v>0.87874520011296253</v>
      </c>
      <c r="G431" s="85"/>
      <c r="H431" s="81">
        <v>3.6879302924829847E-2</v>
      </c>
      <c r="I431" s="81">
        <v>8.4375496962207683E-2</v>
      </c>
      <c r="J431" s="81"/>
      <c r="K431" s="81"/>
      <c r="L431" s="81">
        <v>4.0573705146208928E-6</v>
      </c>
      <c r="M431" s="81"/>
      <c r="N431" s="81">
        <v>8.4371439591693062E-2</v>
      </c>
      <c r="O431" s="81">
        <v>2.6594842169618719E-2</v>
      </c>
      <c r="P431" s="81">
        <v>5.777659742207434E-2</v>
      </c>
      <c r="Q431" s="81">
        <v>0</v>
      </c>
    </row>
    <row r="432" spans="1:17" x14ac:dyDescent="0.2">
      <c r="A432" s="35">
        <v>16</v>
      </c>
      <c r="B432" s="35" t="s">
        <v>39</v>
      </c>
      <c r="C432" s="35" t="s">
        <v>2037</v>
      </c>
      <c r="D432" s="81">
        <v>1.0000000000000002</v>
      </c>
      <c r="E432" s="85"/>
      <c r="F432" s="81">
        <v>0.87359415384933337</v>
      </c>
      <c r="G432" s="85"/>
      <c r="H432" s="81">
        <v>4.037817662379057E-2</v>
      </c>
      <c r="I432" s="81">
        <v>8.6027669526876183E-2</v>
      </c>
      <c r="J432" s="81"/>
      <c r="K432" s="81"/>
      <c r="L432" s="81">
        <v>3.0697459182841638E-6</v>
      </c>
      <c r="M432" s="81"/>
      <c r="N432" s="81">
        <v>8.6024599780957903E-2</v>
      </c>
      <c r="O432" s="81">
        <v>2.6698498540656469E-2</v>
      </c>
      <c r="P432" s="81">
        <v>5.9326101240301438E-2</v>
      </c>
      <c r="Q432" s="81">
        <v>0</v>
      </c>
    </row>
    <row r="433" spans="1:17" x14ac:dyDescent="0.2">
      <c r="A433" s="35">
        <v>17</v>
      </c>
      <c r="B433" s="35" t="s">
        <v>40</v>
      </c>
      <c r="C433" s="35" t="s">
        <v>2038</v>
      </c>
      <c r="D433" s="81">
        <v>1</v>
      </c>
      <c r="E433" s="85"/>
      <c r="F433" s="81">
        <v>0.87463884019521787</v>
      </c>
      <c r="G433" s="85"/>
      <c r="H433" s="81">
        <v>3.9670148343709362E-2</v>
      </c>
      <c r="I433" s="81">
        <v>8.569101146107283E-2</v>
      </c>
      <c r="J433" s="81"/>
      <c r="K433" s="81"/>
      <c r="L433" s="81">
        <v>3.2811198248907823E-6</v>
      </c>
      <c r="M433" s="81"/>
      <c r="N433" s="81">
        <v>8.5687730341247936E-2</v>
      </c>
      <c r="O433" s="81">
        <v>2.6679835478835821E-2</v>
      </c>
      <c r="P433" s="81">
        <v>5.9007894862412112E-2</v>
      </c>
      <c r="Q433" s="81">
        <v>0</v>
      </c>
    </row>
    <row r="434" spans="1:17" x14ac:dyDescent="0.2">
      <c r="A434" s="35">
        <v>18</v>
      </c>
      <c r="B434" s="35" t="s">
        <v>41</v>
      </c>
      <c r="C434" s="35" t="s">
        <v>2039</v>
      </c>
      <c r="D434" s="81">
        <v>0.99999999999999978</v>
      </c>
      <c r="E434" s="85"/>
      <c r="F434" s="81">
        <v>0.87935734432995794</v>
      </c>
      <c r="G434" s="85"/>
      <c r="H434" s="81">
        <v>3.6473648627322955E-2</v>
      </c>
      <c r="I434" s="81">
        <v>8.416900704271893E-2</v>
      </c>
      <c r="J434" s="81"/>
      <c r="K434" s="81"/>
      <c r="L434" s="81">
        <v>4.235425944660719E-6</v>
      </c>
      <c r="M434" s="81"/>
      <c r="N434" s="81">
        <v>8.416477161677427E-2</v>
      </c>
      <c r="O434" s="81">
        <v>2.6594931146774112E-2</v>
      </c>
      <c r="P434" s="81">
        <v>5.7569840470000154E-2</v>
      </c>
      <c r="Q434" s="81">
        <v>0</v>
      </c>
    </row>
    <row r="435" spans="1:17" x14ac:dyDescent="0.2">
      <c r="A435" s="35">
        <v>19</v>
      </c>
      <c r="B435" s="35" t="s">
        <v>42</v>
      </c>
      <c r="C435" s="35" t="s">
        <v>2040</v>
      </c>
      <c r="D435" s="81">
        <v>1</v>
      </c>
      <c r="E435" s="85"/>
      <c r="F435" s="81">
        <v>0.87402413290296943</v>
      </c>
      <c r="G435" s="85"/>
      <c r="H435" s="81">
        <v>4.0392406090260784E-2</v>
      </c>
      <c r="I435" s="81">
        <v>8.5583461006769779E-2</v>
      </c>
      <c r="J435" s="81"/>
      <c r="K435" s="81"/>
      <c r="L435" s="81">
        <v>3.0712568332084812E-6</v>
      </c>
      <c r="M435" s="81"/>
      <c r="N435" s="81">
        <v>8.5580389749936564E-2</v>
      </c>
      <c r="O435" s="81">
        <v>2.6560634012426573E-2</v>
      </c>
      <c r="P435" s="81">
        <v>5.9019755737509984E-2</v>
      </c>
      <c r="Q435" s="81">
        <v>0</v>
      </c>
    </row>
    <row r="436" spans="1:17" x14ac:dyDescent="0.2">
      <c r="A436" s="35">
        <v>20</v>
      </c>
      <c r="B436" s="35" t="s">
        <v>1520</v>
      </c>
      <c r="C436" s="35" t="s">
        <v>44</v>
      </c>
      <c r="D436" s="81">
        <v>0</v>
      </c>
      <c r="E436" s="85"/>
      <c r="F436" s="81">
        <v>0</v>
      </c>
      <c r="G436" s="85"/>
      <c r="H436" s="81">
        <v>0</v>
      </c>
      <c r="I436" s="81">
        <v>0</v>
      </c>
      <c r="J436" s="81"/>
      <c r="K436" s="81"/>
      <c r="L436" s="81">
        <v>0</v>
      </c>
      <c r="M436" s="81"/>
      <c r="N436" s="81">
        <v>0</v>
      </c>
      <c r="O436" s="81">
        <v>0</v>
      </c>
      <c r="P436" s="81">
        <v>0</v>
      </c>
      <c r="Q436" s="81">
        <v>0</v>
      </c>
    </row>
    <row r="437" spans="1:17" x14ac:dyDescent="0.2">
      <c r="A437" s="35">
        <v>21</v>
      </c>
      <c r="B437" s="35" t="s">
        <v>1521</v>
      </c>
      <c r="C437" s="35" t="s">
        <v>46</v>
      </c>
      <c r="D437" s="81">
        <v>0</v>
      </c>
      <c r="E437" s="85"/>
      <c r="F437" s="81">
        <v>0</v>
      </c>
      <c r="G437" s="85"/>
      <c r="H437" s="81">
        <v>0</v>
      </c>
      <c r="I437" s="81">
        <v>0</v>
      </c>
      <c r="J437" s="81"/>
      <c r="K437" s="81"/>
      <c r="L437" s="81">
        <v>0</v>
      </c>
      <c r="M437" s="81"/>
      <c r="N437" s="81">
        <v>0</v>
      </c>
      <c r="O437" s="81">
        <v>0</v>
      </c>
      <c r="P437" s="81">
        <v>0</v>
      </c>
      <c r="Q437" s="81">
        <v>0</v>
      </c>
    </row>
    <row r="438" spans="1:17" x14ac:dyDescent="0.2">
      <c r="A438" s="35">
        <v>22</v>
      </c>
      <c r="B438" s="35" t="s">
        <v>1522</v>
      </c>
      <c r="C438" s="35" t="s">
        <v>48</v>
      </c>
      <c r="D438" s="81">
        <v>0</v>
      </c>
      <c r="E438" s="85"/>
      <c r="F438" s="81">
        <v>0</v>
      </c>
      <c r="G438" s="85"/>
      <c r="H438" s="81">
        <v>0</v>
      </c>
      <c r="I438" s="81">
        <v>0</v>
      </c>
      <c r="J438" s="81"/>
      <c r="K438" s="81"/>
      <c r="L438" s="81">
        <v>0</v>
      </c>
      <c r="M438" s="81"/>
      <c r="N438" s="81">
        <v>0</v>
      </c>
      <c r="O438" s="81">
        <v>0</v>
      </c>
      <c r="P438" s="81">
        <v>0</v>
      </c>
      <c r="Q438" s="81">
        <v>0</v>
      </c>
    </row>
    <row r="439" spans="1:17" x14ac:dyDescent="0.2">
      <c r="A439" s="35">
        <v>23</v>
      </c>
      <c r="B439" s="35" t="s">
        <v>1523</v>
      </c>
      <c r="C439" s="35" t="s">
        <v>50</v>
      </c>
      <c r="D439" s="81">
        <v>0</v>
      </c>
      <c r="E439" s="85"/>
      <c r="F439" s="81">
        <v>0</v>
      </c>
      <c r="G439" s="85"/>
      <c r="H439" s="81">
        <v>0</v>
      </c>
      <c r="I439" s="81">
        <v>0</v>
      </c>
      <c r="J439" s="81"/>
      <c r="K439" s="81"/>
      <c r="L439" s="81">
        <v>0</v>
      </c>
      <c r="M439" s="81"/>
      <c r="N439" s="81">
        <v>0</v>
      </c>
      <c r="O439" s="81">
        <v>0</v>
      </c>
      <c r="P439" s="81">
        <v>0</v>
      </c>
      <c r="Q439" s="81">
        <v>0</v>
      </c>
    </row>
    <row r="440" spans="1:17" x14ac:dyDescent="0.2">
      <c r="A440" s="35">
        <v>24</v>
      </c>
      <c r="B440" s="35" t="s">
        <v>1524</v>
      </c>
      <c r="C440" s="35" t="s">
        <v>52</v>
      </c>
      <c r="D440" s="81">
        <v>0</v>
      </c>
      <c r="E440" s="85"/>
      <c r="F440" s="81">
        <v>0</v>
      </c>
      <c r="G440" s="85"/>
      <c r="H440" s="81">
        <v>0</v>
      </c>
      <c r="I440" s="81">
        <v>0</v>
      </c>
      <c r="J440" s="81"/>
      <c r="K440" s="81"/>
      <c r="L440" s="81">
        <v>0</v>
      </c>
      <c r="M440" s="81"/>
      <c r="N440" s="81">
        <v>0</v>
      </c>
      <c r="O440" s="81">
        <v>0</v>
      </c>
      <c r="P440" s="81">
        <v>0</v>
      </c>
      <c r="Q440" s="81">
        <v>0</v>
      </c>
    </row>
    <row r="441" spans="1:17" x14ac:dyDescent="0.2">
      <c r="A441" s="35">
        <v>25</v>
      </c>
      <c r="B441" s="35" t="s">
        <v>1525</v>
      </c>
      <c r="C441" s="35" t="s">
        <v>534</v>
      </c>
      <c r="D441" s="81">
        <v>0</v>
      </c>
      <c r="E441" s="85"/>
      <c r="F441" s="81">
        <v>0</v>
      </c>
      <c r="G441" s="85"/>
      <c r="H441" s="81">
        <v>0</v>
      </c>
      <c r="I441" s="81">
        <v>0</v>
      </c>
      <c r="J441" s="81"/>
      <c r="K441" s="81"/>
      <c r="L441" s="81">
        <v>0</v>
      </c>
      <c r="M441" s="81"/>
      <c r="N441" s="81">
        <v>0</v>
      </c>
      <c r="O441" s="81">
        <v>0</v>
      </c>
      <c r="P441" s="81">
        <v>0</v>
      </c>
      <c r="Q441" s="81">
        <v>0</v>
      </c>
    </row>
    <row r="442" spans="1:17" x14ac:dyDescent="0.2">
      <c r="A442" s="35">
        <v>26</v>
      </c>
      <c r="B442" s="35" t="s">
        <v>535</v>
      </c>
      <c r="C442" s="35" t="s">
        <v>2041</v>
      </c>
      <c r="D442" s="81">
        <v>1</v>
      </c>
      <c r="E442" s="85"/>
      <c r="F442" s="81">
        <v>0.90154845710207365</v>
      </c>
      <c r="G442" s="85"/>
      <c r="H442" s="81">
        <v>9.8448374922632351E-2</v>
      </c>
      <c r="I442" s="81">
        <v>3.1679752939392783E-6</v>
      </c>
      <c r="J442" s="81"/>
      <c r="K442" s="81"/>
      <c r="L442" s="81">
        <v>3.1679752939392783E-6</v>
      </c>
      <c r="M442" s="81"/>
      <c r="N442" s="81">
        <v>0</v>
      </c>
      <c r="O442" s="81">
        <v>0</v>
      </c>
      <c r="P442" s="81">
        <v>0</v>
      </c>
      <c r="Q442" s="81">
        <v>0</v>
      </c>
    </row>
    <row r="443" spans="1:17" x14ac:dyDescent="0.2">
      <c r="A443" s="35">
        <v>27</v>
      </c>
      <c r="B443" s="35" t="s">
        <v>536</v>
      </c>
      <c r="C443" s="35" t="s">
        <v>2042</v>
      </c>
      <c r="D443" s="81">
        <v>0.99999999999999989</v>
      </c>
      <c r="E443" s="85"/>
      <c r="F443" s="81">
        <v>0.90207460895616254</v>
      </c>
      <c r="G443" s="85"/>
      <c r="H443" s="81">
        <v>9.7922239999066032E-2</v>
      </c>
      <c r="I443" s="81">
        <v>3.1510447713131149E-6</v>
      </c>
      <c r="J443" s="81"/>
      <c r="K443" s="81"/>
      <c r="L443" s="81">
        <v>3.1510447713131149E-6</v>
      </c>
      <c r="M443" s="81"/>
      <c r="N443" s="81">
        <v>0</v>
      </c>
      <c r="O443" s="81">
        <v>0</v>
      </c>
      <c r="P443" s="81">
        <v>0</v>
      </c>
      <c r="Q443" s="81">
        <v>0</v>
      </c>
    </row>
    <row r="444" spans="1:17" x14ac:dyDescent="0.2">
      <c r="A444" s="35">
        <v>28</v>
      </c>
      <c r="B444" s="35" t="s">
        <v>537</v>
      </c>
      <c r="C444" s="35" t="s">
        <v>538</v>
      </c>
      <c r="D444" s="81">
        <v>0.99999999999999989</v>
      </c>
      <c r="E444" s="85"/>
      <c r="F444" s="81">
        <v>0.90154845710207354</v>
      </c>
      <c r="G444" s="85"/>
      <c r="H444" s="81">
        <v>9.8448374922632351E-2</v>
      </c>
      <c r="I444" s="81">
        <v>3.1679752939392783E-6</v>
      </c>
      <c r="J444" s="81"/>
      <c r="K444" s="81"/>
      <c r="L444" s="81">
        <v>3.1679752939392783E-6</v>
      </c>
      <c r="M444" s="81"/>
      <c r="N444" s="81">
        <v>0</v>
      </c>
      <c r="O444" s="81">
        <v>0</v>
      </c>
      <c r="P444" s="81">
        <v>0</v>
      </c>
      <c r="Q444" s="81">
        <v>0</v>
      </c>
    </row>
    <row r="445" spans="1:17" x14ac:dyDescent="0.2">
      <c r="A445" s="35">
        <v>29</v>
      </c>
      <c r="B445" s="35" t="s">
        <v>539</v>
      </c>
      <c r="C445" s="35" t="s">
        <v>540</v>
      </c>
      <c r="D445" s="81">
        <v>0</v>
      </c>
      <c r="E445" s="85"/>
      <c r="F445" s="81">
        <v>0</v>
      </c>
      <c r="G445" s="85"/>
      <c r="H445" s="81">
        <v>0</v>
      </c>
      <c r="I445" s="81">
        <v>0</v>
      </c>
      <c r="J445" s="81"/>
      <c r="K445" s="81"/>
      <c r="L445" s="81">
        <v>0</v>
      </c>
      <c r="M445" s="81"/>
      <c r="N445" s="81">
        <v>0</v>
      </c>
      <c r="O445" s="81">
        <v>0</v>
      </c>
      <c r="P445" s="81">
        <v>0</v>
      </c>
      <c r="Q445" s="81">
        <v>0</v>
      </c>
    </row>
    <row r="446" spans="1:17" x14ac:dyDescent="0.2">
      <c r="A446" s="35">
        <v>30</v>
      </c>
      <c r="B446" s="35" t="s">
        <v>541</v>
      </c>
      <c r="C446" s="35" t="s">
        <v>2043</v>
      </c>
      <c r="D446" s="81">
        <v>1</v>
      </c>
      <c r="E446" s="85"/>
      <c r="F446" s="81">
        <v>0.94243651334018597</v>
      </c>
      <c r="G446" s="85"/>
      <c r="H446" s="81">
        <v>5.3497387470324946E-2</v>
      </c>
      <c r="I446" s="81">
        <v>4.0660991894890738E-3</v>
      </c>
      <c r="J446" s="81"/>
      <c r="K446" s="81"/>
      <c r="L446" s="81">
        <v>1.0302951287197124E-4</v>
      </c>
      <c r="M446" s="81"/>
      <c r="N446" s="81">
        <v>3.9630696766171022E-3</v>
      </c>
      <c r="O446" s="81">
        <v>2.4970992804058288E-3</v>
      </c>
      <c r="P446" s="81">
        <v>1.4659703962112732E-3</v>
      </c>
      <c r="Q446" s="81">
        <v>0</v>
      </c>
    </row>
    <row r="447" spans="1:17" x14ac:dyDescent="0.2">
      <c r="A447" s="35">
        <v>31</v>
      </c>
      <c r="B447" s="35" t="s">
        <v>554</v>
      </c>
      <c r="C447" s="35" t="s">
        <v>2044</v>
      </c>
      <c r="D447" s="81">
        <v>1</v>
      </c>
      <c r="E447" s="85"/>
      <c r="F447" s="81">
        <v>0.93562775689658662</v>
      </c>
      <c r="G447" s="85"/>
      <c r="H447" s="81">
        <v>6.3383237769455911E-2</v>
      </c>
      <c r="I447" s="81">
        <v>9.8900533395752726E-4</v>
      </c>
      <c r="J447" s="81"/>
      <c r="K447" s="81"/>
      <c r="L447" s="81">
        <v>1.0346490143086876E-4</v>
      </c>
      <c r="M447" s="81"/>
      <c r="N447" s="81">
        <v>8.8554043252665857E-4</v>
      </c>
      <c r="O447" s="81">
        <v>7.4246345488584271E-4</v>
      </c>
      <c r="P447" s="81">
        <v>1.4307697764081589E-4</v>
      </c>
      <c r="Q447" s="81">
        <v>0</v>
      </c>
    </row>
    <row r="448" spans="1:17" x14ac:dyDescent="0.2">
      <c r="A448" s="35">
        <v>32</v>
      </c>
      <c r="B448" s="35" t="s">
        <v>555</v>
      </c>
      <c r="C448" s="35" t="s">
        <v>556</v>
      </c>
      <c r="D448" s="81">
        <v>0.99999999999999989</v>
      </c>
      <c r="E448" s="85"/>
      <c r="F448" s="81">
        <v>0.94436035408340235</v>
      </c>
      <c r="G448" s="85"/>
      <c r="H448" s="81">
        <v>5.2864053097331831E-2</v>
      </c>
      <c r="I448" s="81">
        <v>2.7755928192657537E-3</v>
      </c>
      <c r="J448" s="81"/>
      <c r="K448" s="81"/>
      <c r="L448" s="81">
        <v>9.6191482596801037E-5</v>
      </c>
      <c r="M448" s="81"/>
      <c r="N448" s="81">
        <v>2.6794013366689528E-3</v>
      </c>
      <c r="O448" s="81">
        <v>2.3224879248849267E-3</v>
      </c>
      <c r="P448" s="81">
        <v>3.5691341178402587E-4</v>
      </c>
      <c r="Q448" s="81">
        <v>0</v>
      </c>
    </row>
    <row r="449" spans="1:17" x14ac:dyDescent="0.2">
      <c r="A449" s="35">
        <v>33</v>
      </c>
      <c r="B449" s="35" t="s">
        <v>557</v>
      </c>
      <c r="C449" s="35" t="s">
        <v>558</v>
      </c>
      <c r="D449" s="81">
        <v>0</v>
      </c>
      <c r="E449" s="85"/>
      <c r="F449" s="81">
        <v>0</v>
      </c>
      <c r="G449" s="85"/>
      <c r="H449" s="81">
        <v>0</v>
      </c>
      <c r="I449" s="81">
        <v>0</v>
      </c>
      <c r="J449" s="81"/>
      <c r="K449" s="81"/>
      <c r="L449" s="81">
        <v>0</v>
      </c>
      <c r="M449" s="81"/>
      <c r="N449" s="81">
        <v>0</v>
      </c>
      <c r="O449" s="81">
        <v>0</v>
      </c>
      <c r="P449" s="81">
        <v>0</v>
      </c>
      <c r="Q449" s="81">
        <v>0</v>
      </c>
    </row>
    <row r="450" spans="1:17" x14ac:dyDescent="0.2">
      <c r="A450" s="35">
        <v>34</v>
      </c>
      <c r="B450" s="35" t="s">
        <v>559</v>
      </c>
      <c r="C450" s="35" t="s">
        <v>2045</v>
      </c>
      <c r="D450" s="81">
        <v>0.99999999999999989</v>
      </c>
      <c r="E450" s="85"/>
      <c r="F450" s="81">
        <v>0.9487830986733472</v>
      </c>
      <c r="G450" s="85"/>
      <c r="H450" s="81">
        <v>5.0040851560344816E-2</v>
      </c>
      <c r="I450" s="81">
        <v>1.1760497663079561E-3</v>
      </c>
      <c r="J450" s="81"/>
      <c r="K450" s="81"/>
      <c r="L450" s="81">
        <v>7.9195270458448246E-6</v>
      </c>
      <c r="M450" s="81"/>
      <c r="N450" s="81">
        <v>1.1681302392621113E-3</v>
      </c>
      <c r="O450" s="81">
        <v>6.0584381900712894E-4</v>
      </c>
      <c r="P450" s="81">
        <v>5.6228642025498235E-4</v>
      </c>
      <c r="Q450" s="81">
        <v>0</v>
      </c>
    </row>
    <row r="451" spans="1:17" x14ac:dyDescent="0.2">
      <c r="A451" s="35">
        <v>35</v>
      </c>
      <c r="B451" s="35" t="s">
        <v>560</v>
      </c>
      <c r="C451" s="35" t="s">
        <v>561</v>
      </c>
      <c r="D451" s="81">
        <v>1.0000000000000002</v>
      </c>
      <c r="E451" s="85"/>
      <c r="F451" s="81">
        <v>0.94878309867334731</v>
      </c>
      <c r="G451" s="85"/>
      <c r="H451" s="81">
        <v>5.0040851560344823E-2</v>
      </c>
      <c r="I451" s="81">
        <v>1.1760497663079561E-3</v>
      </c>
      <c r="J451" s="81"/>
      <c r="K451" s="81"/>
      <c r="L451" s="81">
        <v>7.9195270458448246E-6</v>
      </c>
      <c r="M451" s="81"/>
      <c r="N451" s="81">
        <v>1.1681302392621113E-3</v>
      </c>
      <c r="O451" s="81">
        <v>6.0584381900712894E-4</v>
      </c>
      <c r="P451" s="81">
        <v>5.6228642025498246E-4</v>
      </c>
      <c r="Q451" s="81">
        <v>0</v>
      </c>
    </row>
    <row r="452" spans="1:17" x14ac:dyDescent="0.2">
      <c r="A452" s="35">
        <v>36</v>
      </c>
      <c r="B452" s="35" t="s">
        <v>1526</v>
      </c>
      <c r="C452" s="35" t="s">
        <v>2046</v>
      </c>
      <c r="D452" s="81">
        <v>0.99999999999999989</v>
      </c>
      <c r="E452" s="85"/>
      <c r="F452" s="81">
        <v>0.99724956170321866</v>
      </c>
      <c r="G452" s="85"/>
      <c r="H452" s="81">
        <v>2.7500493773388417E-3</v>
      </c>
      <c r="I452" s="81">
        <v>3.8891944241816466E-7</v>
      </c>
      <c r="J452" s="81"/>
      <c r="K452" s="81"/>
      <c r="L452" s="81">
        <v>3.8891944241816466E-7</v>
      </c>
      <c r="M452" s="81"/>
      <c r="N452" s="81">
        <v>0</v>
      </c>
      <c r="O452" s="81">
        <v>0</v>
      </c>
      <c r="P452" s="81">
        <v>0</v>
      </c>
      <c r="Q452" s="81">
        <v>0</v>
      </c>
    </row>
    <row r="453" spans="1:17" x14ac:dyDescent="0.2">
      <c r="A453" s="35">
        <v>37</v>
      </c>
      <c r="B453" s="35" t="s">
        <v>563</v>
      </c>
      <c r="C453" s="35" t="s">
        <v>564</v>
      </c>
      <c r="D453" s="81">
        <v>1.0000000000000002</v>
      </c>
      <c r="E453" s="85"/>
      <c r="F453" s="81">
        <v>0.94878309867334731</v>
      </c>
      <c r="G453" s="85"/>
      <c r="H453" s="81">
        <v>5.0040851560344823E-2</v>
      </c>
      <c r="I453" s="81">
        <v>1.1760497663079561E-3</v>
      </c>
      <c r="J453" s="81"/>
      <c r="K453" s="81"/>
      <c r="L453" s="81">
        <v>7.9195270458448246E-6</v>
      </c>
      <c r="M453" s="81"/>
      <c r="N453" s="81">
        <v>1.1681302392621113E-3</v>
      </c>
      <c r="O453" s="81">
        <v>6.0584381900712894E-4</v>
      </c>
      <c r="P453" s="81">
        <v>5.6228642025498246E-4</v>
      </c>
      <c r="Q453" s="81">
        <v>0</v>
      </c>
    </row>
    <row r="454" spans="1:17" x14ac:dyDescent="0.2">
      <c r="A454" s="35">
        <v>38</v>
      </c>
      <c r="B454" s="35" t="s">
        <v>565</v>
      </c>
      <c r="C454" s="35" t="s">
        <v>2047</v>
      </c>
      <c r="D454" s="81">
        <v>1</v>
      </c>
      <c r="E454" s="85"/>
      <c r="F454" s="81">
        <v>0.94815391805577198</v>
      </c>
      <c r="G454" s="85"/>
      <c r="H454" s="81">
        <v>5.1838750767482566E-2</v>
      </c>
      <c r="I454" s="81">
        <v>7.3311767455073626E-6</v>
      </c>
      <c r="J454" s="81"/>
      <c r="K454" s="81"/>
      <c r="L454" s="81">
        <v>7.3311767455073626E-6</v>
      </c>
      <c r="M454" s="81"/>
      <c r="N454" s="81">
        <v>0</v>
      </c>
      <c r="O454" s="81">
        <v>0</v>
      </c>
      <c r="P454" s="81">
        <v>0</v>
      </c>
      <c r="Q454" s="81">
        <v>0</v>
      </c>
    </row>
    <row r="455" spans="1:17" x14ac:dyDescent="0.2">
      <c r="A455" s="35">
        <v>39</v>
      </c>
      <c r="B455" s="35" t="s">
        <v>566</v>
      </c>
      <c r="C455" s="35" t="s">
        <v>567</v>
      </c>
      <c r="D455" s="81">
        <v>1</v>
      </c>
      <c r="E455" s="85"/>
      <c r="F455" s="81">
        <v>0.99724956170321877</v>
      </c>
      <c r="G455" s="85"/>
      <c r="H455" s="81">
        <v>2.7500493773388425E-3</v>
      </c>
      <c r="I455" s="81">
        <v>3.8891944241816477E-7</v>
      </c>
      <c r="J455" s="81"/>
      <c r="K455" s="81"/>
      <c r="L455" s="81">
        <v>3.8891944241816477E-7</v>
      </c>
      <c r="M455" s="81"/>
      <c r="N455" s="81">
        <v>0</v>
      </c>
      <c r="O455" s="81">
        <v>0</v>
      </c>
      <c r="P455" s="81">
        <v>0</v>
      </c>
      <c r="Q455" s="81">
        <v>0</v>
      </c>
    </row>
    <row r="456" spans="1:17" x14ac:dyDescent="0.2">
      <c r="A456" s="35">
        <v>40</v>
      </c>
      <c r="B456" s="35" t="s">
        <v>568</v>
      </c>
      <c r="C456" s="35" t="s">
        <v>569</v>
      </c>
      <c r="D456" s="81">
        <v>1.0000000000000002</v>
      </c>
      <c r="E456" s="85"/>
      <c r="F456" s="81">
        <v>0.89942297101660917</v>
      </c>
      <c r="G456" s="85"/>
      <c r="H456" s="81">
        <v>4.8698459501419072E-2</v>
      </c>
      <c r="I456" s="81">
        <v>5.1878569481971906E-2</v>
      </c>
      <c r="J456" s="81"/>
      <c r="K456" s="81"/>
      <c r="L456" s="81">
        <v>2.3066968531949969E-5</v>
      </c>
      <c r="M456" s="81"/>
      <c r="N456" s="81">
        <v>5.1855502513439955E-2</v>
      </c>
      <c r="O456" s="81">
        <v>1.6541005968566166E-2</v>
      </c>
      <c r="P456" s="81">
        <v>3.5314496544873786E-2</v>
      </c>
      <c r="Q456" s="81">
        <v>4.7057582693924845E-20</v>
      </c>
    </row>
    <row r="457" spans="1:17" x14ac:dyDescent="0.2">
      <c r="F457" s="36"/>
    </row>
    <row r="458" spans="1:17" x14ac:dyDescent="0.2">
      <c r="B458" s="35" t="s">
        <v>902</v>
      </c>
      <c r="F458" s="36"/>
    </row>
    <row r="459" spans="1:17" x14ac:dyDescent="0.2">
      <c r="B459" s="35" t="s">
        <v>1330</v>
      </c>
      <c r="F459" s="36"/>
    </row>
    <row r="460" spans="1:17" x14ac:dyDescent="0.2">
      <c r="A460" s="35">
        <v>1</v>
      </c>
      <c r="B460" s="35" t="s">
        <v>570</v>
      </c>
      <c r="C460" s="35" t="s">
        <v>571</v>
      </c>
      <c r="D460" s="81">
        <v>0.99999999999999989</v>
      </c>
      <c r="E460" s="85"/>
      <c r="F460" s="81">
        <v>0.90580724779822119</v>
      </c>
      <c r="G460" s="85"/>
      <c r="H460" s="81">
        <v>4.6106995628354214E-2</v>
      </c>
      <c r="I460" s="81">
        <v>4.8085756573424537E-2</v>
      </c>
      <c r="J460" s="81"/>
      <c r="K460" s="81"/>
      <c r="L460" s="81">
        <v>2.212856460757519E-5</v>
      </c>
      <c r="M460" s="81"/>
      <c r="N460" s="81">
        <v>4.8063628008816972E-2</v>
      </c>
      <c r="O460" s="81">
        <v>1.5343858255000445E-2</v>
      </c>
      <c r="P460" s="81">
        <v>3.2719769753816526E-2</v>
      </c>
      <c r="Q460" s="81">
        <v>4.9291886460411403E-20</v>
      </c>
    </row>
    <row r="461" spans="1:17" x14ac:dyDescent="0.2">
      <c r="A461" s="35">
        <v>2</v>
      </c>
      <c r="B461" s="35" t="s">
        <v>572</v>
      </c>
      <c r="C461" s="35" t="s">
        <v>573</v>
      </c>
      <c r="D461" s="81">
        <v>1</v>
      </c>
      <c r="E461" s="85"/>
      <c r="F461" s="81">
        <v>0.99896117155731501</v>
      </c>
      <c r="G461" s="85"/>
      <c r="H461" s="81">
        <v>1.0386815495227921E-3</v>
      </c>
      <c r="I461" s="81">
        <v>1.4689316214436318E-7</v>
      </c>
      <c r="J461" s="81"/>
      <c r="K461" s="81"/>
      <c r="L461" s="81">
        <v>1.4689316214436318E-7</v>
      </c>
      <c r="M461" s="81"/>
      <c r="N461" s="81">
        <v>0</v>
      </c>
      <c r="O461" s="81">
        <v>0</v>
      </c>
      <c r="P461" s="81">
        <v>0</v>
      </c>
      <c r="Q461" s="81">
        <v>0</v>
      </c>
    </row>
    <row r="462" spans="1:17" x14ac:dyDescent="0.2">
      <c r="A462" s="35">
        <v>3</v>
      </c>
      <c r="B462" s="35" t="s">
        <v>976</v>
      </c>
      <c r="C462" s="35" t="s">
        <v>977</v>
      </c>
      <c r="D462" s="81">
        <v>1</v>
      </c>
      <c r="E462" s="85"/>
      <c r="F462" s="81">
        <v>0.99706948846325327</v>
      </c>
      <c r="G462" s="85"/>
      <c r="H462" s="81">
        <v>0</v>
      </c>
      <c r="I462" s="81">
        <v>2.9305115367466734E-3</v>
      </c>
      <c r="J462" s="81"/>
      <c r="K462" s="81"/>
      <c r="L462" s="81">
        <v>1.0156037568985448E-4</v>
      </c>
      <c r="M462" s="81"/>
      <c r="N462" s="81">
        <v>2.828951161056819E-3</v>
      </c>
      <c r="O462" s="81">
        <v>2.4521167552345007E-3</v>
      </c>
      <c r="P462" s="81">
        <v>3.7683440582231834E-4</v>
      </c>
      <c r="Q462" s="81">
        <v>0</v>
      </c>
    </row>
    <row r="463" spans="1:17" x14ac:dyDescent="0.2">
      <c r="A463" s="35">
        <v>4</v>
      </c>
      <c r="B463" s="35" t="s">
        <v>978</v>
      </c>
      <c r="C463" s="35" t="s">
        <v>979</v>
      </c>
      <c r="D463" s="81">
        <v>1</v>
      </c>
      <c r="E463" s="85"/>
      <c r="F463" s="81">
        <v>1</v>
      </c>
      <c r="G463" s="85"/>
      <c r="H463" s="81">
        <v>0</v>
      </c>
      <c r="I463" s="81">
        <v>0</v>
      </c>
      <c r="J463" s="81"/>
      <c r="K463" s="81"/>
      <c r="L463" s="81">
        <v>0</v>
      </c>
      <c r="M463" s="81"/>
      <c r="N463" s="81">
        <v>0</v>
      </c>
      <c r="O463" s="81">
        <v>0</v>
      </c>
      <c r="P463" s="81">
        <v>0</v>
      </c>
      <c r="Q463" s="81">
        <v>0</v>
      </c>
    </row>
    <row r="464" spans="1:17" x14ac:dyDescent="0.2">
      <c r="A464" s="35">
        <v>5</v>
      </c>
      <c r="B464" s="35" t="s">
        <v>980</v>
      </c>
      <c r="C464" s="35" t="s">
        <v>981</v>
      </c>
      <c r="D464" s="81">
        <v>1</v>
      </c>
      <c r="E464" s="85"/>
      <c r="F464" s="81">
        <v>0</v>
      </c>
      <c r="G464" s="85"/>
      <c r="H464" s="81">
        <v>1</v>
      </c>
      <c r="I464" s="81">
        <v>0</v>
      </c>
      <c r="J464" s="81"/>
      <c r="K464" s="81"/>
      <c r="L464" s="81">
        <v>0</v>
      </c>
      <c r="M464" s="81"/>
      <c r="N464" s="81">
        <v>0</v>
      </c>
      <c r="O464" s="81">
        <v>0</v>
      </c>
      <c r="P464" s="81">
        <v>0</v>
      </c>
      <c r="Q464" s="81">
        <v>0</v>
      </c>
    </row>
    <row r="465" spans="1:17" x14ac:dyDescent="0.2">
      <c r="A465" s="35">
        <v>6</v>
      </c>
      <c r="B465" s="35" t="s">
        <v>982</v>
      </c>
      <c r="C465" s="35" t="s">
        <v>983</v>
      </c>
      <c r="D465" s="81">
        <v>0</v>
      </c>
      <c r="E465" s="85"/>
      <c r="F465" s="81">
        <v>0</v>
      </c>
      <c r="G465" s="85"/>
      <c r="H465" s="81">
        <v>0</v>
      </c>
      <c r="I465" s="81">
        <v>0</v>
      </c>
      <c r="J465" s="81"/>
      <c r="K465" s="81"/>
      <c r="L465" s="81">
        <v>0</v>
      </c>
      <c r="M465" s="81"/>
      <c r="N465" s="81">
        <v>0</v>
      </c>
      <c r="O465" s="81">
        <v>0</v>
      </c>
      <c r="P465" s="81">
        <v>0</v>
      </c>
      <c r="Q465" s="81">
        <v>0</v>
      </c>
    </row>
    <row r="466" spans="1:17" x14ac:dyDescent="0.2">
      <c r="A466" s="35">
        <v>7</v>
      </c>
      <c r="B466" s="35" t="s">
        <v>984</v>
      </c>
      <c r="C466" s="35" t="s">
        <v>59</v>
      </c>
      <c r="D466" s="81">
        <v>1</v>
      </c>
      <c r="E466" s="85"/>
      <c r="F466" s="81">
        <v>0</v>
      </c>
      <c r="G466" s="85"/>
      <c r="H466" s="81">
        <v>0</v>
      </c>
      <c r="I466" s="81">
        <v>1</v>
      </c>
      <c r="J466" s="81"/>
      <c r="K466" s="81"/>
      <c r="L466" s="81">
        <v>0</v>
      </c>
      <c r="M466" s="81"/>
      <c r="N466" s="81">
        <v>1</v>
      </c>
      <c r="O466" s="81">
        <v>0.3185115094701878</v>
      </c>
      <c r="P466" s="81">
        <v>0.6814884905298122</v>
      </c>
      <c r="Q466" s="81">
        <v>0</v>
      </c>
    </row>
    <row r="467" spans="1:17" x14ac:dyDescent="0.2">
      <c r="A467" s="35">
        <v>8</v>
      </c>
      <c r="B467" s="35" t="s">
        <v>2273</v>
      </c>
      <c r="C467" s="35" t="s">
        <v>2274</v>
      </c>
      <c r="D467" s="81">
        <v>1</v>
      </c>
      <c r="E467" s="85"/>
      <c r="F467" s="81">
        <v>0.93456671798688784</v>
      </c>
      <c r="G467" s="85"/>
      <c r="H467" s="81">
        <v>0</v>
      </c>
      <c r="I467" s="81">
        <v>6.5433282013112146E-2</v>
      </c>
      <c r="J467" s="81"/>
      <c r="K467" s="81"/>
      <c r="L467" s="81">
        <v>2.2941158477522764E-5</v>
      </c>
      <c r="M467" s="81"/>
      <c r="N467" s="81">
        <v>6.5410340854634624E-2</v>
      </c>
      <c r="O467" s="81">
        <v>2.0616454418467121E-2</v>
      </c>
      <c r="P467" s="81">
        <v>4.4793886436167503E-2</v>
      </c>
      <c r="Q467" s="81">
        <v>0</v>
      </c>
    </row>
    <row r="468" spans="1:17" x14ac:dyDescent="0.2">
      <c r="A468" s="35">
        <v>9</v>
      </c>
      <c r="B468" s="35" t="s">
        <v>2275</v>
      </c>
      <c r="C468" s="35" t="s">
        <v>2276</v>
      </c>
      <c r="D468" s="81">
        <v>1</v>
      </c>
      <c r="E468" s="85"/>
      <c r="F468" s="81">
        <v>0.9506155814384224</v>
      </c>
      <c r="G468" s="85"/>
      <c r="H468" s="81">
        <v>4.9360728402359083E-2</v>
      </c>
      <c r="I468" s="81">
        <v>2.369015921863403E-5</v>
      </c>
      <c r="J468" s="81"/>
      <c r="K468" s="81"/>
      <c r="L468" s="81">
        <v>2.369015921863403E-5</v>
      </c>
      <c r="M468" s="81"/>
      <c r="N468" s="81">
        <v>0</v>
      </c>
      <c r="O468" s="81">
        <v>0</v>
      </c>
      <c r="P468" s="81">
        <v>0</v>
      </c>
      <c r="Q468" s="81">
        <v>0</v>
      </c>
    </row>
    <row r="469" spans="1:17" x14ac:dyDescent="0.2">
      <c r="A469" s="35">
        <v>10</v>
      </c>
      <c r="B469" s="35" t="s">
        <v>2277</v>
      </c>
      <c r="C469" s="35" t="s">
        <v>2278</v>
      </c>
      <c r="D469" s="81">
        <v>1</v>
      </c>
      <c r="E469" s="85"/>
      <c r="F469" s="81">
        <v>0.95475429180960469</v>
      </c>
      <c r="G469" s="85"/>
      <c r="H469" s="81">
        <v>4.5242353253692344E-2</v>
      </c>
      <c r="I469" s="81">
        <v>3.354936702967336E-6</v>
      </c>
      <c r="J469" s="81"/>
      <c r="K469" s="81"/>
      <c r="L469" s="81">
        <v>3.354936702967336E-6</v>
      </c>
      <c r="M469" s="81"/>
      <c r="N469" s="81">
        <v>0</v>
      </c>
      <c r="O469" s="81">
        <v>0</v>
      </c>
      <c r="P469" s="81">
        <v>0</v>
      </c>
      <c r="Q469" s="81">
        <v>0</v>
      </c>
    </row>
    <row r="470" spans="1:17" x14ac:dyDescent="0.2">
      <c r="A470" s="35">
        <v>11</v>
      </c>
      <c r="F470" s="36"/>
    </row>
    <row r="471" spans="1:17" x14ac:dyDescent="0.2">
      <c r="A471" s="35">
        <v>12</v>
      </c>
      <c r="F471" s="36"/>
    </row>
    <row r="472" spans="1:17" x14ac:dyDescent="0.2">
      <c r="A472" s="35">
        <v>13</v>
      </c>
      <c r="F472" s="36"/>
    </row>
    <row r="473" spans="1:17" x14ac:dyDescent="0.2">
      <c r="A473" s="35">
        <v>14</v>
      </c>
      <c r="F473" s="36"/>
    </row>
    <row r="474" spans="1:17" x14ac:dyDescent="0.2">
      <c r="A474" s="35">
        <v>15</v>
      </c>
      <c r="F474" s="36"/>
    </row>
    <row r="475" spans="1:17" x14ac:dyDescent="0.2">
      <c r="A475" s="35">
        <v>16</v>
      </c>
      <c r="F475" s="36"/>
    </row>
    <row r="476" spans="1:17" x14ac:dyDescent="0.2">
      <c r="A476" s="35">
        <v>17</v>
      </c>
      <c r="F476" s="36"/>
    </row>
    <row r="477" spans="1:17" x14ac:dyDescent="0.2">
      <c r="A477" s="35">
        <v>18</v>
      </c>
      <c r="F477" s="36"/>
    </row>
    <row r="478" spans="1:17" x14ac:dyDescent="0.2">
      <c r="A478" s="35">
        <v>19</v>
      </c>
      <c r="F478" s="36"/>
    </row>
    <row r="479" spans="1:17" x14ac:dyDescent="0.2">
      <c r="A479" s="35">
        <v>20</v>
      </c>
      <c r="F479" s="36"/>
    </row>
    <row r="480" spans="1:17" x14ac:dyDescent="0.2">
      <c r="A480" s="35">
        <v>21</v>
      </c>
      <c r="F480" s="36"/>
    </row>
    <row r="481" spans="1:6" x14ac:dyDescent="0.2">
      <c r="A481" s="35">
        <v>22</v>
      </c>
      <c r="F481" s="36"/>
    </row>
    <row r="482" spans="1:6" x14ac:dyDescent="0.2">
      <c r="A482" s="35">
        <v>23</v>
      </c>
      <c r="F482" s="36"/>
    </row>
    <row r="483" spans="1:6" x14ac:dyDescent="0.2">
      <c r="A483" s="35">
        <v>24</v>
      </c>
      <c r="F483" s="36"/>
    </row>
    <row r="484" spans="1:6" x14ac:dyDescent="0.2">
      <c r="A484" s="35">
        <v>25</v>
      </c>
      <c r="F484" s="36"/>
    </row>
    <row r="485" spans="1:6" x14ac:dyDescent="0.2">
      <c r="A485" s="35">
        <v>26</v>
      </c>
      <c r="F485" s="36"/>
    </row>
    <row r="486" spans="1:6" x14ac:dyDescent="0.2">
      <c r="A486" s="35">
        <v>27</v>
      </c>
      <c r="F486" s="36"/>
    </row>
    <row r="487" spans="1:6" x14ac:dyDescent="0.2">
      <c r="A487" s="35">
        <v>28</v>
      </c>
      <c r="F487" s="36"/>
    </row>
    <row r="488" spans="1:6" x14ac:dyDescent="0.2">
      <c r="A488" s="35">
        <v>29</v>
      </c>
      <c r="F488" s="36"/>
    </row>
    <row r="489" spans="1:6" x14ac:dyDescent="0.2">
      <c r="A489" s="35">
        <v>30</v>
      </c>
      <c r="F489" s="36"/>
    </row>
    <row r="490" spans="1:6" x14ac:dyDescent="0.2">
      <c r="A490" s="35">
        <v>31</v>
      </c>
      <c r="F490" s="36"/>
    </row>
    <row r="491" spans="1:6" x14ac:dyDescent="0.2">
      <c r="A491" s="35">
        <v>32</v>
      </c>
      <c r="F491" s="36"/>
    </row>
    <row r="492" spans="1:6" x14ac:dyDescent="0.2">
      <c r="A492" s="35">
        <v>33</v>
      </c>
      <c r="F492" s="36"/>
    </row>
    <row r="493" spans="1:6" x14ac:dyDescent="0.2">
      <c r="A493" s="35">
        <v>34</v>
      </c>
      <c r="F493" s="36"/>
    </row>
    <row r="494" spans="1:6" x14ac:dyDescent="0.2">
      <c r="A494" s="35">
        <v>35</v>
      </c>
      <c r="F494" s="36"/>
    </row>
    <row r="495" spans="1:6" x14ac:dyDescent="0.2">
      <c r="A495" s="35">
        <v>36</v>
      </c>
      <c r="F495" s="36"/>
    </row>
    <row r="496" spans="1:6" x14ac:dyDescent="0.2">
      <c r="A496" s="35">
        <v>37</v>
      </c>
      <c r="F496" s="36"/>
    </row>
    <row r="497" spans="1:17" x14ac:dyDescent="0.2">
      <c r="A497" s="35">
        <v>38</v>
      </c>
      <c r="F497" s="36"/>
    </row>
    <row r="498" spans="1:17" x14ac:dyDescent="0.2">
      <c r="A498" s="35">
        <v>39</v>
      </c>
      <c r="F498" s="36"/>
    </row>
    <row r="499" spans="1:17" x14ac:dyDescent="0.2">
      <c r="A499" s="35">
        <v>40</v>
      </c>
      <c r="F499" s="36"/>
    </row>
    <row r="500" spans="1:17" x14ac:dyDescent="0.2">
      <c r="F500" s="36"/>
    </row>
    <row r="501" spans="1:17" x14ac:dyDescent="0.2">
      <c r="B501" s="35" t="s">
        <v>60</v>
      </c>
      <c r="F501" s="36"/>
    </row>
    <row r="502" spans="1:17" x14ac:dyDescent="0.2">
      <c r="B502" s="35" t="s">
        <v>1330</v>
      </c>
      <c r="F502" s="36"/>
    </row>
    <row r="503" spans="1:17" x14ac:dyDescent="0.2">
      <c r="A503" s="35">
        <v>1</v>
      </c>
      <c r="B503" s="35" t="s">
        <v>2048</v>
      </c>
      <c r="D503" s="81">
        <v>1</v>
      </c>
      <c r="E503" s="85"/>
      <c r="F503" s="81">
        <v>0.94183210869014711</v>
      </c>
      <c r="G503" s="85"/>
      <c r="H503" s="81">
        <v>5.8167891309852927E-2</v>
      </c>
      <c r="I503" s="81">
        <v>0</v>
      </c>
      <c r="J503" s="81"/>
      <c r="K503" s="81"/>
      <c r="L503" s="81">
        <v>0</v>
      </c>
      <c r="M503" s="81"/>
      <c r="N503" s="81">
        <v>0</v>
      </c>
      <c r="O503" s="81">
        <v>0</v>
      </c>
      <c r="P503" s="81">
        <v>0</v>
      </c>
      <c r="Q503" s="81">
        <v>0</v>
      </c>
    </row>
    <row r="504" spans="1:17" x14ac:dyDescent="0.2">
      <c r="A504" s="35">
        <v>2</v>
      </c>
      <c r="B504" s="35" t="s">
        <v>2279</v>
      </c>
      <c r="D504" s="81">
        <v>1</v>
      </c>
      <c r="E504" s="85"/>
      <c r="F504" s="81">
        <v>0.95814694105311338</v>
      </c>
      <c r="G504" s="85"/>
      <c r="H504" s="81">
        <v>4.1853058946886658E-2</v>
      </c>
      <c r="I504" s="81">
        <v>0</v>
      </c>
      <c r="J504" s="81"/>
      <c r="K504" s="81"/>
      <c r="L504" s="81">
        <v>0</v>
      </c>
      <c r="M504" s="81"/>
      <c r="N504" s="81">
        <v>0</v>
      </c>
      <c r="O504" s="81">
        <v>0</v>
      </c>
      <c r="P504" s="81">
        <v>0</v>
      </c>
      <c r="Q504" s="81">
        <v>0</v>
      </c>
    </row>
    <row r="505" spans="1:17" x14ac:dyDescent="0.2">
      <c r="A505" s="35">
        <v>3</v>
      </c>
      <c r="B505" s="35" t="s">
        <v>2049</v>
      </c>
      <c r="D505" s="81">
        <v>0</v>
      </c>
      <c r="E505" s="85"/>
      <c r="F505" s="81">
        <v>0</v>
      </c>
      <c r="G505" s="85"/>
      <c r="H505" s="81">
        <v>0</v>
      </c>
      <c r="I505" s="81">
        <v>0</v>
      </c>
      <c r="J505" s="81"/>
      <c r="K505" s="81"/>
      <c r="L505" s="81">
        <v>0</v>
      </c>
      <c r="M505" s="81"/>
      <c r="N505" s="81">
        <v>0</v>
      </c>
      <c r="O505" s="81">
        <v>0</v>
      </c>
      <c r="P505" s="81">
        <v>0</v>
      </c>
      <c r="Q505" s="81">
        <v>0</v>
      </c>
    </row>
    <row r="506" spans="1:17" x14ac:dyDescent="0.2">
      <c r="A506" s="35">
        <v>4</v>
      </c>
      <c r="B506" s="35" t="s">
        <v>2050</v>
      </c>
      <c r="D506" s="81">
        <v>1</v>
      </c>
      <c r="E506" s="85"/>
      <c r="F506" s="81">
        <v>0.97553750082712554</v>
      </c>
      <c r="G506" s="85"/>
      <c r="H506" s="81">
        <v>2.4462499172874453E-2</v>
      </c>
      <c r="I506" s="81">
        <v>0</v>
      </c>
      <c r="J506" s="81"/>
      <c r="K506" s="81"/>
      <c r="L506" s="81">
        <v>0</v>
      </c>
      <c r="M506" s="81"/>
      <c r="N506" s="81">
        <v>0</v>
      </c>
      <c r="O506" s="81">
        <v>0</v>
      </c>
      <c r="P506" s="81">
        <v>0</v>
      </c>
      <c r="Q506" s="81">
        <v>0</v>
      </c>
    </row>
    <row r="507" spans="1:17" x14ac:dyDescent="0.2">
      <c r="A507" s="35">
        <v>5</v>
      </c>
      <c r="B507" s="35" t="s">
        <v>2051</v>
      </c>
      <c r="D507" s="81">
        <v>0</v>
      </c>
      <c r="E507" s="85"/>
      <c r="F507" s="81">
        <v>0</v>
      </c>
      <c r="G507" s="85"/>
      <c r="H507" s="81">
        <v>0</v>
      </c>
      <c r="I507" s="81">
        <v>0</v>
      </c>
      <c r="J507" s="81"/>
      <c r="K507" s="81"/>
      <c r="L507" s="81">
        <v>0</v>
      </c>
      <c r="M507" s="81"/>
      <c r="N507" s="81">
        <v>0</v>
      </c>
      <c r="O507" s="81">
        <v>0</v>
      </c>
      <c r="P507" s="81">
        <v>0</v>
      </c>
      <c r="Q507" s="81">
        <v>0</v>
      </c>
    </row>
    <row r="508" spans="1:17" x14ac:dyDescent="0.2">
      <c r="A508" s="35">
        <v>6</v>
      </c>
      <c r="B508" s="35" t="s">
        <v>2052</v>
      </c>
      <c r="D508" s="81">
        <v>1</v>
      </c>
      <c r="E508" s="85"/>
      <c r="F508" s="81">
        <v>0.9673372168090355</v>
      </c>
      <c r="G508" s="85"/>
      <c r="H508" s="81">
        <v>3.266278319096453E-2</v>
      </c>
      <c r="I508" s="81">
        <v>0</v>
      </c>
      <c r="J508" s="81"/>
      <c r="K508" s="81"/>
      <c r="L508" s="81">
        <v>0</v>
      </c>
      <c r="M508" s="81"/>
      <c r="N508" s="81">
        <v>0</v>
      </c>
      <c r="O508" s="81">
        <v>0</v>
      </c>
      <c r="P508" s="81">
        <v>0</v>
      </c>
      <c r="Q508" s="81">
        <v>0</v>
      </c>
    </row>
    <row r="509" spans="1:17" x14ac:dyDescent="0.2">
      <c r="A509" s="35">
        <v>7</v>
      </c>
      <c r="B509" s="35" t="s">
        <v>2053</v>
      </c>
      <c r="D509" s="81">
        <v>1</v>
      </c>
      <c r="E509" s="85"/>
      <c r="F509" s="81">
        <v>0.95138315324975498</v>
      </c>
      <c r="G509" s="85"/>
      <c r="H509" s="81">
        <v>4.8616846750244996E-2</v>
      </c>
      <c r="I509" s="81">
        <v>0</v>
      </c>
      <c r="J509" s="81"/>
      <c r="K509" s="81"/>
      <c r="L509" s="81">
        <v>0</v>
      </c>
      <c r="M509" s="81"/>
      <c r="N509" s="81">
        <v>0</v>
      </c>
      <c r="O509" s="81">
        <v>0</v>
      </c>
      <c r="P509" s="81">
        <v>0</v>
      </c>
      <c r="Q509" s="81">
        <v>0</v>
      </c>
    </row>
    <row r="510" spans="1:17" x14ac:dyDescent="0.2">
      <c r="A510" s="35">
        <v>8</v>
      </c>
      <c r="B510" s="35" t="s">
        <v>2054</v>
      </c>
      <c r="D510" s="81">
        <v>0</v>
      </c>
      <c r="E510" s="85"/>
      <c r="F510" s="81">
        <v>0</v>
      </c>
      <c r="G510" s="85"/>
      <c r="H510" s="81">
        <v>0</v>
      </c>
      <c r="I510" s="81">
        <v>0</v>
      </c>
      <c r="J510" s="81"/>
      <c r="K510" s="81"/>
      <c r="L510" s="81">
        <v>0</v>
      </c>
      <c r="M510" s="81"/>
      <c r="N510" s="81">
        <v>0</v>
      </c>
      <c r="O510" s="81">
        <v>0</v>
      </c>
      <c r="P510" s="81">
        <v>0</v>
      </c>
      <c r="Q510" s="81">
        <v>0</v>
      </c>
    </row>
    <row r="511" spans="1:17" x14ac:dyDescent="0.2">
      <c r="A511" s="35">
        <v>9</v>
      </c>
      <c r="B511" s="35" t="s">
        <v>2055</v>
      </c>
      <c r="D511" s="81">
        <v>1</v>
      </c>
      <c r="E511" s="85"/>
      <c r="F511" s="81">
        <v>0</v>
      </c>
      <c r="G511" s="85"/>
      <c r="H511" s="81">
        <v>0</v>
      </c>
      <c r="I511" s="81">
        <v>1</v>
      </c>
      <c r="J511" s="81"/>
      <c r="K511" s="81"/>
      <c r="L511" s="81">
        <v>0</v>
      </c>
      <c r="M511" s="81"/>
      <c r="N511" s="81">
        <v>1</v>
      </c>
      <c r="O511" s="81">
        <v>0.31102277174163484</v>
      </c>
      <c r="P511" s="81">
        <v>0.68897722825836516</v>
      </c>
      <c r="Q511" s="81">
        <v>0</v>
      </c>
    </row>
    <row r="512" spans="1:17" x14ac:dyDescent="0.2">
      <c r="A512" s="35">
        <v>10</v>
      </c>
      <c r="B512" s="35" t="s">
        <v>61</v>
      </c>
      <c r="D512" s="81">
        <v>0</v>
      </c>
      <c r="E512" s="85"/>
      <c r="F512" s="81">
        <v>0</v>
      </c>
      <c r="G512" s="85"/>
      <c r="H512" s="81">
        <v>0</v>
      </c>
      <c r="I512" s="81">
        <v>0</v>
      </c>
      <c r="J512" s="81"/>
      <c r="K512" s="81"/>
      <c r="L512" s="81">
        <v>0</v>
      </c>
      <c r="M512" s="81"/>
      <c r="N512" s="81">
        <v>0</v>
      </c>
      <c r="O512" s="81">
        <v>0</v>
      </c>
      <c r="P512" s="81">
        <v>0</v>
      </c>
      <c r="Q512" s="81">
        <v>0</v>
      </c>
    </row>
    <row r="513" spans="1:17" x14ac:dyDescent="0.2">
      <c r="A513" s="35">
        <v>11</v>
      </c>
      <c r="B513" s="35" t="s">
        <v>2056</v>
      </c>
      <c r="D513" s="81">
        <v>0</v>
      </c>
      <c r="E513" s="85"/>
      <c r="F513" s="81">
        <v>0</v>
      </c>
      <c r="G513" s="85"/>
      <c r="H513" s="81">
        <v>0</v>
      </c>
      <c r="I513" s="81">
        <v>0</v>
      </c>
      <c r="J513" s="81"/>
      <c r="K513" s="81"/>
      <c r="L513" s="81">
        <v>0</v>
      </c>
      <c r="M513" s="81"/>
      <c r="N513" s="81">
        <v>0</v>
      </c>
      <c r="O513" s="81">
        <v>0</v>
      </c>
      <c r="P513" s="81">
        <v>0</v>
      </c>
      <c r="Q513" s="81">
        <v>0</v>
      </c>
    </row>
    <row r="514" spans="1:17" x14ac:dyDescent="0.2">
      <c r="A514" s="35">
        <v>12</v>
      </c>
      <c r="F514" s="36"/>
    </row>
    <row r="515" spans="1:17" x14ac:dyDescent="0.2">
      <c r="A515" s="35">
        <v>13</v>
      </c>
      <c r="F515" s="36"/>
    </row>
    <row r="516" spans="1:17" x14ac:dyDescent="0.2">
      <c r="A516" s="35">
        <v>14</v>
      </c>
      <c r="F516" s="36"/>
    </row>
    <row r="517" spans="1:17" x14ac:dyDescent="0.2">
      <c r="A517" s="35">
        <v>15</v>
      </c>
      <c r="F517" s="36"/>
    </row>
    <row r="518" spans="1:17" x14ac:dyDescent="0.2">
      <c r="A518" s="35">
        <v>16</v>
      </c>
      <c r="F518" s="36"/>
    </row>
    <row r="519" spans="1:17" x14ac:dyDescent="0.2">
      <c r="A519" s="35">
        <v>17</v>
      </c>
      <c r="F519" s="36"/>
    </row>
    <row r="520" spans="1:17" x14ac:dyDescent="0.2">
      <c r="A520" s="35">
        <v>18</v>
      </c>
      <c r="F520" s="36"/>
    </row>
    <row r="521" spans="1:17" x14ac:dyDescent="0.2">
      <c r="F521" s="36"/>
    </row>
    <row r="522" spans="1:17" x14ac:dyDescent="0.2">
      <c r="F522" s="36"/>
    </row>
    <row r="523" spans="1:17" x14ac:dyDescent="0.2">
      <c r="F523" s="36"/>
    </row>
    <row r="524" spans="1:17" x14ac:dyDescent="0.2">
      <c r="F524" s="36"/>
    </row>
    <row r="525" spans="1:17" x14ac:dyDescent="0.2">
      <c r="F525" s="36"/>
    </row>
    <row r="526" spans="1:17" x14ac:dyDescent="0.2">
      <c r="F526" s="36"/>
    </row>
    <row r="527" spans="1:17" x14ac:dyDescent="0.2">
      <c r="F527" s="36"/>
    </row>
    <row r="528" spans="1:17" x14ac:dyDescent="0.2">
      <c r="F528" s="36"/>
    </row>
    <row r="529" spans="1:17" x14ac:dyDescent="0.2">
      <c r="F529" s="36"/>
    </row>
    <row r="530" spans="1:17" x14ac:dyDescent="0.2">
      <c r="F530" s="36"/>
    </row>
    <row r="531" spans="1:17" x14ac:dyDescent="0.2">
      <c r="F531" s="36"/>
    </row>
    <row r="532" spans="1:17" x14ac:dyDescent="0.2">
      <c r="F532" s="36"/>
    </row>
    <row r="533" spans="1:17" x14ac:dyDescent="0.2">
      <c r="F533" s="36"/>
    </row>
    <row r="534" spans="1:17" x14ac:dyDescent="0.2">
      <c r="F534" s="36"/>
    </row>
    <row r="535" spans="1:17" x14ac:dyDescent="0.2">
      <c r="F535" s="36"/>
    </row>
    <row r="536" spans="1:17" x14ac:dyDescent="0.2">
      <c r="F536" s="36"/>
    </row>
    <row r="537" spans="1:17" x14ac:dyDescent="0.2">
      <c r="F537" s="36"/>
    </row>
    <row r="538" spans="1:17" x14ac:dyDescent="0.2">
      <c r="F538" s="36"/>
    </row>
    <row r="539" spans="1:17" x14ac:dyDescent="0.2">
      <c r="B539" s="35" t="s">
        <v>1527</v>
      </c>
      <c r="F539" s="36"/>
    </row>
    <row r="540" spans="1:17" x14ac:dyDescent="0.2">
      <c r="F540" s="36"/>
    </row>
    <row r="541" spans="1:17" x14ac:dyDescent="0.2">
      <c r="B541" s="35" t="s">
        <v>1528</v>
      </c>
      <c r="F541" s="36"/>
    </row>
    <row r="542" spans="1:17" x14ac:dyDescent="0.2">
      <c r="F542" s="36"/>
    </row>
    <row r="543" spans="1:17" x14ac:dyDescent="0.2">
      <c r="A543" s="35">
        <v>1</v>
      </c>
      <c r="B543" s="35" t="s">
        <v>1529</v>
      </c>
      <c r="D543" s="36">
        <v>9527059121.0507679</v>
      </c>
      <c r="F543" s="36">
        <v>8463527046.5532007</v>
      </c>
      <c r="H543" s="36">
        <v>470955559.46998042</v>
      </c>
      <c r="I543" s="36">
        <v>592576515.02758551</v>
      </c>
      <c r="L543" s="36">
        <v>206189.80969716009</v>
      </c>
      <c r="N543" s="36">
        <v>592370325.21788836</v>
      </c>
      <c r="O543" s="36">
        <v>186706051.30020908</v>
      </c>
      <c r="P543" s="36">
        <v>405664273.91767925</v>
      </c>
      <c r="Q543" s="36">
        <v>1.2659895885020524E-11</v>
      </c>
    </row>
    <row r="544" spans="1:17" x14ac:dyDescent="0.2">
      <c r="F544" s="36"/>
    </row>
    <row r="545" spans="1:17" x14ac:dyDescent="0.2">
      <c r="A545" s="35">
        <v>2</v>
      </c>
      <c r="B545" s="35" t="s">
        <v>1530</v>
      </c>
      <c r="D545" s="36">
        <v>3301600480.798986</v>
      </c>
      <c r="F545" s="36">
        <v>2912060195.4345694</v>
      </c>
      <c r="H545" s="36">
        <v>181863142.57960427</v>
      </c>
      <c r="I545" s="36">
        <v>207677142.78481245</v>
      </c>
      <c r="L545" s="36">
        <v>157036.35014862241</v>
      </c>
      <c r="N545" s="36">
        <v>207520106.43466383</v>
      </c>
      <c r="O545" s="36">
        <v>65458017.564512491</v>
      </c>
      <c r="P545" s="36">
        <v>142062088.87015134</v>
      </c>
      <c r="Q545" s="36">
        <v>4.1972552172201946E-12</v>
      </c>
    </row>
    <row r="546" spans="1:17" x14ac:dyDescent="0.2">
      <c r="A546" s="35">
        <v>3</v>
      </c>
      <c r="B546" s="35" t="s">
        <v>1531</v>
      </c>
      <c r="D546" s="36">
        <v>6225458640.2517805</v>
      </c>
      <c r="F546" s="36">
        <v>5551466851.1186314</v>
      </c>
      <c r="H546" s="36">
        <v>289092416.89037615</v>
      </c>
      <c r="I546" s="36">
        <v>384899372.242773</v>
      </c>
      <c r="L546" s="36">
        <v>49153.459548537678</v>
      </c>
      <c r="N546" s="36">
        <v>384850218.78322446</v>
      </c>
      <c r="O546" s="36">
        <v>121248033.73569658</v>
      </c>
      <c r="P546" s="36">
        <v>263602185.04752791</v>
      </c>
      <c r="Q546" s="36">
        <v>8.462640667800329E-12</v>
      </c>
    </row>
    <row r="547" spans="1:17" x14ac:dyDescent="0.2">
      <c r="F547" s="36"/>
    </row>
    <row r="548" spans="1:17" x14ac:dyDescent="0.2">
      <c r="A548" s="35">
        <v>4</v>
      </c>
      <c r="B548" s="35" t="s">
        <v>1532</v>
      </c>
      <c r="D548" s="36">
        <v>310684174.5884614</v>
      </c>
      <c r="F548" s="36">
        <v>279608228.78090739</v>
      </c>
      <c r="H548" s="36">
        <v>11580634.5231463</v>
      </c>
      <c r="I548" s="36">
        <v>19495311.284407761</v>
      </c>
      <c r="L548" s="36">
        <v>1416.3411074876087</v>
      </c>
      <c r="N548" s="36">
        <v>19493894.943300273</v>
      </c>
      <c r="O548" s="36">
        <v>6062672.2051882418</v>
      </c>
      <c r="P548" s="36">
        <v>13431222.738112031</v>
      </c>
      <c r="Q548" s="36">
        <v>1.8215658692730889E-12</v>
      </c>
    </row>
    <row r="549" spans="1:17" x14ac:dyDescent="0.2">
      <c r="A549" s="35">
        <v>5</v>
      </c>
      <c r="B549" s="35" t="s">
        <v>1533</v>
      </c>
      <c r="D549" s="36">
        <v>6536142814.8402424</v>
      </c>
      <c r="F549" s="36">
        <v>5831075079.899539</v>
      </c>
      <c r="H549" s="36">
        <v>300673051.41352242</v>
      </c>
      <c r="I549" s="36">
        <v>404394683.52718079</v>
      </c>
      <c r="L549" s="36">
        <v>50569.800656025283</v>
      </c>
      <c r="N549" s="36">
        <v>404344113.72652477</v>
      </c>
      <c r="O549" s="36">
        <v>127310705.94088483</v>
      </c>
      <c r="P549" s="36">
        <v>277033407.78563994</v>
      </c>
      <c r="Q549" s="36">
        <v>1.0284206537073418E-11</v>
      </c>
    </row>
    <row r="550" spans="1:17" x14ac:dyDescent="0.2">
      <c r="F550" s="36"/>
    </row>
    <row r="551" spans="1:17" x14ac:dyDescent="0.2">
      <c r="B551" s="35" t="s">
        <v>1534</v>
      </c>
      <c r="F551" s="36"/>
    </row>
    <row r="552" spans="1:17" x14ac:dyDescent="0.2">
      <c r="A552" s="35">
        <v>6</v>
      </c>
      <c r="B552" s="35" t="s">
        <v>1537</v>
      </c>
      <c r="D552" s="36">
        <v>54563930.000000007</v>
      </c>
      <c r="F552" s="36">
        <v>48318505.165355854</v>
      </c>
      <c r="H552" s="36">
        <v>2873904.8120128424</v>
      </c>
      <c r="I552" s="36">
        <v>3371520.0226313076</v>
      </c>
      <c r="L552" s="36">
        <v>847.82182113188605</v>
      </c>
      <c r="N552" s="36">
        <v>3370672.2008101759</v>
      </c>
      <c r="O552" s="36">
        <v>1057002.6848692736</v>
      </c>
      <c r="P552" s="36">
        <v>2313669.5159409023</v>
      </c>
      <c r="Q552" s="36">
        <v>0</v>
      </c>
    </row>
    <row r="553" spans="1:17" x14ac:dyDescent="0.2">
      <c r="A553" s="35">
        <v>7</v>
      </c>
      <c r="B553" s="35" t="s">
        <v>1538</v>
      </c>
      <c r="D553" s="36">
        <v>81295504.999999985</v>
      </c>
      <c r="F553" s="36">
        <v>71489838.591801614</v>
      </c>
      <c r="H553" s="36">
        <v>2963645.3065443393</v>
      </c>
      <c r="I553" s="36">
        <v>6842021.1016540425</v>
      </c>
      <c r="L553" s="36">
        <v>344.76622326864327</v>
      </c>
      <c r="N553" s="36">
        <v>6841676.3354307739</v>
      </c>
      <c r="O553" s="36">
        <v>2162061.4718844239</v>
      </c>
      <c r="P553" s="36">
        <v>4679614.86354635</v>
      </c>
      <c r="Q553" s="36">
        <v>0</v>
      </c>
    </row>
    <row r="554" spans="1:17" x14ac:dyDescent="0.2">
      <c r="A554" s="35">
        <v>8</v>
      </c>
      <c r="B554" s="35" t="s">
        <v>985</v>
      </c>
      <c r="D554" s="36">
        <v>17200529.232544325</v>
      </c>
      <c r="F554" s="36">
        <v>16171253.692540465</v>
      </c>
      <c r="H554" s="36">
        <v>0</v>
      </c>
      <c r="I554" s="36">
        <v>1029275.54000386</v>
      </c>
      <c r="L554" s="36">
        <v>397.64992682159539</v>
      </c>
      <c r="N554" s="36">
        <v>1028877.8900770384</v>
      </c>
      <c r="O554" s="36">
        <v>325765.86694087385</v>
      </c>
      <c r="P554" s="36">
        <v>703112.02313616464</v>
      </c>
      <c r="Q554" s="36">
        <v>3.8825119933761652E-13</v>
      </c>
    </row>
    <row r="555" spans="1:17" x14ac:dyDescent="0.2">
      <c r="A555" s="35">
        <v>9</v>
      </c>
      <c r="B555" s="35" t="s">
        <v>986</v>
      </c>
      <c r="D555" s="36">
        <v>117152089.92994511</v>
      </c>
      <c r="F555" s="36">
        <v>109010034.9523263</v>
      </c>
      <c r="H555" s="36">
        <v>0</v>
      </c>
      <c r="I555" s="36">
        <v>8142054.977618807</v>
      </c>
      <c r="L555" s="36">
        <v>1573.8497888452835</v>
      </c>
      <c r="N555" s="36">
        <v>8140481.1278299615</v>
      </c>
      <c r="O555" s="36">
        <v>2575361.6330649611</v>
      </c>
      <c r="P555" s="36">
        <v>5565119.4947650004</v>
      </c>
      <c r="Q555" s="36">
        <v>7.44639317957019E-13</v>
      </c>
    </row>
    <row r="556" spans="1:17" x14ac:dyDescent="0.2">
      <c r="A556" s="35">
        <v>10</v>
      </c>
      <c r="B556" s="35" t="s">
        <v>987</v>
      </c>
      <c r="D556" s="36">
        <v>136560</v>
      </c>
      <c r="F556" s="36">
        <v>119596.14230648502</v>
      </c>
      <c r="H556" s="36">
        <v>5526.9644748555429</v>
      </c>
      <c r="I556" s="36">
        <v>11436.893218659443</v>
      </c>
      <c r="L556" s="36">
        <v>0.4202520908252122</v>
      </c>
      <c r="N556" s="36">
        <v>11436.472966568617</v>
      </c>
      <c r="O556" s="36">
        <v>3549.4109543742125</v>
      </c>
      <c r="P556" s="36">
        <v>7887.0620121944048</v>
      </c>
      <c r="Q556" s="36">
        <v>0</v>
      </c>
    </row>
    <row r="557" spans="1:17" x14ac:dyDescent="0.2">
      <c r="A557" s="35">
        <v>11</v>
      </c>
      <c r="B557" s="35" t="s">
        <v>988</v>
      </c>
      <c r="D557" s="36">
        <v>270348614.16248941</v>
      </c>
      <c r="F557" s="36">
        <v>245109228.54433072</v>
      </c>
      <c r="H557" s="36">
        <v>5843077.0830320371</v>
      </c>
      <c r="I557" s="36">
        <v>19396308.535126675</v>
      </c>
      <c r="L557" s="36">
        <v>3164.5080121582332</v>
      </c>
      <c r="N557" s="36">
        <v>19393144.027114518</v>
      </c>
      <c r="O557" s="36">
        <v>6123741.0677139061</v>
      </c>
      <c r="P557" s="36">
        <v>13269402.959400611</v>
      </c>
      <c r="Q557" s="36">
        <v>1.1328905172946356E-12</v>
      </c>
    </row>
    <row r="558" spans="1:17" x14ac:dyDescent="0.2">
      <c r="F558" s="36"/>
    </row>
    <row r="559" spans="1:17" x14ac:dyDescent="0.2">
      <c r="B559" s="35" t="s">
        <v>989</v>
      </c>
      <c r="F559" s="36"/>
    </row>
    <row r="560" spans="1:17" x14ac:dyDescent="0.2">
      <c r="A560" s="35">
        <v>12</v>
      </c>
      <c r="B560" s="35" t="s">
        <v>672</v>
      </c>
      <c r="D560" s="36">
        <v>1320499235</v>
      </c>
      <c r="F560" s="36">
        <v>1179774202.6259918</v>
      </c>
      <c r="H560" s="36">
        <v>62085394.092212722</v>
      </c>
      <c r="I560" s="36">
        <v>78639638.281795412</v>
      </c>
      <c r="L560" s="36">
        <v>28667.542333946491</v>
      </c>
      <c r="N560" s="36">
        <v>78610970.739461467</v>
      </c>
      <c r="O560" s="36">
        <v>24795037.590446491</v>
      </c>
      <c r="P560" s="36">
        <v>53815933.149014972</v>
      </c>
      <c r="Q560" s="36">
        <v>1.8306293297586273E-12</v>
      </c>
    </row>
    <row r="561" spans="1:17" x14ac:dyDescent="0.2">
      <c r="A561" s="35">
        <v>13</v>
      </c>
      <c r="B561" s="35" t="s">
        <v>673</v>
      </c>
      <c r="D561" s="36">
        <v>93303579.627692223</v>
      </c>
      <c r="F561" s="36">
        <v>81185411.398252815</v>
      </c>
      <c r="H561" s="36">
        <v>3833073.7034151992</v>
      </c>
      <c r="I561" s="36">
        <v>8285094.526024201</v>
      </c>
      <c r="L561" s="36">
        <v>285.27959369447581</v>
      </c>
      <c r="N561" s="36">
        <v>8284809.2464305069</v>
      </c>
      <c r="O561" s="36">
        <v>2571264.1283848719</v>
      </c>
      <c r="P561" s="36">
        <v>5713545.1180456355</v>
      </c>
      <c r="Q561" s="36">
        <v>0</v>
      </c>
    </row>
    <row r="562" spans="1:17" x14ac:dyDescent="0.2">
      <c r="A562" s="35">
        <v>14</v>
      </c>
      <c r="B562" s="35" t="s">
        <v>674</v>
      </c>
      <c r="D562" s="36">
        <v>1576406.0400000003</v>
      </c>
      <c r="F562" s="36">
        <v>1549703.6162990497</v>
      </c>
      <c r="H562" s="36">
        <v>26702.423700950658</v>
      </c>
      <c r="I562" s="36">
        <v>0</v>
      </c>
      <c r="L562" s="36">
        <v>0</v>
      </c>
      <c r="N562" s="36">
        <v>0</v>
      </c>
      <c r="O562" s="36">
        <v>0</v>
      </c>
      <c r="P562" s="36">
        <v>0</v>
      </c>
      <c r="Q562" s="36">
        <v>0</v>
      </c>
    </row>
    <row r="563" spans="1:17" x14ac:dyDescent="0.2">
      <c r="A563" s="35">
        <v>15</v>
      </c>
      <c r="B563" s="35" t="s">
        <v>2060</v>
      </c>
      <c r="D563" s="36">
        <v>28000984.019999992</v>
      </c>
      <c r="F563" s="36">
        <v>0</v>
      </c>
      <c r="H563" s="36">
        <v>1378728.5512620946</v>
      </c>
      <c r="I563" s="36">
        <v>-729.01445774044191</v>
      </c>
      <c r="L563" s="36">
        <v>0</v>
      </c>
      <c r="N563" s="36">
        <v>-729.01445774044191</v>
      </c>
      <c r="O563" s="36">
        <v>-729.01445774044191</v>
      </c>
      <c r="P563" s="36">
        <v>0</v>
      </c>
      <c r="Q563" s="36">
        <v>0</v>
      </c>
    </row>
    <row r="564" spans="1:17" x14ac:dyDescent="0.2">
      <c r="A564" s="35">
        <v>16</v>
      </c>
      <c r="B564" s="35" t="s">
        <v>675</v>
      </c>
      <c r="D564" s="36">
        <v>1421186</v>
      </c>
      <c r="F564" s="36">
        <v>0</v>
      </c>
      <c r="H564" s="36">
        <v>1421186</v>
      </c>
      <c r="I564" s="36">
        <v>0</v>
      </c>
      <c r="L564" s="36">
        <v>0</v>
      </c>
      <c r="N564" s="36">
        <v>0</v>
      </c>
      <c r="O564" s="36">
        <v>0</v>
      </c>
      <c r="P564" s="36">
        <v>0</v>
      </c>
      <c r="Q564" s="36">
        <v>0</v>
      </c>
    </row>
    <row r="565" spans="1:17" x14ac:dyDescent="0.2">
      <c r="A565" s="35">
        <v>17</v>
      </c>
      <c r="B565" s="35" t="s">
        <v>2061</v>
      </c>
      <c r="D565" s="36">
        <v>60917532.867179498</v>
      </c>
      <c r="F565" s="36">
        <v>0</v>
      </c>
      <c r="H565" s="36">
        <v>2858566.6202515503</v>
      </c>
      <c r="I565" s="36">
        <v>3.08258567638483E-12</v>
      </c>
      <c r="L565" s="36">
        <v>0</v>
      </c>
      <c r="N565" s="36">
        <v>3.08258567638483E-12</v>
      </c>
      <c r="O565" s="36">
        <v>0</v>
      </c>
      <c r="P565" s="36">
        <v>0</v>
      </c>
      <c r="Q565" s="36">
        <v>3.08258567638483E-12</v>
      </c>
    </row>
    <row r="566" spans="1:17" x14ac:dyDescent="0.2">
      <c r="A566" s="35">
        <v>18</v>
      </c>
      <c r="B566" s="35" t="s">
        <v>2265</v>
      </c>
      <c r="D566" s="36">
        <v>5727440.0000000019</v>
      </c>
      <c r="F566" s="36">
        <v>0</v>
      </c>
      <c r="H566" s="36">
        <v>0</v>
      </c>
      <c r="I566" s="36">
        <v>282601.52972368104</v>
      </c>
      <c r="L566" s="36">
        <v>0</v>
      </c>
      <c r="N566" s="36">
        <v>282601.52972368104</v>
      </c>
      <c r="O566" s="36">
        <v>90217.863161120666</v>
      </c>
      <c r="P566" s="36">
        <v>192383.66656256036</v>
      </c>
      <c r="Q566" s="36">
        <v>2.898233673521878E-13</v>
      </c>
    </row>
    <row r="567" spans="1:17" x14ac:dyDescent="0.2">
      <c r="A567" s="35">
        <v>19</v>
      </c>
      <c r="B567" s="35" t="s">
        <v>2266</v>
      </c>
      <c r="D567" s="36">
        <v>6375756.4900000002</v>
      </c>
      <c r="F567" s="36">
        <v>0</v>
      </c>
      <c r="H567" s="36">
        <v>0</v>
      </c>
      <c r="I567" s="36">
        <v>314590.55655226187</v>
      </c>
      <c r="L567" s="36">
        <v>0</v>
      </c>
      <c r="N567" s="36">
        <v>314590.55655226187</v>
      </c>
      <c r="O567" s="36">
        <v>100430.05715702772</v>
      </c>
      <c r="P567" s="36">
        <v>214160.49939523413</v>
      </c>
      <c r="Q567" s="36">
        <v>3.2262986872832623E-13</v>
      </c>
    </row>
    <row r="568" spans="1:17" x14ac:dyDescent="0.2">
      <c r="A568" s="35">
        <v>20</v>
      </c>
      <c r="B568" s="35" t="s">
        <v>2267</v>
      </c>
      <c r="D568" s="36">
        <v>1183817.9999999998</v>
      </c>
      <c r="F568" s="36">
        <v>0</v>
      </c>
      <c r="H568" s="36">
        <v>0</v>
      </c>
      <c r="I568" s="36">
        <v>58411.572659762212</v>
      </c>
      <c r="L568" s="36">
        <v>0</v>
      </c>
      <c r="N568" s="36">
        <v>58411.572659762212</v>
      </c>
      <c r="O568" s="36">
        <v>18647.34162761574</v>
      </c>
      <c r="P568" s="36">
        <v>39764.231032146468</v>
      </c>
      <c r="Q568" s="36">
        <v>5.9904271208800447E-14</v>
      </c>
    </row>
    <row r="569" spans="1:17" x14ac:dyDescent="0.2">
      <c r="A569" s="35">
        <v>21</v>
      </c>
      <c r="B569" s="35" t="s">
        <v>1080</v>
      </c>
      <c r="D569" s="36">
        <v>1519005938.0448716</v>
      </c>
      <c r="F569" s="36">
        <v>1262509317.6405437</v>
      </c>
      <c r="H569" s="36">
        <v>71603651.390842512</v>
      </c>
      <c r="I569" s="36">
        <v>87579607.452297568</v>
      </c>
      <c r="L569" s="36">
        <v>28952.821927640965</v>
      </c>
      <c r="N569" s="36">
        <v>87550654.630369931</v>
      </c>
      <c r="O569" s="36">
        <v>27574867.96631939</v>
      </c>
      <c r="P569" s="36">
        <v>59975786.664050549</v>
      </c>
      <c r="Q569" s="36">
        <v>5.585572513432772E-12</v>
      </c>
    </row>
    <row r="570" spans="1:17" x14ac:dyDescent="0.2">
      <c r="F570" s="36"/>
    </row>
    <row r="571" spans="1:17" x14ac:dyDescent="0.2">
      <c r="A571" s="35">
        <v>22</v>
      </c>
      <c r="B571" s="35" t="s">
        <v>1081</v>
      </c>
      <c r="D571" s="36">
        <v>5287485490.95786</v>
      </c>
      <c r="F571" s="36">
        <v>4813674990.8033257</v>
      </c>
      <c r="H571" s="36">
        <v>234912477.10571194</v>
      </c>
      <c r="I571" s="36">
        <v>336211384.61000985</v>
      </c>
      <c r="L571" s="36">
        <v>24781.486740542554</v>
      </c>
      <c r="N571" s="36">
        <v>336186603.12326932</v>
      </c>
      <c r="O571" s="36">
        <v>105859579.04227933</v>
      </c>
      <c r="P571" s="36">
        <v>230327024.08098999</v>
      </c>
      <c r="Q571" s="36">
        <v>5.8315245409352819E-12</v>
      </c>
    </row>
    <row r="572" spans="1:17" x14ac:dyDescent="0.2">
      <c r="F572" s="36"/>
    </row>
    <row r="573" spans="1:17" x14ac:dyDescent="0.2">
      <c r="B573" s="35" t="s">
        <v>1082</v>
      </c>
      <c r="F573" s="36"/>
    </row>
    <row r="574" spans="1:17" x14ac:dyDescent="0.2">
      <c r="A574" s="35">
        <v>23</v>
      </c>
      <c r="B574" s="35" t="s">
        <v>1083</v>
      </c>
      <c r="D574" s="36">
        <v>1834046623.6075928</v>
      </c>
      <c r="F574" s="36">
        <v>1642616498.3454938</v>
      </c>
      <c r="H574" s="36">
        <v>75952935.483654529</v>
      </c>
      <c r="I574" s="36">
        <v>115477189.77844454</v>
      </c>
      <c r="L574" s="36">
        <v>193.35802632033906</v>
      </c>
      <c r="N574" s="36">
        <v>115476996.42041822</v>
      </c>
      <c r="O574" s="36">
        <v>35922856.200012952</v>
      </c>
      <c r="P574" s="36">
        <v>79554140.220405266</v>
      </c>
      <c r="Q574" s="36">
        <v>0</v>
      </c>
    </row>
    <row r="575" spans="1:17" x14ac:dyDescent="0.2">
      <c r="F575" s="36"/>
    </row>
    <row r="576" spans="1:17" x14ac:dyDescent="0.2">
      <c r="B576" s="35" t="s">
        <v>1084</v>
      </c>
      <c r="F576" s="36"/>
    </row>
    <row r="577" spans="1:23" x14ac:dyDescent="0.2">
      <c r="A577" s="35">
        <v>24</v>
      </c>
      <c r="B577" s="35" t="s">
        <v>1085</v>
      </c>
      <c r="D577" s="36">
        <v>1036208025.8785896</v>
      </c>
      <c r="F577" s="36">
        <v>922833618.28418863</v>
      </c>
      <c r="H577" s="36">
        <v>43381120.845020853</v>
      </c>
      <c r="I577" s="36">
        <v>69993286.749380127</v>
      </c>
      <c r="L577" s="36">
        <v>12825.99163919768</v>
      </c>
      <c r="N577" s="36">
        <v>69980460.75774093</v>
      </c>
      <c r="O577" s="36">
        <v>22133693.644759055</v>
      </c>
      <c r="P577" s="36">
        <v>47846767.112981871</v>
      </c>
      <c r="Q577" s="36">
        <v>5.957114543656152E-12</v>
      </c>
    </row>
    <row r="578" spans="1:23" x14ac:dyDescent="0.2">
      <c r="A578" s="35">
        <v>25</v>
      </c>
      <c r="B578" s="35" t="s">
        <v>1086</v>
      </c>
      <c r="D578" s="36">
        <v>313724399.55423689</v>
      </c>
      <c r="F578" s="36">
        <v>278222381.53918958</v>
      </c>
      <c r="H578" s="36">
        <v>14819180.855485838</v>
      </c>
      <c r="I578" s="36">
        <v>20682837.159561466</v>
      </c>
      <c r="L578" s="36">
        <v>5672.8570840063485</v>
      </c>
      <c r="N578" s="36">
        <v>20677164.30247746</v>
      </c>
      <c r="O578" s="36">
        <v>6496147.5075291423</v>
      </c>
      <c r="P578" s="36">
        <v>14181016.794948319</v>
      </c>
      <c r="Q578" s="36">
        <v>2.4498270657820568E-14</v>
      </c>
    </row>
    <row r="579" spans="1:23" x14ac:dyDescent="0.2">
      <c r="A579" s="35">
        <v>26</v>
      </c>
      <c r="B579" s="35" t="s">
        <v>2350</v>
      </c>
      <c r="D579" s="36">
        <v>1781349.4960150376</v>
      </c>
      <c r="F579" s="36">
        <v>1629582.8909282801</v>
      </c>
      <c r="H579" s="36">
        <v>50948.295548525602</v>
      </c>
      <c r="I579" s="36">
        <v>100818.309538232</v>
      </c>
      <c r="L579" s="36">
        <v>0</v>
      </c>
      <c r="N579" s="36">
        <v>100818.309538232</v>
      </c>
      <c r="O579" s="36">
        <v>31356.79007488702</v>
      </c>
      <c r="P579" s="36">
        <v>69461.519463344986</v>
      </c>
      <c r="Q579" s="36">
        <v>0</v>
      </c>
    </row>
    <row r="580" spans="1:23" x14ac:dyDescent="0.2">
      <c r="A580" s="35">
        <v>27</v>
      </c>
      <c r="B580" s="35" t="s">
        <v>1087</v>
      </c>
      <c r="D580" s="36">
        <v>43865520.736850806</v>
      </c>
      <c r="F580" s="36">
        <v>39598799.242075369</v>
      </c>
      <c r="H580" s="36">
        <v>1890182.1273374753</v>
      </c>
      <c r="I580" s="36">
        <v>2376539.3674379587</v>
      </c>
      <c r="L580" s="36">
        <v>476.72144412150715</v>
      </c>
      <c r="N580" s="36">
        <v>2376062.6459938372</v>
      </c>
      <c r="O580" s="36">
        <v>750791.82717457018</v>
      </c>
      <c r="P580" s="36">
        <v>1625270.818819267</v>
      </c>
      <c r="Q580" s="36">
        <v>5.8117703339156895E-13</v>
      </c>
    </row>
    <row r="581" spans="1:23" x14ac:dyDescent="0.2">
      <c r="A581" s="35">
        <v>28</v>
      </c>
      <c r="B581" s="35" t="s">
        <v>1088</v>
      </c>
      <c r="D581" s="36">
        <v>131735279.90000001</v>
      </c>
      <c r="F581" s="36">
        <v>120693069.36</v>
      </c>
      <c r="H581" s="36">
        <v>4533067.4428430749</v>
      </c>
      <c r="I581" s="36">
        <v>6509434.5399999991</v>
      </c>
      <c r="L581" s="36">
        <v>-7497.58</v>
      </c>
      <c r="N581" s="36">
        <v>6516932.1199999992</v>
      </c>
      <c r="O581" s="36">
        <v>1847189.98</v>
      </c>
      <c r="P581" s="36">
        <v>4669742.1399999997</v>
      </c>
      <c r="Q581" s="36">
        <v>-8.4856791382083131E-16</v>
      </c>
    </row>
    <row r="582" spans="1:23" x14ac:dyDescent="0.2">
      <c r="A582" s="35">
        <v>29</v>
      </c>
      <c r="B582" s="35" t="s">
        <v>1835</v>
      </c>
      <c r="D582" s="36">
        <v>0</v>
      </c>
      <c r="F582" s="36">
        <v>0</v>
      </c>
      <c r="H582" s="36">
        <v>0</v>
      </c>
      <c r="I582" s="36">
        <v>0</v>
      </c>
      <c r="L582" s="36">
        <v>0</v>
      </c>
      <c r="N582" s="36">
        <v>0</v>
      </c>
      <c r="O582" s="36">
        <v>0</v>
      </c>
      <c r="P582" s="36">
        <v>0</v>
      </c>
      <c r="Q582" s="36">
        <v>0</v>
      </c>
    </row>
    <row r="583" spans="1:23" x14ac:dyDescent="0.2">
      <c r="A583" s="35">
        <v>30</v>
      </c>
      <c r="B583" s="35" t="s">
        <v>1836</v>
      </c>
      <c r="D583" s="36">
        <v>0</v>
      </c>
      <c r="F583" s="36">
        <v>0</v>
      </c>
      <c r="H583" s="36">
        <v>0</v>
      </c>
      <c r="I583" s="36">
        <v>0</v>
      </c>
      <c r="L583" s="36">
        <v>0</v>
      </c>
      <c r="N583" s="36">
        <v>0</v>
      </c>
      <c r="O583" s="36">
        <v>0</v>
      </c>
      <c r="P583" s="36">
        <v>0</v>
      </c>
      <c r="Q583" s="36">
        <v>0</v>
      </c>
    </row>
    <row r="584" spans="1:23" x14ac:dyDescent="0.2">
      <c r="A584" s="35">
        <v>31</v>
      </c>
      <c r="B584" s="35" t="s">
        <v>1837</v>
      </c>
      <c r="D584" s="36">
        <v>957051.45900000015</v>
      </c>
      <c r="F584" s="36">
        <v>0</v>
      </c>
      <c r="H584" s="36">
        <v>22454.909332304956</v>
      </c>
      <c r="I584" s="36">
        <v>0</v>
      </c>
      <c r="L584" s="36">
        <v>0</v>
      </c>
      <c r="N584" s="36">
        <v>0</v>
      </c>
      <c r="O584" s="36">
        <v>0</v>
      </c>
      <c r="P584" s="36">
        <v>0</v>
      </c>
      <c r="Q584" s="36">
        <v>0</v>
      </c>
    </row>
    <row r="585" spans="1:23" x14ac:dyDescent="0.2">
      <c r="A585" s="35">
        <v>32</v>
      </c>
      <c r="B585" s="35" t="s">
        <v>1838</v>
      </c>
      <c r="D585" s="36">
        <v>103603.640874</v>
      </c>
      <c r="F585" s="36">
        <v>0</v>
      </c>
      <c r="H585" s="36">
        <v>5481.5275514018986</v>
      </c>
      <c r="I585" s="36">
        <v>0</v>
      </c>
      <c r="L585" s="36">
        <v>0</v>
      </c>
      <c r="N585" s="36">
        <v>0</v>
      </c>
      <c r="O585" s="36">
        <v>0</v>
      </c>
      <c r="P585" s="36">
        <v>0</v>
      </c>
      <c r="Q585" s="36">
        <v>0</v>
      </c>
    </row>
    <row r="586" spans="1:23" x14ac:dyDescent="0.2">
      <c r="A586" s="35">
        <v>33</v>
      </c>
      <c r="B586" s="35" t="s">
        <v>1089</v>
      </c>
      <c r="D586" s="36">
        <v>0</v>
      </c>
      <c r="F586" s="36">
        <v>0</v>
      </c>
      <c r="H586" s="36">
        <v>0</v>
      </c>
      <c r="I586" s="36">
        <v>0</v>
      </c>
      <c r="L586" s="36">
        <v>0</v>
      </c>
      <c r="N586" s="36">
        <v>0</v>
      </c>
      <c r="O586" s="36">
        <v>0</v>
      </c>
      <c r="P586" s="36">
        <v>0</v>
      </c>
      <c r="Q586" s="36">
        <v>0</v>
      </c>
    </row>
    <row r="587" spans="1:23" x14ac:dyDescent="0.2">
      <c r="A587" s="35">
        <v>34</v>
      </c>
      <c r="B587" s="35" t="s">
        <v>1090</v>
      </c>
      <c r="D587" s="36">
        <v>1528375230.6655664</v>
      </c>
      <c r="F587" s="36">
        <v>1362977451.3163817</v>
      </c>
      <c r="H587" s="36">
        <v>64702436.003119476</v>
      </c>
      <c r="I587" s="36">
        <v>99662916.125917777</v>
      </c>
      <c r="L587" s="36">
        <v>11477.990167325535</v>
      </c>
      <c r="N587" s="36">
        <v>99651438.135750458</v>
      </c>
      <c r="O587" s="36">
        <v>31259179.749537658</v>
      </c>
      <c r="P587" s="36">
        <v>68392258.386212796</v>
      </c>
      <c r="Q587" s="36">
        <v>6.5619412797917205E-12</v>
      </c>
    </row>
    <row r="588" spans="1:23" x14ac:dyDescent="0.2">
      <c r="F588" s="36"/>
      <c r="T588" s="36" t="s">
        <v>1839</v>
      </c>
    </row>
    <row r="589" spans="1:23" x14ac:dyDescent="0.2">
      <c r="A589" s="35">
        <v>35</v>
      </c>
      <c r="B589" s="35" t="s">
        <v>1091</v>
      </c>
      <c r="D589" s="36">
        <v>305671392.94202638</v>
      </c>
      <c r="F589" s="36">
        <v>279639047.0291121</v>
      </c>
      <c r="H589" s="36">
        <v>11250499.480535053</v>
      </c>
      <c r="I589" s="36">
        <v>15814273.652526759</v>
      </c>
      <c r="L589" s="36">
        <v>-11284.632141005197</v>
      </c>
      <c r="N589" s="36">
        <v>15825558.284667764</v>
      </c>
      <c r="O589" s="36">
        <v>4663676.4504752941</v>
      </c>
      <c r="P589" s="36">
        <v>11161881.83419247</v>
      </c>
      <c r="Q589" s="36">
        <v>-6.5619412797917205E-12</v>
      </c>
      <c r="T589" s="36">
        <v>334879007.68000001</v>
      </c>
      <c r="W589" s="35">
        <v>-28146959.638099611</v>
      </c>
    </row>
    <row r="590" spans="1:23" x14ac:dyDescent="0.2">
      <c r="A590" s="35">
        <v>36</v>
      </c>
      <c r="B590" s="35" t="s">
        <v>1092</v>
      </c>
      <c r="D590" s="36">
        <v>5.7810351151744183E-2</v>
      </c>
      <c r="F590" s="36">
        <v>5.809263142263886E-2</v>
      </c>
      <c r="H590" s="36">
        <v>4.7892302780802337E-2</v>
      </c>
      <c r="I590" s="36">
        <v>4.7036698863932309E-2</v>
      </c>
      <c r="L590" s="36">
        <v>-0.45536542093511767</v>
      </c>
      <c r="N590" s="36">
        <v>4.7073732675971675E-2</v>
      </c>
      <c r="O590" s="36">
        <v>4.4055308859793078E-2</v>
      </c>
      <c r="P590" s="36">
        <v>4.8461017020163526E-2</v>
      </c>
      <c r="Q590" s="36">
        <v>-1.1252531364189873</v>
      </c>
    </row>
    <row r="591" spans="1:23" x14ac:dyDescent="0.2">
      <c r="F591" s="36"/>
    </row>
    <row r="592" spans="1:23" x14ac:dyDescent="0.2">
      <c r="F592" s="36"/>
    </row>
    <row r="593" spans="1:23" x14ac:dyDescent="0.2">
      <c r="F593" s="36"/>
    </row>
    <row r="594" spans="1:23" x14ac:dyDescent="0.2">
      <c r="F594" s="36"/>
    </row>
    <row r="595" spans="1:23" x14ac:dyDescent="0.2">
      <c r="B595" s="35" t="s">
        <v>1093</v>
      </c>
      <c r="F595" s="36"/>
    </row>
    <row r="596" spans="1:23" x14ac:dyDescent="0.2">
      <c r="F596" s="36"/>
    </row>
    <row r="597" spans="1:23" x14ac:dyDescent="0.2">
      <c r="B597" s="35" t="s">
        <v>1094</v>
      </c>
      <c r="F597" s="36"/>
    </row>
    <row r="598" spans="1:23" x14ac:dyDescent="0.2">
      <c r="A598" s="35">
        <v>1</v>
      </c>
      <c r="B598" s="35" t="s">
        <v>2062</v>
      </c>
      <c r="C598" s="35" t="s">
        <v>1489</v>
      </c>
      <c r="D598" s="36">
        <v>44455.58</v>
      </c>
      <c r="F598" s="36">
        <v>39492.85098471307</v>
      </c>
      <c r="H598" s="36">
        <v>2197.6063307695863</v>
      </c>
      <c r="I598" s="36">
        <v>2765.122684517346</v>
      </c>
      <c r="L598" s="36">
        <v>0.9621375563346295</v>
      </c>
      <c r="N598" s="36">
        <v>2764.1605469610113</v>
      </c>
      <c r="O598" s="36">
        <v>871.22105701882958</v>
      </c>
      <c r="P598" s="36">
        <v>1892.9394899421816</v>
      </c>
      <c r="Q598" s="36">
        <v>5.9074506679814087E-17</v>
      </c>
      <c r="T598" s="36">
        <v>44455.580000000009</v>
      </c>
    </row>
    <row r="599" spans="1:23" x14ac:dyDescent="0.2">
      <c r="A599" s="35">
        <v>2</v>
      </c>
      <c r="B599" s="35" t="s">
        <v>2063</v>
      </c>
      <c r="C599" s="35" t="s">
        <v>1491</v>
      </c>
      <c r="D599" s="36">
        <v>55918.829999999994</v>
      </c>
      <c r="F599" s="36">
        <v>55918.829999999994</v>
      </c>
      <c r="H599" s="36">
        <v>0</v>
      </c>
      <c r="I599" s="36">
        <v>0</v>
      </c>
      <c r="L599" s="36">
        <v>0</v>
      </c>
      <c r="N599" s="36">
        <v>0</v>
      </c>
      <c r="O599" s="36">
        <v>0</v>
      </c>
      <c r="P599" s="36">
        <v>0</v>
      </c>
      <c r="Q599" s="36">
        <v>0</v>
      </c>
      <c r="T599" s="36">
        <v>55918.829999999994</v>
      </c>
    </row>
    <row r="600" spans="1:23" x14ac:dyDescent="0.2">
      <c r="A600" s="35">
        <v>3</v>
      </c>
      <c r="B600" s="35" t="s">
        <v>2064</v>
      </c>
      <c r="C600" s="35" t="s">
        <v>1489</v>
      </c>
      <c r="D600" s="36">
        <v>115922918.5592307</v>
      </c>
      <c r="F600" s="36">
        <v>102982045.18696477</v>
      </c>
      <c r="H600" s="36">
        <v>5730505.3652894096</v>
      </c>
      <c r="I600" s="36">
        <v>7210368.0069765281</v>
      </c>
      <c r="L600" s="36">
        <v>2508.8817553557165</v>
      </c>
      <c r="N600" s="36">
        <v>7207859.1252211723</v>
      </c>
      <c r="O600" s="36">
        <v>2271806.770710913</v>
      </c>
      <c r="P600" s="36">
        <v>4936052.3545102598</v>
      </c>
      <c r="Q600" s="36">
        <v>1.5404341202546043E-13</v>
      </c>
      <c r="T600" s="36">
        <v>115922918.55923072</v>
      </c>
    </row>
    <row r="601" spans="1:23" x14ac:dyDescent="0.2">
      <c r="A601" s="35">
        <v>4</v>
      </c>
      <c r="B601" s="35" t="s">
        <v>1095</v>
      </c>
      <c r="D601" s="36">
        <v>116023292.96923068</v>
      </c>
      <c r="F601" s="36">
        <v>103077456.86794947</v>
      </c>
      <c r="H601" s="36">
        <v>5732702.9716201788</v>
      </c>
      <c r="I601" s="36">
        <v>7213133.129661046</v>
      </c>
      <c r="L601" s="36">
        <v>2509.8438929120512</v>
      </c>
      <c r="N601" s="36">
        <v>7210623.2857681336</v>
      </c>
      <c r="O601" s="36">
        <v>2272677.9917679317</v>
      </c>
      <c r="P601" s="36">
        <v>4937945.2940002019</v>
      </c>
      <c r="Q601" s="36">
        <v>1.5410248653214024E-13</v>
      </c>
      <c r="U601" s="35" t="s">
        <v>583</v>
      </c>
    </row>
    <row r="602" spans="1:23" x14ac:dyDescent="0.2">
      <c r="F602" s="36"/>
    </row>
    <row r="603" spans="1:23" x14ac:dyDescent="0.2">
      <c r="B603" s="35" t="s">
        <v>1096</v>
      </c>
      <c r="F603" s="36"/>
    </row>
    <row r="604" spans="1:23" x14ac:dyDescent="0.2">
      <c r="B604" s="35" t="s">
        <v>2065</v>
      </c>
      <c r="F604" s="36"/>
      <c r="W604" s="35" t="s">
        <v>2093</v>
      </c>
    </row>
    <row r="605" spans="1:23" x14ac:dyDescent="0.2">
      <c r="A605" s="35">
        <v>5</v>
      </c>
      <c r="B605" s="35" t="s">
        <v>2066</v>
      </c>
      <c r="C605" s="35" t="s">
        <v>1333</v>
      </c>
      <c r="D605" s="36">
        <v>24155712.52923071</v>
      </c>
      <c r="F605" s="36">
        <v>21155023.675749995</v>
      </c>
      <c r="H605" s="36">
        <v>977649.12868981459</v>
      </c>
      <c r="I605" s="36">
        <v>2023039.7247909026</v>
      </c>
      <c r="L605" s="36">
        <v>74.337204860735071</v>
      </c>
      <c r="N605" s="36">
        <v>2022965.3875860418</v>
      </c>
      <c r="O605" s="36">
        <v>627845.2743260538</v>
      </c>
      <c r="P605" s="36">
        <v>1395120.1132599881</v>
      </c>
      <c r="Q605" s="36">
        <v>0</v>
      </c>
      <c r="T605" s="36">
        <v>24155712.52923071</v>
      </c>
    </row>
    <row r="606" spans="1:23" x14ac:dyDescent="0.2">
      <c r="A606" s="35">
        <v>6</v>
      </c>
      <c r="B606" s="35" t="s">
        <v>2067</v>
      </c>
      <c r="C606" s="35" t="s">
        <v>1333</v>
      </c>
      <c r="D606" s="36">
        <v>336021382.21923083</v>
      </c>
      <c r="F606" s="36">
        <v>294279884.63615209</v>
      </c>
      <c r="H606" s="36">
        <v>13599723.508476457</v>
      </c>
      <c r="I606" s="36">
        <v>28141774.074602328</v>
      </c>
      <c r="L606" s="36">
        <v>1034.0779762713059</v>
      </c>
      <c r="N606" s="36">
        <v>28140739.996626057</v>
      </c>
      <c r="O606" s="36">
        <v>8733728.5804986972</v>
      </c>
      <c r="P606" s="36">
        <v>19407011.416127358</v>
      </c>
      <c r="Q606" s="36">
        <v>0</v>
      </c>
      <c r="T606" s="36">
        <v>336021382.21923083</v>
      </c>
      <c r="W606" s="35">
        <v>3559949.1999999993</v>
      </c>
    </row>
    <row r="607" spans="1:23" x14ac:dyDescent="0.2">
      <c r="A607" s="35">
        <v>7</v>
      </c>
      <c r="B607" s="35" t="s">
        <v>2068</v>
      </c>
      <c r="C607" s="35" t="s">
        <v>1333</v>
      </c>
      <c r="D607" s="36">
        <v>3987560272.7969227</v>
      </c>
      <c r="F607" s="36">
        <v>3492214600.4767647</v>
      </c>
      <c r="H607" s="36">
        <v>161387697.48897094</v>
      </c>
      <c r="I607" s="36">
        <v>333957974.83118725</v>
      </c>
      <c r="L607" s="36">
        <v>12271.386510943617</v>
      </c>
      <c r="N607" s="36">
        <v>333945703.44467628</v>
      </c>
      <c r="O607" s="36">
        <v>103643014.89083788</v>
      </c>
      <c r="P607" s="36">
        <v>230302688.55383837</v>
      </c>
      <c r="Q607" s="36">
        <v>0</v>
      </c>
      <c r="T607" s="36">
        <v>3987560272.7969227</v>
      </c>
      <c r="W607" s="35">
        <v>28230965.000000007</v>
      </c>
    </row>
    <row r="608" spans="1:23" x14ac:dyDescent="0.2">
      <c r="A608" s="35">
        <v>8</v>
      </c>
      <c r="B608" s="35" t="s">
        <v>2069</v>
      </c>
      <c r="C608" s="35" t="s">
        <v>1333</v>
      </c>
      <c r="D608" s="36">
        <v>336279515.95230734</v>
      </c>
      <c r="F608" s="36">
        <v>294505952.28901619</v>
      </c>
      <c r="H608" s="36">
        <v>13610170.90136219</v>
      </c>
      <c r="I608" s="36">
        <v>28163392.761928998</v>
      </c>
      <c r="L608" s="36">
        <v>1034.8723614575824</v>
      </c>
      <c r="N608" s="36">
        <v>28162357.889567539</v>
      </c>
      <c r="O608" s="36">
        <v>8740437.8855651543</v>
      </c>
      <c r="P608" s="36">
        <v>19421920.004002385</v>
      </c>
      <c r="Q608" s="36">
        <v>0</v>
      </c>
      <c r="T608" s="36">
        <v>336279515.95230734</v>
      </c>
      <c r="W608" s="35">
        <v>4147625.2000000007</v>
      </c>
    </row>
    <row r="609" spans="1:23" x14ac:dyDescent="0.2">
      <c r="A609" s="35">
        <v>9</v>
      </c>
      <c r="B609" s="35" t="s">
        <v>2070</v>
      </c>
      <c r="C609" s="35" t="s">
        <v>1333</v>
      </c>
      <c r="D609" s="36">
        <v>223664979.74999988</v>
      </c>
      <c r="F609" s="36">
        <v>195880702.60074747</v>
      </c>
      <c r="H609" s="36">
        <v>9052346.2020176761</v>
      </c>
      <c r="I609" s="36">
        <v>18731930.947234739</v>
      </c>
      <c r="L609" s="36">
        <v>688.31045243348126</v>
      </c>
      <c r="N609" s="36">
        <v>18731242.636782303</v>
      </c>
      <c r="O609" s="36">
        <v>5813407.5075756889</v>
      </c>
      <c r="P609" s="36">
        <v>12917835.129206613</v>
      </c>
      <c r="Q609" s="36">
        <v>0</v>
      </c>
      <c r="T609" s="36">
        <v>223664979.74999988</v>
      </c>
      <c r="W609" s="35">
        <v>2882424.7999999993</v>
      </c>
    </row>
    <row r="610" spans="1:23" x14ac:dyDescent="0.2">
      <c r="A610" s="35">
        <v>10</v>
      </c>
      <c r="B610" s="35" t="s">
        <v>2071</v>
      </c>
      <c r="C610" s="35" t="s">
        <v>1333</v>
      </c>
      <c r="D610" s="36">
        <v>40483701.869999908</v>
      </c>
      <c r="F610" s="36">
        <v>35454705.403762616</v>
      </c>
      <c r="H610" s="36">
        <v>1638488.4449775368</v>
      </c>
      <c r="I610" s="36">
        <v>3390508.0212597577</v>
      </c>
      <c r="L610" s="36">
        <v>124.58523985949044</v>
      </c>
      <c r="N610" s="36">
        <v>3390383.4360198984</v>
      </c>
      <c r="O610" s="36">
        <v>1052235.6099223599</v>
      </c>
      <c r="P610" s="36">
        <v>2338147.8260975387</v>
      </c>
      <c r="Q610" s="36">
        <v>0</v>
      </c>
      <c r="T610" s="36">
        <v>40483701.869999908</v>
      </c>
      <c r="W610" s="35">
        <v>261828.89999999994</v>
      </c>
    </row>
    <row r="611" spans="1:23" x14ac:dyDescent="0.2">
      <c r="A611" s="35">
        <v>11</v>
      </c>
      <c r="B611" s="35" t="s">
        <v>2072</v>
      </c>
      <c r="C611" s="35" t="s">
        <v>1333</v>
      </c>
      <c r="D611" s="36">
        <v>331002428.3300001</v>
      </c>
      <c r="F611" s="36">
        <v>289884398.96270359</v>
      </c>
      <c r="H611" s="36">
        <v>13396592.431684451</v>
      </c>
      <c r="I611" s="36">
        <v>27721436.935612082</v>
      </c>
      <c r="L611" s="36">
        <v>1018.6325613203354</v>
      </c>
      <c r="N611" s="36">
        <v>27720418.303050764</v>
      </c>
      <c r="O611" s="36">
        <v>8603278.0099514313</v>
      </c>
      <c r="P611" s="36">
        <v>19117140.293099333</v>
      </c>
      <c r="Q611" s="36">
        <v>0</v>
      </c>
      <c r="T611" s="36">
        <v>331002428.3300001</v>
      </c>
      <c r="W611" s="35">
        <v>39082793.100000001</v>
      </c>
    </row>
    <row r="612" spans="1:23" x14ac:dyDescent="0.2">
      <c r="A612" s="35">
        <v>12</v>
      </c>
      <c r="B612" s="35" t="s">
        <v>2073</v>
      </c>
      <c r="C612" s="35" t="s">
        <v>1335</v>
      </c>
      <c r="D612" s="36">
        <v>17053962.5</v>
      </c>
      <c r="F612" s="36">
        <v>0</v>
      </c>
      <c r="H612" s="36">
        <v>5556459.0147776874</v>
      </c>
      <c r="I612" s="36">
        <v>11497503.485222312</v>
      </c>
      <c r="L612" s="36">
        <v>0</v>
      </c>
      <c r="N612" s="36">
        <v>11497503.485222312</v>
      </c>
      <c r="O612" s="36">
        <v>3568352.3178604725</v>
      </c>
      <c r="P612" s="36">
        <v>7929151.1673618397</v>
      </c>
      <c r="Q612" s="36">
        <v>0</v>
      </c>
      <c r="T612" s="36">
        <v>17053962.5</v>
      </c>
    </row>
    <row r="613" spans="1:23" x14ac:dyDescent="0.2">
      <c r="A613" s="35">
        <v>13</v>
      </c>
      <c r="B613" s="35" t="s">
        <v>2074</v>
      </c>
      <c r="C613" s="35" t="s">
        <v>1341</v>
      </c>
      <c r="D613" s="36">
        <v>22028830.600000009</v>
      </c>
      <c r="F613" s="36">
        <v>0</v>
      </c>
      <c r="H613" s="36">
        <v>0</v>
      </c>
      <c r="I613" s="36">
        <v>22028830.600000009</v>
      </c>
      <c r="L613" s="36">
        <v>0</v>
      </c>
      <c r="N613" s="36">
        <v>22028830.600000009</v>
      </c>
      <c r="O613" s="36">
        <v>6836843.218382014</v>
      </c>
      <c r="P613" s="36">
        <v>15191987.381617993</v>
      </c>
      <c r="Q613" s="36">
        <v>0</v>
      </c>
      <c r="T613" s="36">
        <v>22028830.600000009</v>
      </c>
    </row>
    <row r="614" spans="1:23" x14ac:dyDescent="0.2">
      <c r="A614" s="35">
        <v>14</v>
      </c>
      <c r="B614" s="35" t="s">
        <v>1421</v>
      </c>
      <c r="D614" s="36">
        <v>5318250786.5476923</v>
      </c>
      <c r="F614" s="36">
        <v>4623375268.0448971</v>
      </c>
      <c r="H614" s="36">
        <v>219219127.12095672</v>
      </c>
      <c r="I614" s="36">
        <v>475656391.38183838</v>
      </c>
      <c r="L614" s="36">
        <v>16246.202307146548</v>
      </c>
      <c r="N614" s="36">
        <v>475640145.17953122</v>
      </c>
      <c r="O614" s="36">
        <v>147619143.29491976</v>
      </c>
      <c r="P614" s="36">
        <v>328021001.88461149</v>
      </c>
      <c r="Q614" s="36">
        <v>0</v>
      </c>
      <c r="T614" s="36">
        <v>5318250786.5476913</v>
      </c>
      <c r="U614" s="35" t="s">
        <v>583</v>
      </c>
      <c r="V614" s="35" t="s">
        <v>583</v>
      </c>
      <c r="W614" s="35" t="s">
        <v>1099</v>
      </c>
    </row>
    <row r="615" spans="1:23" x14ac:dyDescent="0.2">
      <c r="F615" s="36"/>
    </row>
    <row r="616" spans="1:23" x14ac:dyDescent="0.2">
      <c r="B616" s="35" t="s">
        <v>2075</v>
      </c>
      <c r="F616" s="36"/>
    </row>
    <row r="617" spans="1:23" x14ac:dyDescent="0.2">
      <c r="A617" s="35">
        <v>15</v>
      </c>
      <c r="B617" s="35" t="s">
        <v>2076</v>
      </c>
      <c r="C617" s="35" t="s">
        <v>1333</v>
      </c>
      <c r="D617" s="36">
        <v>879311.47</v>
      </c>
      <c r="F617" s="36">
        <v>770080.98782838695</v>
      </c>
      <c r="H617" s="36">
        <v>35588.190224245795</v>
      </c>
      <c r="I617" s="36">
        <v>73642.291947367208</v>
      </c>
      <c r="L617" s="36">
        <v>2.7060082290135536</v>
      </c>
      <c r="N617" s="36">
        <v>73639.585939138196</v>
      </c>
      <c r="O617" s="36">
        <v>22854.699501500378</v>
      </c>
      <c r="P617" s="36">
        <v>50784.886437637811</v>
      </c>
      <c r="Q617" s="36">
        <v>0</v>
      </c>
      <c r="T617" s="36">
        <v>879311.47</v>
      </c>
    </row>
    <row r="618" spans="1:23" x14ac:dyDescent="0.2">
      <c r="A618" s="35">
        <v>16</v>
      </c>
      <c r="B618" s="35" t="s">
        <v>2077</v>
      </c>
      <c r="C618" s="35" t="s">
        <v>1333</v>
      </c>
      <c r="D618" s="36">
        <v>2930163.9299999997</v>
      </c>
      <c r="F618" s="36">
        <v>2566170.9311189908</v>
      </c>
      <c r="H618" s="36">
        <v>118591.91525053531</v>
      </c>
      <c r="I618" s="36">
        <v>245401.08363047376</v>
      </c>
      <c r="L618" s="36">
        <v>9.017336833942009</v>
      </c>
      <c r="N618" s="36">
        <v>245392.06629363983</v>
      </c>
      <c r="O618" s="36">
        <v>76159.6071415802</v>
      </c>
      <c r="P618" s="36">
        <v>169232.45915205963</v>
      </c>
      <c r="Q618" s="36">
        <v>0</v>
      </c>
      <c r="T618" s="36">
        <v>2930163.9299999997</v>
      </c>
    </row>
    <row r="619" spans="1:23" x14ac:dyDescent="0.2">
      <c r="A619" s="35">
        <v>17</v>
      </c>
      <c r="B619" s="35" t="s">
        <v>2078</v>
      </c>
      <c r="C619" s="35" t="s">
        <v>1333</v>
      </c>
      <c r="D619" s="36">
        <v>21842694.069999989</v>
      </c>
      <c r="F619" s="36">
        <v>19129334.712600581</v>
      </c>
      <c r="H619" s="36">
        <v>884034.81370846368</v>
      </c>
      <c r="I619" s="36">
        <v>1829324.5436909471</v>
      </c>
      <c r="L619" s="36">
        <v>67.219082104371424</v>
      </c>
      <c r="N619" s="36">
        <v>1829257.3246088428</v>
      </c>
      <c r="O619" s="36">
        <v>567726.25662787515</v>
      </c>
      <c r="P619" s="36">
        <v>1261531.0679809677</v>
      </c>
      <c r="Q619" s="36">
        <v>0</v>
      </c>
      <c r="T619" s="36">
        <v>21842694.069999993</v>
      </c>
      <c r="W619" s="35">
        <v>42952.299999999996</v>
      </c>
    </row>
    <row r="620" spans="1:23" x14ac:dyDescent="0.2">
      <c r="A620" s="35">
        <v>18</v>
      </c>
      <c r="B620" s="35" t="s">
        <v>2079</v>
      </c>
      <c r="C620" s="35" t="s">
        <v>1333</v>
      </c>
      <c r="D620" s="36">
        <v>13988241.580000002</v>
      </c>
      <c r="F620" s="36">
        <v>12250583.850462588</v>
      </c>
      <c r="H620" s="36">
        <v>566143.19184502913</v>
      </c>
      <c r="I620" s="36">
        <v>1171514.5376923846</v>
      </c>
      <c r="L620" s="36">
        <v>43.047655030486013</v>
      </c>
      <c r="N620" s="36">
        <v>1171471.4900373542</v>
      </c>
      <c r="O620" s="36">
        <v>363576.58096430026</v>
      </c>
      <c r="P620" s="36">
        <v>807894.90907305398</v>
      </c>
      <c r="Q620" s="36">
        <v>0</v>
      </c>
      <c r="T620" s="36">
        <v>13988241.58</v>
      </c>
      <c r="W620" s="35">
        <v>58500</v>
      </c>
    </row>
    <row r="621" spans="1:23" x14ac:dyDescent="0.2">
      <c r="A621" s="35">
        <v>19</v>
      </c>
      <c r="B621" s="35" t="s">
        <v>2080</v>
      </c>
      <c r="C621" s="35" t="s">
        <v>1333</v>
      </c>
      <c r="D621" s="36">
        <v>1358700.3900000004</v>
      </c>
      <c r="F621" s="36">
        <v>1189918.901540105</v>
      </c>
      <c r="H621" s="36">
        <v>54990.398268177894</v>
      </c>
      <c r="I621" s="36">
        <v>113791.09019171754</v>
      </c>
      <c r="L621" s="36">
        <v>4.1812879298662233</v>
      </c>
      <c r="N621" s="36">
        <v>113786.90890378767</v>
      </c>
      <c r="O621" s="36">
        <v>35314.777738565586</v>
      </c>
      <c r="P621" s="36">
        <v>78472.131165222076</v>
      </c>
      <c r="Q621" s="36">
        <v>0</v>
      </c>
      <c r="T621" s="36">
        <v>1358700.3900000004</v>
      </c>
      <c r="W621" s="35">
        <v>3884.3999999999996</v>
      </c>
    </row>
    <row r="622" spans="1:23" x14ac:dyDescent="0.2">
      <c r="A622" s="35">
        <v>20</v>
      </c>
      <c r="B622" s="35" t="s">
        <v>2081</v>
      </c>
      <c r="C622" s="35" t="s">
        <v>1333</v>
      </c>
      <c r="D622" s="36">
        <v>316126.73999999993</v>
      </c>
      <c r="F622" s="36">
        <v>276856.60943120375</v>
      </c>
      <c r="H622" s="36">
        <v>12794.531792119908</v>
      </c>
      <c r="I622" s="36">
        <v>26475.598776676303</v>
      </c>
      <c r="L622" s="36">
        <v>0.9728538624103561</v>
      </c>
      <c r="N622" s="36">
        <v>26474.625922813892</v>
      </c>
      <c r="O622" s="36">
        <v>8216.6352806576469</v>
      </c>
      <c r="P622" s="36">
        <v>18257.990642156245</v>
      </c>
      <c r="Q622" s="36">
        <v>0</v>
      </c>
      <c r="T622" s="36">
        <v>316126.73999999993</v>
      </c>
      <c r="W622" s="35">
        <v>820.00000000000023</v>
      </c>
    </row>
    <row r="623" spans="1:23" x14ac:dyDescent="0.2">
      <c r="A623" s="35">
        <v>21</v>
      </c>
      <c r="B623" s="35" t="s">
        <v>2082</v>
      </c>
      <c r="C623" s="35" t="s">
        <v>1333</v>
      </c>
      <c r="D623" s="36">
        <v>890278.36076923099</v>
      </c>
      <c r="F623" s="36">
        <v>779685.54135135585</v>
      </c>
      <c r="H623" s="36">
        <v>36032.05091318224</v>
      </c>
      <c r="I623" s="36">
        <v>74560.768504692911</v>
      </c>
      <c r="L623" s="36">
        <v>2.7397579271361447</v>
      </c>
      <c r="N623" s="36">
        <v>74558.028746765776</v>
      </c>
      <c r="O623" s="36">
        <v>23139.746383689409</v>
      </c>
      <c r="P623" s="36">
        <v>51418.28236307636</v>
      </c>
      <c r="Q623" s="36">
        <v>0</v>
      </c>
      <c r="T623" s="36">
        <v>890278.36076923099</v>
      </c>
      <c r="W623" s="35">
        <v>106156.69999999998</v>
      </c>
    </row>
    <row r="624" spans="1:23" x14ac:dyDescent="0.2">
      <c r="A624" s="35">
        <v>22</v>
      </c>
      <c r="B624" s="35" t="s">
        <v>2083</v>
      </c>
      <c r="C624" s="35" t="s">
        <v>1333</v>
      </c>
      <c r="D624" s="36">
        <v>274310.53999999998</v>
      </c>
      <c r="F624" s="36">
        <v>240234.93246930835</v>
      </c>
      <c r="H624" s="36">
        <v>11102.113427492972</v>
      </c>
      <c r="I624" s="36">
        <v>22973.494103198664</v>
      </c>
      <c r="L624" s="36">
        <v>0.84416796990621701</v>
      </c>
      <c r="N624" s="36">
        <v>22972.649935228757</v>
      </c>
      <c r="O624" s="36">
        <v>7129.7659312851902</v>
      </c>
      <c r="P624" s="36">
        <v>15842.884003943567</v>
      </c>
      <c r="Q624" s="36">
        <v>0</v>
      </c>
      <c r="T624" s="36">
        <v>274310.53999999998</v>
      </c>
    </row>
    <row r="625" spans="1:23" x14ac:dyDescent="0.2">
      <c r="A625" s="35">
        <v>23</v>
      </c>
      <c r="B625" s="35" t="s">
        <v>2073</v>
      </c>
      <c r="C625" s="35" t="s">
        <v>1335</v>
      </c>
      <c r="D625" s="36">
        <v>820.00000000000023</v>
      </c>
      <c r="F625" s="36">
        <v>0</v>
      </c>
      <c r="H625" s="36">
        <v>267.16936853342469</v>
      </c>
      <c r="I625" s="36">
        <v>552.83063146657548</v>
      </c>
      <c r="L625" s="36">
        <v>0</v>
      </c>
      <c r="N625" s="36">
        <v>552.83063146657548</v>
      </c>
      <c r="O625" s="36">
        <v>171.5758962555235</v>
      </c>
      <c r="P625" s="36">
        <v>381.25473521105198</v>
      </c>
      <c r="Q625" s="36">
        <v>0</v>
      </c>
      <c r="T625" s="36">
        <v>820.00000000000023</v>
      </c>
    </row>
    <row r="626" spans="1:23" x14ac:dyDescent="0.2">
      <c r="A626" s="35">
        <v>24</v>
      </c>
      <c r="B626" s="35" t="s">
        <v>2074</v>
      </c>
      <c r="C626" s="35" t="s">
        <v>1341</v>
      </c>
      <c r="D626" s="36">
        <v>105336.69999999998</v>
      </c>
      <c r="F626" s="36">
        <v>0</v>
      </c>
      <c r="H626" s="36">
        <v>0</v>
      </c>
      <c r="I626" s="36">
        <v>105336.69999999998</v>
      </c>
      <c r="L626" s="36">
        <v>0</v>
      </c>
      <c r="N626" s="36">
        <v>105336.69999999998</v>
      </c>
      <c r="O626" s="36">
        <v>32692.180357578323</v>
      </c>
      <c r="P626" s="36">
        <v>72644.519642421656</v>
      </c>
      <c r="Q626" s="36">
        <v>0</v>
      </c>
      <c r="T626" s="36">
        <v>105336.69999999998</v>
      </c>
    </row>
    <row r="627" spans="1:23" x14ac:dyDescent="0.2">
      <c r="A627" s="35">
        <v>25</v>
      </c>
      <c r="B627" s="35" t="s">
        <v>1100</v>
      </c>
      <c r="D627" s="36">
        <v>42585983.780769229</v>
      </c>
      <c r="F627" s="36">
        <v>37202866.466802523</v>
      </c>
      <c r="H627" s="36">
        <v>1719544.3747977805</v>
      </c>
      <c r="I627" s="36">
        <v>3663572.9391689245</v>
      </c>
      <c r="L627" s="36">
        <v>130.72814988713193</v>
      </c>
      <c r="N627" s="36">
        <v>3663442.2110190373</v>
      </c>
      <c r="O627" s="36">
        <v>1136981.8258232872</v>
      </c>
      <c r="P627" s="36">
        <v>2526460.3851957503</v>
      </c>
      <c r="Q627" s="36">
        <v>0</v>
      </c>
      <c r="T627" s="36">
        <v>42585983.780769229</v>
      </c>
      <c r="U627" s="35" t="s">
        <v>583</v>
      </c>
      <c r="V627" s="35" t="s">
        <v>583</v>
      </c>
      <c r="W627" s="35" t="s">
        <v>1101</v>
      </c>
    </row>
    <row r="628" spans="1:23" x14ac:dyDescent="0.2">
      <c r="F628" s="36"/>
    </row>
    <row r="629" spans="1:23" x14ac:dyDescent="0.2">
      <c r="B629" s="35" t="s">
        <v>2084</v>
      </c>
      <c r="F629" s="36"/>
    </row>
    <row r="630" spans="1:23" x14ac:dyDescent="0.2">
      <c r="A630" s="35">
        <v>26</v>
      </c>
      <c r="B630" s="35" t="s">
        <v>2085</v>
      </c>
      <c r="C630" s="35" t="s">
        <v>1333</v>
      </c>
      <c r="D630" s="36">
        <v>473578.51999999996</v>
      </c>
      <c r="F630" s="36">
        <v>414749.2975337914</v>
      </c>
      <c r="H630" s="36">
        <v>19167.044933323556</v>
      </c>
      <c r="I630" s="36">
        <v>39662.177532884991</v>
      </c>
      <c r="L630" s="36">
        <v>1.4573986760391735</v>
      </c>
      <c r="N630" s="36">
        <v>39660.720134208954</v>
      </c>
      <c r="O630" s="36">
        <v>12309.056727038129</v>
      </c>
      <c r="P630" s="36">
        <v>27351.663407170821</v>
      </c>
      <c r="Q630" s="36">
        <v>0</v>
      </c>
      <c r="T630" s="36">
        <v>473578.5199999999</v>
      </c>
    </row>
    <row r="631" spans="1:23" x14ac:dyDescent="0.2">
      <c r="A631" s="35">
        <v>27</v>
      </c>
      <c r="B631" s="35" t="s">
        <v>2086</v>
      </c>
      <c r="C631" s="35" t="s">
        <v>1333</v>
      </c>
      <c r="D631" s="36">
        <v>85199545.33615385</v>
      </c>
      <c r="F631" s="36">
        <v>74615824.168647319</v>
      </c>
      <c r="H631" s="36">
        <v>3448263.4764701715</v>
      </c>
      <c r="I631" s="36">
        <v>7135457.6910363631</v>
      </c>
      <c r="L631" s="36">
        <v>262.19454499762827</v>
      </c>
      <c r="N631" s="36">
        <v>7135195.4964913651</v>
      </c>
      <c r="O631" s="36">
        <v>2214471.2911822409</v>
      </c>
      <c r="P631" s="36">
        <v>4920724.2053091247</v>
      </c>
      <c r="Q631" s="36">
        <v>0</v>
      </c>
      <c r="T631" s="36">
        <v>85199545.33615385</v>
      </c>
      <c r="W631" s="35">
        <v>198396.9</v>
      </c>
    </row>
    <row r="632" spans="1:23" x14ac:dyDescent="0.2">
      <c r="A632" s="35">
        <v>28</v>
      </c>
      <c r="B632" s="35" t="s">
        <v>2087</v>
      </c>
      <c r="C632" s="35" t="s">
        <v>1333</v>
      </c>
      <c r="D632" s="36">
        <v>61689624.470000014</v>
      </c>
      <c r="F632" s="36">
        <v>54026370.144608535</v>
      </c>
      <c r="H632" s="36">
        <v>2496751.3394322586</v>
      </c>
      <c r="I632" s="36">
        <v>5166502.985959217</v>
      </c>
      <c r="L632" s="36">
        <v>189.84471049897243</v>
      </c>
      <c r="N632" s="36">
        <v>5166313.1412487179</v>
      </c>
      <c r="O632" s="36">
        <v>1603411.1662642758</v>
      </c>
      <c r="P632" s="36">
        <v>3562901.9749844423</v>
      </c>
      <c r="Q632" s="36">
        <v>0</v>
      </c>
      <c r="T632" s="36">
        <v>61689624.470000006</v>
      </c>
      <c r="W632" s="35">
        <v>61463.500000000007</v>
      </c>
    </row>
    <row r="633" spans="1:23" x14ac:dyDescent="0.2">
      <c r="A633" s="35">
        <v>29</v>
      </c>
      <c r="B633" s="35" t="s">
        <v>2088</v>
      </c>
      <c r="C633" s="35" t="s">
        <v>1333</v>
      </c>
      <c r="D633" s="36">
        <v>655616106.30230772</v>
      </c>
      <c r="F633" s="36">
        <v>574173675.65725255</v>
      </c>
      <c r="H633" s="36">
        <v>26534614.299033172</v>
      </c>
      <c r="I633" s="36">
        <v>54907816.346022055</v>
      </c>
      <c r="L633" s="36">
        <v>2017.6042724972863</v>
      </c>
      <c r="N633" s="36">
        <v>54905798.741749555</v>
      </c>
      <c r="O633" s="36">
        <v>17040502.266941853</v>
      </c>
      <c r="P633" s="36">
        <v>37865296.474807702</v>
      </c>
      <c r="Q633" s="36">
        <v>0</v>
      </c>
      <c r="T633" s="36">
        <v>655616106.30230772</v>
      </c>
      <c r="W633" s="35">
        <v>1328855.8000000003</v>
      </c>
    </row>
    <row r="634" spans="1:23" x14ac:dyDescent="0.2">
      <c r="A634" s="35">
        <v>30</v>
      </c>
      <c r="B634" s="35" t="s">
        <v>2089</v>
      </c>
      <c r="C634" s="35" t="s">
        <v>1333</v>
      </c>
      <c r="D634" s="36">
        <v>131076789.80999993</v>
      </c>
      <c r="F634" s="36">
        <v>114794071.52309589</v>
      </c>
      <c r="H634" s="36">
        <v>5305043.6493700687</v>
      </c>
      <c r="I634" s="36">
        <v>10977674.637533957</v>
      </c>
      <c r="L634" s="36">
        <v>403.377965555868</v>
      </c>
      <c r="N634" s="36">
        <v>10977271.259568401</v>
      </c>
      <c r="O634" s="36">
        <v>3406893.6263607196</v>
      </c>
      <c r="P634" s="36">
        <v>7570377.6332076816</v>
      </c>
      <c r="Q634" s="36">
        <v>0</v>
      </c>
      <c r="T634" s="36">
        <v>131076789.80999991</v>
      </c>
      <c r="W634" s="35">
        <v>266676.09999999992</v>
      </c>
    </row>
    <row r="635" spans="1:23" x14ac:dyDescent="0.2">
      <c r="A635" s="35">
        <v>31</v>
      </c>
      <c r="B635" s="35" t="s">
        <v>2090</v>
      </c>
      <c r="C635" s="35" t="s">
        <v>1333</v>
      </c>
      <c r="D635" s="36">
        <v>75753692.926923066</v>
      </c>
      <c r="F635" s="36">
        <v>66343361.449399963</v>
      </c>
      <c r="H635" s="36">
        <v>3065963.4566946356</v>
      </c>
      <c r="I635" s="36">
        <v>6344368.0208284725</v>
      </c>
      <c r="L635" s="36">
        <v>233.12571646360948</v>
      </c>
      <c r="N635" s="36">
        <v>6344134.8951120088</v>
      </c>
      <c r="O635" s="36">
        <v>1968958.6080046941</v>
      </c>
      <c r="P635" s="36">
        <v>4375176.2871073149</v>
      </c>
      <c r="Q635" s="36">
        <v>0</v>
      </c>
      <c r="T635" s="36">
        <v>75753692.926923066</v>
      </c>
      <c r="W635" s="35">
        <v>183372.2</v>
      </c>
    </row>
    <row r="636" spans="1:23" x14ac:dyDescent="0.2">
      <c r="A636" s="35">
        <v>32</v>
      </c>
      <c r="B636" s="35" t="s">
        <v>2091</v>
      </c>
      <c r="C636" s="35" t="s">
        <v>1333</v>
      </c>
      <c r="D636" s="36">
        <v>11856036.123076925</v>
      </c>
      <c r="F636" s="36">
        <v>10383246.80262401</v>
      </c>
      <c r="H636" s="36">
        <v>479846.88389609114</v>
      </c>
      <c r="I636" s="36">
        <v>992942.4365568239</v>
      </c>
      <c r="L636" s="36">
        <v>36.485969314750449</v>
      </c>
      <c r="N636" s="36">
        <v>992905.9505875092</v>
      </c>
      <c r="O636" s="36">
        <v>308157.17992608092</v>
      </c>
      <c r="P636" s="36">
        <v>684748.77066142822</v>
      </c>
      <c r="Q636" s="36">
        <v>0</v>
      </c>
      <c r="T636" s="36">
        <v>11856036.123076925</v>
      </c>
      <c r="W636" s="35">
        <v>11309.3</v>
      </c>
    </row>
    <row r="637" spans="1:23" x14ac:dyDescent="0.2">
      <c r="A637" s="35">
        <v>33</v>
      </c>
      <c r="B637" s="35" t="s">
        <v>2092</v>
      </c>
      <c r="C637" s="35" t="s">
        <v>1333</v>
      </c>
      <c r="D637" s="36">
        <v>403344.08999999997</v>
      </c>
      <c r="F637" s="36">
        <v>353239.58103485423</v>
      </c>
      <c r="H637" s="36">
        <v>16324.461457036734</v>
      </c>
      <c r="I637" s="36">
        <v>33780.047508108983</v>
      </c>
      <c r="L637" s="36">
        <v>1.2412580341570925</v>
      </c>
      <c r="N637" s="36">
        <v>33778.806250074827</v>
      </c>
      <c r="O637" s="36">
        <v>10483.552514851333</v>
      </c>
      <c r="P637" s="36">
        <v>23295.253735223494</v>
      </c>
      <c r="Q637" s="36">
        <v>0</v>
      </c>
      <c r="T637" s="36">
        <v>403344.08999999991</v>
      </c>
      <c r="W637" s="35">
        <v>2050073.8</v>
      </c>
    </row>
    <row r="638" spans="1:23" x14ac:dyDescent="0.2">
      <c r="A638" s="35">
        <v>34</v>
      </c>
      <c r="B638" s="35" t="s">
        <v>2073</v>
      </c>
      <c r="C638" s="35" t="s">
        <v>1335</v>
      </c>
      <c r="D638" s="36">
        <v>1987.3000000000002</v>
      </c>
      <c r="F638" s="36">
        <v>0</v>
      </c>
      <c r="H638" s="36">
        <v>647.49473912984729</v>
      </c>
      <c r="I638" s="36">
        <v>1339.8052608701528</v>
      </c>
      <c r="L638" s="36">
        <v>0</v>
      </c>
      <c r="N638" s="36">
        <v>1339.8052608701528</v>
      </c>
      <c r="O638" s="36">
        <v>415.82046174219732</v>
      </c>
      <c r="P638" s="36">
        <v>923.98479912795551</v>
      </c>
      <c r="Q638" s="36">
        <v>0</v>
      </c>
      <c r="T638" s="36">
        <v>1987.3000000000002</v>
      </c>
    </row>
    <row r="639" spans="1:23" x14ac:dyDescent="0.2">
      <c r="A639" s="35">
        <v>35</v>
      </c>
      <c r="B639" s="35" t="s">
        <v>2074</v>
      </c>
      <c r="C639" s="35" t="s">
        <v>1341</v>
      </c>
      <c r="D639" s="36">
        <v>2048086.5</v>
      </c>
      <c r="F639" s="36">
        <v>0</v>
      </c>
      <c r="H639" s="36">
        <v>0</v>
      </c>
      <c r="I639" s="36">
        <v>2048086.5</v>
      </c>
      <c r="L639" s="36">
        <v>0</v>
      </c>
      <c r="N639" s="36">
        <v>2048086.5</v>
      </c>
      <c r="O639" s="36">
        <v>635641.8346684617</v>
      </c>
      <c r="P639" s="36">
        <v>1412444.6653315383</v>
      </c>
      <c r="Q639" s="36">
        <v>0</v>
      </c>
      <c r="T639" s="36">
        <v>2048086.5000000002</v>
      </c>
    </row>
    <row r="640" spans="1:23" x14ac:dyDescent="0.2">
      <c r="A640" s="35">
        <v>36</v>
      </c>
      <c r="B640" s="35" t="s">
        <v>1102</v>
      </c>
      <c r="D640" s="36">
        <v>1024118791.3784616</v>
      </c>
      <c r="F640" s="36">
        <v>895104538.62419689</v>
      </c>
      <c r="H640" s="36">
        <v>41366622.106025882</v>
      </c>
      <c r="I640" s="36">
        <v>87647630.648238748</v>
      </c>
      <c r="L640" s="36">
        <v>3145.3318360383109</v>
      </c>
      <c r="N640" s="36">
        <v>87644485.316402704</v>
      </c>
      <c r="O640" s="36">
        <v>27201244.403051957</v>
      </c>
      <c r="P640" s="36">
        <v>60443240.913350739</v>
      </c>
      <c r="Q640" s="36">
        <v>0</v>
      </c>
      <c r="T640" s="36">
        <v>1024118791.3784615</v>
      </c>
      <c r="U640" s="35" t="s">
        <v>583</v>
      </c>
      <c r="V640" s="35" t="s">
        <v>583</v>
      </c>
      <c r="W640" s="35" t="s">
        <v>1103</v>
      </c>
    </row>
    <row r="641" spans="1:23" x14ac:dyDescent="0.2">
      <c r="F641" s="36"/>
    </row>
    <row r="642" spans="1:23" x14ac:dyDescent="0.2">
      <c r="A642" s="35">
        <v>37</v>
      </c>
      <c r="B642" s="35" t="s">
        <v>949</v>
      </c>
      <c r="D642" s="36">
        <v>6384955561.7069225</v>
      </c>
      <c r="F642" s="36">
        <v>5555682673.1358967</v>
      </c>
      <c r="H642" s="36">
        <v>262305293.60178038</v>
      </c>
      <c r="I642" s="36">
        <v>566967594.96924615</v>
      </c>
      <c r="L642" s="36">
        <v>19522.262293071992</v>
      </c>
      <c r="N642" s="36">
        <v>566948072.70695305</v>
      </c>
      <c r="O642" s="36">
        <v>175957369.52379501</v>
      </c>
      <c r="P642" s="36">
        <v>390990703.18315798</v>
      </c>
      <c r="Q642" s="36">
        <v>0</v>
      </c>
    </row>
    <row r="643" spans="1:23" x14ac:dyDescent="0.2">
      <c r="F643" s="36"/>
    </row>
    <row r="644" spans="1:23" x14ac:dyDescent="0.2">
      <c r="B644" s="35" t="s">
        <v>1110</v>
      </c>
      <c r="F644" s="36"/>
    </row>
    <row r="645" spans="1:23" x14ac:dyDescent="0.2">
      <c r="F645" s="36"/>
    </row>
    <row r="646" spans="1:23" x14ac:dyDescent="0.2">
      <c r="B646" s="35" t="s">
        <v>1104</v>
      </c>
      <c r="F646" s="36"/>
    </row>
    <row r="647" spans="1:23" x14ac:dyDescent="0.2">
      <c r="B647" s="35" t="s">
        <v>1648</v>
      </c>
      <c r="F647" s="36"/>
      <c r="R647" s="35" t="s">
        <v>1105</v>
      </c>
      <c r="W647" s="35" t="s">
        <v>2093</v>
      </c>
    </row>
    <row r="648" spans="1:23" x14ac:dyDescent="0.2">
      <c r="A648" s="35">
        <v>1</v>
      </c>
      <c r="B648" s="35" t="s">
        <v>2094</v>
      </c>
      <c r="C648" s="35" t="s">
        <v>1955</v>
      </c>
      <c r="D648" s="36">
        <v>29542336.749999996</v>
      </c>
      <c r="F648" s="36">
        <v>28237291.529314786</v>
      </c>
      <c r="H648" s="36">
        <v>1304945.9969094638</v>
      </c>
      <c r="I648" s="36">
        <v>99.223775747088837</v>
      </c>
      <c r="L648" s="36">
        <v>99.223775747088837</v>
      </c>
      <c r="N648" s="36">
        <v>0</v>
      </c>
      <c r="O648" s="36">
        <v>0</v>
      </c>
      <c r="P648" s="36">
        <v>0</v>
      </c>
      <c r="Q648" s="36">
        <v>0</v>
      </c>
      <c r="T648" s="36">
        <v>29542336.749999996</v>
      </c>
      <c r="W648" s="35">
        <v>82596.900000000009</v>
      </c>
    </row>
    <row r="649" spans="1:23" x14ac:dyDescent="0.2">
      <c r="A649" s="35">
        <v>2</v>
      </c>
      <c r="B649" s="35" t="s">
        <v>2095</v>
      </c>
      <c r="C649" s="35" t="s">
        <v>1955</v>
      </c>
      <c r="D649" s="36">
        <v>27098118.149999999</v>
      </c>
      <c r="F649" s="36">
        <v>25901047.319737371</v>
      </c>
      <c r="H649" s="36">
        <v>1196979.8158780443</v>
      </c>
      <c r="I649" s="36">
        <v>91.014384584310775</v>
      </c>
      <c r="L649" s="36">
        <v>91.014384584310775</v>
      </c>
      <c r="N649" s="36">
        <v>0</v>
      </c>
      <c r="O649" s="36">
        <v>0</v>
      </c>
      <c r="P649" s="36">
        <v>0</v>
      </c>
      <c r="Q649" s="36">
        <v>0</v>
      </c>
      <c r="T649" s="36">
        <v>27098118.149999999</v>
      </c>
      <c r="W649" s="35">
        <v>113683.1</v>
      </c>
    </row>
    <row r="650" spans="1:23" x14ac:dyDescent="0.2">
      <c r="A650" s="35">
        <v>3</v>
      </c>
      <c r="B650" s="35" t="s">
        <v>2096</v>
      </c>
      <c r="C650" s="35" t="s">
        <v>1955</v>
      </c>
      <c r="D650" s="36">
        <v>291246029.45923078</v>
      </c>
      <c r="F650" s="36">
        <v>278380112.92710966</v>
      </c>
      <c r="H650" s="36">
        <v>12864938.324778892</v>
      </c>
      <c r="I650" s="36">
        <v>978.20734218977248</v>
      </c>
      <c r="L650" s="36">
        <v>978.20734218977248</v>
      </c>
      <c r="N650" s="36">
        <v>0</v>
      </c>
      <c r="O650" s="36">
        <v>0</v>
      </c>
      <c r="P650" s="36">
        <v>0</v>
      </c>
      <c r="Q650" s="36">
        <v>0</v>
      </c>
      <c r="T650" s="36">
        <v>291246029.45923072</v>
      </c>
      <c r="W650" s="35">
        <v>1342017.1000000001</v>
      </c>
    </row>
    <row r="651" spans="1:23" x14ac:dyDescent="0.2">
      <c r="A651" s="35">
        <v>4</v>
      </c>
      <c r="B651" s="35" t="s">
        <v>2097</v>
      </c>
      <c r="C651" s="35" t="s">
        <v>1955</v>
      </c>
      <c r="D651" s="36">
        <v>68226965.939999983</v>
      </c>
      <c r="F651" s="36">
        <v>65213010.863414869</v>
      </c>
      <c r="H651" s="36">
        <v>3013725.9228378851</v>
      </c>
      <c r="I651" s="36">
        <v>229.15374723479945</v>
      </c>
      <c r="L651" s="36">
        <v>229.15374723479945</v>
      </c>
      <c r="N651" s="36">
        <v>0</v>
      </c>
      <c r="O651" s="36">
        <v>0</v>
      </c>
      <c r="P651" s="36">
        <v>0</v>
      </c>
      <c r="Q651" s="36">
        <v>0</v>
      </c>
      <c r="T651" s="36">
        <v>68226965.939999983</v>
      </c>
      <c r="W651" s="35">
        <v>962965.40000000014</v>
      </c>
    </row>
    <row r="652" spans="1:23" x14ac:dyDescent="0.2">
      <c r="A652" s="35">
        <v>5</v>
      </c>
      <c r="B652" s="35" t="s">
        <v>2098</v>
      </c>
      <c r="C652" s="35" t="s">
        <v>1955</v>
      </c>
      <c r="D652" s="36">
        <v>328873636.04384613</v>
      </c>
      <c r="F652" s="36">
        <v>314345504.07647938</v>
      </c>
      <c r="H652" s="36">
        <v>14527027.380272381</v>
      </c>
      <c r="I652" s="36">
        <v>1104.5870943822447</v>
      </c>
      <c r="L652" s="36">
        <v>1104.5870943822447</v>
      </c>
      <c r="N652" s="36">
        <v>0</v>
      </c>
      <c r="O652" s="36">
        <v>0</v>
      </c>
      <c r="P652" s="36">
        <v>0</v>
      </c>
      <c r="Q652" s="36">
        <v>0</v>
      </c>
      <c r="T652" s="36">
        <v>328873636.04384613</v>
      </c>
      <c r="W652" s="35">
        <v>825743.50000000023</v>
      </c>
    </row>
    <row r="653" spans="1:23" x14ac:dyDescent="0.2">
      <c r="A653" s="35">
        <v>6</v>
      </c>
      <c r="B653" s="35" t="s">
        <v>2099</v>
      </c>
      <c r="C653" s="35" t="s">
        <v>1955</v>
      </c>
      <c r="D653" s="36">
        <v>166807898.2976923</v>
      </c>
      <c r="F653" s="36">
        <v>159439088.83999264</v>
      </c>
      <c r="H653" s="36">
        <v>7368249.200410815</v>
      </c>
      <c r="I653" s="36">
        <v>560.25728883932732</v>
      </c>
      <c r="L653" s="36">
        <v>560.25728883932732</v>
      </c>
      <c r="N653" s="36">
        <v>0</v>
      </c>
      <c r="O653" s="36">
        <v>0</v>
      </c>
      <c r="P653" s="36">
        <v>0</v>
      </c>
      <c r="Q653" s="36">
        <v>0</v>
      </c>
      <c r="T653" s="36">
        <v>166807898.2976923</v>
      </c>
      <c r="W653" s="35">
        <v>1242945.5</v>
      </c>
    </row>
    <row r="654" spans="1:23" x14ac:dyDescent="0.2">
      <c r="A654" s="35">
        <v>7</v>
      </c>
      <c r="B654" s="35" t="s">
        <v>2100</v>
      </c>
      <c r="C654" s="35" t="s">
        <v>1955</v>
      </c>
      <c r="D654" s="36">
        <v>447363.26</v>
      </c>
      <c r="F654" s="36">
        <v>427600.79877989512</v>
      </c>
      <c r="H654" s="36">
        <v>19760.958662194102</v>
      </c>
      <c r="I654" s="36">
        <v>1.5025579108168077</v>
      </c>
      <c r="L654" s="36">
        <v>1.5025579108168077</v>
      </c>
      <c r="N654" s="36">
        <v>0</v>
      </c>
      <c r="O654" s="36">
        <v>0</v>
      </c>
      <c r="P654" s="36">
        <v>0</v>
      </c>
      <c r="Q654" s="36">
        <v>0</v>
      </c>
      <c r="T654" s="36">
        <v>447363.26</v>
      </c>
      <c r="W654" s="35">
        <v>1397</v>
      </c>
    </row>
    <row r="655" spans="1:23" x14ac:dyDescent="0.2">
      <c r="A655" s="35">
        <v>8</v>
      </c>
      <c r="B655" s="35" t="s">
        <v>2101</v>
      </c>
      <c r="C655" s="35" t="s">
        <v>1955</v>
      </c>
      <c r="D655" s="36">
        <v>1113375.08</v>
      </c>
      <c r="F655" s="36">
        <v>1064191.2649456945</v>
      </c>
      <c r="H655" s="36">
        <v>49180.075564088685</v>
      </c>
      <c r="I655" s="36">
        <v>3.7394902168772113</v>
      </c>
      <c r="L655" s="36">
        <v>3.7394902168772113</v>
      </c>
      <c r="N655" s="36">
        <v>0</v>
      </c>
      <c r="O655" s="36">
        <v>0</v>
      </c>
      <c r="P655" s="36">
        <v>0</v>
      </c>
      <c r="Q655" s="36">
        <v>0</v>
      </c>
      <c r="T655" s="36">
        <v>1113375.08</v>
      </c>
      <c r="W655" s="35">
        <v>3338.9999999999995</v>
      </c>
    </row>
    <row r="656" spans="1:23" x14ac:dyDescent="0.2">
      <c r="A656" s="35">
        <v>9</v>
      </c>
      <c r="B656" s="35" t="s">
        <v>2102</v>
      </c>
      <c r="C656" s="35" t="s">
        <v>1955</v>
      </c>
      <c r="D656" s="36">
        <v>413450.63</v>
      </c>
      <c r="F656" s="36">
        <v>395186.27355328837</v>
      </c>
      <c r="H656" s="36">
        <v>18262.967791070078</v>
      </c>
      <c r="I656" s="36">
        <v>1.3886556415891036</v>
      </c>
      <c r="L656" s="36">
        <v>1.3886556415891036</v>
      </c>
      <c r="N656" s="36">
        <v>0</v>
      </c>
      <c r="O656" s="36">
        <v>0</v>
      </c>
      <c r="P656" s="36">
        <v>0</v>
      </c>
      <c r="Q656" s="36">
        <v>0</v>
      </c>
      <c r="T656" s="36">
        <v>413450.63</v>
      </c>
      <c r="W656" s="35">
        <v>4574687.5</v>
      </c>
    </row>
    <row r="657" spans="1:24" x14ac:dyDescent="0.2">
      <c r="A657" s="35">
        <v>10</v>
      </c>
      <c r="B657" s="35" t="s">
        <v>2073</v>
      </c>
      <c r="C657" s="35" t="s">
        <v>1335</v>
      </c>
      <c r="D657" s="36">
        <v>3143920.9000000004</v>
      </c>
      <c r="F657" s="36">
        <v>0</v>
      </c>
      <c r="H657" s="36">
        <v>1024340.6848439465</v>
      </c>
      <c r="I657" s="36">
        <v>2119580.2151560537</v>
      </c>
      <c r="L657" s="36">
        <v>0</v>
      </c>
      <c r="N657" s="36">
        <v>2119580.2151560537</v>
      </c>
      <c r="O657" s="36">
        <v>657830.54411460005</v>
      </c>
      <c r="P657" s="36">
        <v>1461749.6710414537</v>
      </c>
      <c r="Q657" s="36">
        <v>0</v>
      </c>
      <c r="T657" s="36">
        <v>3143920.9000000004</v>
      </c>
    </row>
    <row r="658" spans="1:24" x14ac:dyDescent="0.2">
      <c r="A658" s="35">
        <v>11</v>
      </c>
      <c r="B658" s="35" t="s">
        <v>2074</v>
      </c>
      <c r="C658" s="35" t="s">
        <v>1341</v>
      </c>
      <c r="D658" s="36">
        <v>1430766.6</v>
      </c>
      <c r="F658" s="36">
        <v>0</v>
      </c>
      <c r="H658" s="36">
        <v>0</v>
      </c>
      <c r="I658" s="36">
        <v>1430766.6</v>
      </c>
      <c r="L658" s="36">
        <v>0</v>
      </c>
      <c r="N658" s="36">
        <v>1430766.6</v>
      </c>
      <c r="O658" s="36">
        <v>444051.1211837767</v>
      </c>
      <c r="P658" s="36">
        <v>986715.47881622333</v>
      </c>
      <c r="Q658" s="36">
        <v>0</v>
      </c>
      <c r="T658" s="36">
        <v>1430766.6</v>
      </c>
    </row>
    <row r="659" spans="1:24" x14ac:dyDescent="0.2">
      <c r="A659" s="35">
        <v>12</v>
      </c>
      <c r="B659" s="35" t="s">
        <v>2103</v>
      </c>
      <c r="D659" s="36">
        <v>918343861.11076915</v>
      </c>
      <c r="F659" s="36">
        <v>873403033.89332759</v>
      </c>
      <c r="H659" s="36">
        <v>41387411.327948786</v>
      </c>
      <c r="I659" s="36">
        <v>3553415.8894928005</v>
      </c>
      <c r="L659" s="36">
        <v>3069.0743367468272</v>
      </c>
      <c r="N659" s="36">
        <v>3550346.8151560538</v>
      </c>
      <c r="O659" s="36">
        <v>1101881.6652983767</v>
      </c>
      <c r="P659" s="36">
        <v>2448465.1498576771</v>
      </c>
      <c r="Q659" s="36">
        <v>0</v>
      </c>
      <c r="U659" s="35" t="s">
        <v>583</v>
      </c>
    </row>
    <row r="660" spans="1:24" x14ac:dyDescent="0.2">
      <c r="F660" s="36"/>
    </row>
    <row r="661" spans="1:24" x14ac:dyDescent="0.2">
      <c r="B661" s="35" t="s">
        <v>2104</v>
      </c>
      <c r="F661" s="36"/>
      <c r="W661" s="35" t="s">
        <v>1108</v>
      </c>
    </row>
    <row r="662" spans="1:24" x14ac:dyDescent="0.2">
      <c r="A662" s="35">
        <v>13</v>
      </c>
      <c r="B662" s="35" t="s">
        <v>2094</v>
      </c>
      <c r="C662" s="35" t="s">
        <v>1348</v>
      </c>
      <c r="D662" s="36">
        <v>1883960.9700000011</v>
      </c>
      <c r="E662" s="36"/>
      <c r="F662" s="36">
        <v>0</v>
      </c>
      <c r="G662" s="36"/>
      <c r="H662" s="36">
        <v>1883960.9700000011</v>
      </c>
      <c r="I662" s="36">
        <v>0</v>
      </c>
      <c r="L662" s="36">
        <v>0</v>
      </c>
      <c r="N662" s="36">
        <v>0</v>
      </c>
      <c r="O662" s="36">
        <v>0</v>
      </c>
      <c r="P662" s="36">
        <v>0</v>
      </c>
      <c r="Q662" s="36">
        <v>0</v>
      </c>
      <c r="T662" s="36">
        <v>1883960.9700000011</v>
      </c>
      <c r="W662" s="35">
        <v>2164331.7200000011</v>
      </c>
    </row>
    <row r="663" spans="1:24" x14ac:dyDescent="0.2">
      <c r="A663" s="35">
        <v>14</v>
      </c>
      <c r="B663" s="35" t="s">
        <v>2095</v>
      </c>
      <c r="C663" s="35" t="s">
        <v>1348</v>
      </c>
      <c r="D663" s="36">
        <v>1617917.1600000001</v>
      </c>
      <c r="F663" s="36">
        <v>0</v>
      </c>
      <c r="H663" s="36">
        <v>1617917.1600000001</v>
      </c>
      <c r="I663" s="36">
        <v>0</v>
      </c>
      <c r="L663" s="36">
        <v>0</v>
      </c>
      <c r="N663" s="36">
        <v>0</v>
      </c>
      <c r="O663" s="36">
        <v>0</v>
      </c>
      <c r="P663" s="36">
        <v>0</v>
      </c>
      <c r="Q663" s="36">
        <v>0</v>
      </c>
      <c r="T663" s="36">
        <v>1617917.1600000001</v>
      </c>
      <c r="W663" s="35">
        <v>1617917.1600000001</v>
      </c>
      <c r="X663" s="35">
        <v>3</v>
      </c>
    </row>
    <row r="664" spans="1:24" x14ac:dyDescent="0.2">
      <c r="A664" s="35">
        <v>15</v>
      </c>
      <c r="B664" s="35" t="s">
        <v>2096</v>
      </c>
      <c r="C664" s="35" t="s">
        <v>1348</v>
      </c>
      <c r="D664" s="36">
        <v>22270941.504615381</v>
      </c>
      <c r="F664" s="36">
        <v>0</v>
      </c>
      <c r="H664" s="36">
        <v>22270941.504615381</v>
      </c>
      <c r="I664" s="36">
        <v>0</v>
      </c>
      <c r="L664" s="36">
        <v>0</v>
      </c>
      <c r="N664" s="36">
        <v>0</v>
      </c>
      <c r="O664" s="36">
        <v>0</v>
      </c>
      <c r="P664" s="36">
        <v>0</v>
      </c>
      <c r="Q664" s="36">
        <v>0</v>
      </c>
      <c r="T664" s="36">
        <v>22270941.504615381</v>
      </c>
      <c r="W664" s="35">
        <v>22270941.504615381</v>
      </c>
      <c r="X664" s="35">
        <v>1894.9000000000003</v>
      </c>
    </row>
    <row r="665" spans="1:24" x14ac:dyDescent="0.2">
      <c r="A665" s="35">
        <v>16</v>
      </c>
      <c r="B665" s="35" t="s">
        <v>2097</v>
      </c>
      <c r="C665" s="35" t="s">
        <v>1348</v>
      </c>
      <c r="D665" s="36">
        <v>2411758.4300000016</v>
      </c>
      <c r="F665" s="36">
        <v>0</v>
      </c>
      <c r="H665" s="36">
        <v>2411758.4300000016</v>
      </c>
      <c r="I665" s="36">
        <v>0</v>
      </c>
      <c r="L665" s="36">
        <v>0</v>
      </c>
      <c r="N665" s="36">
        <v>0</v>
      </c>
      <c r="O665" s="36">
        <v>0</v>
      </c>
      <c r="P665" s="36">
        <v>0</v>
      </c>
      <c r="Q665" s="36">
        <v>0</v>
      </c>
      <c r="T665" s="36">
        <v>2411758.4300000016</v>
      </c>
      <c r="W665" s="35">
        <v>7181081.3000000007</v>
      </c>
    </row>
    <row r="666" spans="1:24" x14ac:dyDescent="0.2">
      <c r="A666" s="35">
        <v>17</v>
      </c>
      <c r="B666" s="35" t="s">
        <v>2098</v>
      </c>
      <c r="C666" s="35" t="s">
        <v>1348</v>
      </c>
      <c r="D666" s="36">
        <v>12468088.748461438</v>
      </c>
      <c r="F666" s="36">
        <v>0</v>
      </c>
      <c r="H666" s="36">
        <v>12468088.748461438</v>
      </c>
      <c r="I666" s="36">
        <v>0</v>
      </c>
      <c r="L666" s="36">
        <v>0</v>
      </c>
      <c r="N666" s="36">
        <v>0</v>
      </c>
      <c r="O666" s="36">
        <v>0</v>
      </c>
      <c r="P666" s="36">
        <v>0</v>
      </c>
      <c r="Q666" s="36">
        <v>0</v>
      </c>
      <c r="T666" s="36">
        <v>12468088.748461438</v>
      </c>
      <c r="W666" s="35">
        <v>12519446.728461439</v>
      </c>
      <c r="X666" s="35">
        <v>693.30000000000007</v>
      </c>
    </row>
    <row r="667" spans="1:24" x14ac:dyDescent="0.2">
      <c r="A667" s="35">
        <v>18</v>
      </c>
      <c r="B667" s="35" t="s">
        <v>2099</v>
      </c>
      <c r="C667" s="35" t="s">
        <v>1348</v>
      </c>
      <c r="D667" s="36">
        <v>14228936.330000004</v>
      </c>
      <c r="F667" s="36">
        <v>0</v>
      </c>
      <c r="H667" s="36">
        <v>14228936.330000004</v>
      </c>
      <c r="I667" s="36">
        <v>0</v>
      </c>
      <c r="L667" s="36">
        <v>0</v>
      </c>
      <c r="N667" s="36">
        <v>0</v>
      </c>
      <c r="O667" s="36">
        <v>0</v>
      </c>
      <c r="P667" s="36">
        <v>0</v>
      </c>
      <c r="Q667" s="36">
        <v>0</v>
      </c>
      <c r="T667" s="36">
        <v>14228936.330000004</v>
      </c>
      <c r="W667" s="35">
        <v>17358314.140000004</v>
      </c>
      <c r="X667" s="35">
        <v>2064.5999999999995</v>
      </c>
    </row>
    <row r="668" spans="1:24" x14ac:dyDescent="0.2">
      <c r="A668" s="35">
        <v>19</v>
      </c>
      <c r="B668" s="35" t="s">
        <v>2073</v>
      </c>
      <c r="C668" s="35" t="s">
        <v>1348</v>
      </c>
      <c r="D668" s="36">
        <v>323.90000000000003</v>
      </c>
      <c r="F668" s="36">
        <v>0</v>
      </c>
      <c r="H668" s="36">
        <v>323.90000000000003</v>
      </c>
      <c r="I668" s="36">
        <v>0</v>
      </c>
      <c r="L668" s="36">
        <v>0</v>
      </c>
      <c r="N668" s="36">
        <v>0</v>
      </c>
      <c r="O668" s="36">
        <v>0</v>
      </c>
      <c r="P668" s="36">
        <v>0</v>
      </c>
      <c r="Q668" s="36">
        <v>0</v>
      </c>
      <c r="T668" s="36">
        <v>323.90000000000003</v>
      </c>
      <c r="W668" s="35">
        <v>323.90000000000003</v>
      </c>
      <c r="X668" s="35">
        <v>4655.7999999999993</v>
      </c>
    </row>
    <row r="669" spans="1:24" x14ac:dyDescent="0.2">
      <c r="A669" s="35">
        <v>20</v>
      </c>
      <c r="B669" s="35" t="s">
        <v>2074</v>
      </c>
      <c r="C669" s="35" t="s">
        <v>1348</v>
      </c>
      <c r="D669" s="36">
        <v>4331.8999999999996</v>
      </c>
      <c r="F669" s="36">
        <v>0</v>
      </c>
      <c r="H669" s="36">
        <v>4331.8999999999996</v>
      </c>
      <c r="I669" s="36">
        <v>0</v>
      </c>
      <c r="L669" s="36">
        <v>0</v>
      </c>
      <c r="N669" s="36">
        <v>0</v>
      </c>
      <c r="O669" s="36">
        <v>0</v>
      </c>
      <c r="P669" s="36">
        <v>0</v>
      </c>
      <c r="Q669" s="36">
        <v>0</v>
      </c>
      <c r="T669" s="36">
        <v>4331.8999999999996</v>
      </c>
      <c r="W669" s="35">
        <v>4331.8999999999996</v>
      </c>
    </row>
    <row r="670" spans="1:24" x14ac:dyDescent="0.2">
      <c r="A670" s="35">
        <v>21</v>
      </c>
      <c r="B670" s="35" t="s">
        <v>2105</v>
      </c>
      <c r="D670" s="36">
        <v>54886258.943076827</v>
      </c>
      <c r="F670" s="36">
        <v>0</v>
      </c>
      <c r="H670" s="36">
        <v>54886258.943076827</v>
      </c>
      <c r="I670" s="36">
        <v>0</v>
      </c>
      <c r="L670" s="36">
        <v>0</v>
      </c>
      <c r="N670" s="36">
        <v>0</v>
      </c>
      <c r="O670" s="36">
        <v>0</v>
      </c>
      <c r="P670" s="36">
        <v>0</v>
      </c>
      <c r="Q670" s="36">
        <v>0</v>
      </c>
      <c r="U670" s="35" t="s">
        <v>583</v>
      </c>
    </row>
    <row r="671" spans="1:24" x14ac:dyDescent="0.2">
      <c r="F671" s="36"/>
    </row>
    <row r="672" spans="1:24" x14ac:dyDescent="0.2">
      <c r="B672" s="35" t="s">
        <v>2106</v>
      </c>
      <c r="F672" s="36"/>
    </row>
    <row r="673" spans="1:21" x14ac:dyDescent="0.2">
      <c r="A673" s="35">
        <v>22</v>
      </c>
      <c r="B673" s="35" t="s">
        <v>2094</v>
      </c>
      <c r="C673" s="35" t="s">
        <v>2269</v>
      </c>
      <c r="D673" s="36">
        <v>280370.75</v>
      </c>
      <c r="F673" s="36">
        <v>280369.76480116672</v>
      </c>
      <c r="H673" s="36">
        <v>0</v>
      </c>
      <c r="I673" s="36">
        <v>0.9851988332526197</v>
      </c>
      <c r="L673" s="36">
        <v>0.9851988332526197</v>
      </c>
      <c r="N673" s="36">
        <v>0</v>
      </c>
      <c r="O673" s="36">
        <v>0</v>
      </c>
      <c r="P673" s="36">
        <v>0</v>
      </c>
      <c r="Q673" s="36">
        <v>0</v>
      </c>
      <c r="T673" s="36">
        <v>280370.75</v>
      </c>
    </row>
    <row r="674" spans="1:21" x14ac:dyDescent="0.2">
      <c r="A674" s="35">
        <v>23</v>
      </c>
      <c r="B674" s="35" t="s">
        <v>2097</v>
      </c>
      <c r="C674" s="35" t="s">
        <v>2269</v>
      </c>
      <c r="D674" s="36">
        <v>4769322.8699999992</v>
      </c>
      <c r="F674" s="36">
        <v>4769306.1110073905</v>
      </c>
      <c r="H674" s="36">
        <v>0</v>
      </c>
      <c r="I674" s="36">
        <v>16.75899260864065</v>
      </c>
      <c r="L674" s="36">
        <v>16.75899260864065</v>
      </c>
      <c r="N674" s="36">
        <v>0</v>
      </c>
      <c r="O674" s="36">
        <v>0</v>
      </c>
      <c r="P674" s="36">
        <v>0</v>
      </c>
      <c r="Q674" s="36">
        <v>0</v>
      </c>
      <c r="T674" s="36">
        <v>4769322.8699999992</v>
      </c>
    </row>
    <row r="675" spans="1:21" x14ac:dyDescent="0.2">
      <c r="A675" s="35">
        <v>24</v>
      </c>
      <c r="B675" s="35" t="s">
        <v>2098</v>
      </c>
      <c r="C675" s="35" t="s">
        <v>2269</v>
      </c>
      <c r="D675" s="36">
        <v>51357.979999999996</v>
      </c>
      <c r="F675" s="36">
        <v>51357.799532451318</v>
      </c>
      <c r="H675" s="36">
        <v>0</v>
      </c>
      <c r="I675" s="36">
        <v>0.18046754868049317</v>
      </c>
      <c r="L675" s="36">
        <v>0.18046754868049317</v>
      </c>
      <c r="N675" s="36">
        <v>0</v>
      </c>
      <c r="O675" s="36">
        <v>0</v>
      </c>
      <c r="P675" s="36">
        <v>0</v>
      </c>
      <c r="Q675" s="36">
        <v>0</v>
      </c>
      <c r="T675" s="36">
        <v>51357.979999999996</v>
      </c>
    </row>
    <row r="676" spans="1:21" x14ac:dyDescent="0.2">
      <c r="A676" s="35">
        <v>25</v>
      </c>
      <c r="B676" s="35" t="s">
        <v>2099</v>
      </c>
      <c r="C676" s="35" t="s">
        <v>2269</v>
      </c>
      <c r="D676" s="36">
        <v>3129377.81</v>
      </c>
      <c r="F676" s="36">
        <v>3129366.8136340552</v>
      </c>
      <c r="H676" s="36">
        <v>0</v>
      </c>
      <c r="I676" s="36">
        <v>10.996365944802154</v>
      </c>
      <c r="L676" s="36">
        <v>10.996365944802154</v>
      </c>
      <c r="N676" s="36">
        <v>0</v>
      </c>
      <c r="O676" s="36">
        <v>0</v>
      </c>
      <c r="P676" s="36">
        <v>0</v>
      </c>
      <c r="Q676" s="36">
        <v>0</v>
      </c>
      <c r="T676" s="36">
        <v>3129377.81</v>
      </c>
    </row>
    <row r="677" spans="1:21" x14ac:dyDescent="0.2">
      <c r="A677" s="35">
        <v>26</v>
      </c>
      <c r="B677" s="35" t="s">
        <v>2073</v>
      </c>
      <c r="C677" s="35" t="s">
        <v>1335</v>
      </c>
      <c r="D677" s="36">
        <v>0</v>
      </c>
      <c r="F677" s="36">
        <v>0</v>
      </c>
      <c r="H677" s="36">
        <v>0</v>
      </c>
      <c r="I677" s="36">
        <v>0</v>
      </c>
      <c r="L677" s="36">
        <v>0</v>
      </c>
      <c r="N677" s="36">
        <v>0</v>
      </c>
      <c r="O677" s="36">
        <v>0</v>
      </c>
      <c r="P677" s="36">
        <v>0</v>
      </c>
      <c r="Q677" s="36">
        <v>0</v>
      </c>
      <c r="T677" s="36">
        <v>0</v>
      </c>
    </row>
    <row r="678" spans="1:21" x14ac:dyDescent="0.2">
      <c r="A678" s="35">
        <v>27</v>
      </c>
      <c r="B678" s="35" t="s">
        <v>2074</v>
      </c>
      <c r="C678" s="35" t="s">
        <v>1341</v>
      </c>
      <c r="D678" s="36">
        <v>0</v>
      </c>
      <c r="F678" s="36">
        <v>0</v>
      </c>
      <c r="H678" s="36">
        <v>0</v>
      </c>
      <c r="I678" s="36">
        <v>0</v>
      </c>
      <c r="L678" s="36">
        <v>0</v>
      </c>
      <c r="N678" s="36">
        <v>0</v>
      </c>
      <c r="O678" s="36">
        <v>0</v>
      </c>
      <c r="P678" s="36">
        <v>0</v>
      </c>
      <c r="Q678" s="36">
        <v>0</v>
      </c>
      <c r="T678" s="36">
        <v>0</v>
      </c>
    </row>
    <row r="679" spans="1:21" x14ac:dyDescent="0.2">
      <c r="A679" s="35">
        <v>28</v>
      </c>
      <c r="B679" s="35" t="s">
        <v>2107</v>
      </c>
      <c r="D679" s="36">
        <v>8230429.4100000001</v>
      </c>
      <c r="F679" s="36">
        <v>8230400.4889750648</v>
      </c>
      <c r="H679" s="36">
        <v>0</v>
      </c>
      <c r="I679" s="36">
        <v>28.921024935375918</v>
      </c>
      <c r="L679" s="36">
        <v>28.921024935375918</v>
      </c>
      <c r="N679" s="36">
        <v>0</v>
      </c>
      <c r="O679" s="36">
        <v>0</v>
      </c>
      <c r="P679" s="36">
        <v>0</v>
      </c>
      <c r="Q679" s="36">
        <v>0</v>
      </c>
      <c r="U679" s="35" t="s">
        <v>583</v>
      </c>
    </row>
    <row r="680" spans="1:21" x14ac:dyDescent="0.2">
      <c r="F680" s="36"/>
    </row>
    <row r="681" spans="1:21" x14ac:dyDescent="0.2">
      <c r="A681" s="35">
        <v>29</v>
      </c>
      <c r="B681" s="35" t="s">
        <v>951</v>
      </c>
      <c r="D681" s="36">
        <v>981460549.46384609</v>
      </c>
      <c r="F681" s="36">
        <v>881633434.38230264</v>
      </c>
      <c r="H681" s="36">
        <v>96273670.271025613</v>
      </c>
      <c r="I681" s="36">
        <v>3553444.8105177358</v>
      </c>
      <c r="L681" s="36">
        <v>3097.9953616822031</v>
      </c>
      <c r="N681" s="36">
        <v>3550346.8151560538</v>
      </c>
      <c r="O681" s="36">
        <v>1101881.6652983767</v>
      </c>
      <c r="P681" s="36">
        <v>2448465.1498576771</v>
      </c>
      <c r="Q681" s="36">
        <v>0</v>
      </c>
      <c r="U681" s="35" t="s">
        <v>583</v>
      </c>
    </row>
    <row r="682" spans="1:21" x14ac:dyDescent="0.2">
      <c r="F682" s="36"/>
    </row>
    <row r="683" spans="1:21" x14ac:dyDescent="0.2">
      <c r="B683" s="35" t="s">
        <v>1110</v>
      </c>
      <c r="F683" s="36"/>
    </row>
    <row r="684" spans="1:21" x14ac:dyDescent="0.2">
      <c r="F684" s="36"/>
    </row>
    <row r="685" spans="1:21" x14ac:dyDescent="0.2">
      <c r="B685" s="35" t="s">
        <v>1111</v>
      </c>
      <c r="F685" s="36"/>
    </row>
    <row r="686" spans="1:21" x14ac:dyDescent="0.2">
      <c r="B686" s="35" t="s">
        <v>1112</v>
      </c>
      <c r="F686" s="36"/>
    </row>
    <row r="687" spans="1:21" x14ac:dyDescent="0.2">
      <c r="A687" s="35">
        <v>1</v>
      </c>
      <c r="B687" s="35" t="s">
        <v>2108</v>
      </c>
      <c r="C687" s="35" t="s">
        <v>1957</v>
      </c>
      <c r="D687" s="36">
        <v>8379661.4015384596</v>
      </c>
      <c r="F687" s="36">
        <v>8370504.4015384596</v>
      </c>
      <c r="H687" s="36">
        <v>0</v>
      </c>
      <c r="I687" s="36">
        <v>9157</v>
      </c>
      <c r="L687" s="36">
        <v>0</v>
      </c>
      <c r="N687" s="36">
        <v>9157</v>
      </c>
      <c r="O687" s="36">
        <v>9157</v>
      </c>
      <c r="P687" s="36">
        <v>0</v>
      </c>
      <c r="Q687" s="36">
        <v>0</v>
      </c>
      <c r="T687" s="36">
        <v>8379661.4015384596</v>
      </c>
    </row>
    <row r="688" spans="1:21" x14ac:dyDescent="0.2">
      <c r="A688" s="35">
        <v>2</v>
      </c>
      <c r="B688" s="35" t="s">
        <v>2109</v>
      </c>
      <c r="C688" s="35" t="s">
        <v>1959</v>
      </c>
      <c r="D688" s="36">
        <v>13503119.586923074</v>
      </c>
      <c r="F688" s="36">
        <v>13150928.586923074</v>
      </c>
      <c r="H688" s="36">
        <v>0</v>
      </c>
      <c r="I688" s="36">
        <v>352191</v>
      </c>
      <c r="L688" s="36">
        <v>0</v>
      </c>
      <c r="N688" s="36">
        <v>352191</v>
      </c>
      <c r="O688" s="36">
        <v>352191</v>
      </c>
      <c r="P688" s="36">
        <v>0</v>
      </c>
      <c r="Q688" s="36">
        <v>0</v>
      </c>
      <c r="T688" s="36">
        <v>13503119.586923074</v>
      </c>
    </row>
    <row r="689" spans="1:23" x14ac:dyDescent="0.2">
      <c r="A689" s="35">
        <v>3</v>
      </c>
      <c r="B689" s="35" t="s">
        <v>2110</v>
      </c>
      <c r="C689" s="35" t="s">
        <v>1961</v>
      </c>
      <c r="D689" s="36">
        <v>191808017.08615381</v>
      </c>
      <c r="F689" s="36">
        <v>188128728.08615381</v>
      </c>
      <c r="H689" s="36">
        <v>0</v>
      </c>
      <c r="I689" s="36">
        <v>3679289.0000000005</v>
      </c>
      <c r="L689" s="36">
        <v>0</v>
      </c>
      <c r="N689" s="36">
        <v>3679289.0000000005</v>
      </c>
      <c r="O689" s="36">
        <v>3679289.0000000005</v>
      </c>
      <c r="P689" s="36">
        <v>0</v>
      </c>
      <c r="Q689" s="36">
        <v>0</v>
      </c>
      <c r="T689" s="36">
        <v>191808017.08615381</v>
      </c>
    </row>
    <row r="690" spans="1:23" x14ac:dyDescent="0.2">
      <c r="A690" s="35">
        <v>4</v>
      </c>
      <c r="B690" s="35" t="s">
        <v>2111</v>
      </c>
      <c r="C690" s="35" t="s">
        <v>1963</v>
      </c>
      <c r="D690" s="36">
        <v>358366452.37769139</v>
      </c>
      <c r="F690" s="36">
        <v>358366452.37769139</v>
      </c>
      <c r="H690" s="36">
        <v>0</v>
      </c>
      <c r="I690" s="36">
        <v>0</v>
      </c>
      <c r="L690" s="36">
        <v>0</v>
      </c>
      <c r="N690" s="36">
        <v>0</v>
      </c>
      <c r="O690" s="36">
        <v>0</v>
      </c>
      <c r="P690" s="36">
        <v>0</v>
      </c>
      <c r="Q690" s="36">
        <v>0</v>
      </c>
      <c r="T690" s="36">
        <v>358366452.37769139</v>
      </c>
    </row>
    <row r="691" spans="1:23" x14ac:dyDescent="0.2">
      <c r="A691" s="35">
        <v>5</v>
      </c>
      <c r="B691" s="35" t="s">
        <v>2112</v>
      </c>
      <c r="C691" s="35" t="s">
        <v>1965</v>
      </c>
      <c r="D691" s="36">
        <v>358797886.37922984</v>
      </c>
      <c r="F691" s="36">
        <v>358797886.37922984</v>
      </c>
      <c r="H691" s="36">
        <v>0</v>
      </c>
      <c r="I691" s="36">
        <v>0</v>
      </c>
      <c r="L691" s="36">
        <v>0</v>
      </c>
      <c r="N691" s="36">
        <v>0</v>
      </c>
      <c r="O691" s="36">
        <v>0</v>
      </c>
      <c r="P691" s="36">
        <v>0</v>
      </c>
      <c r="Q691" s="36">
        <v>0</v>
      </c>
      <c r="T691" s="36">
        <v>358797886.37922984</v>
      </c>
    </row>
    <row r="692" spans="1:23" x14ac:dyDescent="0.2">
      <c r="A692" s="35">
        <v>6</v>
      </c>
      <c r="B692" s="35" t="s">
        <v>2113</v>
      </c>
      <c r="C692" s="35" t="s">
        <v>1967</v>
      </c>
      <c r="D692" s="36">
        <v>2381227.6699999906</v>
      </c>
      <c r="F692" s="36">
        <v>2381227.6699999906</v>
      </c>
      <c r="H692" s="36">
        <v>0</v>
      </c>
      <c r="I692" s="36">
        <v>0</v>
      </c>
      <c r="L692" s="36">
        <v>0</v>
      </c>
      <c r="N692" s="36">
        <v>0</v>
      </c>
      <c r="O692" s="36">
        <v>0</v>
      </c>
      <c r="P692" s="36">
        <v>0</v>
      </c>
      <c r="Q692" s="36">
        <v>0</v>
      </c>
      <c r="T692" s="36">
        <v>2381227.6699999906</v>
      </c>
    </row>
    <row r="693" spans="1:23" x14ac:dyDescent="0.2">
      <c r="A693" s="35">
        <v>7</v>
      </c>
      <c r="B693" s="35" t="s">
        <v>2114</v>
      </c>
      <c r="C693" s="35" t="s">
        <v>1969</v>
      </c>
      <c r="D693" s="36">
        <v>200004753.54538465</v>
      </c>
      <c r="F693" s="36">
        <v>200004753.54538465</v>
      </c>
      <c r="H693" s="36">
        <v>0</v>
      </c>
      <c r="I693" s="36">
        <v>0</v>
      </c>
      <c r="L693" s="36">
        <v>0</v>
      </c>
      <c r="N693" s="36">
        <v>0</v>
      </c>
      <c r="O693" s="36">
        <v>0</v>
      </c>
      <c r="P693" s="36">
        <v>0</v>
      </c>
      <c r="Q693" s="36">
        <v>0</v>
      </c>
      <c r="T693" s="36">
        <v>200004753.54538465</v>
      </c>
    </row>
    <row r="694" spans="1:23" x14ac:dyDescent="0.2">
      <c r="B694" s="35" t="s">
        <v>2115</v>
      </c>
      <c r="F694" s="36"/>
    </row>
    <row r="695" spans="1:23" x14ac:dyDescent="0.2">
      <c r="A695" s="35">
        <v>8</v>
      </c>
      <c r="B695" s="35" t="s">
        <v>1</v>
      </c>
      <c r="C695" s="35" t="s">
        <v>1339</v>
      </c>
      <c r="D695" s="36">
        <v>5932406.1000000024</v>
      </c>
      <c r="F695" s="36">
        <v>5414628.1265696799</v>
      </c>
      <c r="H695" s="36">
        <v>0</v>
      </c>
      <c r="I695" s="36">
        <v>517777.97343032225</v>
      </c>
      <c r="L695" s="36">
        <v>0</v>
      </c>
      <c r="N695" s="36">
        <v>517777.97343032225</v>
      </c>
      <c r="O695" s="36">
        <v>160696.99252554422</v>
      </c>
      <c r="P695" s="36">
        <v>357080.980904778</v>
      </c>
      <c r="Q695" s="36">
        <v>0</v>
      </c>
      <c r="T695" s="36">
        <v>5932406.1000000024</v>
      </c>
      <c r="W695" s="121" t="s">
        <v>2387</v>
      </c>
    </row>
    <row r="696" spans="1:23" x14ac:dyDescent="0.2">
      <c r="A696" s="35">
        <v>9</v>
      </c>
      <c r="B696" s="35" t="s">
        <v>2</v>
      </c>
      <c r="C696" s="35" t="s">
        <v>1430</v>
      </c>
      <c r="D696" s="36">
        <v>303128638.78846043</v>
      </c>
      <c r="F696" s="36">
        <v>303128638.78846043</v>
      </c>
      <c r="H696" s="36">
        <v>0</v>
      </c>
      <c r="I696" s="36">
        <v>0</v>
      </c>
      <c r="L696" s="36">
        <v>0</v>
      </c>
      <c r="N696" s="36">
        <v>0</v>
      </c>
      <c r="O696" s="36">
        <v>0</v>
      </c>
      <c r="P696" s="36">
        <v>0</v>
      </c>
      <c r="Q696" s="36">
        <v>0</v>
      </c>
      <c r="T696" s="36">
        <v>303128638.78846043</v>
      </c>
    </row>
    <row r="697" spans="1:23" x14ac:dyDescent="0.2">
      <c r="A697" s="35">
        <v>10</v>
      </c>
      <c r="B697" s="35" t="s">
        <v>2116</v>
      </c>
      <c r="D697" s="36">
        <v>309061044.88846046</v>
      </c>
      <c r="F697" s="36">
        <v>308543266.91503012</v>
      </c>
      <c r="H697" s="36">
        <v>0</v>
      </c>
      <c r="I697" s="36">
        <v>517777.97343032225</v>
      </c>
      <c r="L697" s="36">
        <v>0</v>
      </c>
      <c r="N697" s="36">
        <v>517777.97343032225</v>
      </c>
      <c r="O697" s="36">
        <v>160696.99252554422</v>
      </c>
      <c r="P697" s="36">
        <v>357080.980904778</v>
      </c>
      <c r="Q697" s="36">
        <v>0</v>
      </c>
      <c r="T697" s="36">
        <v>309061044.88846046</v>
      </c>
      <c r="U697" s="35" t="s">
        <v>583</v>
      </c>
    </row>
    <row r="698" spans="1:23" x14ac:dyDescent="0.2">
      <c r="A698" s="35">
        <v>11</v>
      </c>
      <c r="B698" s="35" t="s">
        <v>2117</v>
      </c>
      <c r="C698" s="35" t="s">
        <v>1450</v>
      </c>
      <c r="D698" s="36">
        <v>97262576.699999869</v>
      </c>
      <c r="F698" s="36">
        <v>97262576.699999869</v>
      </c>
      <c r="H698" s="36">
        <v>0</v>
      </c>
      <c r="I698" s="36">
        <v>0</v>
      </c>
      <c r="L698" s="36">
        <v>0</v>
      </c>
      <c r="N698" s="36">
        <v>0</v>
      </c>
      <c r="O698" s="36">
        <v>0</v>
      </c>
      <c r="P698" s="36">
        <v>0</v>
      </c>
      <c r="Q698" s="36">
        <v>0</v>
      </c>
      <c r="T698" s="36">
        <v>97262576.699999869</v>
      </c>
    </row>
    <row r="699" spans="1:23" x14ac:dyDescent="0.2">
      <c r="A699" s="35">
        <v>12</v>
      </c>
      <c r="B699" s="35" t="s">
        <v>2118</v>
      </c>
      <c r="C699" s="35" t="s">
        <v>1452</v>
      </c>
      <c r="D699" s="36">
        <v>83349160.264615372</v>
      </c>
      <c r="F699" s="36">
        <v>82987729.264615372</v>
      </c>
      <c r="H699" s="36">
        <v>0</v>
      </c>
      <c r="I699" s="36">
        <v>361431</v>
      </c>
      <c r="L699" s="36">
        <v>0</v>
      </c>
      <c r="N699" s="36">
        <v>361431</v>
      </c>
      <c r="O699" s="36">
        <v>63157</v>
      </c>
      <c r="P699" s="36">
        <v>298274</v>
      </c>
      <c r="Q699" s="36">
        <v>0</v>
      </c>
      <c r="T699" s="36">
        <v>83349160.264615372</v>
      </c>
    </row>
    <row r="700" spans="1:23" x14ac:dyDescent="0.2">
      <c r="A700" s="35">
        <v>13</v>
      </c>
      <c r="B700" s="35" t="s">
        <v>2119</v>
      </c>
      <c r="C700" s="35" t="s">
        <v>1454</v>
      </c>
      <c r="D700" s="36">
        <v>282792.23923076928</v>
      </c>
      <c r="F700" s="36">
        <v>282792.23923076928</v>
      </c>
      <c r="H700" s="36">
        <v>0</v>
      </c>
      <c r="I700" s="36">
        <v>0</v>
      </c>
      <c r="L700" s="36">
        <v>0</v>
      </c>
      <c r="N700" s="36">
        <v>0</v>
      </c>
      <c r="O700" s="36">
        <v>0</v>
      </c>
      <c r="P700" s="36">
        <v>0</v>
      </c>
      <c r="Q700" s="36">
        <v>0</v>
      </c>
      <c r="T700" s="36">
        <v>282792.23923076928</v>
      </c>
    </row>
    <row r="701" spans="1:23" x14ac:dyDescent="0.2">
      <c r="A701" s="35">
        <v>14</v>
      </c>
      <c r="B701" s="35" t="s">
        <v>2120</v>
      </c>
      <c r="C701" s="35" t="s">
        <v>1456</v>
      </c>
      <c r="D701" s="36">
        <v>114827799.3</v>
      </c>
      <c r="F701" s="36">
        <v>114827799.3</v>
      </c>
      <c r="H701" s="36">
        <v>0</v>
      </c>
      <c r="I701" s="36">
        <v>0</v>
      </c>
      <c r="L701" s="36">
        <v>0</v>
      </c>
      <c r="N701" s="36">
        <v>0</v>
      </c>
      <c r="O701" s="36">
        <v>0</v>
      </c>
      <c r="P701" s="36">
        <v>0</v>
      </c>
      <c r="Q701" s="36">
        <v>0</v>
      </c>
      <c r="T701" s="36">
        <v>114827799.3</v>
      </c>
    </row>
    <row r="702" spans="1:23" x14ac:dyDescent="0.2">
      <c r="A702" s="35">
        <v>15</v>
      </c>
      <c r="B702" s="35" t="s">
        <v>1872</v>
      </c>
      <c r="C702" s="35" t="s">
        <v>1873</v>
      </c>
      <c r="D702" s="36">
        <v>904896.86000000022</v>
      </c>
      <c r="F702" s="36">
        <v>904896.86000000022</v>
      </c>
      <c r="H702" s="36">
        <v>0</v>
      </c>
      <c r="I702" s="36">
        <v>0</v>
      </c>
      <c r="L702" s="36">
        <v>0</v>
      </c>
      <c r="N702" s="36">
        <v>0</v>
      </c>
      <c r="O702" s="36">
        <v>0</v>
      </c>
      <c r="P702" s="36">
        <v>0</v>
      </c>
      <c r="Q702" s="36">
        <v>0</v>
      </c>
      <c r="T702" s="36">
        <v>904896.86000000022</v>
      </c>
    </row>
    <row r="703" spans="1:23" x14ac:dyDescent="0.2">
      <c r="A703" s="35">
        <v>16</v>
      </c>
      <c r="B703" s="35" t="s">
        <v>3</v>
      </c>
      <c r="D703" s="36">
        <v>1738929388.299228</v>
      </c>
      <c r="F703" s="36">
        <v>1734009542.3257976</v>
      </c>
      <c r="H703" s="36">
        <v>0</v>
      </c>
      <c r="I703" s="36">
        <v>4919845.9734303225</v>
      </c>
      <c r="L703" s="36">
        <v>0</v>
      </c>
      <c r="N703" s="36">
        <v>4919845.9734303225</v>
      </c>
      <c r="O703" s="36">
        <v>4264490.9925255449</v>
      </c>
      <c r="P703" s="36">
        <v>655354.980904778</v>
      </c>
      <c r="Q703" s="36">
        <v>0</v>
      </c>
      <c r="U703" s="35" t="s">
        <v>583</v>
      </c>
    </row>
    <row r="704" spans="1:23" x14ac:dyDescent="0.2">
      <c r="F704" s="36"/>
    </row>
    <row r="705" spans="1:23" x14ac:dyDescent="0.2">
      <c r="B705" s="35" t="s">
        <v>4</v>
      </c>
      <c r="F705" s="36"/>
    </row>
    <row r="706" spans="1:23" x14ac:dyDescent="0.2">
      <c r="A706" s="35">
        <v>17</v>
      </c>
      <c r="B706" s="35" t="s">
        <v>2108</v>
      </c>
      <c r="C706" s="35" t="s">
        <v>1973</v>
      </c>
      <c r="D706" s="36">
        <v>457132.68999999977</v>
      </c>
      <c r="F706" s="36">
        <v>0</v>
      </c>
      <c r="H706" s="36">
        <v>457132.68999999977</v>
      </c>
      <c r="I706" s="36">
        <v>0</v>
      </c>
      <c r="L706" s="36">
        <v>0</v>
      </c>
      <c r="N706" s="36">
        <v>0</v>
      </c>
      <c r="O706" s="36">
        <v>0</v>
      </c>
      <c r="P706" s="36">
        <v>0</v>
      </c>
      <c r="Q706" s="36">
        <v>0</v>
      </c>
      <c r="T706" s="36">
        <v>457132.68999999977</v>
      </c>
    </row>
    <row r="707" spans="1:23" x14ac:dyDescent="0.2">
      <c r="A707" s="35">
        <v>18</v>
      </c>
      <c r="B707" s="35" t="s">
        <v>2109</v>
      </c>
      <c r="C707" s="35" t="s">
        <v>1975</v>
      </c>
      <c r="D707" s="36">
        <v>493671.5199999999</v>
      </c>
      <c r="F707" s="36">
        <v>0</v>
      </c>
      <c r="H707" s="36">
        <v>493671.5199999999</v>
      </c>
      <c r="I707" s="36">
        <v>0</v>
      </c>
      <c r="L707" s="36">
        <v>0</v>
      </c>
      <c r="N707" s="36">
        <v>0</v>
      </c>
      <c r="O707" s="36">
        <v>0</v>
      </c>
      <c r="P707" s="36">
        <v>0</v>
      </c>
      <c r="Q707" s="36">
        <v>0</v>
      </c>
      <c r="T707" s="36">
        <v>493671.5199999999</v>
      </c>
    </row>
    <row r="708" spans="1:23" x14ac:dyDescent="0.2">
      <c r="A708" s="35">
        <v>19</v>
      </c>
      <c r="B708" s="35" t="s">
        <v>2110</v>
      </c>
      <c r="C708" s="35" t="s">
        <v>1977</v>
      </c>
      <c r="D708" s="36">
        <v>8233190.0100000016</v>
      </c>
      <c r="F708" s="36">
        <v>0</v>
      </c>
      <c r="H708" s="36">
        <v>8233190.0100000016</v>
      </c>
      <c r="I708" s="36">
        <v>0</v>
      </c>
      <c r="L708" s="36">
        <v>0</v>
      </c>
      <c r="N708" s="36">
        <v>0</v>
      </c>
      <c r="O708" s="36">
        <v>0</v>
      </c>
      <c r="P708" s="36">
        <v>0</v>
      </c>
      <c r="Q708" s="36">
        <v>0</v>
      </c>
      <c r="T708" s="36">
        <v>8233190.0100000016</v>
      </c>
    </row>
    <row r="709" spans="1:23" x14ac:dyDescent="0.2">
      <c r="A709" s="35">
        <v>20</v>
      </c>
      <c r="B709" s="35" t="s">
        <v>2111</v>
      </c>
      <c r="C709" s="35" t="s">
        <v>1979</v>
      </c>
      <c r="D709" s="36">
        <v>28832784.46153846</v>
      </c>
      <c r="F709" s="36">
        <v>0</v>
      </c>
      <c r="H709" s="36">
        <v>28832784.46153846</v>
      </c>
      <c r="I709" s="36">
        <v>0</v>
      </c>
      <c r="L709" s="36">
        <v>0</v>
      </c>
      <c r="N709" s="36">
        <v>0</v>
      </c>
      <c r="O709" s="36">
        <v>0</v>
      </c>
      <c r="P709" s="36">
        <v>0</v>
      </c>
      <c r="Q709" s="36">
        <v>0</v>
      </c>
      <c r="T709" s="36">
        <v>28832784.46153846</v>
      </c>
    </row>
    <row r="710" spans="1:23" x14ac:dyDescent="0.2">
      <c r="A710" s="35">
        <v>21</v>
      </c>
      <c r="B710" s="35" t="s">
        <v>2112</v>
      </c>
      <c r="C710" s="35" t="s">
        <v>1981</v>
      </c>
      <c r="D710" s="36">
        <v>27415416.07230768</v>
      </c>
      <c r="F710" s="36">
        <v>0</v>
      </c>
      <c r="H710" s="36">
        <v>27415416.07230768</v>
      </c>
      <c r="I710" s="36">
        <v>0</v>
      </c>
      <c r="L710" s="36">
        <v>0</v>
      </c>
      <c r="N710" s="36">
        <v>0</v>
      </c>
      <c r="O710" s="36">
        <v>0</v>
      </c>
      <c r="P710" s="36">
        <v>0</v>
      </c>
      <c r="Q710" s="36">
        <v>0</v>
      </c>
      <c r="T710" s="36">
        <v>27415416.07230768</v>
      </c>
    </row>
    <row r="711" spans="1:23" x14ac:dyDescent="0.2">
      <c r="A711" s="35">
        <v>22</v>
      </c>
      <c r="B711" s="35" t="s">
        <v>2114</v>
      </c>
      <c r="C711" s="35" t="s">
        <v>1983</v>
      </c>
      <c r="D711" s="36">
        <v>5574293.0184615385</v>
      </c>
      <c r="F711" s="36">
        <v>0</v>
      </c>
      <c r="H711" s="36">
        <v>5574293.0184615385</v>
      </c>
      <c r="I711" s="36">
        <v>0</v>
      </c>
      <c r="L711" s="36">
        <v>0</v>
      </c>
      <c r="N711" s="36">
        <v>0</v>
      </c>
      <c r="O711" s="36">
        <v>0</v>
      </c>
      <c r="P711" s="36">
        <v>0</v>
      </c>
      <c r="Q711" s="36">
        <v>0</v>
      </c>
      <c r="T711" s="36">
        <v>5574293.0184615385</v>
      </c>
    </row>
    <row r="712" spans="1:23" x14ac:dyDescent="0.2">
      <c r="B712" s="35" t="s">
        <v>2115</v>
      </c>
      <c r="F712" s="36"/>
    </row>
    <row r="713" spans="1:23" x14ac:dyDescent="0.2">
      <c r="A713" s="35">
        <v>23</v>
      </c>
      <c r="B713" s="35" t="s">
        <v>1</v>
      </c>
      <c r="C713" s="35" t="s">
        <v>1337</v>
      </c>
      <c r="D713" s="36">
        <v>128027.56</v>
      </c>
      <c r="F713" s="36">
        <v>0</v>
      </c>
      <c r="H713" s="36">
        <v>128027.56</v>
      </c>
      <c r="I713" s="36">
        <v>0</v>
      </c>
      <c r="L713" s="36">
        <v>0</v>
      </c>
      <c r="N713" s="36">
        <v>0</v>
      </c>
      <c r="O713" s="36">
        <v>0</v>
      </c>
      <c r="P713" s="36">
        <v>0</v>
      </c>
      <c r="Q713" s="36">
        <v>0</v>
      </c>
      <c r="T713" s="36">
        <v>128027.56</v>
      </c>
      <c r="W713" s="121" t="s">
        <v>2388</v>
      </c>
    </row>
    <row r="714" spans="1:23" x14ac:dyDescent="0.2">
      <c r="A714" s="35">
        <v>24</v>
      </c>
      <c r="B714" s="35" t="s">
        <v>2</v>
      </c>
      <c r="C714" s="35" t="s">
        <v>1431</v>
      </c>
      <c r="D714" s="36">
        <v>12595121.109999996</v>
      </c>
      <c r="F714" s="36">
        <v>0</v>
      </c>
      <c r="H714" s="36">
        <v>12595121.109999996</v>
      </c>
      <c r="I714" s="36">
        <v>0</v>
      </c>
      <c r="L714" s="36">
        <v>0</v>
      </c>
      <c r="N714" s="36">
        <v>0</v>
      </c>
      <c r="O714" s="36">
        <v>0</v>
      </c>
      <c r="P714" s="36">
        <v>0</v>
      </c>
      <c r="Q714" s="36">
        <v>0</v>
      </c>
      <c r="T714" s="36">
        <v>12595121.109999996</v>
      </c>
    </row>
    <row r="715" spans="1:23" x14ac:dyDescent="0.2">
      <c r="A715" s="35">
        <v>25</v>
      </c>
      <c r="B715" s="35" t="s">
        <v>2116</v>
      </c>
      <c r="D715" s="36">
        <v>12723148.669999996</v>
      </c>
      <c r="F715" s="36">
        <v>0</v>
      </c>
      <c r="H715" s="36">
        <v>12723148.669999996</v>
      </c>
      <c r="I715" s="36">
        <v>0</v>
      </c>
      <c r="L715" s="36">
        <v>0</v>
      </c>
      <c r="N715" s="36">
        <v>0</v>
      </c>
      <c r="O715" s="36">
        <v>0</v>
      </c>
      <c r="P715" s="36">
        <v>0</v>
      </c>
      <c r="Q715" s="36">
        <v>0</v>
      </c>
      <c r="T715" s="36">
        <v>12723148.669999996</v>
      </c>
      <c r="U715" s="35" t="s">
        <v>583</v>
      </c>
    </row>
    <row r="716" spans="1:23" x14ac:dyDescent="0.2">
      <c r="A716" s="35">
        <v>26</v>
      </c>
      <c r="B716" s="35" t="s">
        <v>2117</v>
      </c>
      <c r="C716" s="35" t="s">
        <v>1468</v>
      </c>
      <c r="D716" s="36">
        <v>5498987.4100000011</v>
      </c>
      <c r="F716" s="36">
        <v>0</v>
      </c>
      <c r="H716" s="36">
        <v>5498987.4100000011</v>
      </c>
      <c r="I716" s="36">
        <v>0</v>
      </c>
      <c r="L716" s="36">
        <v>0</v>
      </c>
      <c r="N716" s="36">
        <v>0</v>
      </c>
      <c r="O716" s="36">
        <v>0</v>
      </c>
      <c r="P716" s="36">
        <v>0</v>
      </c>
      <c r="Q716" s="36">
        <v>0</v>
      </c>
      <c r="T716" s="36">
        <v>5498987.4100000011</v>
      </c>
    </row>
    <row r="717" spans="1:23" x14ac:dyDescent="0.2">
      <c r="A717" s="35">
        <v>27</v>
      </c>
      <c r="B717" s="35" t="s">
        <v>2118</v>
      </c>
      <c r="C717" s="35" t="s">
        <v>1470</v>
      </c>
      <c r="D717" s="36">
        <v>3938073.7999999989</v>
      </c>
      <c r="F717" s="36">
        <v>0</v>
      </c>
      <c r="H717" s="36">
        <v>3938073.7999999989</v>
      </c>
      <c r="I717" s="36">
        <v>0</v>
      </c>
      <c r="L717" s="36">
        <v>0</v>
      </c>
      <c r="N717" s="36">
        <v>0</v>
      </c>
      <c r="O717" s="36">
        <v>0</v>
      </c>
      <c r="P717" s="36">
        <v>0</v>
      </c>
      <c r="Q717" s="36">
        <v>0</v>
      </c>
      <c r="T717" s="36">
        <v>3938073.7999999989</v>
      </c>
    </row>
    <row r="718" spans="1:23" x14ac:dyDescent="0.2">
      <c r="A718" s="35">
        <v>28</v>
      </c>
      <c r="B718" s="35" t="s">
        <v>2119</v>
      </c>
      <c r="C718" s="35" t="s">
        <v>1472</v>
      </c>
      <c r="D718" s="36">
        <v>0</v>
      </c>
      <c r="F718" s="36">
        <v>0</v>
      </c>
      <c r="H718" s="36">
        <v>0</v>
      </c>
      <c r="I718" s="36">
        <v>0</v>
      </c>
      <c r="L718" s="36">
        <v>0</v>
      </c>
      <c r="N718" s="36">
        <v>0</v>
      </c>
      <c r="O718" s="36">
        <v>0</v>
      </c>
      <c r="P718" s="36">
        <v>0</v>
      </c>
      <c r="Q718" s="36">
        <v>0</v>
      </c>
      <c r="T718" s="36">
        <v>0</v>
      </c>
    </row>
    <row r="719" spans="1:23" x14ac:dyDescent="0.2">
      <c r="A719" s="35">
        <v>29</v>
      </c>
      <c r="B719" s="35" t="s">
        <v>2120</v>
      </c>
      <c r="C719" s="35" t="s">
        <v>1474</v>
      </c>
      <c r="D719" s="36">
        <v>3900880.5453846096</v>
      </c>
      <c r="F719" s="36">
        <v>0</v>
      </c>
      <c r="H719" s="36">
        <v>3900880.5453846096</v>
      </c>
      <c r="I719" s="36">
        <v>0</v>
      </c>
      <c r="L719" s="36">
        <v>0</v>
      </c>
      <c r="N719" s="36">
        <v>0</v>
      </c>
      <c r="O719" s="36">
        <v>0</v>
      </c>
      <c r="P719" s="36">
        <v>0</v>
      </c>
      <c r="Q719" s="36">
        <v>0</v>
      </c>
      <c r="T719" s="36">
        <v>3900880.5453846096</v>
      </c>
    </row>
    <row r="720" spans="1:23" x14ac:dyDescent="0.2">
      <c r="A720" s="35">
        <v>30</v>
      </c>
      <c r="B720" s="35" t="s">
        <v>5</v>
      </c>
      <c r="D720" s="36">
        <v>97067578.19769229</v>
      </c>
      <c r="F720" s="36">
        <v>0</v>
      </c>
      <c r="H720" s="36">
        <v>97067578.19769229</v>
      </c>
      <c r="I720" s="36">
        <v>0</v>
      </c>
      <c r="L720" s="36">
        <v>0</v>
      </c>
      <c r="N720" s="36">
        <v>0</v>
      </c>
      <c r="O720" s="36">
        <v>0</v>
      </c>
      <c r="P720" s="36">
        <v>0</v>
      </c>
      <c r="Q720" s="36">
        <v>0</v>
      </c>
      <c r="U720" s="35" t="s">
        <v>583</v>
      </c>
    </row>
    <row r="721" spans="1:21" x14ac:dyDescent="0.2">
      <c r="F721" s="36"/>
    </row>
    <row r="722" spans="1:21" x14ac:dyDescent="0.2">
      <c r="B722" s="35" t="s">
        <v>2121</v>
      </c>
      <c r="F722" s="36"/>
    </row>
    <row r="723" spans="1:21" x14ac:dyDescent="0.2">
      <c r="A723" s="35">
        <v>31</v>
      </c>
      <c r="B723" s="35" t="s">
        <v>2108</v>
      </c>
      <c r="C723" s="35" t="s">
        <v>1986</v>
      </c>
      <c r="D723" s="36">
        <v>5040.2300000000005</v>
      </c>
      <c r="F723" s="36">
        <v>0</v>
      </c>
      <c r="H723" s="36">
        <v>0</v>
      </c>
      <c r="I723" s="36">
        <v>5040.2300000000005</v>
      </c>
      <c r="L723" s="36">
        <v>5040.2300000000005</v>
      </c>
      <c r="N723" s="36">
        <v>0</v>
      </c>
      <c r="O723" s="36">
        <v>0</v>
      </c>
      <c r="P723" s="36">
        <v>0</v>
      </c>
      <c r="Q723" s="36">
        <v>0</v>
      </c>
      <c r="T723" s="36">
        <v>5040.2300000000005</v>
      </c>
      <c r="U723" s="35" t="s">
        <v>583</v>
      </c>
    </row>
    <row r="724" spans="1:21" x14ac:dyDescent="0.2">
      <c r="A724" s="35">
        <v>32</v>
      </c>
      <c r="B724" s="35" t="s">
        <v>2109</v>
      </c>
      <c r="C724" s="35" t="s">
        <v>1988</v>
      </c>
      <c r="D724" s="36">
        <v>2575.8900000000003</v>
      </c>
      <c r="F724" s="36">
        <v>0</v>
      </c>
      <c r="H724" s="36">
        <v>0</v>
      </c>
      <c r="I724" s="36">
        <v>2575.8900000000003</v>
      </c>
      <c r="L724" s="36">
        <v>2575.8900000000003</v>
      </c>
      <c r="N724" s="36">
        <v>0</v>
      </c>
      <c r="O724" s="36">
        <v>0</v>
      </c>
      <c r="P724" s="36">
        <v>0</v>
      </c>
      <c r="Q724" s="36">
        <v>0</v>
      </c>
      <c r="T724" s="36">
        <v>2575.8900000000003</v>
      </c>
      <c r="U724" s="35" t="s">
        <v>583</v>
      </c>
    </row>
    <row r="725" spans="1:21" x14ac:dyDescent="0.2">
      <c r="A725" s="35">
        <v>33</v>
      </c>
      <c r="B725" s="35" t="s">
        <v>2110</v>
      </c>
      <c r="C725" s="35" t="s">
        <v>1990</v>
      </c>
      <c r="D725" s="36">
        <v>66887.25</v>
      </c>
      <c r="F725" s="36">
        <v>0</v>
      </c>
      <c r="H725" s="36">
        <v>0</v>
      </c>
      <c r="I725" s="36">
        <v>66887.25</v>
      </c>
      <c r="L725" s="36">
        <v>66887.25</v>
      </c>
      <c r="N725" s="36">
        <v>0</v>
      </c>
      <c r="O725" s="36">
        <v>0</v>
      </c>
      <c r="P725" s="36">
        <v>0</v>
      </c>
      <c r="Q725" s="36">
        <v>0</v>
      </c>
      <c r="T725" s="36">
        <v>66887.25</v>
      </c>
      <c r="U725" s="35" t="s">
        <v>583</v>
      </c>
    </row>
    <row r="726" spans="1:21" x14ac:dyDescent="0.2">
      <c r="A726" s="35">
        <v>34</v>
      </c>
      <c r="B726" s="35" t="s">
        <v>2111</v>
      </c>
      <c r="C726" s="35" t="s">
        <v>1992</v>
      </c>
      <c r="D726" s="36">
        <v>47785.56</v>
      </c>
      <c r="F726" s="36">
        <v>0</v>
      </c>
      <c r="H726" s="36">
        <v>0</v>
      </c>
      <c r="I726" s="36">
        <v>47785.56</v>
      </c>
      <c r="L726" s="36">
        <v>47785.56</v>
      </c>
      <c r="N726" s="36">
        <v>0</v>
      </c>
      <c r="O726" s="36">
        <v>0</v>
      </c>
      <c r="P726" s="36">
        <v>0</v>
      </c>
      <c r="Q726" s="36">
        <v>0</v>
      </c>
      <c r="T726" s="36">
        <v>47785.56</v>
      </c>
      <c r="U726" s="35" t="s">
        <v>583</v>
      </c>
    </row>
    <row r="727" spans="1:21" x14ac:dyDescent="0.2">
      <c r="A727" s="35">
        <v>35</v>
      </c>
      <c r="B727" s="35" t="s">
        <v>2112</v>
      </c>
      <c r="C727" s="35" t="s">
        <v>1994</v>
      </c>
      <c r="D727" s="36">
        <v>46763.22</v>
      </c>
      <c r="F727" s="36">
        <v>0</v>
      </c>
      <c r="H727" s="36">
        <v>0</v>
      </c>
      <c r="I727" s="36">
        <v>46763.22</v>
      </c>
      <c r="L727" s="36">
        <v>46763.22</v>
      </c>
      <c r="N727" s="36">
        <v>0</v>
      </c>
      <c r="O727" s="36">
        <v>0</v>
      </c>
      <c r="P727" s="36">
        <v>0</v>
      </c>
      <c r="Q727" s="36">
        <v>0</v>
      </c>
      <c r="T727" s="36">
        <v>46763.22</v>
      </c>
      <c r="U727" s="35" t="s">
        <v>583</v>
      </c>
    </row>
    <row r="728" spans="1:21" x14ac:dyDescent="0.2">
      <c r="A728" s="35">
        <v>36</v>
      </c>
      <c r="B728" s="35" t="s">
        <v>2115</v>
      </c>
      <c r="C728" s="35" t="s">
        <v>1996</v>
      </c>
      <c r="D728" s="36">
        <v>3118.2799999999988</v>
      </c>
      <c r="F728" s="36">
        <v>0</v>
      </c>
      <c r="H728" s="36">
        <v>0</v>
      </c>
      <c r="I728" s="36">
        <v>3118.2799999999988</v>
      </c>
      <c r="L728" s="36">
        <v>3118.2799999999988</v>
      </c>
      <c r="N728" s="36">
        <v>0</v>
      </c>
      <c r="O728" s="36">
        <v>0</v>
      </c>
      <c r="P728" s="36">
        <v>0</v>
      </c>
      <c r="Q728" s="36">
        <v>0</v>
      </c>
      <c r="T728" s="36">
        <v>3118.2799999999988</v>
      </c>
      <c r="U728" s="35" t="s">
        <v>583</v>
      </c>
    </row>
    <row r="729" spans="1:21" x14ac:dyDescent="0.2">
      <c r="A729" s="35">
        <v>37</v>
      </c>
      <c r="B729" s="35" t="s">
        <v>2117</v>
      </c>
      <c r="C729" s="35" t="s">
        <v>1998</v>
      </c>
      <c r="D729" s="36">
        <v>254.62</v>
      </c>
      <c r="F729" s="36">
        <v>0</v>
      </c>
      <c r="H729" s="36">
        <v>0</v>
      </c>
      <c r="I729" s="36">
        <v>254.62</v>
      </c>
      <c r="L729" s="36">
        <v>254.62</v>
      </c>
      <c r="N729" s="36">
        <v>0</v>
      </c>
      <c r="O729" s="36">
        <v>0</v>
      </c>
      <c r="P729" s="36">
        <v>0</v>
      </c>
      <c r="Q729" s="36">
        <v>0</v>
      </c>
      <c r="T729" s="36">
        <v>254.62</v>
      </c>
      <c r="U729" s="35" t="s">
        <v>583</v>
      </c>
    </row>
    <row r="730" spans="1:21" x14ac:dyDescent="0.2">
      <c r="A730" s="35">
        <v>38</v>
      </c>
      <c r="B730" s="35" t="s">
        <v>2118</v>
      </c>
      <c r="C730" s="35" t="s">
        <v>2000</v>
      </c>
      <c r="D730" s="36">
        <v>4199.21</v>
      </c>
      <c r="F730" s="36">
        <v>0</v>
      </c>
      <c r="H730" s="36">
        <v>0</v>
      </c>
      <c r="I730" s="36">
        <v>4199.21</v>
      </c>
      <c r="L730" s="36">
        <v>4199.21</v>
      </c>
      <c r="N730" s="36">
        <v>0</v>
      </c>
      <c r="O730" s="36">
        <v>0</v>
      </c>
      <c r="P730" s="36">
        <v>0</v>
      </c>
      <c r="Q730" s="36">
        <v>0</v>
      </c>
      <c r="T730" s="36">
        <v>4199.21</v>
      </c>
      <c r="U730" s="35" t="s">
        <v>583</v>
      </c>
    </row>
    <row r="731" spans="1:21" x14ac:dyDescent="0.2">
      <c r="A731" s="35">
        <v>39</v>
      </c>
      <c r="B731" s="35" t="s">
        <v>2119</v>
      </c>
      <c r="C731" s="35" t="s">
        <v>2002</v>
      </c>
      <c r="D731" s="36">
        <v>0</v>
      </c>
      <c r="F731" s="36">
        <v>0</v>
      </c>
      <c r="H731" s="36">
        <v>0</v>
      </c>
      <c r="I731" s="36">
        <v>0</v>
      </c>
      <c r="L731" s="36">
        <v>0</v>
      </c>
      <c r="N731" s="36">
        <v>0</v>
      </c>
      <c r="O731" s="36">
        <v>0</v>
      </c>
      <c r="P731" s="36">
        <v>0</v>
      </c>
      <c r="Q731" s="36">
        <v>0</v>
      </c>
      <c r="T731" s="36">
        <v>0</v>
      </c>
      <c r="U731" s="35" t="s">
        <v>583</v>
      </c>
    </row>
    <row r="732" spans="1:21" x14ac:dyDescent="0.2">
      <c r="A732" s="35">
        <v>40</v>
      </c>
      <c r="B732" s="35" t="s">
        <v>2122</v>
      </c>
      <c r="D732" s="36">
        <v>176624.25999999998</v>
      </c>
      <c r="F732" s="36">
        <v>0</v>
      </c>
      <c r="H732" s="36">
        <v>0</v>
      </c>
      <c r="I732" s="36">
        <v>176624.25999999998</v>
      </c>
      <c r="L732" s="36">
        <v>176624.25999999998</v>
      </c>
      <c r="N732" s="36">
        <v>0</v>
      </c>
      <c r="O732" s="36">
        <v>0</v>
      </c>
      <c r="P732" s="36">
        <v>0</v>
      </c>
      <c r="Q732" s="36">
        <v>0</v>
      </c>
      <c r="U732" s="35" t="s">
        <v>583</v>
      </c>
    </row>
    <row r="733" spans="1:21" x14ac:dyDescent="0.2">
      <c r="F733" s="36"/>
    </row>
    <row r="734" spans="1:21" x14ac:dyDescent="0.2">
      <c r="A734" s="35">
        <v>41</v>
      </c>
      <c r="B734" s="35" t="s">
        <v>1508</v>
      </c>
      <c r="D734" s="36">
        <v>1836173590.7569203</v>
      </c>
      <c r="F734" s="36">
        <v>1734009542.3257976</v>
      </c>
      <c r="H734" s="36">
        <v>97067578.19769229</v>
      </c>
      <c r="I734" s="36">
        <v>5096470.2334303223</v>
      </c>
      <c r="L734" s="36">
        <v>176624.25999999998</v>
      </c>
      <c r="N734" s="36">
        <v>4919845.9734303225</v>
      </c>
      <c r="O734" s="36">
        <v>4264490.9925255449</v>
      </c>
      <c r="P734" s="36">
        <v>655354.980904778</v>
      </c>
      <c r="Q734" s="36">
        <v>0</v>
      </c>
    </row>
    <row r="735" spans="1:21" x14ac:dyDescent="0.2">
      <c r="F735" s="36"/>
    </row>
    <row r="736" spans="1:21" x14ac:dyDescent="0.2">
      <c r="B736" s="35" t="s">
        <v>1110</v>
      </c>
      <c r="F736" s="36"/>
    </row>
    <row r="737" spans="1:21" x14ac:dyDescent="0.2">
      <c r="F737" s="36"/>
    </row>
    <row r="738" spans="1:21" x14ac:dyDescent="0.2">
      <c r="B738" s="35" t="s">
        <v>22</v>
      </c>
      <c r="F738" s="36"/>
    </row>
    <row r="739" spans="1:21" x14ac:dyDescent="0.2">
      <c r="A739" s="35">
        <v>1</v>
      </c>
      <c r="B739" s="35" t="s">
        <v>2123</v>
      </c>
      <c r="C739" s="35" t="s">
        <v>1493</v>
      </c>
      <c r="D739" s="36">
        <v>3987715.1469230764</v>
      </c>
      <c r="F739" s="36">
        <v>3603740.4824467865</v>
      </c>
      <c r="H739" s="36">
        <v>187124.27889881478</v>
      </c>
      <c r="I739" s="36">
        <v>196850.3855774751</v>
      </c>
      <c r="L739" s="36">
        <v>89.808317345923484</v>
      </c>
      <c r="N739" s="36">
        <v>196760.57726012918</v>
      </c>
      <c r="O739" s="36">
        <v>62813.95168707733</v>
      </c>
      <c r="P739" s="36">
        <v>133946.62557305186</v>
      </c>
      <c r="Q739" s="36">
        <v>2.01788762854359E-13</v>
      </c>
      <c r="T739" s="36">
        <v>3987715.1469230764</v>
      </c>
      <c r="U739" s="35" t="s">
        <v>583</v>
      </c>
    </row>
    <row r="740" spans="1:21" x14ac:dyDescent="0.2">
      <c r="A740" s="35">
        <v>2</v>
      </c>
      <c r="B740" s="35" t="s">
        <v>2124</v>
      </c>
      <c r="C740" s="35" t="s">
        <v>1493</v>
      </c>
      <c r="D740" s="36">
        <v>72437002.853076816</v>
      </c>
      <c r="F740" s="36">
        <v>65462087.93528498</v>
      </c>
      <c r="H740" s="36">
        <v>3399119.9032689738</v>
      </c>
      <c r="I740" s="36">
        <v>3575795.0145228612</v>
      </c>
      <c r="L740" s="36">
        <v>1631.3716251363373</v>
      </c>
      <c r="N740" s="36">
        <v>3574163.6428977251</v>
      </c>
      <c r="O740" s="36">
        <v>1141017.908734197</v>
      </c>
      <c r="P740" s="36">
        <v>2433145.7341635283</v>
      </c>
      <c r="Q740" s="36">
        <v>3.6655008324449932E-12</v>
      </c>
      <c r="T740" s="36">
        <v>72437002.853076816</v>
      </c>
      <c r="U740" s="35" t="s">
        <v>583</v>
      </c>
    </row>
    <row r="741" spans="1:21" x14ac:dyDescent="0.2">
      <c r="A741" s="35">
        <v>3</v>
      </c>
      <c r="B741" s="35" t="s">
        <v>2125</v>
      </c>
      <c r="C741" s="35" t="s">
        <v>1493</v>
      </c>
      <c r="D741" s="36">
        <v>44896469.019230746</v>
      </c>
      <c r="F741" s="36">
        <v>40573415.342457727</v>
      </c>
      <c r="H741" s="36">
        <v>2106775.2035420379</v>
      </c>
      <c r="I741" s="36">
        <v>2216278.4732309827</v>
      </c>
      <c r="L741" s="36">
        <v>1011.1244632158968</v>
      </c>
      <c r="N741" s="36">
        <v>2215267.3487677667</v>
      </c>
      <c r="O741" s="36">
        <v>707203.13061235938</v>
      </c>
      <c r="P741" s="36">
        <v>1508064.2181554073</v>
      </c>
      <c r="Q741" s="36">
        <v>2.2718781573227524E-12</v>
      </c>
      <c r="T741" s="36">
        <v>44896469.019230746</v>
      </c>
      <c r="U741" s="35" t="s">
        <v>583</v>
      </c>
    </row>
    <row r="742" spans="1:21" x14ac:dyDescent="0.2">
      <c r="A742" s="35">
        <v>4</v>
      </c>
      <c r="B742" s="35" t="s">
        <v>2126</v>
      </c>
      <c r="C742" s="35" t="s">
        <v>1493</v>
      </c>
      <c r="D742" s="36">
        <v>7583831.4199999999</v>
      </c>
      <c r="F742" s="36">
        <v>6853588.9082734175</v>
      </c>
      <c r="H742" s="36">
        <v>355872.70742060593</v>
      </c>
      <c r="I742" s="36">
        <v>374369.80430597655</v>
      </c>
      <c r="L742" s="36">
        <v>170.79733977259531</v>
      </c>
      <c r="N742" s="36">
        <v>374199.00696620398</v>
      </c>
      <c r="O742" s="36">
        <v>119459.4906776094</v>
      </c>
      <c r="P742" s="36">
        <v>254739.51628859458</v>
      </c>
      <c r="Q742" s="36">
        <v>3.8376160371400191E-13</v>
      </c>
      <c r="T742" s="36">
        <v>7583831.4199999999</v>
      </c>
      <c r="U742" s="35" t="s">
        <v>583</v>
      </c>
    </row>
    <row r="743" spans="1:21" x14ac:dyDescent="0.2">
      <c r="A743" s="35">
        <v>5</v>
      </c>
      <c r="B743" s="35" t="s">
        <v>2127</v>
      </c>
      <c r="C743" s="35" t="s">
        <v>1493</v>
      </c>
      <c r="D743" s="36">
        <v>1513641.6900000002</v>
      </c>
      <c r="F743" s="36">
        <v>1367894.0529092394</v>
      </c>
      <c r="H743" s="36">
        <v>71027.919326429546</v>
      </c>
      <c r="I743" s="36">
        <v>74719.71776433129</v>
      </c>
      <c r="L743" s="36">
        <v>34.089098201617915</v>
      </c>
      <c r="N743" s="36">
        <v>74685.628666129676</v>
      </c>
      <c r="O743" s="36">
        <v>23842.679951843653</v>
      </c>
      <c r="P743" s="36">
        <v>50842.948714286023</v>
      </c>
      <c r="Q743" s="36">
        <v>7.6594208155904958E-14</v>
      </c>
      <c r="T743" s="36">
        <v>1513641.6900000004</v>
      </c>
      <c r="U743" s="35" t="s">
        <v>583</v>
      </c>
    </row>
    <row r="744" spans="1:21" x14ac:dyDescent="0.2">
      <c r="A744" s="35">
        <v>6</v>
      </c>
      <c r="B744" s="35" t="s">
        <v>2128</v>
      </c>
      <c r="C744" s="35" t="s">
        <v>1493</v>
      </c>
      <c r="D744" s="36">
        <v>13878615.364615384</v>
      </c>
      <c r="F744" s="36">
        <v>12542251.938021194</v>
      </c>
      <c r="H744" s="36">
        <v>651256.62103059993</v>
      </c>
      <c r="I744" s="36">
        <v>685106.80556358944</v>
      </c>
      <c r="L744" s="36">
        <v>312.56372310071413</v>
      </c>
      <c r="N744" s="36">
        <v>684794.24184048874</v>
      </c>
      <c r="O744" s="36">
        <v>218614.0792100305</v>
      </c>
      <c r="P744" s="36">
        <v>466180.1626304583</v>
      </c>
      <c r="Q744" s="36">
        <v>7.0229405094748101E-13</v>
      </c>
      <c r="T744" s="36">
        <v>13878615.364615384</v>
      </c>
      <c r="U744" s="35" t="s">
        <v>583</v>
      </c>
    </row>
    <row r="745" spans="1:21" x14ac:dyDescent="0.2">
      <c r="A745" s="35">
        <v>7</v>
      </c>
      <c r="B745" s="35" t="s">
        <v>2129</v>
      </c>
      <c r="C745" s="35" t="s">
        <v>1493</v>
      </c>
      <c r="D745" s="36">
        <v>0</v>
      </c>
      <c r="F745" s="36">
        <v>0</v>
      </c>
      <c r="H745" s="36">
        <v>0</v>
      </c>
      <c r="I745" s="36">
        <v>0</v>
      </c>
      <c r="L745" s="36">
        <v>0</v>
      </c>
      <c r="N745" s="36">
        <v>0</v>
      </c>
      <c r="O745" s="36">
        <v>0</v>
      </c>
      <c r="P745" s="36">
        <v>0</v>
      </c>
      <c r="Q745" s="36">
        <v>0</v>
      </c>
      <c r="T745" s="36">
        <v>0</v>
      </c>
      <c r="U745" s="35" t="s">
        <v>583</v>
      </c>
    </row>
    <row r="746" spans="1:21" x14ac:dyDescent="0.2">
      <c r="A746" s="35">
        <v>8</v>
      </c>
      <c r="B746" s="35" t="s">
        <v>2130</v>
      </c>
      <c r="C746" s="35" t="s">
        <v>1493</v>
      </c>
      <c r="D746" s="36">
        <v>2370876.7599999998</v>
      </c>
      <c r="F746" s="36">
        <v>2142586.4797531608</v>
      </c>
      <c r="H746" s="36">
        <v>111253.83527338403</v>
      </c>
      <c r="I746" s="36">
        <v>117036.44497345481</v>
      </c>
      <c r="L746" s="36">
        <v>53.395100854795878</v>
      </c>
      <c r="N746" s="36">
        <v>116983.04987260001</v>
      </c>
      <c r="O746" s="36">
        <v>37345.731270089433</v>
      </c>
      <c r="P746" s="36">
        <v>79637.318602510582</v>
      </c>
      <c r="Q746" s="36">
        <v>1.1997253330637152E-13</v>
      </c>
      <c r="T746" s="36">
        <v>2370876.7599999998</v>
      </c>
      <c r="U746" s="35" t="s">
        <v>583</v>
      </c>
    </row>
    <row r="747" spans="1:21" x14ac:dyDescent="0.2">
      <c r="B747" s="35" t="s">
        <v>2131</v>
      </c>
      <c r="F747" s="36"/>
    </row>
    <row r="748" spans="1:21" x14ac:dyDescent="0.2">
      <c r="A748" s="35">
        <v>9</v>
      </c>
      <c r="B748" s="35" t="s">
        <v>2280</v>
      </c>
      <c r="C748" s="35" t="s">
        <v>979</v>
      </c>
      <c r="D748" s="36">
        <v>10795860.003846154</v>
      </c>
      <c r="F748" s="36">
        <v>10795860.003846154</v>
      </c>
      <c r="H748" s="36">
        <v>0</v>
      </c>
      <c r="I748" s="36">
        <v>0</v>
      </c>
      <c r="L748" s="36">
        <v>0</v>
      </c>
      <c r="N748" s="36">
        <v>0</v>
      </c>
      <c r="O748" s="36">
        <v>0</v>
      </c>
      <c r="P748" s="36">
        <v>0</v>
      </c>
      <c r="Q748" s="36">
        <v>0</v>
      </c>
      <c r="T748" s="36">
        <v>10795860.003846154</v>
      </c>
      <c r="U748" s="35" t="s">
        <v>583</v>
      </c>
    </row>
    <row r="749" spans="1:21" x14ac:dyDescent="0.2">
      <c r="A749" s="35">
        <v>10</v>
      </c>
      <c r="B749" s="35" t="s">
        <v>2</v>
      </c>
      <c r="C749" s="35" t="s">
        <v>1493</v>
      </c>
      <c r="D749" s="36">
        <v>50234602.956153758</v>
      </c>
      <c r="F749" s="36">
        <v>45397543.611513242</v>
      </c>
      <c r="H749" s="36">
        <v>2357268.1366650965</v>
      </c>
      <c r="I749" s="36">
        <v>2479791.2079754164</v>
      </c>
      <c r="L749" s="36">
        <v>1131.3458955346364</v>
      </c>
      <c r="N749" s="36">
        <v>2478659.8620798816</v>
      </c>
      <c r="O749" s="36">
        <v>791288.69712323591</v>
      </c>
      <c r="P749" s="36">
        <v>1687371.1649566456</v>
      </c>
      <c r="Q749" s="36">
        <v>2.5420016248712591E-12</v>
      </c>
      <c r="T749" s="36">
        <v>50234602.956153758</v>
      </c>
      <c r="U749" s="35" t="s">
        <v>583</v>
      </c>
    </row>
    <row r="750" spans="1:21" x14ac:dyDescent="0.2">
      <c r="A750" s="35">
        <v>11</v>
      </c>
      <c r="B750" s="35" t="s">
        <v>2281</v>
      </c>
      <c r="D750" s="36">
        <v>61030462.959999911</v>
      </c>
      <c r="F750" s="36">
        <v>56193403.615359396</v>
      </c>
      <c r="H750" s="36">
        <v>2357268.1366650965</v>
      </c>
      <c r="I750" s="36">
        <v>2479791.2079754164</v>
      </c>
      <c r="L750" s="36">
        <v>1131.3458955346364</v>
      </c>
      <c r="N750" s="36">
        <v>2478659.8620798816</v>
      </c>
      <c r="O750" s="36">
        <v>791288.69712323591</v>
      </c>
      <c r="P750" s="36">
        <v>1687371.1649566456</v>
      </c>
      <c r="Q750" s="36">
        <v>2.5420016248712591E-12</v>
      </c>
      <c r="T750" s="36">
        <v>61030462.959999911</v>
      </c>
      <c r="U750" s="35" t="s">
        <v>583</v>
      </c>
    </row>
    <row r="751" spans="1:21" x14ac:dyDescent="0.2">
      <c r="A751" s="35">
        <v>12</v>
      </c>
      <c r="B751" s="35" t="s">
        <v>2132</v>
      </c>
      <c r="C751" s="35" t="s">
        <v>1493</v>
      </c>
      <c r="D751" s="36">
        <v>0</v>
      </c>
      <c r="F751" s="36">
        <v>0</v>
      </c>
      <c r="H751" s="36">
        <v>0</v>
      </c>
      <c r="I751" s="36">
        <v>0</v>
      </c>
      <c r="L751" s="36">
        <v>0</v>
      </c>
      <c r="N751" s="36">
        <v>0</v>
      </c>
      <c r="O751" s="36">
        <v>0</v>
      </c>
      <c r="P751" s="36">
        <v>0</v>
      </c>
      <c r="Q751" s="36">
        <v>0</v>
      </c>
      <c r="T751" s="36">
        <v>0</v>
      </c>
      <c r="U751" s="35" t="s">
        <v>583</v>
      </c>
    </row>
    <row r="752" spans="1:21" x14ac:dyDescent="0.2">
      <c r="A752" s="35">
        <v>13</v>
      </c>
      <c r="B752" s="35" t="s">
        <v>2133</v>
      </c>
      <c r="D752" s="36">
        <v>207698615.21384597</v>
      </c>
      <c r="F752" s="36">
        <v>188738968.75450593</v>
      </c>
      <c r="H752" s="36">
        <v>9239698.6054259427</v>
      </c>
      <c r="I752" s="36">
        <v>9719947.8539140876</v>
      </c>
      <c r="L752" s="36">
        <v>4434.495563162518</v>
      </c>
      <c r="N752" s="36">
        <v>9715513.3583509251</v>
      </c>
      <c r="O752" s="36">
        <v>3101585.6692664423</v>
      </c>
      <c r="P752" s="36">
        <v>6613927.6890844833</v>
      </c>
      <c r="Q752" s="36">
        <v>1.2505793398488384E-11</v>
      </c>
      <c r="U752" s="35" t="s">
        <v>583</v>
      </c>
    </row>
    <row r="753" spans="1:25" x14ac:dyDescent="0.2">
      <c r="F753" s="36"/>
    </row>
    <row r="754" spans="1:25" x14ac:dyDescent="0.2">
      <c r="B754" s="35" t="s">
        <v>2134</v>
      </c>
      <c r="F754" s="36"/>
    </row>
    <row r="755" spans="1:25" x14ac:dyDescent="0.2">
      <c r="A755" s="35">
        <v>14</v>
      </c>
      <c r="B755" s="35" t="s">
        <v>2135</v>
      </c>
      <c r="C755" s="35" t="s">
        <v>1333</v>
      </c>
      <c r="D755" s="36">
        <v>309540.84999999998</v>
      </c>
      <c r="F755" s="36">
        <v>271088.83674773236</v>
      </c>
      <c r="H755" s="36">
        <v>12527.982436047074</v>
      </c>
      <c r="I755" s="36">
        <v>25924.030816220558</v>
      </c>
      <c r="L755" s="36">
        <v>0.95258633134382964</v>
      </c>
      <c r="N755" s="36">
        <v>25923.078229889215</v>
      </c>
      <c r="O755" s="36">
        <v>8045.4575557725902</v>
      </c>
      <c r="P755" s="36">
        <v>17877.620674116624</v>
      </c>
      <c r="Q755" s="36">
        <v>0</v>
      </c>
      <c r="T755" s="36">
        <v>309540.84999999998</v>
      </c>
    </row>
    <row r="756" spans="1:25" x14ac:dyDescent="0.2">
      <c r="A756" s="35">
        <v>15</v>
      </c>
      <c r="B756" s="35" t="s">
        <v>2136</v>
      </c>
      <c r="C756" s="35" t="s">
        <v>1955</v>
      </c>
      <c r="D756" s="36">
        <v>0</v>
      </c>
      <c r="F756" s="36">
        <v>0</v>
      </c>
      <c r="H756" s="36">
        <v>0</v>
      </c>
      <c r="I756" s="36">
        <v>0</v>
      </c>
      <c r="L756" s="36">
        <v>0</v>
      </c>
      <c r="N756" s="36">
        <v>0</v>
      </c>
      <c r="O756" s="36">
        <v>0</v>
      </c>
      <c r="P756" s="36">
        <v>0</v>
      </c>
      <c r="Q756" s="36">
        <v>0</v>
      </c>
      <c r="T756" s="36">
        <v>0</v>
      </c>
    </row>
    <row r="757" spans="1:25" x14ac:dyDescent="0.2">
      <c r="A757" s="35">
        <v>16</v>
      </c>
      <c r="B757" s="35" t="s">
        <v>2137</v>
      </c>
      <c r="C757" s="35" t="s">
        <v>2344</v>
      </c>
      <c r="D757" s="36">
        <v>437970.09</v>
      </c>
      <c r="F757" s="36">
        <v>113882.25</v>
      </c>
      <c r="H757" s="36">
        <v>324087.84000000003</v>
      </c>
      <c r="I757" s="36">
        <v>0</v>
      </c>
      <c r="L757" s="36">
        <v>0</v>
      </c>
      <c r="N757" s="36">
        <v>0</v>
      </c>
      <c r="O757" s="36">
        <v>0</v>
      </c>
      <c r="P757" s="36">
        <v>0</v>
      </c>
      <c r="Q757" s="36">
        <v>0</v>
      </c>
      <c r="T757" s="36">
        <v>437970.09</v>
      </c>
      <c r="V757" s="35" t="s">
        <v>2389</v>
      </c>
      <c r="Y757" s="35">
        <v>324087.84000000003</v>
      </c>
    </row>
    <row r="758" spans="1:25" x14ac:dyDescent="0.2">
      <c r="A758" s="35">
        <v>17</v>
      </c>
      <c r="B758" s="35" t="s">
        <v>1162</v>
      </c>
      <c r="C758" s="35" t="s">
        <v>1493</v>
      </c>
      <c r="D758" s="36">
        <v>0</v>
      </c>
      <c r="F758" s="82">
        <v>0</v>
      </c>
      <c r="H758" s="36">
        <v>0</v>
      </c>
      <c r="I758" s="36">
        <v>0</v>
      </c>
      <c r="L758" s="36">
        <v>0</v>
      </c>
      <c r="N758" s="36">
        <v>0</v>
      </c>
      <c r="O758" s="36">
        <v>0</v>
      </c>
      <c r="P758" s="36">
        <v>0</v>
      </c>
      <c r="Q758" s="36">
        <v>0</v>
      </c>
      <c r="T758" s="36">
        <v>0</v>
      </c>
    </row>
    <row r="759" spans="1:25" x14ac:dyDescent="0.2">
      <c r="A759" s="35">
        <v>18</v>
      </c>
      <c r="B759" s="35" t="s">
        <v>2138</v>
      </c>
      <c r="D759" s="36">
        <v>747510.94000000006</v>
      </c>
      <c r="F759" s="36">
        <v>384971.08674773236</v>
      </c>
      <c r="H759" s="36">
        <v>336615.82243604708</v>
      </c>
      <c r="I759" s="36">
        <v>25924.030816220558</v>
      </c>
      <c r="L759" s="36">
        <v>0.95258633134382964</v>
      </c>
      <c r="N759" s="36">
        <v>25923.078229889215</v>
      </c>
      <c r="O759" s="36">
        <v>8045.4575557725902</v>
      </c>
      <c r="P759" s="36">
        <v>17877.620674116624</v>
      </c>
      <c r="Q759" s="36">
        <v>0</v>
      </c>
      <c r="T759" s="36">
        <v>747510.94</v>
      </c>
      <c r="U759" s="35" t="s">
        <v>583</v>
      </c>
      <c r="V759" s="35" t="s">
        <v>583</v>
      </c>
      <c r="W759" s="35" t="s">
        <v>2139</v>
      </c>
    </row>
    <row r="760" spans="1:25" x14ac:dyDescent="0.2">
      <c r="F760" s="36"/>
    </row>
    <row r="761" spans="1:25" x14ac:dyDescent="0.2">
      <c r="A761" s="35">
        <v>19</v>
      </c>
      <c r="B761" s="35" t="s">
        <v>1413</v>
      </c>
      <c r="D761" s="36">
        <v>9527059121.0507679</v>
      </c>
      <c r="F761" s="36">
        <v>8463527046.5532007</v>
      </c>
      <c r="H761" s="36">
        <v>470955559.46998042</v>
      </c>
      <c r="I761" s="36">
        <v>592576515.02758551</v>
      </c>
      <c r="L761" s="36">
        <v>206189.80969716009</v>
      </c>
      <c r="N761" s="36">
        <v>592370325.21788836</v>
      </c>
      <c r="O761" s="36">
        <v>186706051.30020908</v>
      </c>
      <c r="P761" s="36">
        <v>405664273.91767925</v>
      </c>
      <c r="Q761" s="36">
        <v>1.2659895885020524E-11</v>
      </c>
      <c r="T761" s="36">
        <v>9527059121.050766</v>
      </c>
      <c r="U761" s="35" t="s">
        <v>583</v>
      </c>
      <c r="V761" s="35">
        <v>0</v>
      </c>
    </row>
    <row r="762" spans="1:25" x14ac:dyDescent="0.2">
      <c r="F762" s="36"/>
    </row>
    <row r="763" spans="1:25" x14ac:dyDescent="0.2">
      <c r="B763" s="35" t="s">
        <v>1110</v>
      </c>
      <c r="F763" s="36"/>
    </row>
    <row r="764" spans="1:25" x14ac:dyDescent="0.2">
      <c r="F764" s="36"/>
    </row>
    <row r="765" spans="1:25" x14ac:dyDescent="0.2">
      <c r="B765" s="35" t="s">
        <v>6</v>
      </c>
      <c r="F765" s="36"/>
    </row>
    <row r="766" spans="1:25" x14ac:dyDescent="0.2">
      <c r="F766" s="36"/>
    </row>
    <row r="767" spans="1:25" x14ac:dyDescent="0.2">
      <c r="B767" s="35" t="s">
        <v>7</v>
      </c>
      <c r="F767" s="36"/>
    </row>
    <row r="768" spans="1:25" x14ac:dyDescent="0.2">
      <c r="B768" s="35" t="s">
        <v>8</v>
      </c>
      <c r="F768" s="36"/>
    </row>
    <row r="769" spans="1:22" x14ac:dyDescent="0.2">
      <c r="A769" s="35">
        <v>1</v>
      </c>
      <c r="B769" s="35" t="s">
        <v>9</v>
      </c>
      <c r="C769" s="35" t="s">
        <v>1495</v>
      </c>
      <c r="D769" s="36">
        <v>1783258002.7705979</v>
      </c>
      <c r="F769" s="36">
        <v>1561736803.3723688</v>
      </c>
      <c r="H769" s="36">
        <v>72173430.219793066</v>
      </c>
      <c r="I769" s="36">
        <v>149347769.1784361</v>
      </c>
      <c r="L769" s="36">
        <v>5487.8288235584059</v>
      </c>
      <c r="N769" s="36">
        <v>149342281.34961253</v>
      </c>
      <c r="O769" s="36">
        <v>46349703.350244872</v>
      </c>
      <c r="P769" s="36">
        <v>102992577.99936767</v>
      </c>
      <c r="Q769" s="36">
        <v>0</v>
      </c>
      <c r="T769" s="36">
        <v>1783258002.7705979</v>
      </c>
      <c r="V769" s="35" t="s">
        <v>10</v>
      </c>
    </row>
    <row r="770" spans="1:22" x14ac:dyDescent="0.2">
      <c r="A770" s="35">
        <v>2</v>
      </c>
      <c r="B770" s="35" t="s">
        <v>11</v>
      </c>
      <c r="C770" s="35" t="s">
        <v>1335</v>
      </c>
      <c r="D770" s="36">
        <v>17555472.333333369</v>
      </c>
      <c r="F770" s="36">
        <v>0</v>
      </c>
      <c r="H770" s="36">
        <v>5719859.0946374182</v>
      </c>
      <c r="I770" s="36">
        <v>11835613.238695951</v>
      </c>
      <c r="L770" s="36">
        <v>0</v>
      </c>
      <c r="N770" s="36">
        <v>11835613.238695951</v>
      </c>
      <c r="O770" s="36">
        <v>3673287.6826594127</v>
      </c>
      <c r="P770" s="36">
        <v>8162325.5560365384</v>
      </c>
      <c r="Q770" s="36">
        <v>0</v>
      </c>
      <c r="T770" s="36">
        <v>17555472.333333369</v>
      </c>
    </row>
    <row r="771" spans="1:22" x14ac:dyDescent="0.2">
      <c r="A771" s="35">
        <v>3</v>
      </c>
      <c r="B771" s="35" t="s">
        <v>12</v>
      </c>
      <c r="C771" s="35" t="s">
        <v>1341</v>
      </c>
      <c r="D771" s="36">
        <v>6260481.2500000149</v>
      </c>
      <c r="F771" s="36">
        <v>0</v>
      </c>
      <c r="H771" s="36">
        <v>0</v>
      </c>
      <c r="I771" s="36">
        <v>6260481.2500000149</v>
      </c>
      <c r="L771" s="36">
        <v>0</v>
      </c>
      <c r="N771" s="36">
        <v>6260481.2500000149</v>
      </c>
      <c r="O771" s="36">
        <v>1942995.9563023897</v>
      </c>
      <c r="P771" s="36">
        <v>4317485.2936976254</v>
      </c>
      <c r="Q771" s="36">
        <v>0</v>
      </c>
      <c r="T771" s="36">
        <v>6260481.2500000158</v>
      </c>
    </row>
    <row r="772" spans="1:22" x14ac:dyDescent="0.2">
      <c r="A772" s="35">
        <v>4</v>
      </c>
      <c r="B772" s="35" t="s">
        <v>13</v>
      </c>
      <c r="D772" s="36">
        <v>1807073956.3539314</v>
      </c>
      <c r="F772" s="36">
        <v>1561736803.3723688</v>
      </c>
      <c r="H772" s="36">
        <v>77893289.31443049</v>
      </c>
      <c r="I772" s="36">
        <v>167443863.66713208</v>
      </c>
      <c r="L772" s="36">
        <v>5487.8288235584059</v>
      </c>
      <c r="N772" s="36">
        <v>167438375.83830851</v>
      </c>
      <c r="O772" s="36">
        <v>51965986.989206672</v>
      </c>
      <c r="P772" s="36">
        <v>115472388.84910183</v>
      </c>
      <c r="Q772" s="36">
        <v>0</v>
      </c>
      <c r="U772" s="35" t="s">
        <v>583</v>
      </c>
    </row>
    <row r="773" spans="1:22" x14ac:dyDescent="0.2">
      <c r="F773" s="36"/>
    </row>
    <row r="774" spans="1:22" x14ac:dyDescent="0.2">
      <c r="B774" s="35" t="s">
        <v>14</v>
      </c>
      <c r="F774" s="36"/>
    </row>
    <row r="775" spans="1:22" x14ac:dyDescent="0.2">
      <c r="A775" s="35">
        <v>5</v>
      </c>
      <c r="B775" s="35" t="s">
        <v>9</v>
      </c>
      <c r="C775" s="35" t="s">
        <v>1499</v>
      </c>
      <c r="D775" s="36">
        <v>13006228.319512662</v>
      </c>
      <c r="F775" s="36">
        <v>11390558.970204098</v>
      </c>
      <c r="H775" s="36">
        <v>526398.37341686129</v>
      </c>
      <c r="I775" s="36">
        <v>1089270.9758917014</v>
      </c>
      <c r="L775" s="36">
        <v>40.025590546465146</v>
      </c>
      <c r="N775" s="36">
        <v>1089230.950301155</v>
      </c>
      <c r="O775" s="36">
        <v>338052.49906539492</v>
      </c>
      <c r="P775" s="36">
        <v>751178.45123576012</v>
      </c>
      <c r="Q775" s="36">
        <v>0</v>
      </c>
      <c r="T775" s="36">
        <v>13006228.31951266</v>
      </c>
      <c r="V775" s="35" t="s">
        <v>10</v>
      </c>
    </row>
    <row r="776" spans="1:22" x14ac:dyDescent="0.2">
      <c r="A776" s="35">
        <v>6</v>
      </c>
      <c r="B776" s="35" t="s">
        <v>11</v>
      </c>
      <c r="C776" s="35" t="s">
        <v>1335</v>
      </c>
      <c r="D776" s="36">
        <v>3366.9999999999977</v>
      </c>
      <c r="F776" s="36">
        <v>0</v>
      </c>
      <c r="H776" s="36">
        <v>1097.0234925024879</v>
      </c>
      <c r="I776" s="36">
        <v>2269.9765074975098</v>
      </c>
      <c r="L776" s="36">
        <v>0</v>
      </c>
      <c r="N776" s="36">
        <v>2269.9765074975098</v>
      </c>
      <c r="O776" s="36">
        <v>704.50736913700871</v>
      </c>
      <c r="P776" s="36">
        <v>1565.4691383605011</v>
      </c>
      <c r="Q776" s="36">
        <v>0</v>
      </c>
      <c r="T776" s="36">
        <v>3366.9999999999977</v>
      </c>
    </row>
    <row r="777" spans="1:22" x14ac:dyDescent="0.2">
      <c r="A777" s="35">
        <v>7</v>
      </c>
      <c r="B777" s="35" t="s">
        <v>12</v>
      </c>
      <c r="C777" s="35" t="s">
        <v>1341</v>
      </c>
      <c r="D777" s="36">
        <v>15331.000000000025</v>
      </c>
      <c r="F777" s="36">
        <v>0</v>
      </c>
      <c r="H777" s="36">
        <v>0</v>
      </c>
      <c r="I777" s="36">
        <v>15331.000000000025</v>
      </c>
      <c r="L777" s="36">
        <v>0</v>
      </c>
      <c r="N777" s="36">
        <v>15331.000000000025</v>
      </c>
      <c r="O777" s="36">
        <v>4758.1120071355399</v>
      </c>
      <c r="P777" s="36">
        <v>10572.887992864486</v>
      </c>
      <c r="Q777" s="36">
        <v>0</v>
      </c>
      <c r="T777" s="36">
        <v>15331.000000000027</v>
      </c>
    </row>
    <row r="778" spans="1:22" x14ac:dyDescent="0.2">
      <c r="A778" s="35">
        <v>8</v>
      </c>
      <c r="B778" s="35" t="s">
        <v>15</v>
      </c>
      <c r="D778" s="36">
        <v>13024926.319512662</v>
      </c>
      <c r="F778" s="36">
        <v>11390558.970204098</v>
      </c>
      <c r="H778" s="36">
        <v>527495.3969093638</v>
      </c>
      <c r="I778" s="36">
        <v>1106871.9523991989</v>
      </c>
      <c r="L778" s="36">
        <v>40.025590546465146</v>
      </c>
      <c r="N778" s="36">
        <v>1106831.9268086525</v>
      </c>
      <c r="O778" s="36">
        <v>343515.11844166747</v>
      </c>
      <c r="P778" s="36">
        <v>763316.80836698506</v>
      </c>
      <c r="Q778" s="36">
        <v>0</v>
      </c>
      <c r="U778" s="35" t="s">
        <v>583</v>
      </c>
    </row>
    <row r="779" spans="1:22" x14ac:dyDescent="0.2">
      <c r="F779" s="36"/>
    </row>
    <row r="780" spans="1:22" x14ac:dyDescent="0.2">
      <c r="B780" s="35" t="s">
        <v>16</v>
      </c>
      <c r="F780" s="36"/>
    </row>
    <row r="781" spans="1:22" x14ac:dyDescent="0.2">
      <c r="A781" s="35">
        <v>9</v>
      </c>
      <c r="B781" s="35" t="s">
        <v>9</v>
      </c>
      <c r="C781" s="35" t="s">
        <v>1501</v>
      </c>
      <c r="D781" s="36">
        <v>319150106.57834363</v>
      </c>
      <c r="F781" s="36">
        <v>279504405.12209612</v>
      </c>
      <c r="H781" s="36">
        <v>12916895.878770251</v>
      </c>
      <c r="I781" s="36">
        <v>26728805.577477273</v>
      </c>
      <c r="L781" s="36">
        <v>982.15802267602669</v>
      </c>
      <c r="N781" s="36">
        <v>26727823.419454597</v>
      </c>
      <c r="O781" s="36">
        <v>8295217.3724287516</v>
      </c>
      <c r="P781" s="36">
        <v>18432606.047025844</v>
      </c>
      <c r="Q781" s="36">
        <v>0</v>
      </c>
      <c r="T781" s="36">
        <v>319150106.57834363</v>
      </c>
      <c r="V781" s="35" t="s">
        <v>10</v>
      </c>
    </row>
    <row r="782" spans="1:22" x14ac:dyDescent="0.2">
      <c r="A782" s="35">
        <v>10</v>
      </c>
      <c r="B782" s="35" t="s">
        <v>11</v>
      </c>
      <c r="C782" s="35" t="s">
        <v>1335</v>
      </c>
      <c r="D782" s="36">
        <v>1670.9999999999995</v>
      </c>
      <c r="F782" s="36">
        <v>0</v>
      </c>
      <c r="H782" s="36">
        <v>544.43904246262503</v>
      </c>
      <c r="I782" s="36">
        <v>1126.5609575373746</v>
      </c>
      <c r="L782" s="36">
        <v>0</v>
      </c>
      <c r="N782" s="36">
        <v>1126.5609575373746</v>
      </c>
      <c r="O782" s="36">
        <v>349.63819834509718</v>
      </c>
      <c r="P782" s="36">
        <v>776.92275919227757</v>
      </c>
      <c r="Q782" s="36">
        <v>0</v>
      </c>
      <c r="T782" s="36">
        <v>1670.9999999999998</v>
      </c>
    </row>
    <row r="783" spans="1:22" x14ac:dyDescent="0.2">
      <c r="A783" s="35">
        <v>11</v>
      </c>
      <c r="B783" s="35" t="s">
        <v>12</v>
      </c>
      <c r="C783" s="35" t="s">
        <v>1341</v>
      </c>
      <c r="D783" s="36">
        <v>1330498.75</v>
      </c>
      <c r="F783" s="36">
        <v>0</v>
      </c>
      <c r="H783" s="36">
        <v>0</v>
      </c>
      <c r="I783" s="36">
        <v>1330498.75</v>
      </c>
      <c r="L783" s="36">
        <v>0</v>
      </c>
      <c r="N783" s="36">
        <v>1330498.75</v>
      </c>
      <c r="O783" s="36">
        <v>412932.10344098986</v>
      </c>
      <c r="P783" s="36">
        <v>917566.64655901003</v>
      </c>
      <c r="Q783" s="36">
        <v>0</v>
      </c>
      <c r="T783" s="36">
        <v>1330498.75</v>
      </c>
    </row>
    <row r="784" spans="1:22" x14ac:dyDescent="0.2">
      <c r="A784" s="35">
        <v>12</v>
      </c>
      <c r="B784" s="35" t="s">
        <v>17</v>
      </c>
      <c r="D784" s="36">
        <v>320482276.32834369</v>
      </c>
      <c r="F784" s="36">
        <v>279504405.12209612</v>
      </c>
      <c r="H784" s="36">
        <v>12917440.317812713</v>
      </c>
      <c r="I784" s="36">
        <v>28060430.888434812</v>
      </c>
      <c r="L784" s="36">
        <v>982.15802267602669</v>
      </c>
      <c r="N784" s="36">
        <v>28059448.730412137</v>
      </c>
      <c r="O784" s="36">
        <v>8708499.1140680872</v>
      </c>
      <c r="P784" s="36">
        <v>19350949.61634405</v>
      </c>
      <c r="Q784" s="36">
        <v>0</v>
      </c>
      <c r="U784" s="35" t="s">
        <v>583</v>
      </c>
    </row>
    <row r="785" spans="1:22" x14ac:dyDescent="0.2">
      <c r="F785" s="36"/>
    </row>
    <row r="786" spans="1:22" x14ac:dyDescent="0.2">
      <c r="A786" s="35">
        <v>13</v>
      </c>
      <c r="B786" s="35" t="s">
        <v>18</v>
      </c>
      <c r="D786" s="36">
        <v>2140581159.0017877</v>
      </c>
      <c r="F786" s="36">
        <v>1852631767.464669</v>
      </c>
      <c r="H786" s="36">
        <v>91338225.029152572</v>
      </c>
      <c r="I786" s="36">
        <v>196611166.50796607</v>
      </c>
      <c r="L786" s="36">
        <v>6510.0124367808985</v>
      </c>
      <c r="N786" s="36">
        <v>196604656.49552929</v>
      </c>
      <c r="O786" s="36">
        <v>61018001.221716434</v>
      </c>
      <c r="P786" s="36">
        <v>135586655.27381286</v>
      </c>
      <c r="Q786" s="36">
        <v>0</v>
      </c>
    </row>
    <row r="787" spans="1:22" x14ac:dyDescent="0.2">
      <c r="F787" s="36"/>
    </row>
    <row r="788" spans="1:22" x14ac:dyDescent="0.2">
      <c r="B788" s="35" t="s">
        <v>19</v>
      </c>
      <c r="F788" s="36"/>
    </row>
    <row r="789" spans="1:22" x14ac:dyDescent="0.2">
      <c r="A789" s="35">
        <v>14</v>
      </c>
      <c r="B789" s="35" t="s">
        <v>1106</v>
      </c>
      <c r="C789" s="35" t="s">
        <v>2278</v>
      </c>
      <c r="D789" s="36">
        <v>318228987.07313865</v>
      </c>
      <c r="F789" s="36">
        <v>303830491.18630236</v>
      </c>
      <c r="H789" s="36">
        <v>14397428.248727633</v>
      </c>
      <c r="I789" s="36">
        <v>1067.6381086797908</v>
      </c>
      <c r="L789" s="36">
        <v>1067.6381086797908</v>
      </c>
      <c r="N789" s="36">
        <v>0</v>
      </c>
      <c r="O789" s="36">
        <v>0</v>
      </c>
      <c r="P789" s="36">
        <v>0</v>
      </c>
      <c r="Q789" s="36">
        <v>0</v>
      </c>
      <c r="T789" s="36">
        <v>318228987.07313865</v>
      </c>
      <c r="V789" s="35" t="s">
        <v>10</v>
      </c>
    </row>
    <row r="790" spans="1:22" x14ac:dyDescent="0.2">
      <c r="A790" s="35">
        <v>15</v>
      </c>
      <c r="B790" s="35" t="s">
        <v>1109</v>
      </c>
      <c r="C790" s="35" t="s">
        <v>1411</v>
      </c>
      <c r="D790" s="36">
        <v>30789764.024993468</v>
      </c>
      <c r="F790" s="36">
        <v>4014977.5835693018</v>
      </c>
      <c r="H790" s="36">
        <v>26774772.333086792</v>
      </c>
      <c r="I790" s="36">
        <v>14.108337372516274</v>
      </c>
      <c r="L790" s="36">
        <v>14.108337372516274</v>
      </c>
      <c r="N790" s="36">
        <v>0</v>
      </c>
      <c r="O790" s="36">
        <v>0</v>
      </c>
      <c r="P790" s="36">
        <v>0</v>
      </c>
      <c r="Q790" s="36">
        <v>0</v>
      </c>
      <c r="T790" s="36">
        <v>30789764.024993464</v>
      </c>
    </row>
    <row r="791" spans="1:22" x14ac:dyDescent="0.2">
      <c r="A791" s="35">
        <v>16</v>
      </c>
      <c r="B791" s="35" t="s">
        <v>1097</v>
      </c>
      <c r="C791" s="35" t="s">
        <v>1335</v>
      </c>
      <c r="D791" s="36">
        <v>2907903.0000000093</v>
      </c>
      <c r="F791" s="36">
        <v>0</v>
      </c>
      <c r="H791" s="36">
        <v>947442.20520299231</v>
      </c>
      <c r="I791" s="36">
        <v>1960460.7947970172</v>
      </c>
      <c r="L791" s="36">
        <v>0</v>
      </c>
      <c r="N791" s="36">
        <v>1960460.7947970172</v>
      </c>
      <c r="O791" s="36">
        <v>608446.4188403989</v>
      </c>
      <c r="P791" s="36">
        <v>1352014.3759566185</v>
      </c>
      <c r="Q791" s="36">
        <v>0</v>
      </c>
      <c r="T791" s="36">
        <v>2907903.0000000098</v>
      </c>
    </row>
    <row r="792" spans="1:22" x14ac:dyDescent="0.2">
      <c r="A792" s="35">
        <v>17</v>
      </c>
      <c r="B792" s="35" t="s">
        <v>1098</v>
      </c>
      <c r="C792" s="35" t="s">
        <v>1341</v>
      </c>
      <c r="D792" s="36">
        <v>313073.00000000099</v>
      </c>
      <c r="F792" s="36">
        <v>0</v>
      </c>
      <c r="H792" s="36">
        <v>0</v>
      </c>
      <c r="I792" s="36">
        <v>313073.00000000099</v>
      </c>
      <c r="L792" s="36">
        <v>0</v>
      </c>
      <c r="N792" s="36">
        <v>313073.00000000099</v>
      </c>
      <c r="O792" s="36">
        <v>97164.986002866543</v>
      </c>
      <c r="P792" s="36">
        <v>215908.01399713443</v>
      </c>
      <c r="Q792" s="36">
        <v>0</v>
      </c>
      <c r="T792" s="36">
        <v>313073.00000000099</v>
      </c>
    </row>
    <row r="793" spans="1:22" x14ac:dyDescent="0.2">
      <c r="A793" s="35">
        <v>18</v>
      </c>
      <c r="B793" s="35" t="s">
        <v>20</v>
      </c>
      <c r="D793" s="36">
        <v>352239727.09813213</v>
      </c>
      <c r="F793" s="36">
        <v>307845468.76987165</v>
      </c>
      <c r="H793" s="36">
        <v>42119642.787017412</v>
      </c>
      <c r="I793" s="36">
        <v>2274615.5412430703</v>
      </c>
      <c r="L793" s="36">
        <v>1081.746446052307</v>
      </c>
      <c r="N793" s="36">
        <v>2273533.7947970182</v>
      </c>
      <c r="O793" s="36">
        <v>705611.40484326542</v>
      </c>
      <c r="P793" s="36">
        <v>1567922.389953753</v>
      </c>
      <c r="Q793" s="36">
        <v>0</v>
      </c>
      <c r="U793" s="35" t="s">
        <v>583</v>
      </c>
    </row>
    <row r="794" spans="1:22" x14ac:dyDescent="0.2">
      <c r="F794" s="36"/>
    </row>
    <row r="795" spans="1:22" x14ac:dyDescent="0.2">
      <c r="A795" s="35">
        <v>19</v>
      </c>
      <c r="B795" s="35" t="s">
        <v>2140</v>
      </c>
      <c r="C795" s="35" t="s">
        <v>1433</v>
      </c>
      <c r="D795" s="36">
        <v>42620005.168044701</v>
      </c>
      <c r="F795" s="36">
        <v>0</v>
      </c>
      <c r="H795" s="36">
        <v>42473285.895150907</v>
      </c>
      <c r="I795" s="36">
        <v>146719.27289379371</v>
      </c>
      <c r="L795" s="36">
        <v>146719.27289379371</v>
      </c>
      <c r="N795" s="36">
        <v>0</v>
      </c>
      <c r="O795" s="36">
        <v>0</v>
      </c>
      <c r="P795" s="36">
        <v>0</v>
      </c>
      <c r="Q795" s="36">
        <v>0</v>
      </c>
      <c r="T795" s="36">
        <v>42620005.168044701</v>
      </c>
    </row>
    <row r="796" spans="1:22" x14ac:dyDescent="0.2">
      <c r="A796" s="35">
        <v>20</v>
      </c>
      <c r="B796" s="35" t="s">
        <v>2141</v>
      </c>
      <c r="C796" s="35" t="s">
        <v>1511</v>
      </c>
      <c r="D796" s="36">
        <v>639243618.68046713</v>
      </c>
      <c r="F796" s="36">
        <v>637435046.02388442</v>
      </c>
      <c r="H796" s="36">
        <v>0</v>
      </c>
      <c r="I796" s="36">
        <v>1808572.656582735</v>
      </c>
      <c r="L796" s="36">
        <v>0</v>
      </c>
      <c r="N796" s="36">
        <v>1808572.656582735</v>
      </c>
      <c r="O796" s="36">
        <v>1567659.2001004235</v>
      </c>
      <c r="P796" s="36">
        <v>240913.45648231159</v>
      </c>
      <c r="Q796" s="36">
        <v>0</v>
      </c>
      <c r="T796" s="36">
        <v>639243618.68046725</v>
      </c>
      <c r="V796" s="35" t="s">
        <v>10</v>
      </c>
    </row>
    <row r="797" spans="1:22" x14ac:dyDescent="0.2">
      <c r="A797" s="35">
        <v>21</v>
      </c>
      <c r="B797" s="35" t="s">
        <v>21</v>
      </c>
      <c r="D797" s="36">
        <v>681863623.84851182</v>
      </c>
      <c r="F797" s="36">
        <v>637435046.02388442</v>
      </c>
      <c r="H797" s="36">
        <v>42473285.895150907</v>
      </c>
      <c r="I797" s="36">
        <v>1955291.9294765287</v>
      </c>
      <c r="L797" s="36">
        <v>146719.27289379371</v>
      </c>
      <c r="N797" s="36">
        <v>1808572.656582735</v>
      </c>
      <c r="O797" s="36">
        <v>1567659.2001004235</v>
      </c>
      <c r="P797" s="36">
        <v>240913.45648231159</v>
      </c>
      <c r="Q797" s="36">
        <v>0</v>
      </c>
      <c r="U797" s="35" t="s">
        <v>583</v>
      </c>
    </row>
    <row r="798" spans="1:22" x14ac:dyDescent="0.2">
      <c r="F798" s="36"/>
    </row>
    <row r="799" spans="1:22" x14ac:dyDescent="0.2">
      <c r="A799" s="35">
        <v>22</v>
      </c>
      <c r="B799" s="35" t="s">
        <v>22</v>
      </c>
      <c r="C799" s="35" t="s">
        <v>1513</v>
      </c>
      <c r="D799" s="36">
        <v>68419347.901041046</v>
      </c>
      <c r="F799" s="36">
        <v>62173727.794971846</v>
      </c>
      <c r="H799" s="36">
        <v>3043709.0431947098</v>
      </c>
      <c r="I799" s="36">
        <v>3201911.0628744899</v>
      </c>
      <c r="L799" s="36">
        <v>1460.7959441099495</v>
      </c>
      <c r="N799" s="36">
        <v>3200450.2669303799</v>
      </c>
      <c r="O799" s="36">
        <v>1021713.4511558233</v>
      </c>
      <c r="P799" s="36">
        <v>2178736.8157745567</v>
      </c>
      <c r="Q799" s="36">
        <v>4.1196145117710885E-12</v>
      </c>
      <c r="T799" s="36">
        <v>68419347.901041046</v>
      </c>
      <c r="V799" s="35" t="s">
        <v>10</v>
      </c>
    </row>
    <row r="800" spans="1:22" x14ac:dyDescent="0.2">
      <c r="F800" s="36"/>
    </row>
    <row r="801" spans="1:22" x14ac:dyDescent="0.2">
      <c r="A801" s="35">
        <v>23</v>
      </c>
      <c r="B801" s="35" t="s">
        <v>23</v>
      </c>
      <c r="C801" s="35" t="s">
        <v>2021</v>
      </c>
      <c r="D801" s="36">
        <v>69345.493659800006</v>
      </c>
      <c r="F801" s="36">
        <v>69345.493659800006</v>
      </c>
      <c r="H801" s="36">
        <v>0</v>
      </c>
      <c r="I801" s="36">
        <v>0</v>
      </c>
      <c r="L801" s="36">
        <v>0</v>
      </c>
      <c r="N801" s="36">
        <v>0</v>
      </c>
      <c r="O801" s="36">
        <v>0</v>
      </c>
      <c r="P801" s="36">
        <v>0</v>
      </c>
      <c r="Q801" s="36">
        <v>0</v>
      </c>
      <c r="T801" s="36">
        <v>69345.493659800006</v>
      </c>
      <c r="V801" s="35" t="s">
        <v>2142</v>
      </c>
    </row>
    <row r="802" spans="1:22" x14ac:dyDescent="0.2">
      <c r="A802" s="35">
        <v>24</v>
      </c>
      <c r="B802" s="35" t="s">
        <v>24</v>
      </c>
      <c r="C802" s="35" t="s">
        <v>2022</v>
      </c>
      <c r="D802" s="36">
        <v>58427277.455853835</v>
      </c>
      <c r="F802" s="36">
        <v>51904839.8875129</v>
      </c>
      <c r="H802" s="36">
        <v>2888279.8250886733</v>
      </c>
      <c r="I802" s="36">
        <v>3634157.7432522606</v>
      </c>
      <c r="L802" s="36">
        <v>1264.5224278855567</v>
      </c>
      <c r="N802" s="36">
        <v>3632893.2208243753</v>
      </c>
      <c r="O802" s="36">
        <v>1145032.2866965495</v>
      </c>
      <c r="P802" s="36">
        <v>2487860.9341278258</v>
      </c>
      <c r="Q802" s="36">
        <v>7.7640705449106456E-14</v>
      </c>
      <c r="T802" s="36">
        <v>58427277.455853835</v>
      </c>
      <c r="V802" s="35" t="s">
        <v>10</v>
      </c>
    </row>
    <row r="803" spans="1:22" x14ac:dyDescent="0.2">
      <c r="F803" s="36"/>
    </row>
    <row r="804" spans="1:22" x14ac:dyDescent="0.2">
      <c r="A804" s="35">
        <v>25</v>
      </c>
      <c r="B804" s="35" t="s">
        <v>25</v>
      </c>
      <c r="D804" s="36">
        <v>3301600480.798986</v>
      </c>
      <c r="F804" s="36">
        <v>2912060195.4345694</v>
      </c>
      <c r="H804" s="36">
        <v>181863142.57960427</v>
      </c>
      <c r="I804" s="36">
        <v>207677142.78481245</v>
      </c>
      <c r="L804" s="36">
        <v>157036.35014862241</v>
      </c>
      <c r="N804" s="36">
        <v>207520106.43466383</v>
      </c>
      <c r="O804" s="36">
        <v>65458017.564512491</v>
      </c>
      <c r="P804" s="36">
        <v>142062088.87015134</v>
      </c>
      <c r="Q804" s="36">
        <v>4.1972552172201946E-12</v>
      </c>
      <c r="U804" s="35" t="s">
        <v>583</v>
      </c>
    </row>
    <row r="805" spans="1:22" x14ac:dyDescent="0.2">
      <c r="F805" s="36"/>
    </row>
    <row r="806" spans="1:22" x14ac:dyDescent="0.2">
      <c r="A806" s="35">
        <v>26</v>
      </c>
      <c r="B806" s="35" t="s">
        <v>31</v>
      </c>
      <c r="D806" s="36">
        <v>6225458640.2517805</v>
      </c>
      <c r="F806" s="36">
        <v>5551466851.1186314</v>
      </c>
      <c r="H806" s="36">
        <v>289092416.89037615</v>
      </c>
      <c r="I806" s="36">
        <v>384899372.242773</v>
      </c>
      <c r="L806" s="36">
        <v>49153.459548537678</v>
      </c>
      <c r="N806" s="36">
        <v>384850218.78322446</v>
      </c>
      <c r="O806" s="36">
        <v>121248033.73569658</v>
      </c>
      <c r="P806" s="36">
        <v>263602185.04752791</v>
      </c>
      <c r="Q806" s="36">
        <v>8.462640667800329E-12</v>
      </c>
    </row>
    <row r="807" spans="1:22" x14ac:dyDescent="0.2">
      <c r="F807" s="36"/>
    </row>
    <row r="808" spans="1:22" x14ac:dyDescent="0.2">
      <c r="F808" s="36"/>
    </row>
    <row r="809" spans="1:22" x14ac:dyDescent="0.2">
      <c r="B809" s="35" t="s">
        <v>26</v>
      </c>
      <c r="F809" s="36"/>
    </row>
    <row r="810" spans="1:22" x14ac:dyDescent="0.2">
      <c r="F810" s="36"/>
    </row>
    <row r="811" spans="1:22" x14ac:dyDescent="0.2">
      <c r="B811" s="35" t="s">
        <v>1152</v>
      </c>
      <c r="F811" s="36"/>
    </row>
    <row r="812" spans="1:22" x14ac:dyDescent="0.2">
      <c r="F812" s="36"/>
    </row>
    <row r="813" spans="1:22" x14ac:dyDescent="0.2">
      <c r="B813" s="35" t="s">
        <v>7</v>
      </c>
      <c r="F813" s="36"/>
    </row>
    <row r="814" spans="1:22" x14ac:dyDescent="0.2">
      <c r="A814" s="35">
        <v>1</v>
      </c>
      <c r="B814" s="35" t="s">
        <v>1153</v>
      </c>
      <c r="C814" s="35" t="s">
        <v>509</v>
      </c>
      <c r="D814" s="36">
        <v>215873791.89999995</v>
      </c>
      <c r="F814" s="36">
        <v>189057357.47153577</v>
      </c>
      <c r="H814" s="36">
        <v>8737015.076769609</v>
      </c>
      <c r="I814" s="36">
        <v>18079419.351694554</v>
      </c>
      <c r="L814" s="36">
        <v>664.33371704995409</v>
      </c>
      <c r="N814" s="36">
        <v>18078755.017977506</v>
      </c>
      <c r="O814" s="36">
        <v>5610902.180229635</v>
      </c>
      <c r="P814" s="36">
        <v>12467852.83774787</v>
      </c>
      <c r="Q814" s="36">
        <v>0</v>
      </c>
      <c r="T814" s="36">
        <v>215873791.89999995</v>
      </c>
    </row>
    <row r="815" spans="1:22" x14ac:dyDescent="0.2">
      <c r="A815" s="35">
        <v>2</v>
      </c>
      <c r="B815" s="35" t="s">
        <v>1154</v>
      </c>
      <c r="C815" s="35" t="s">
        <v>1335</v>
      </c>
      <c r="D815" s="36">
        <v>0</v>
      </c>
      <c r="F815" s="36">
        <v>0</v>
      </c>
      <c r="H815" s="36">
        <v>0</v>
      </c>
      <c r="I815" s="36">
        <v>0</v>
      </c>
      <c r="L815" s="36">
        <v>0</v>
      </c>
      <c r="N815" s="36">
        <v>0</v>
      </c>
      <c r="O815" s="36">
        <v>0</v>
      </c>
      <c r="P815" s="36">
        <v>0</v>
      </c>
      <c r="Q815" s="36">
        <v>0</v>
      </c>
      <c r="T815" s="36">
        <v>0</v>
      </c>
    </row>
    <row r="816" spans="1:22" x14ac:dyDescent="0.2">
      <c r="A816" s="35">
        <v>3</v>
      </c>
      <c r="B816" s="35" t="s">
        <v>1155</v>
      </c>
      <c r="C816" s="35" t="s">
        <v>1341</v>
      </c>
      <c r="D816" s="36">
        <v>0</v>
      </c>
      <c r="F816" s="36">
        <v>0</v>
      </c>
      <c r="H816" s="36">
        <v>0</v>
      </c>
      <c r="I816" s="36">
        <v>0</v>
      </c>
      <c r="L816" s="36">
        <v>0</v>
      </c>
      <c r="N816" s="36">
        <v>0</v>
      </c>
      <c r="O816" s="36">
        <v>0</v>
      </c>
      <c r="P816" s="36">
        <v>0</v>
      </c>
      <c r="Q816" s="36">
        <v>0</v>
      </c>
      <c r="T816" s="36">
        <v>0</v>
      </c>
    </row>
    <row r="817" spans="1:25" x14ac:dyDescent="0.2">
      <c r="A817" s="35">
        <v>4</v>
      </c>
      <c r="B817" s="35" t="s">
        <v>1156</v>
      </c>
      <c r="D817" s="36">
        <v>215873791.89999995</v>
      </c>
      <c r="F817" s="36">
        <v>189057357.47153577</v>
      </c>
      <c r="H817" s="36">
        <v>8737015.076769609</v>
      </c>
      <c r="I817" s="36">
        <v>18079419.351694554</v>
      </c>
      <c r="L817" s="36">
        <v>664.33371704995409</v>
      </c>
      <c r="N817" s="36">
        <v>18078755.017977506</v>
      </c>
      <c r="O817" s="36">
        <v>5610902.180229635</v>
      </c>
      <c r="P817" s="36">
        <v>12467852.83774787</v>
      </c>
      <c r="Q817" s="36">
        <v>0</v>
      </c>
      <c r="U817" s="35">
        <v>8.3746872924491914E-2</v>
      </c>
    </row>
    <row r="818" spans="1:25" x14ac:dyDescent="0.2">
      <c r="F818" s="36"/>
    </row>
    <row r="819" spans="1:25" x14ac:dyDescent="0.2">
      <c r="B819" s="35" t="s">
        <v>19</v>
      </c>
      <c r="F819" s="36"/>
    </row>
    <row r="820" spans="1:25" x14ac:dyDescent="0.2">
      <c r="A820" s="35">
        <v>5</v>
      </c>
      <c r="B820" s="35" t="s">
        <v>1153</v>
      </c>
      <c r="C820" s="35" t="s">
        <v>2278</v>
      </c>
      <c r="D820" s="36">
        <v>31621667.935384627</v>
      </c>
      <c r="F820" s="36">
        <v>30190923.175486635</v>
      </c>
      <c r="H820" s="36">
        <v>1430638.6712036275</v>
      </c>
      <c r="I820" s="36">
        <v>106.08869436546723</v>
      </c>
      <c r="L820" s="36">
        <v>106.08869436546723</v>
      </c>
      <c r="N820" s="36">
        <v>0</v>
      </c>
      <c r="O820" s="36">
        <v>0</v>
      </c>
      <c r="P820" s="36">
        <v>0</v>
      </c>
      <c r="Q820" s="36">
        <v>0</v>
      </c>
      <c r="T820" s="36">
        <v>31621667.935384627</v>
      </c>
    </row>
    <row r="821" spans="1:25" x14ac:dyDescent="0.2">
      <c r="A821" s="35">
        <v>6</v>
      </c>
      <c r="B821" s="35" t="s">
        <v>1157</v>
      </c>
      <c r="C821" s="35" t="s">
        <v>2278</v>
      </c>
      <c r="D821" s="36">
        <v>0</v>
      </c>
      <c r="F821" s="36">
        <v>0</v>
      </c>
      <c r="H821" s="36">
        <v>0</v>
      </c>
      <c r="I821" s="36">
        <v>0</v>
      </c>
      <c r="L821" s="36">
        <v>0</v>
      </c>
      <c r="N821" s="36">
        <v>0</v>
      </c>
      <c r="O821" s="36">
        <v>0</v>
      </c>
      <c r="P821" s="36">
        <v>0</v>
      </c>
      <c r="Q821" s="36">
        <v>0</v>
      </c>
      <c r="T821" s="36">
        <v>0</v>
      </c>
    </row>
    <row r="822" spans="1:25" x14ac:dyDescent="0.2">
      <c r="A822" s="35">
        <v>7</v>
      </c>
      <c r="B822" s="35" t="s">
        <v>1158</v>
      </c>
      <c r="C822" s="35" t="s">
        <v>1505</v>
      </c>
      <c r="D822" s="36">
        <v>67146.961538461546</v>
      </c>
      <c r="F822" s="36">
        <v>0</v>
      </c>
      <c r="H822" s="36">
        <v>67146.961538461546</v>
      </c>
      <c r="I822" s="36">
        <v>0</v>
      </c>
      <c r="L822" s="36">
        <v>0</v>
      </c>
      <c r="N822" s="36">
        <v>0</v>
      </c>
      <c r="O822" s="36">
        <v>0</v>
      </c>
      <c r="P822" s="36">
        <v>0</v>
      </c>
      <c r="Q822" s="36">
        <v>0</v>
      </c>
      <c r="T822" s="36">
        <v>67146.961538461546</v>
      </c>
    </row>
    <row r="823" spans="1:25" x14ac:dyDescent="0.2">
      <c r="A823" s="35">
        <v>8</v>
      </c>
      <c r="B823" s="35" t="s">
        <v>1154</v>
      </c>
      <c r="C823" s="35" t="s">
        <v>1335</v>
      </c>
      <c r="D823" s="36">
        <v>0</v>
      </c>
      <c r="F823" s="36">
        <v>0</v>
      </c>
      <c r="H823" s="36">
        <v>0</v>
      </c>
      <c r="I823" s="36">
        <v>0</v>
      </c>
      <c r="L823" s="36">
        <v>0</v>
      </c>
      <c r="N823" s="36">
        <v>0</v>
      </c>
      <c r="O823" s="36">
        <v>0</v>
      </c>
      <c r="P823" s="36">
        <v>0</v>
      </c>
      <c r="Q823" s="36">
        <v>0</v>
      </c>
      <c r="T823" s="36">
        <v>0</v>
      </c>
    </row>
    <row r="824" spans="1:25" x14ac:dyDescent="0.2">
      <c r="A824" s="35">
        <v>9</v>
      </c>
      <c r="B824" s="35" t="s">
        <v>1155</v>
      </c>
      <c r="C824" s="35" t="s">
        <v>1341</v>
      </c>
      <c r="D824" s="36">
        <v>0</v>
      </c>
      <c r="F824" s="36">
        <v>0</v>
      </c>
      <c r="H824" s="36">
        <v>0</v>
      </c>
      <c r="I824" s="36">
        <v>0</v>
      </c>
      <c r="L824" s="36">
        <v>0</v>
      </c>
      <c r="N824" s="36">
        <v>0</v>
      </c>
      <c r="O824" s="36">
        <v>0</v>
      </c>
      <c r="P824" s="36">
        <v>0</v>
      </c>
      <c r="Q824" s="36">
        <v>0</v>
      </c>
      <c r="T824" s="36">
        <v>0</v>
      </c>
    </row>
    <row r="825" spans="1:25" x14ac:dyDescent="0.2">
      <c r="A825" s="35">
        <v>10</v>
      </c>
      <c r="B825" s="35" t="s">
        <v>1159</v>
      </c>
      <c r="D825" s="36">
        <v>31688814.896923088</v>
      </c>
      <c r="F825" s="36">
        <v>30190923.175486635</v>
      </c>
      <c r="H825" s="36">
        <v>1497785.632742089</v>
      </c>
      <c r="I825" s="36">
        <v>106.08869436546723</v>
      </c>
      <c r="L825" s="36">
        <v>106.08869436546723</v>
      </c>
      <c r="N825" s="36">
        <v>0</v>
      </c>
      <c r="O825" s="36">
        <v>0</v>
      </c>
      <c r="P825" s="36">
        <v>0</v>
      </c>
      <c r="Q825" s="36">
        <v>0</v>
      </c>
    </row>
    <row r="826" spans="1:25" x14ac:dyDescent="0.2">
      <c r="F826" s="36"/>
    </row>
    <row r="827" spans="1:25" x14ac:dyDescent="0.2">
      <c r="A827" s="35">
        <v>11</v>
      </c>
      <c r="B827" s="35" t="s">
        <v>1160</v>
      </c>
      <c r="C827" s="35" t="s">
        <v>1435</v>
      </c>
      <c r="D827" s="36">
        <v>0</v>
      </c>
      <c r="F827" s="36">
        <v>0</v>
      </c>
      <c r="H827" s="36">
        <v>0</v>
      </c>
      <c r="I827" s="36">
        <v>0</v>
      </c>
      <c r="L827" s="36">
        <v>0</v>
      </c>
      <c r="N827" s="36">
        <v>0</v>
      </c>
      <c r="O827" s="36">
        <v>0</v>
      </c>
      <c r="P827" s="36">
        <v>0</v>
      </c>
      <c r="Q827" s="36">
        <v>0</v>
      </c>
      <c r="T827" s="36">
        <v>0</v>
      </c>
    </row>
    <row r="828" spans="1:25" x14ac:dyDescent="0.2">
      <c r="A828" s="35">
        <v>12</v>
      </c>
      <c r="B828" s="35" t="s">
        <v>2143</v>
      </c>
      <c r="C828" s="35" t="s">
        <v>1416</v>
      </c>
      <c r="D828" s="36">
        <v>32868652.481538456</v>
      </c>
      <c r="F828" s="36">
        <v>32868652.481538456</v>
      </c>
      <c r="H828" s="36">
        <v>0</v>
      </c>
      <c r="I828" s="36">
        <v>0</v>
      </c>
      <c r="L828" s="36">
        <v>0</v>
      </c>
      <c r="N828" s="36">
        <v>0</v>
      </c>
      <c r="O828" s="36">
        <v>0</v>
      </c>
      <c r="P828" s="36">
        <v>0</v>
      </c>
      <c r="Q828" s="36">
        <v>0</v>
      </c>
      <c r="T828" s="36">
        <v>32868652.481538456</v>
      </c>
      <c r="V828" s="35" t="s">
        <v>2282</v>
      </c>
    </row>
    <row r="829" spans="1:25" x14ac:dyDescent="0.2">
      <c r="A829" s="35">
        <v>13</v>
      </c>
      <c r="B829" s="35" t="s">
        <v>1161</v>
      </c>
      <c r="D829" s="36">
        <v>32868652.481538456</v>
      </c>
      <c r="F829" s="36">
        <v>32868652.481538456</v>
      </c>
      <c r="H829" s="36">
        <v>0</v>
      </c>
      <c r="I829" s="36">
        <v>0</v>
      </c>
      <c r="L829" s="36">
        <v>0</v>
      </c>
      <c r="N829" s="36">
        <v>0</v>
      </c>
      <c r="O829" s="36">
        <v>0</v>
      </c>
      <c r="P829" s="36">
        <v>0</v>
      </c>
      <c r="Q829" s="36">
        <v>0</v>
      </c>
    </row>
    <row r="830" spans="1:25" x14ac:dyDescent="0.2">
      <c r="F830" s="36"/>
    </row>
    <row r="831" spans="1:25" x14ac:dyDescent="0.2">
      <c r="A831" s="35">
        <v>14</v>
      </c>
      <c r="B831" s="35" t="s">
        <v>1162</v>
      </c>
      <c r="C831" s="35" t="s">
        <v>1513</v>
      </c>
      <c r="D831" s="36">
        <v>30252915.309999995</v>
      </c>
      <c r="F831" s="36">
        <v>27491295.652346555</v>
      </c>
      <c r="H831" s="36">
        <v>1345833.8136346021</v>
      </c>
      <c r="I831" s="36">
        <v>1415785.8440188395</v>
      </c>
      <c r="L831" s="36">
        <v>645.91869607218746</v>
      </c>
      <c r="N831" s="36">
        <v>1415139.9253227673</v>
      </c>
      <c r="O831" s="36">
        <v>451770.02495860716</v>
      </c>
      <c r="P831" s="36">
        <v>963369.90036416019</v>
      </c>
      <c r="Q831" s="36">
        <v>1.8215658692730889E-12</v>
      </c>
      <c r="T831" s="36">
        <v>30252915.309999995</v>
      </c>
      <c r="W831" s="35">
        <v>310684174.58846152</v>
      </c>
      <c r="X831" s="35">
        <v>310684174.58846146</v>
      </c>
      <c r="Y831" s="35">
        <v>0</v>
      </c>
    </row>
    <row r="832" spans="1:25" x14ac:dyDescent="0.2">
      <c r="F832" s="36"/>
    </row>
    <row r="833" spans="1:26" x14ac:dyDescent="0.2">
      <c r="A833" s="35">
        <v>15</v>
      </c>
      <c r="B833" s="35" t="s">
        <v>1163</v>
      </c>
      <c r="D833" s="36">
        <v>310684174.5884614</v>
      </c>
      <c r="F833" s="36">
        <v>279608228.78090739</v>
      </c>
      <c r="H833" s="36">
        <v>11580634.5231463</v>
      </c>
      <c r="I833" s="36">
        <v>19495311.284407761</v>
      </c>
      <c r="L833" s="36">
        <v>1416.3411074876087</v>
      </c>
      <c r="N833" s="36">
        <v>19493894.943300273</v>
      </c>
      <c r="O833" s="36">
        <v>6062672.2051882418</v>
      </c>
      <c r="P833" s="36">
        <v>13431222.738112031</v>
      </c>
      <c r="Q833" s="36">
        <v>1.8215658692730889E-12</v>
      </c>
      <c r="U833" s="35" t="s">
        <v>583</v>
      </c>
    </row>
    <row r="834" spans="1:26" x14ac:dyDescent="0.2">
      <c r="F834" s="36"/>
    </row>
    <row r="835" spans="1:26" x14ac:dyDescent="0.2">
      <c r="B835" s="35" t="s">
        <v>1164</v>
      </c>
      <c r="F835" s="36"/>
    </row>
    <row r="836" spans="1:26" x14ac:dyDescent="0.2">
      <c r="B836" s="35" t="s">
        <v>590</v>
      </c>
      <c r="F836" s="36"/>
    </row>
    <row r="837" spans="1:26" x14ac:dyDescent="0.2">
      <c r="A837" s="35">
        <v>16</v>
      </c>
      <c r="B837" s="35" t="s">
        <v>591</v>
      </c>
      <c r="C837" s="35" t="s">
        <v>1444</v>
      </c>
      <c r="D837" s="36">
        <v>81295504.999999985</v>
      </c>
      <c r="F837" s="36">
        <v>71489838.591801614</v>
      </c>
      <c r="H837" s="36">
        <v>2963645.3065443393</v>
      </c>
      <c r="I837" s="36">
        <v>6842021.1016540425</v>
      </c>
      <c r="L837" s="36">
        <v>344.76622326864327</v>
      </c>
      <c r="N837" s="36">
        <v>6841676.3354307739</v>
      </c>
      <c r="O837" s="36">
        <v>2162061.4718844239</v>
      </c>
      <c r="P837" s="36">
        <v>4679614.86354635</v>
      </c>
      <c r="Q837" s="36">
        <v>0</v>
      </c>
      <c r="T837" s="36">
        <v>81295505</v>
      </c>
      <c r="V837" s="35" t="s">
        <v>592</v>
      </c>
      <c r="X837" s="35">
        <v>81473986.256681398</v>
      </c>
      <c r="Y837" s="35" t="s">
        <v>2390</v>
      </c>
      <c r="Z837" s="35" t="s">
        <v>1840</v>
      </c>
    </row>
    <row r="838" spans="1:26" x14ac:dyDescent="0.2">
      <c r="B838" s="35" t="s">
        <v>593</v>
      </c>
      <c r="F838" s="36"/>
    </row>
    <row r="839" spans="1:26" x14ac:dyDescent="0.2">
      <c r="A839" s="35">
        <v>17</v>
      </c>
      <c r="B839" s="35" t="s">
        <v>594</v>
      </c>
      <c r="C839" s="35" t="s">
        <v>950</v>
      </c>
      <c r="D839" s="36">
        <v>30467274.304529998</v>
      </c>
      <c r="F839" s="36">
        <v>26510217.597938314</v>
      </c>
      <c r="H839" s="36">
        <v>1251648.7407817591</v>
      </c>
      <c r="I839" s="36">
        <v>2705407.9658099269</v>
      </c>
      <c r="L839" s="36">
        <v>93.154964356745793</v>
      </c>
      <c r="N839" s="36">
        <v>2705314.8108455702</v>
      </c>
      <c r="O839" s="36">
        <v>839618.4778922376</v>
      </c>
      <c r="P839" s="36">
        <v>1865696.3329533325</v>
      </c>
      <c r="Q839" s="36">
        <v>0</v>
      </c>
      <c r="T839" s="36">
        <v>30467274.304529998</v>
      </c>
      <c r="V839" s="35" t="s">
        <v>592</v>
      </c>
      <c r="X839" s="35">
        <v>29752807.055601653</v>
      </c>
      <c r="Y839" s="35" t="s">
        <v>2390</v>
      </c>
      <c r="Z839" s="35" t="s">
        <v>1840</v>
      </c>
    </row>
    <row r="840" spans="1:26" x14ac:dyDescent="0.2">
      <c r="A840" s="35">
        <v>18</v>
      </c>
      <c r="B840" s="35" t="s">
        <v>595</v>
      </c>
      <c r="C840" s="35" t="s">
        <v>2271</v>
      </c>
      <c r="D840" s="36">
        <v>7687847.3612699993</v>
      </c>
      <c r="F840" s="36">
        <v>6930966.9269892164</v>
      </c>
      <c r="H840" s="36">
        <v>756856.07937027863</v>
      </c>
      <c r="I840" s="36">
        <v>24.354910504079633</v>
      </c>
      <c r="L840" s="36">
        <v>24.354910504079633</v>
      </c>
      <c r="N840" s="36">
        <v>0</v>
      </c>
      <c r="O840" s="36">
        <v>0</v>
      </c>
      <c r="P840" s="36">
        <v>0</v>
      </c>
      <c r="Q840" s="36">
        <v>0</v>
      </c>
      <c r="T840" s="36">
        <v>7687847.3612699993</v>
      </c>
      <c r="V840" s="35" t="s">
        <v>592</v>
      </c>
      <c r="X840" s="35">
        <v>7507782.9198492114</v>
      </c>
      <c r="Y840" s="35" t="s">
        <v>2390</v>
      </c>
      <c r="Z840" s="35" t="s">
        <v>1840</v>
      </c>
    </row>
    <row r="841" spans="1:26" x14ac:dyDescent="0.2">
      <c r="A841" s="35">
        <v>19</v>
      </c>
      <c r="B841" s="35" t="s">
        <v>0</v>
      </c>
      <c r="C841" s="35" t="s">
        <v>1509</v>
      </c>
      <c r="D841" s="36">
        <v>5893737.3342000004</v>
      </c>
      <c r="F841" s="36">
        <v>5565811.8757996801</v>
      </c>
      <c r="H841" s="36">
        <v>311566.8433768758</v>
      </c>
      <c r="I841" s="36">
        <v>16358.615023444005</v>
      </c>
      <c r="L841" s="36">
        <v>566.92733221281583</v>
      </c>
      <c r="N841" s="36">
        <v>15791.687691231189</v>
      </c>
      <c r="O841" s="36">
        <v>13688.133791122978</v>
      </c>
      <c r="P841" s="36">
        <v>2103.5539001082111</v>
      </c>
      <c r="Q841" s="36">
        <v>0</v>
      </c>
      <c r="T841" s="36">
        <v>5893737.3342000004</v>
      </c>
      <c r="V841" s="35" t="s">
        <v>592</v>
      </c>
      <c r="X841" s="35">
        <v>5755410.2237663474</v>
      </c>
      <c r="Y841" s="35" t="s">
        <v>2390</v>
      </c>
      <c r="Z841" s="35" t="s">
        <v>1840</v>
      </c>
    </row>
    <row r="842" spans="1:26" x14ac:dyDescent="0.2">
      <c r="A842" s="35">
        <v>20</v>
      </c>
      <c r="B842" s="35" t="s">
        <v>596</v>
      </c>
      <c r="C842" s="35" t="s">
        <v>1513</v>
      </c>
      <c r="D842" s="36">
        <v>0</v>
      </c>
      <c r="F842" s="36">
        <v>0</v>
      </c>
      <c r="H842" s="36">
        <v>0</v>
      </c>
      <c r="I842" s="36">
        <v>0</v>
      </c>
      <c r="L842" s="36">
        <v>0</v>
      </c>
      <c r="N842" s="36">
        <v>0</v>
      </c>
      <c r="O842" s="36">
        <v>0</v>
      </c>
      <c r="P842" s="36">
        <v>0</v>
      </c>
      <c r="Q842" s="36">
        <v>0</v>
      </c>
      <c r="T842" s="36">
        <v>0</v>
      </c>
      <c r="V842" s="35" t="s">
        <v>592</v>
      </c>
      <c r="X842" s="35">
        <v>0</v>
      </c>
      <c r="Y842" s="35" t="s">
        <v>2390</v>
      </c>
      <c r="Z842" s="35" t="s">
        <v>1840</v>
      </c>
    </row>
    <row r="843" spans="1:26" x14ac:dyDescent="0.2">
      <c r="A843" s="35">
        <v>21</v>
      </c>
      <c r="B843" s="35" t="s">
        <v>597</v>
      </c>
      <c r="C843" s="35" t="s">
        <v>954</v>
      </c>
      <c r="D843" s="36">
        <v>10515071</v>
      </c>
      <c r="F843" s="36">
        <v>9311508.7646286394</v>
      </c>
      <c r="H843" s="36">
        <v>553833.14848392864</v>
      </c>
      <c r="I843" s="36">
        <v>649729.08688743284</v>
      </c>
      <c r="L843" s="36">
        <v>163.38461405824475</v>
      </c>
      <c r="N843" s="36">
        <v>649565.70227337466</v>
      </c>
      <c r="O843" s="36">
        <v>203696.07318591306</v>
      </c>
      <c r="P843" s="36">
        <v>445869.62908746162</v>
      </c>
      <c r="Q843" s="36">
        <v>0</v>
      </c>
      <c r="T843" s="36">
        <v>10515071</v>
      </c>
      <c r="V843" s="35" t="s">
        <v>592</v>
      </c>
      <c r="X843" s="35">
        <v>10515070.839999901</v>
      </c>
      <c r="Y843" s="35" t="s">
        <v>2390</v>
      </c>
      <c r="Z843" s="35" t="s">
        <v>1840</v>
      </c>
    </row>
    <row r="844" spans="1:26" x14ac:dyDescent="0.2">
      <c r="A844" s="35">
        <v>22</v>
      </c>
      <c r="B844" s="35" t="s">
        <v>598</v>
      </c>
      <c r="D844" s="36">
        <v>54563930.000000007</v>
      </c>
      <c r="F844" s="36">
        <v>48318505.165355854</v>
      </c>
      <c r="H844" s="36">
        <v>2873904.8120128424</v>
      </c>
      <c r="I844" s="36">
        <v>3371520.0226313076</v>
      </c>
      <c r="L844" s="36">
        <v>847.82182113188605</v>
      </c>
      <c r="N844" s="36">
        <v>3370672.2008101759</v>
      </c>
      <c r="O844" s="36">
        <v>1057002.6848692736</v>
      </c>
      <c r="P844" s="36">
        <v>2313669.5159409023</v>
      </c>
      <c r="Q844" s="36">
        <v>0</v>
      </c>
      <c r="X844" s="35">
        <v>53531071.039217114</v>
      </c>
    </row>
    <row r="845" spans="1:26" x14ac:dyDescent="0.2">
      <c r="A845" s="35">
        <v>23</v>
      </c>
      <c r="B845" s="35" t="s">
        <v>599</v>
      </c>
      <c r="D845" s="36">
        <v>135859435</v>
      </c>
      <c r="F845" s="36">
        <v>119808343.75715747</v>
      </c>
      <c r="H845" s="36">
        <v>5837550.1185571812</v>
      </c>
      <c r="I845" s="36">
        <v>10213541.124285351</v>
      </c>
      <c r="L845" s="36">
        <v>1192.5880444005293</v>
      </c>
      <c r="N845" s="36">
        <v>10212348.53624095</v>
      </c>
      <c r="O845" s="36">
        <v>3219064.1567536974</v>
      </c>
      <c r="P845" s="36">
        <v>6993284.3794872519</v>
      </c>
      <c r="Q845" s="36">
        <v>0</v>
      </c>
    </row>
    <row r="846" spans="1:26" x14ac:dyDescent="0.2">
      <c r="F846" s="36"/>
    </row>
    <row r="847" spans="1:26" x14ac:dyDescent="0.2">
      <c r="B847" s="35" t="s">
        <v>600</v>
      </c>
      <c r="F847" s="36"/>
    </row>
    <row r="848" spans="1:26" x14ac:dyDescent="0.2">
      <c r="A848" s="35">
        <v>24</v>
      </c>
      <c r="B848" s="35" t="s">
        <v>2144</v>
      </c>
      <c r="C848" s="35" t="s">
        <v>2023</v>
      </c>
      <c r="D848" s="36">
        <v>17200529.232544325</v>
      </c>
      <c r="F848" s="36">
        <v>16171253.692540465</v>
      </c>
      <c r="H848" s="36">
        <v>0</v>
      </c>
      <c r="I848" s="36">
        <v>1029275.54000386</v>
      </c>
      <c r="L848" s="36">
        <v>397.64992682159539</v>
      </c>
      <c r="N848" s="36">
        <v>1028877.8900770384</v>
      </c>
      <c r="O848" s="36">
        <v>325765.86694087385</v>
      </c>
      <c r="P848" s="36">
        <v>703112.02313616464</v>
      </c>
      <c r="Q848" s="36">
        <v>3.8825119933761652E-13</v>
      </c>
      <c r="T848" s="36">
        <v>18075419</v>
      </c>
      <c r="V848" s="35" t="s">
        <v>592</v>
      </c>
      <c r="X848" s="35">
        <v>15802340.717886709</v>
      </c>
      <c r="Y848" s="35" t="s">
        <v>2390</v>
      </c>
      <c r="Z848" s="35" t="s">
        <v>1840</v>
      </c>
    </row>
    <row r="849" spans="1:26" x14ac:dyDescent="0.2">
      <c r="A849" s="35">
        <v>25</v>
      </c>
      <c r="B849" s="35" t="s">
        <v>601</v>
      </c>
      <c r="C849" s="35" t="s">
        <v>2024</v>
      </c>
      <c r="D849" s="36">
        <v>0</v>
      </c>
      <c r="F849" s="36">
        <v>0</v>
      </c>
      <c r="H849" s="36">
        <v>0</v>
      </c>
      <c r="I849" s="36">
        <v>0</v>
      </c>
      <c r="L849" s="36">
        <v>0</v>
      </c>
      <c r="N849" s="36">
        <v>0</v>
      </c>
      <c r="O849" s="36">
        <v>0</v>
      </c>
      <c r="P849" s="36">
        <v>0</v>
      </c>
      <c r="Q849" s="36">
        <v>0</v>
      </c>
      <c r="T849" s="36">
        <v>0</v>
      </c>
      <c r="U849" s="35" t="s">
        <v>2351</v>
      </c>
      <c r="X849" s="35">
        <v>2129646.4599999897</v>
      </c>
      <c r="Y849" s="35" t="s">
        <v>2390</v>
      </c>
      <c r="Z849" s="35" t="s">
        <v>1840</v>
      </c>
    </row>
    <row r="850" spans="1:26" x14ac:dyDescent="0.2">
      <c r="A850" s="35">
        <v>26</v>
      </c>
      <c r="B850" s="35" t="s">
        <v>602</v>
      </c>
      <c r="D850" s="36">
        <v>17200529.232544325</v>
      </c>
      <c r="F850" s="36">
        <v>16171253.692540465</v>
      </c>
      <c r="H850" s="36">
        <v>0</v>
      </c>
      <c r="I850" s="36">
        <v>1029275.54000386</v>
      </c>
      <c r="L850" s="36">
        <v>397.64992682159539</v>
      </c>
      <c r="N850" s="36">
        <v>1028877.8900770384</v>
      </c>
      <c r="O850" s="36">
        <v>325765.86694087385</v>
      </c>
      <c r="P850" s="36">
        <v>703112.02313616464</v>
      </c>
      <c r="Q850" s="36">
        <v>3.8825119933761652E-13</v>
      </c>
      <c r="V850" s="35" t="s">
        <v>2391</v>
      </c>
    </row>
    <row r="851" spans="1:26" x14ac:dyDescent="0.2">
      <c r="F851" s="36"/>
    </row>
    <row r="852" spans="1:26" x14ac:dyDescent="0.2">
      <c r="A852" s="35">
        <v>27</v>
      </c>
      <c r="B852" s="35" t="s">
        <v>603</v>
      </c>
      <c r="D852" s="36">
        <v>117152089.92994511</v>
      </c>
      <c r="F852" s="36">
        <v>109010034.9523263</v>
      </c>
      <c r="H852" s="36">
        <v>0</v>
      </c>
      <c r="I852" s="36">
        <v>8142054.977618807</v>
      </c>
      <c r="L852" s="36">
        <v>1573.8497888452835</v>
      </c>
      <c r="N852" s="36">
        <v>8140481.1278299615</v>
      </c>
      <c r="O852" s="36">
        <v>2575361.6330649611</v>
      </c>
      <c r="P852" s="36">
        <v>5565119.4947650004</v>
      </c>
      <c r="Q852" s="36">
        <v>7.44639317957019E-13</v>
      </c>
      <c r="V852" s="35" t="s">
        <v>1841</v>
      </c>
    </row>
    <row r="853" spans="1:26" x14ac:dyDescent="0.2">
      <c r="F853" s="36"/>
    </row>
    <row r="854" spans="1:26" x14ac:dyDescent="0.2">
      <c r="A854" s="35">
        <v>28</v>
      </c>
      <c r="B854" s="35" t="s">
        <v>604</v>
      </c>
      <c r="D854" s="36">
        <v>270212054.16248941</v>
      </c>
      <c r="F854" s="36">
        <v>244989632.40202424</v>
      </c>
      <c r="H854" s="36">
        <v>5837550.1185571812</v>
      </c>
      <c r="I854" s="36">
        <v>19384871.64190802</v>
      </c>
      <c r="L854" s="36">
        <v>3164.087760067408</v>
      </c>
      <c r="N854" s="36">
        <v>19381707.554147951</v>
      </c>
      <c r="O854" s="36">
        <v>6120191.6567595322</v>
      </c>
      <c r="P854" s="36">
        <v>13261515.897388417</v>
      </c>
      <c r="Q854" s="36">
        <v>1.1328905172946356E-12</v>
      </c>
    </row>
    <row r="855" spans="1:26" x14ac:dyDescent="0.2">
      <c r="F855" s="36"/>
    </row>
    <row r="856" spans="1:26" x14ac:dyDescent="0.2">
      <c r="A856" s="35">
        <v>29</v>
      </c>
      <c r="B856" s="35" t="s">
        <v>605</v>
      </c>
      <c r="C856" s="35" t="s">
        <v>1333</v>
      </c>
      <c r="D856" s="36">
        <v>136560</v>
      </c>
      <c r="F856" s="36">
        <v>119596.14230648502</v>
      </c>
      <c r="H856" s="36">
        <v>5526.9644748555429</v>
      </c>
      <c r="I856" s="36">
        <v>11436.893218659443</v>
      </c>
      <c r="L856" s="36">
        <v>0.4202520908252122</v>
      </c>
      <c r="N856" s="36">
        <v>11436.472966568617</v>
      </c>
      <c r="O856" s="36">
        <v>3549.4109543742125</v>
      </c>
      <c r="P856" s="36">
        <v>7887.0620121944048</v>
      </c>
      <c r="Q856" s="36">
        <v>0</v>
      </c>
      <c r="T856" s="36">
        <v>136560</v>
      </c>
      <c r="V856" s="35" t="s">
        <v>592</v>
      </c>
      <c r="X856" s="35">
        <v>136559.78</v>
      </c>
      <c r="Y856" s="35" t="s">
        <v>2390</v>
      </c>
      <c r="Z856" s="35" t="s">
        <v>1840</v>
      </c>
    </row>
    <row r="857" spans="1:26" x14ac:dyDescent="0.2">
      <c r="F857" s="36"/>
    </row>
    <row r="858" spans="1:26" x14ac:dyDescent="0.2">
      <c r="A858" s="35">
        <v>30</v>
      </c>
      <c r="B858" s="35" t="s">
        <v>606</v>
      </c>
      <c r="D858" s="36">
        <v>581032788.75095081</v>
      </c>
      <c r="F858" s="36">
        <v>524717457.32523811</v>
      </c>
      <c r="H858" s="36">
        <v>17423711.606178336</v>
      </c>
      <c r="I858" s="36">
        <v>38891619.819534436</v>
      </c>
      <c r="L858" s="36">
        <v>4580.8491196458417</v>
      </c>
      <c r="N858" s="36">
        <v>38887038.970414788</v>
      </c>
      <c r="O858" s="36">
        <v>12186413.272902148</v>
      </c>
      <c r="P858" s="36">
        <v>26700625.697512642</v>
      </c>
      <c r="Q858" s="36">
        <v>2.9544563865677245E-12</v>
      </c>
    </row>
    <row r="859" spans="1:26" x14ac:dyDescent="0.2">
      <c r="F859" s="36"/>
    </row>
    <row r="860" spans="1:26" x14ac:dyDescent="0.2">
      <c r="F860" s="36"/>
    </row>
    <row r="861" spans="1:26" x14ac:dyDescent="0.2">
      <c r="B861" s="35" t="s">
        <v>607</v>
      </c>
      <c r="F861" s="36"/>
    </row>
    <row r="862" spans="1:26" x14ac:dyDescent="0.2">
      <c r="F862" s="36"/>
    </row>
    <row r="863" spans="1:26" x14ac:dyDescent="0.2">
      <c r="B863" s="35" t="s">
        <v>608</v>
      </c>
      <c r="F863" s="36"/>
    </row>
    <row r="864" spans="1:26" x14ac:dyDescent="0.2">
      <c r="F864" s="36"/>
    </row>
    <row r="865" spans="1:22" x14ac:dyDescent="0.2">
      <c r="B865" s="35" t="s">
        <v>7</v>
      </c>
      <c r="F865" s="36"/>
    </row>
    <row r="866" spans="1:22" x14ac:dyDescent="0.2">
      <c r="A866" s="35">
        <v>1</v>
      </c>
      <c r="B866" s="35" t="s">
        <v>1153</v>
      </c>
      <c r="C866" s="35" t="s">
        <v>509</v>
      </c>
      <c r="D866" s="36">
        <v>888929910</v>
      </c>
      <c r="F866" s="36">
        <v>778504598.83458495</v>
      </c>
      <c r="H866" s="36">
        <v>35977475.34568347</v>
      </c>
      <c r="I866" s="36">
        <v>74447835.819731593</v>
      </c>
      <c r="L866" s="36">
        <v>2735.6081815653756</v>
      </c>
      <c r="N866" s="36">
        <v>74445100.211550027</v>
      </c>
      <c r="O866" s="36">
        <v>23104698.009848293</v>
      </c>
      <c r="P866" s="36">
        <v>51340402.201701738</v>
      </c>
      <c r="Q866" s="36">
        <v>0</v>
      </c>
      <c r="T866" s="36">
        <v>888929910</v>
      </c>
      <c r="V866" s="35" t="s">
        <v>609</v>
      </c>
    </row>
    <row r="867" spans="1:22" x14ac:dyDescent="0.2">
      <c r="A867" s="35">
        <v>2</v>
      </c>
      <c r="B867" s="35" t="s">
        <v>1154</v>
      </c>
      <c r="C867" s="35" t="s">
        <v>1335</v>
      </c>
      <c r="D867" s="36">
        <v>18774</v>
      </c>
      <c r="F867" s="36">
        <v>0</v>
      </c>
      <c r="H867" s="36">
        <v>6116.8752742030656</v>
      </c>
      <c r="I867" s="36">
        <v>12657.124725796933</v>
      </c>
      <c r="L867" s="36">
        <v>0</v>
      </c>
      <c r="N867" s="36">
        <v>12657.124725796933</v>
      </c>
      <c r="O867" s="36">
        <v>3928.2510686599971</v>
      </c>
      <c r="P867" s="36">
        <v>8728.8736571369373</v>
      </c>
      <c r="Q867" s="36">
        <v>0</v>
      </c>
      <c r="T867" s="36">
        <v>18774</v>
      </c>
      <c r="V867" s="35" t="s">
        <v>609</v>
      </c>
    </row>
    <row r="868" spans="1:22" x14ac:dyDescent="0.2">
      <c r="A868" s="35">
        <v>3</v>
      </c>
      <c r="B868" s="35" t="s">
        <v>1155</v>
      </c>
      <c r="C868" s="35" t="s">
        <v>1341</v>
      </c>
      <c r="D868" s="36">
        <v>1731675</v>
      </c>
      <c r="F868" s="36">
        <v>0</v>
      </c>
      <c r="H868" s="36">
        <v>0</v>
      </c>
      <c r="I868" s="36">
        <v>1731675</v>
      </c>
      <c r="L868" s="36">
        <v>0</v>
      </c>
      <c r="N868" s="36">
        <v>1731675</v>
      </c>
      <c r="O868" s="36">
        <v>537440.71554082714</v>
      </c>
      <c r="P868" s="36">
        <v>1194234.2844591727</v>
      </c>
      <c r="Q868" s="36">
        <v>0</v>
      </c>
      <c r="T868" s="36">
        <v>1731675</v>
      </c>
      <c r="V868" s="35" t="s">
        <v>609</v>
      </c>
    </row>
    <row r="869" spans="1:22" x14ac:dyDescent="0.2">
      <c r="A869" s="35">
        <v>4</v>
      </c>
      <c r="B869" s="35" t="s">
        <v>1156</v>
      </c>
      <c r="D869" s="36">
        <v>890680359</v>
      </c>
      <c r="F869" s="36">
        <v>778504598.83458495</v>
      </c>
      <c r="H869" s="36">
        <v>35983592.220957674</v>
      </c>
      <c r="I869" s="36">
        <v>76192167.944457397</v>
      </c>
      <c r="L869" s="36">
        <v>2735.6081815653756</v>
      </c>
      <c r="N869" s="36">
        <v>76189432.336275831</v>
      </c>
      <c r="O869" s="36">
        <v>23646066.976457778</v>
      </c>
      <c r="P869" s="36">
        <v>52543365.359818049</v>
      </c>
      <c r="Q869" s="36">
        <v>0</v>
      </c>
    </row>
    <row r="870" spans="1:22" x14ac:dyDescent="0.2">
      <c r="F870" s="36"/>
    </row>
    <row r="871" spans="1:22" x14ac:dyDescent="0.2">
      <c r="B871" s="35" t="s">
        <v>19</v>
      </c>
      <c r="F871" s="36"/>
    </row>
    <row r="872" spans="1:22" x14ac:dyDescent="0.2">
      <c r="A872" s="35">
        <v>5</v>
      </c>
      <c r="B872" s="35" t="s">
        <v>1106</v>
      </c>
      <c r="C872" s="35" t="s">
        <v>2278</v>
      </c>
      <c r="D872" s="36">
        <v>136065474</v>
      </c>
      <c r="F872" s="36">
        <v>129909095.26860818</v>
      </c>
      <c r="H872" s="36">
        <v>6155922.240339091</v>
      </c>
      <c r="I872" s="36">
        <v>456.49105272924777</v>
      </c>
      <c r="L872" s="36">
        <v>456.49105272924777</v>
      </c>
      <c r="N872" s="36">
        <v>0</v>
      </c>
      <c r="O872" s="36">
        <v>0</v>
      </c>
      <c r="P872" s="36">
        <v>0</v>
      </c>
      <c r="Q872" s="36">
        <v>0</v>
      </c>
      <c r="T872" s="36">
        <v>136065474</v>
      </c>
      <c r="V872" s="35" t="s">
        <v>609</v>
      </c>
    </row>
    <row r="873" spans="1:22" x14ac:dyDescent="0.2">
      <c r="A873" s="35">
        <v>6</v>
      </c>
      <c r="B873" s="35" t="s">
        <v>1107</v>
      </c>
      <c r="C873" s="35" t="s">
        <v>2269</v>
      </c>
      <c r="D873" s="36">
        <v>0</v>
      </c>
      <c r="F873" s="36">
        <v>0</v>
      </c>
      <c r="H873" s="36">
        <v>0</v>
      </c>
      <c r="I873" s="36">
        <v>0</v>
      </c>
      <c r="L873" s="36">
        <v>0</v>
      </c>
      <c r="N873" s="36">
        <v>0</v>
      </c>
      <c r="O873" s="36">
        <v>0</v>
      </c>
      <c r="P873" s="36">
        <v>0</v>
      </c>
      <c r="Q873" s="36">
        <v>0</v>
      </c>
      <c r="T873" s="36">
        <v>0</v>
      </c>
      <c r="V873" s="35" t="s">
        <v>609</v>
      </c>
    </row>
    <row r="874" spans="1:22" x14ac:dyDescent="0.2">
      <c r="A874" s="35">
        <v>7</v>
      </c>
      <c r="B874" s="35" t="s">
        <v>610</v>
      </c>
      <c r="C874" s="35" t="s">
        <v>1505</v>
      </c>
      <c r="D874" s="36">
        <v>6858118</v>
      </c>
      <c r="F874" s="36">
        <v>0</v>
      </c>
      <c r="H874" s="36">
        <v>6858118</v>
      </c>
      <c r="I874" s="36">
        <v>0</v>
      </c>
      <c r="L874" s="36">
        <v>0</v>
      </c>
      <c r="N874" s="36">
        <v>0</v>
      </c>
      <c r="O874" s="36">
        <v>0</v>
      </c>
      <c r="P874" s="36">
        <v>0</v>
      </c>
      <c r="Q874" s="36">
        <v>0</v>
      </c>
      <c r="T874" s="36">
        <v>6858118</v>
      </c>
      <c r="V874" s="35" t="s">
        <v>609</v>
      </c>
    </row>
    <row r="875" spans="1:22" x14ac:dyDescent="0.2">
      <c r="A875" s="35">
        <v>8</v>
      </c>
      <c r="B875" s="35" t="s">
        <v>1097</v>
      </c>
      <c r="C875" s="35" t="s">
        <v>1335</v>
      </c>
      <c r="D875" s="36">
        <v>3313</v>
      </c>
      <c r="F875" s="36">
        <v>0</v>
      </c>
      <c r="H875" s="36">
        <v>1079.4294121356534</v>
      </c>
      <c r="I875" s="36">
        <v>2233.5705878643466</v>
      </c>
      <c r="L875" s="36">
        <v>0</v>
      </c>
      <c r="N875" s="36">
        <v>2233.5705878643466</v>
      </c>
      <c r="O875" s="36">
        <v>693.20846865188935</v>
      </c>
      <c r="P875" s="36">
        <v>1540.3621192124572</v>
      </c>
      <c r="Q875" s="36">
        <v>0</v>
      </c>
      <c r="T875" s="36">
        <v>3313</v>
      </c>
      <c r="V875" s="35" t="s">
        <v>609</v>
      </c>
    </row>
    <row r="876" spans="1:22" x14ac:dyDescent="0.2">
      <c r="A876" s="35">
        <v>9</v>
      </c>
      <c r="B876" s="35" t="s">
        <v>1098</v>
      </c>
      <c r="C876" s="35" t="s">
        <v>1341</v>
      </c>
      <c r="D876" s="36">
        <v>305590</v>
      </c>
      <c r="F876" s="36">
        <v>0</v>
      </c>
      <c r="H876" s="36">
        <v>0</v>
      </c>
      <c r="I876" s="36">
        <v>305590</v>
      </c>
      <c r="L876" s="36">
        <v>0</v>
      </c>
      <c r="N876" s="36">
        <v>305590</v>
      </c>
      <c r="O876" s="36">
        <v>94842.570495111024</v>
      </c>
      <c r="P876" s="36">
        <v>210747.42950488895</v>
      </c>
      <c r="Q876" s="36">
        <v>0</v>
      </c>
      <c r="T876" s="36">
        <v>305590</v>
      </c>
      <c r="V876" s="35" t="s">
        <v>609</v>
      </c>
    </row>
    <row r="877" spans="1:22" x14ac:dyDescent="0.2">
      <c r="A877" s="35">
        <v>10</v>
      </c>
      <c r="B877" s="35" t="s">
        <v>20</v>
      </c>
      <c r="D877" s="36">
        <v>143232495</v>
      </c>
      <c r="F877" s="36">
        <v>129909095.26860818</v>
      </c>
      <c r="H877" s="36">
        <v>13015119.669751227</v>
      </c>
      <c r="I877" s="36">
        <v>308280.06164059357</v>
      </c>
      <c r="L877" s="36">
        <v>456.49105272924777</v>
      </c>
      <c r="N877" s="36">
        <v>307823.57058786432</v>
      </c>
      <c r="O877" s="36">
        <v>95535.778963762918</v>
      </c>
      <c r="P877" s="36">
        <v>212287.7916241014</v>
      </c>
      <c r="Q877" s="36">
        <v>0</v>
      </c>
    </row>
    <row r="878" spans="1:22" x14ac:dyDescent="0.2">
      <c r="F878" s="36"/>
    </row>
    <row r="879" spans="1:22" x14ac:dyDescent="0.2">
      <c r="A879" s="35">
        <v>11</v>
      </c>
      <c r="B879" s="35" t="s">
        <v>611</v>
      </c>
      <c r="C879" s="35" t="s">
        <v>1436</v>
      </c>
      <c r="D879" s="36">
        <v>11734152</v>
      </c>
      <c r="F879" s="36">
        <v>0</v>
      </c>
      <c r="H879" s="36">
        <v>11734152</v>
      </c>
      <c r="I879" s="36">
        <v>0</v>
      </c>
      <c r="L879" s="36">
        <v>0</v>
      </c>
      <c r="N879" s="36">
        <v>0</v>
      </c>
      <c r="O879" s="36">
        <v>0</v>
      </c>
      <c r="P879" s="36">
        <v>0</v>
      </c>
      <c r="Q879" s="36">
        <v>0</v>
      </c>
      <c r="T879" s="36">
        <v>11734152</v>
      </c>
      <c r="V879" s="35" t="s">
        <v>609</v>
      </c>
    </row>
    <row r="880" spans="1:22" x14ac:dyDescent="0.2">
      <c r="A880" s="35">
        <v>12</v>
      </c>
      <c r="B880" s="35" t="s">
        <v>612</v>
      </c>
      <c r="C880" s="35" t="s">
        <v>977</v>
      </c>
      <c r="D880" s="36">
        <v>244448786</v>
      </c>
      <c r="F880" s="36">
        <v>243732426.01248327</v>
      </c>
      <c r="H880" s="36">
        <v>0</v>
      </c>
      <c r="I880" s="36">
        <v>716359.98751671868</v>
      </c>
      <c r="L880" s="36">
        <v>24826.310543088839</v>
      </c>
      <c r="N880" s="36">
        <v>691533.67697362986</v>
      </c>
      <c r="O880" s="36">
        <v>599416.96394733281</v>
      </c>
      <c r="P880" s="36">
        <v>92116.713026297046</v>
      </c>
      <c r="Q880" s="36">
        <v>0</v>
      </c>
      <c r="T880" s="36">
        <v>244448786</v>
      </c>
      <c r="V880" s="35" t="s">
        <v>609</v>
      </c>
    </row>
    <row r="881" spans="1:22" x14ac:dyDescent="0.2">
      <c r="A881" s="35">
        <v>13</v>
      </c>
      <c r="B881" s="35" t="s">
        <v>21</v>
      </c>
      <c r="D881" s="36">
        <v>256182938</v>
      </c>
      <c r="F881" s="36">
        <v>243732426.01248327</v>
      </c>
      <c r="H881" s="36">
        <v>11734152</v>
      </c>
      <c r="I881" s="36">
        <v>716359.98751671868</v>
      </c>
      <c r="L881" s="36">
        <v>24826.310543088839</v>
      </c>
      <c r="N881" s="36">
        <v>691533.67697362986</v>
      </c>
      <c r="O881" s="36">
        <v>599416.96394733281</v>
      </c>
      <c r="P881" s="36">
        <v>92116.713026297046</v>
      </c>
      <c r="Q881" s="36">
        <v>0</v>
      </c>
    </row>
    <row r="882" spans="1:22" x14ac:dyDescent="0.2">
      <c r="F882" s="36"/>
    </row>
    <row r="883" spans="1:22" x14ac:dyDescent="0.2">
      <c r="A883" s="35">
        <v>14</v>
      </c>
      <c r="B883" s="35" t="s">
        <v>1162</v>
      </c>
      <c r="C883" s="35" t="s">
        <v>1513</v>
      </c>
      <c r="D883" s="36">
        <v>30403442.999999996</v>
      </c>
      <c r="F883" s="36">
        <v>27628082.510315478</v>
      </c>
      <c r="H883" s="36">
        <v>1352530.2015038184</v>
      </c>
      <c r="I883" s="36">
        <v>1422830.2881807026</v>
      </c>
      <c r="L883" s="36">
        <v>649.13255656302829</v>
      </c>
      <c r="N883" s="36">
        <v>1422181.1556241396</v>
      </c>
      <c r="O883" s="36">
        <v>454017.87107761524</v>
      </c>
      <c r="P883" s="36">
        <v>968163.28454652429</v>
      </c>
      <c r="Q883" s="36">
        <v>1.8306293297586273E-12</v>
      </c>
      <c r="T883" s="36">
        <v>30403443</v>
      </c>
      <c r="V883" s="35" t="s">
        <v>609</v>
      </c>
    </row>
    <row r="884" spans="1:22" x14ac:dyDescent="0.2">
      <c r="F884" s="36"/>
    </row>
    <row r="885" spans="1:22" x14ac:dyDescent="0.2">
      <c r="A885" s="35">
        <v>15</v>
      </c>
      <c r="B885" s="35" t="s">
        <v>613</v>
      </c>
      <c r="D885" s="36">
        <v>1320499235</v>
      </c>
      <c r="F885" s="36">
        <v>1179774202.6259918</v>
      </c>
      <c r="H885" s="36">
        <v>62085394.092212722</v>
      </c>
      <c r="I885" s="36">
        <v>78639638.281795412</v>
      </c>
      <c r="L885" s="36">
        <v>28667.542333946491</v>
      </c>
      <c r="N885" s="36">
        <v>78610970.739461467</v>
      </c>
      <c r="O885" s="36">
        <v>24795037.590446491</v>
      </c>
      <c r="P885" s="36">
        <v>53815933.149014972</v>
      </c>
      <c r="Q885" s="36">
        <v>1.8306293297586273E-12</v>
      </c>
    </row>
    <row r="886" spans="1:22" x14ac:dyDescent="0.2">
      <c r="F886" s="36"/>
    </row>
    <row r="887" spans="1:22" x14ac:dyDescent="0.2">
      <c r="B887" s="35" t="s">
        <v>614</v>
      </c>
      <c r="F887" s="36"/>
    </row>
    <row r="888" spans="1:22" x14ac:dyDescent="0.2">
      <c r="A888" s="35">
        <v>16</v>
      </c>
      <c r="B888" s="35" t="s">
        <v>615</v>
      </c>
      <c r="C888" s="35" t="s">
        <v>950</v>
      </c>
      <c r="D888" s="36">
        <v>93303579.627692223</v>
      </c>
      <c r="F888" s="36">
        <v>81185411.398252815</v>
      </c>
      <c r="H888" s="36">
        <v>3833073.7034151992</v>
      </c>
      <c r="I888" s="36">
        <v>8285094.526024201</v>
      </c>
      <c r="L888" s="36">
        <v>285.27959369447581</v>
      </c>
      <c r="N888" s="36">
        <v>8284809.2464305069</v>
      </c>
      <c r="O888" s="36">
        <v>2571264.1283848719</v>
      </c>
      <c r="P888" s="36">
        <v>5713545.1180456355</v>
      </c>
      <c r="Q888" s="36">
        <v>0</v>
      </c>
      <c r="T888" s="36">
        <v>93303579.627692208</v>
      </c>
      <c r="U888" s="35">
        <v>93303579.627692208</v>
      </c>
      <c r="V888" s="35" t="s">
        <v>609</v>
      </c>
    </row>
    <row r="889" spans="1:22" x14ac:dyDescent="0.2">
      <c r="A889" s="35">
        <v>17</v>
      </c>
      <c r="B889" s="35" t="s">
        <v>616</v>
      </c>
      <c r="C889" s="35" t="s">
        <v>2271</v>
      </c>
      <c r="D889" s="36">
        <v>0</v>
      </c>
      <c r="F889" s="36">
        <v>0</v>
      </c>
      <c r="H889" s="36">
        <v>0</v>
      </c>
      <c r="I889" s="36">
        <v>0</v>
      </c>
      <c r="L889" s="36">
        <v>0</v>
      </c>
      <c r="N889" s="36">
        <v>0</v>
      </c>
      <c r="O889" s="36">
        <v>0</v>
      </c>
      <c r="P889" s="36">
        <v>0</v>
      </c>
      <c r="Q889" s="36">
        <v>0</v>
      </c>
      <c r="T889" s="36">
        <v>0</v>
      </c>
      <c r="V889" s="35" t="s">
        <v>609</v>
      </c>
    </row>
    <row r="890" spans="1:22" x14ac:dyDescent="0.2">
      <c r="A890" s="35">
        <v>18</v>
      </c>
      <c r="B890" s="35" t="s">
        <v>2145</v>
      </c>
      <c r="C890" s="35" t="s">
        <v>1411</v>
      </c>
      <c r="D890" s="36">
        <v>0</v>
      </c>
      <c r="F890" s="36">
        <v>0</v>
      </c>
      <c r="H890" s="36">
        <v>0</v>
      </c>
      <c r="I890" s="36">
        <v>0</v>
      </c>
      <c r="L890" s="36">
        <v>0</v>
      </c>
      <c r="N890" s="36">
        <v>0</v>
      </c>
      <c r="O890" s="36">
        <v>0</v>
      </c>
      <c r="P890" s="36">
        <v>0</v>
      </c>
      <c r="Q890" s="36">
        <v>0</v>
      </c>
      <c r="T890" s="36">
        <v>0</v>
      </c>
      <c r="V890" s="35" t="s">
        <v>609</v>
      </c>
    </row>
    <row r="891" spans="1:22" x14ac:dyDescent="0.2">
      <c r="A891" s="35">
        <v>18</v>
      </c>
      <c r="B891" s="35" t="s">
        <v>618</v>
      </c>
      <c r="C891" s="35" t="s">
        <v>1437</v>
      </c>
      <c r="D891" s="36">
        <v>0</v>
      </c>
      <c r="F891" s="36">
        <v>0</v>
      </c>
      <c r="H891" s="36">
        <v>0</v>
      </c>
      <c r="I891" s="36">
        <v>0</v>
      </c>
      <c r="L891" s="36">
        <v>0</v>
      </c>
      <c r="N891" s="36">
        <v>0</v>
      </c>
      <c r="O891" s="36">
        <v>0</v>
      </c>
      <c r="P891" s="36">
        <v>0</v>
      </c>
      <c r="Q891" s="36">
        <v>0</v>
      </c>
      <c r="T891" s="36">
        <v>0</v>
      </c>
      <c r="V891" s="35" t="s">
        <v>609</v>
      </c>
    </row>
    <row r="892" spans="1:22" x14ac:dyDescent="0.2">
      <c r="A892" s="35">
        <v>20</v>
      </c>
      <c r="B892" s="35" t="s">
        <v>619</v>
      </c>
      <c r="C892" s="35" t="s">
        <v>977</v>
      </c>
      <c r="D892" s="36">
        <v>0</v>
      </c>
      <c r="F892" s="36">
        <v>0</v>
      </c>
      <c r="H892" s="36">
        <v>0</v>
      </c>
      <c r="I892" s="36">
        <v>0</v>
      </c>
      <c r="L892" s="36">
        <v>0</v>
      </c>
      <c r="N892" s="36">
        <v>0</v>
      </c>
      <c r="O892" s="36">
        <v>0</v>
      </c>
      <c r="P892" s="36">
        <v>0</v>
      </c>
      <c r="Q892" s="36">
        <v>0</v>
      </c>
      <c r="T892" s="36">
        <v>0</v>
      </c>
      <c r="V892" s="35" t="s">
        <v>609</v>
      </c>
    </row>
    <row r="893" spans="1:22" x14ac:dyDescent="0.2">
      <c r="A893" s="35">
        <v>21</v>
      </c>
      <c r="B893" s="35" t="s">
        <v>620</v>
      </c>
      <c r="C893" s="35" t="s">
        <v>1513</v>
      </c>
      <c r="D893" s="36">
        <v>0</v>
      </c>
      <c r="F893" s="36">
        <v>0</v>
      </c>
      <c r="H893" s="36">
        <v>0</v>
      </c>
      <c r="I893" s="36">
        <v>0</v>
      </c>
      <c r="L893" s="36">
        <v>0</v>
      </c>
      <c r="N893" s="36">
        <v>0</v>
      </c>
      <c r="O893" s="36">
        <v>0</v>
      </c>
      <c r="P893" s="36">
        <v>0</v>
      </c>
      <c r="Q893" s="36">
        <v>0</v>
      </c>
      <c r="T893" s="36">
        <v>0</v>
      </c>
      <c r="V893" s="35" t="s">
        <v>609</v>
      </c>
    </row>
    <row r="894" spans="1:22" x14ac:dyDescent="0.2">
      <c r="A894" s="35">
        <v>22</v>
      </c>
      <c r="B894" s="35" t="s">
        <v>621</v>
      </c>
      <c r="D894" s="36">
        <v>93303579.627692223</v>
      </c>
      <c r="F894" s="36">
        <v>81185411.398252815</v>
      </c>
      <c r="H894" s="36">
        <v>3833073.7034151992</v>
      </c>
      <c r="I894" s="36">
        <v>8285094.526024201</v>
      </c>
      <c r="L894" s="36">
        <v>285.27959369447581</v>
      </c>
      <c r="N894" s="36">
        <v>8284809.2464305069</v>
      </c>
      <c r="O894" s="36">
        <v>2571264.1283848719</v>
      </c>
      <c r="P894" s="36">
        <v>5713545.1180456355</v>
      </c>
      <c r="Q894" s="36">
        <v>0</v>
      </c>
    </row>
    <row r="895" spans="1:22" x14ac:dyDescent="0.2">
      <c r="F895" s="36"/>
    </row>
    <row r="896" spans="1:22" x14ac:dyDescent="0.2">
      <c r="A896" s="35">
        <v>23</v>
      </c>
      <c r="B896" s="35" t="s">
        <v>1457</v>
      </c>
      <c r="C896" s="35" t="s">
        <v>1458</v>
      </c>
      <c r="D896" s="36">
        <v>1576406.0400000003</v>
      </c>
      <c r="F896" s="36">
        <v>1549703.6162990497</v>
      </c>
      <c r="H896" s="36">
        <v>26702.423700950658</v>
      </c>
      <c r="I896" s="36">
        <v>0</v>
      </c>
      <c r="L896" s="36">
        <v>0</v>
      </c>
      <c r="N896" s="36">
        <v>0</v>
      </c>
      <c r="O896" s="36">
        <v>0</v>
      </c>
      <c r="P896" s="36">
        <v>0</v>
      </c>
      <c r="Q896" s="36">
        <v>0</v>
      </c>
      <c r="T896" s="36">
        <v>1576406.0400000003</v>
      </c>
      <c r="V896" s="35" t="s">
        <v>2392</v>
      </c>
    </row>
    <row r="897" spans="1:22" x14ac:dyDescent="0.2">
      <c r="A897" s="35">
        <v>24</v>
      </c>
      <c r="B897" s="35" t="s">
        <v>2146</v>
      </c>
      <c r="C897" s="35" t="s">
        <v>1460</v>
      </c>
      <c r="D897" s="36">
        <v>28000984.019999992</v>
      </c>
      <c r="F897" s="36">
        <v>0</v>
      </c>
      <c r="H897" s="36">
        <v>1378728.5512620946</v>
      </c>
      <c r="I897" s="36">
        <v>-729.01445774044191</v>
      </c>
      <c r="L897" s="36">
        <v>0</v>
      </c>
      <c r="N897" s="36">
        <v>-729.01445774044191</v>
      </c>
      <c r="O897" s="36">
        <v>-729.01445774044191</v>
      </c>
      <c r="P897" s="36">
        <v>0</v>
      </c>
      <c r="Q897" s="36">
        <v>0</v>
      </c>
      <c r="T897" s="36">
        <v>28000984.019999992</v>
      </c>
      <c r="V897" s="121" t="s">
        <v>2393</v>
      </c>
    </row>
    <row r="898" spans="1:22" x14ac:dyDescent="0.2">
      <c r="A898" s="35">
        <v>25</v>
      </c>
      <c r="B898" s="35" t="s">
        <v>622</v>
      </c>
      <c r="C898" s="35" t="s">
        <v>1443</v>
      </c>
      <c r="D898" s="36">
        <v>1421186</v>
      </c>
      <c r="F898" s="36">
        <v>0</v>
      </c>
      <c r="H898" s="36">
        <v>1421186</v>
      </c>
      <c r="I898" s="36">
        <v>0</v>
      </c>
      <c r="L898" s="36">
        <v>0</v>
      </c>
      <c r="N898" s="36">
        <v>0</v>
      </c>
      <c r="O898" s="36">
        <v>0</v>
      </c>
      <c r="P898" s="36">
        <v>0</v>
      </c>
      <c r="Q898" s="36">
        <v>0</v>
      </c>
      <c r="T898" s="36">
        <v>1421186</v>
      </c>
      <c r="V898" s="121" t="s">
        <v>2394</v>
      </c>
    </row>
    <row r="899" spans="1:22" x14ac:dyDescent="0.2">
      <c r="A899" s="35">
        <v>26</v>
      </c>
      <c r="B899" s="35" t="s">
        <v>2147</v>
      </c>
      <c r="C899" s="35" t="s">
        <v>1493</v>
      </c>
      <c r="D899" s="36">
        <v>60917532.867179498</v>
      </c>
      <c r="F899" s="36">
        <v>0</v>
      </c>
      <c r="H899" s="36">
        <v>2858566.6202515503</v>
      </c>
      <c r="I899" s="36">
        <v>3.08258567638483E-12</v>
      </c>
      <c r="L899" s="36">
        <v>0</v>
      </c>
      <c r="N899" s="36">
        <v>3.08258567638483E-12</v>
      </c>
      <c r="O899" s="36">
        <v>0</v>
      </c>
      <c r="P899" s="36">
        <v>0</v>
      </c>
      <c r="Q899" s="36">
        <v>3.08258567638483E-12</v>
      </c>
      <c r="T899" s="36">
        <v>60917532.867179498</v>
      </c>
      <c r="V899" s="121" t="s">
        <v>2395</v>
      </c>
    </row>
    <row r="900" spans="1:22" x14ac:dyDescent="0.2">
      <c r="A900" s="35">
        <v>27</v>
      </c>
      <c r="B900" s="35" t="s">
        <v>2283</v>
      </c>
      <c r="C900" s="35" t="s">
        <v>1493</v>
      </c>
      <c r="D900" s="36">
        <v>5727440.0000000019</v>
      </c>
      <c r="F900" s="36">
        <v>0</v>
      </c>
      <c r="H900" s="36">
        <v>0</v>
      </c>
      <c r="I900" s="36">
        <v>282601.52972368104</v>
      </c>
      <c r="L900" s="36">
        <v>0</v>
      </c>
      <c r="N900" s="36">
        <v>282601.52972368104</v>
      </c>
      <c r="O900" s="36">
        <v>90217.863161120666</v>
      </c>
      <c r="P900" s="36">
        <v>192383.66656256036</v>
      </c>
      <c r="Q900" s="36">
        <v>2.898233673521878E-13</v>
      </c>
      <c r="T900" s="36">
        <v>5727440.0000000019</v>
      </c>
      <c r="V900" s="35" t="s">
        <v>2284</v>
      </c>
    </row>
    <row r="901" spans="1:22" x14ac:dyDescent="0.2">
      <c r="A901" s="35">
        <v>28</v>
      </c>
      <c r="B901" s="35" t="s">
        <v>2285</v>
      </c>
      <c r="C901" s="35" t="s">
        <v>1493</v>
      </c>
      <c r="D901" s="36">
        <v>6375756.4900000002</v>
      </c>
      <c r="F901" s="36">
        <v>0</v>
      </c>
      <c r="H901" s="36">
        <v>0</v>
      </c>
      <c r="I901" s="36">
        <v>314590.55655226187</v>
      </c>
      <c r="L901" s="36">
        <v>0</v>
      </c>
      <c r="N901" s="36">
        <v>314590.55655226187</v>
      </c>
      <c r="O901" s="36">
        <v>100430.05715702772</v>
      </c>
      <c r="P901" s="36">
        <v>214160.49939523413</v>
      </c>
      <c r="Q901" s="36">
        <v>3.2262986872832623E-13</v>
      </c>
      <c r="T901" s="36">
        <v>6375756.4900000002</v>
      </c>
      <c r="V901" s="35" t="s">
        <v>2286</v>
      </c>
    </row>
    <row r="902" spans="1:22" x14ac:dyDescent="0.2">
      <c r="A902" s="35">
        <v>29</v>
      </c>
      <c r="B902" s="35" t="s">
        <v>2287</v>
      </c>
      <c r="C902" s="35" t="s">
        <v>1493</v>
      </c>
      <c r="D902" s="36">
        <v>1183817.9999999998</v>
      </c>
      <c r="F902" s="36">
        <v>0</v>
      </c>
      <c r="H902" s="36">
        <v>0</v>
      </c>
      <c r="I902" s="36">
        <v>58411.572659762212</v>
      </c>
      <c r="L902" s="36">
        <v>0</v>
      </c>
      <c r="N902" s="36">
        <v>58411.572659762212</v>
      </c>
      <c r="O902" s="36">
        <v>18647.34162761574</v>
      </c>
      <c r="P902" s="36">
        <v>39764.231032146468</v>
      </c>
      <c r="Q902" s="36">
        <v>5.9904271208800447E-14</v>
      </c>
      <c r="T902" s="36">
        <v>1183817.9999999998</v>
      </c>
      <c r="V902" s="35" t="s">
        <v>2288</v>
      </c>
    </row>
    <row r="903" spans="1:22" x14ac:dyDescent="0.2">
      <c r="A903" s="35">
        <v>30</v>
      </c>
      <c r="B903" s="35" t="s">
        <v>623</v>
      </c>
      <c r="D903" s="36">
        <v>1519005938.0448716</v>
      </c>
      <c r="F903" s="36">
        <v>1262509317.6405437</v>
      </c>
      <c r="H903" s="36">
        <v>71603651.390842512</v>
      </c>
      <c r="I903" s="36">
        <v>87579607.452297568</v>
      </c>
      <c r="L903" s="36">
        <v>28952.821927640965</v>
      </c>
      <c r="N903" s="36">
        <v>87550654.630369931</v>
      </c>
      <c r="O903" s="36">
        <v>27574867.96631939</v>
      </c>
      <c r="P903" s="36">
        <v>59975786.664050549</v>
      </c>
      <c r="Q903" s="36">
        <v>5.585572513432772E-12</v>
      </c>
    </row>
    <row r="904" spans="1:22" x14ac:dyDescent="0.2">
      <c r="F904" s="36"/>
    </row>
    <row r="905" spans="1:22" x14ac:dyDescent="0.2">
      <c r="A905" s="35">
        <v>31</v>
      </c>
      <c r="B905" s="35" t="s">
        <v>33</v>
      </c>
      <c r="D905" s="36">
        <v>5287485490.95786</v>
      </c>
      <c r="F905" s="36">
        <v>4813674990.8033257</v>
      </c>
      <c r="H905" s="36">
        <v>234912477.105712</v>
      </c>
      <c r="I905" s="36">
        <v>336211384.61000985</v>
      </c>
      <c r="L905" s="36">
        <v>24781.486740542554</v>
      </c>
      <c r="N905" s="36">
        <v>336186603.12326932</v>
      </c>
      <c r="O905" s="36">
        <v>105859579.04227933</v>
      </c>
      <c r="P905" s="36">
        <v>230327024.08098999</v>
      </c>
      <c r="Q905" s="36">
        <v>5.8315245409352819E-12</v>
      </c>
    </row>
    <row r="906" spans="1:22" x14ac:dyDescent="0.2">
      <c r="F906" s="36"/>
    </row>
    <row r="907" spans="1:22" x14ac:dyDescent="0.2">
      <c r="F907" s="36"/>
    </row>
    <row r="908" spans="1:22" x14ac:dyDescent="0.2">
      <c r="B908" s="35" t="s">
        <v>1083</v>
      </c>
      <c r="F908" s="36"/>
    </row>
    <row r="909" spans="1:22" x14ac:dyDescent="0.2">
      <c r="F909" s="36"/>
    </row>
    <row r="910" spans="1:22" x14ac:dyDescent="0.2">
      <c r="B910" s="35" t="s">
        <v>624</v>
      </c>
      <c r="F910" s="36"/>
    </row>
    <row r="911" spans="1:22" x14ac:dyDescent="0.2">
      <c r="A911" s="35">
        <v>1</v>
      </c>
      <c r="B911" s="35" t="s">
        <v>2148</v>
      </c>
      <c r="D911" s="36">
        <v>666571847.7876842</v>
      </c>
      <c r="F911" s="36">
        <v>627798768.9953624</v>
      </c>
      <c r="H911" s="36">
        <v>38773078.792321846</v>
      </c>
      <c r="I911" s="36">
        <v>0</v>
      </c>
      <c r="L911" s="36">
        <v>0</v>
      </c>
      <c r="N911" s="36">
        <v>0</v>
      </c>
      <c r="O911" s="36">
        <v>0</v>
      </c>
      <c r="P911" s="36">
        <v>0</v>
      </c>
      <c r="Q911" s="36">
        <v>0</v>
      </c>
    </row>
    <row r="912" spans="1:22" x14ac:dyDescent="0.2">
      <c r="A912" s="35">
        <v>2</v>
      </c>
      <c r="B912" s="35" t="s">
        <v>2289</v>
      </c>
      <c r="D912" s="36">
        <v>412651662.28964722</v>
      </c>
      <c r="F912" s="36">
        <v>395380927.94330788</v>
      </c>
      <c r="H912" s="36">
        <v>17270734.346339371</v>
      </c>
      <c r="I912" s="36">
        <v>0</v>
      </c>
      <c r="L912" s="36">
        <v>0</v>
      </c>
      <c r="N912" s="36">
        <v>0</v>
      </c>
      <c r="O912" s="36">
        <v>0</v>
      </c>
      <c r="P912" s="36">
        <v>0</v>
      </c>
      <c r="Q912" s="36">
        <v>0</v>
      </c>
    </row>
    <row r="913" spans="1:23" x14ac:dyDescent="0.2">
      <c r="A913" s="35">
        <v>3</v>
      </c>
      <c r="B913" s="35" t="s">
        <v>2149</v>
      </c>
      <c r="D913" s="36">
        <v>444219949.74474078</v>
      </c>
      <c r="F913" s="36">
        <v>433353219.59153575</v>
      </c>
      <c r="H913" s="36">
        <v>10866730.153205052</v>
      </c>
      <c r="I913" s="36">
        <v>0</v>
      </c>
      <c r="L913" s="36">
        <v>0</v>
      </c>
      <c r="N913" s="36">
        <v>0</v>
      </c>
      <c r="O913" s="36">
        <v>0</v>
      </c>
      <c r="P913" s="36">
        <v>0</v>
      </c>
      <c r="Q913" s="36">
        <v>0</v>
      </c>
    </row>
    <row r="914" spans="1:23" x14ac:dyDescent="0.2">
      <c r="A914" s="35">
        <v>4</v>
      </c>
      <c r="B914" s="35" t="s">
        <v>2150</v>
      </c>
      <c r="D914" s="36">
        <v>12586396.617513351</v>
      </c>
      <c r="F914" s="36">
        <v>12175289.873640023</v>
      </c>
      <c r="H914" s="36">
        <v>411106.74387332791</v>
      </c>
      <c r="I914" s="36">
        <v>0</v>
      </c>
      <c r="L914" s="36">
        <v>0</v>
      </c>
      <c r="N914" s="36">
        <v>0</v>
      </c>
      <c r="O914" s="36">
        <v>0</v>
      </c>
      <c r="P914" s="36">
        <v>0</v>
      </c>
      <c r="Q914" s="36">
        <v>0</v>
      </c>
    </row>
    <row r="915" spans="1:23" x14ac:dyDescent="0.2">
      <c r="A915" s="35">
        <v>5</v>
      </c>
      <c r="B915" s="35" t="s">
        <v>2151</v>
      </c>
      <c r="D915" s="36">
        <v>136069287.68033916</v>
      </c>
      <c r="F915" s="36">
        <v>129454027.9737691</v>
      </c>
      <c r="H915" s="36">
        <v>6615259.7065700479</v>
      </c>
      <c r="I915" s="36">
        <v>0</v>
      </c>
      <c r="L915" s="36">
        <v>0</v>
      </c>
      <c r="N915" s="36">
        <v>0</v>
      </c>
      <c r="O915" s="36">
        <v>0</v>
      </c>
      <c r="P915" s="36">
        <v>0</v>
      </c>
      <c r="Q915" s="36">
        <v>0</v>
      </c>
    </row>
    <row r="916" spans="1:23" x14ac:dyDescent="0.2">
      <c r="A916" s="35">
        <v>6</v>
      </c>
      <c r="B916" s="35" t="s">
        <v>2152</v>
      </c>
      <c r="D916" s="36">
        <v>114112524.98070344</v>
      </c>
      <c r="F916" s="36">
        <v>0</v>
      </c>
      <c r="H916" s="36">
        <v>0</v>
      </c>
      <c r="I916" s="36">
        <v>114112524.98070344</v>
      </c>
      <c r="L916" s="36">
        <v>0</v>
      </c>
      <c r="N916" s="36">
        <v>114112524.98070344</v>
      </c>
      <c r="O916" s="36">
        <v>35491593.809934929</v>
      </c>
      <c r="P916" s="36">
        <v>78620931.170768514</v>
      </c>
      <c r="Q916" s="36">
        <v>0</v>
      </c>
    </row>
    <row r="917" spans="1:23" x14ac:dyDescent="0.2">
      <c r="A917" s="35">
        <v>7</v>
      </c>
      <c r="B917" s="35" t="s">
        <v>2352</v>
      </c>
      <c r="D917" s="36">
        <v>0</v>
      </c>
      <c r="F917" s="36">
        <v>0</v>
      </c>
      <c r="H917" s="36">
        <v>0</v>
      </c>
      <c r="I917" s="36">
        <v>0</v>
      </c>
      <c r="L917" s="36">
        <v>0</v>
      </c>
      <c r="N917" s="36">
        <v>0</v>
      </c>
      <c r="O917" s="36">
        <v>0</v>
      </c>
      <c r="P917" s="36">
        <v>0</v>
      </c>
      <c r="Q917" s="36">
        <v>0</v>
      </c>
      <c r="T917" s="36">
        <v>0</v>
      </c>
      <c r="W917" s="35" t="s">
        <v>2396</v>
      </c>
    </row>
    <row r="918" spans="1:23" x14ac:dyDescent="0.2">
      <c r="A918" s="35">
        <v>8</v>
      </c>
      <c r="B918" s="35" t="s">
        <v>2153</v>
      </c>
      <c r="F918" s="36"/>
    </row>
    <row r="919" spans="1:23" x14ac:dyDescent="0.2">
      <c r="A919" s="35">
        <v>9</v>
      </c>
      <c r="B919" s="35" t="s">
        <v>2154</v>
      </c>
      <c r="C919" s="35" t="s">
        <v>1333</v>
      </c>
      <c r="D919" s="36">
        <v>0</v>
      </c>
      <c r="F919" s="36">
        <v>0</v>
      </c>
      <c r="H919" s="36">
        <v>0</v>
      </c>
      <c r="I919" s="36">
        <v>0</v>
      </c>
      <c r="L919" s="36">
        <v>0</v>
      </c>
      <c r="N919" s="36">
        <v>0</v>
      </c>
      <c r="O919" s="36">
        <v>0</v>
      </c>
      <c r="P919" s="36">
        <v>0</v>
      </c>
      <c r="Q919" s="36">
        <v>0</v>
      </c>
      <c r="T919" s="36">
        <v>0</v>
      </c>
    </row>
    <row r="920" spans="1:23" x14ac:dyDescent="0.2">
      <c r="A920" s="35">
        <v>10</v>
      </c>
      <c r="B920" s="35" t="s">
        <v>2155</v>
      </c>
      <c r="C920" s="35" t="s">
        <v>1444</v>
      </c>
      <c r="D920" s="36">
        <v>14791940.17221239</v>
      </c>
      <c r="F920" s="36">
        <v>13007772.267003568</v>
      </c>
      <c r="H920" s="36">
        <v>539243.39440491714</v>
      </c>
      <c r="I920" s="36">
        <v>1244924.5108039037</v>
      </c>
      <c r="L920" s="36">
        <v>62.731160203622458</v>
      </c>
      <c r="N920" s="36">
        <v>1244861.7796437</v>
      </c>
      <c r="O920" s="36">
        <v>393393.01651130477</v>
      </c>
      <c r="P920" s="36">
        <v>851468.76313239522</v>
      </c>
      <c r="Q920" s="36">
        <v>0</v>
      </c>
      <c r="T920" s="36">
        <v>14791940.17221239</v>
      </c>
    </row>
    <row r="921" spans="1:23" x14ac:dyDescent="0.2">
      <c r="A921" s="35">
        <v>11</v>
      </c>
      <c r="B921" s="35" t="s">
        <v>2156</v>
      </c>
      <c r="D921" s="36">
        <v>14791940.17221239</v>
      </c>
      <c r="F921" s="36">
        <v>13007772.267003568</v>
      </c>
      <c r="H921" s="36">
        <v>539243.39440491714</v>
      </c>
      <c r="I921" s="36">
        <v>1244924.5108039037</v>
      </c>
      <c r="L921" s="36">
        <v>62.731160203622458</v>
      </c>
      <c r="N921" s="36">
        <v>1244861.7796437</v>
      </c>
      <c r="O921" s="36">
        <v>393393.01651130477</v>
      </c>
      <c r="P921" s="36">
        <v>851468.76313239522</v>
      </c>
      <c r="Q921" s="36">
        <v>0</v>
      </c>
    </row>
    <row r="922" spans="1:23" x14ac:dyDescent="0.2">
      <c r="F922" s="36"/>
    </row>
    <row r="923" spans="1:23" x14ac:dyDescent="0.2">
      <c r="A923" s="35">
        <v>12</v>
      </c>
      <c r="B923" s="35" t="s">
        <v>2157</v>
      </c>
      <c r="D923" s="36">
        <v>0</v>
      </c>
      <c r="F923" s="36">
        <v>0</v>
      </c>
      <c r="H923" s="36">
        <v>0</v>
      </c>
      <c r="I923" s="36">
        <v>0</v>
      </c>
      <c r="L923" s="36">
        <v>0</v>
      </c>
      <c r="N923" s="36">
        <v>0</v>
      </c>
      <c r="O923" s="36">
        <v>0</v>
      </c>
      <c r="P923" s="36">
        <v>0</v>
      </c>
      <c r="Q923" s="36">
        <v>0</v>
      </c>
      <c r="T923" s="36">
        <v>0</v>
      </c>
    </row>
    <row r="924" spans="1:23" x14ac:dyDescent="0.2">
      <c r="F924" s="36"/>
    </row>
    <row r="925" spans="1:23" x14ac:dyDescent="0.2">
      <c r="A925" s="35">
        <v>13</v>
      </c>
      <c r="B925" s="35" t="s">
        <v>2158</v>
      </c>
      <c r="D925" s="36">
        <v>1801003609.2728405</v>
      </c>
      <c r="F925" s="36">
        <v>1611170006.6446187</v>
      </c>
      <c r="H925" s="36">
        <v>74476153.136714563</v>
      </c>
      <c r="I925" s="36">
        <v>115357449.49150735</v>
      </c>
      <c r="L925" s="36">
        <v>62.731160203622458</v>
      </c>
      <c r="N925" s="36">
        <v>115357386.76034714</v>
      </c>
      <c r="O925" s="36">
        <v>35884986.826446235</v>
      </c>
      <c r="P925" s="36">
        <v>79472399.933900908</v>
      </c>
      <c r="Q925" s="36">
        <v>0</v>
      </c>
    </row>
    <row r="926" spans="1:23" x14ac:dyDescent="0.2">
      <c r="F926" s="36"/>
    </row>
    <row r="927" spans="1:23" x14ac:dyDescent="0.2">
      <c r="B927" s="35" t="s">
        <v>625</v>
      </c>
      <c r="F927" s="36"/>
    </row>
    <row r="928" spans="1:23" x14ac:dyDescent="0.2">
      <c r="A928" s="35">
        <v>14</v>
      </c>
      <c r="B928" s="35" t="s">
        <v>2159</v>
      </c>
      <c r="C928" s="35" t="s">
        <v>2020</v>
      </c>
      <c r="D928" s="36">
        <v>4000811.2358339988</v>
      </c>
      <c r="F928" s="36">
        <v>3857505.2961587054</v>
      </c>
      <c r="H928" s="36">
        <v>143265.74534040981</v>
      </c>
      <c r="I928" s="36">
        <v>40.194334883672106</v>
      </c>
      <c r="L928" s="36">
        <v>0</v>
      </c>
      <c r="N928" s="36">
        <v>40.194334883672106</v>
      </c>
      <c r="O928" s="36">
        <v>40.194334883672106</v>
      </c>
      <c r="P928" s="36">
        <v>0</v>
      </c>
      <c r="Q928" s="36">
        <v>0</v>
      </c>
      <c r="T928" s="36">
        <v>4000811.2358339988</v>
      </c>
    </row>
    <row r="929" spans="1:23" x14ac:dyDescent="0.2">
      <c r="A929" s="35">
        <v>15</v>
      </c>
      <c r="B929" s="35" t="s">
        <v>2160</v>
      </c>
      <c r="C929" s="35" t="s">
        <v>2010</v>
      </c>
      <c r="D929" s="36">
        <v>2166769.14586</v>
      </c>
      <c r="F929" s="36">
        <v>2050964.8152996863</v>
      </c>
      <c r="H929" s="36">
        <v>115804.33056031384</v>
      </c>
      <c r="I929" s="36">
        <v>0</v>
      </c>
      <c r="L929" s="36">
        <v>0</v>
      </c>
      <c r="N929" s="36">
        <v>0</v>
      </c>
      <c r="O929" s="36">
        <v>0</v>
      </c>
      <c r="P929" s="36">
        <v>0</v>
      </c>
      <c r="Q929" s="36">
        <v>0</v>
      </c>
      <c r="T929" s="36">
        <v>2166769.14586</v>
      </c>
    </row>
    <row r="930" spans="1:23" x14ac:dyDescent="0.2">
      <c r="A930" s="35">
        <v>16</v>
      </c>
      <c r="B930" s="35" t="s">
        <v>2161</v>
      </c>
      <c r="C930" s="35" t="s">
        <v>2012</v>
      </c>
      <c r="D930" s="36">
        <v>57580.899920000011</v>
      </c>
      <c r="F930" s="36">
        <v>57316.771479968833</v>
      </c>
      <c r="H930" s="36">
        <v>264.12844003117868</v>
      </c>
      <c r="I930" s="36">
        <v>0</v>
      </c>
      <c r="L930" s="36">
        <v>0</v>
      </c>
      <c r="N930" s="36">
        <v>0</v>
      </c>
      <c r="O930" s="36">
        <v>0</v>
      </c>
      <c r="P930" s="36">
        <v>0</v>
      </c>
      <c r="Q930" s="36">
        <v>0</v>
      </c>
      <c r="T930" s="36">
        <v>57580.899920000011</v>
      </c>
    </row>
    <row r="931" spans="1:23" x14ac:dyDescent="0.2">
      <c r="A931" s="35">
        <v>17</v>
      </c>
      <c r="B931" s="35" t="s">
        <v>2162</v>
      </c>
      <c r="C931" s="35" t="s">
        <v>2004</v>
      </c>
      <c r="D931" s="36">
        <v>3367539.4774159999</v>
      </c>
      <c r="F931" s="36">
        <v>3142644.6954118521</v>
      </c>
      <c r="H931" s="36">
        <v>224839.69486088777</v>
      </c>
      <c r="I931" s="36">
        <v>55.087143259967277</v>
      </c>
      <c r="L931" s="36">
        <v>55.087143259967277</v>
      </c>
      <c r="N931" s="36">
        <v>0</v>
      </c>
      <c r="O931" s="36">
        <v>0</v>
      </c>
      <c r="P931" s="36">
        <v>0</v>
      </c>
      <c r="Q931" s="36">
        <v>0</v>
      </c>
      <c r="T931" s="36">
        <v>3367539.4774159999</v>
      </c>
    </row>
    <row r="932" spans="1:23" x14ac:dyDescent="0.2">
      <c r="A932" s="35">
        <v>18</v>
      </c>
      <c r="B932" s="35" t="s">
        <v>2164</v>
      </c>
      <c r="C932" s="35" t="s">
        <v>1955</v>
      </c>
      <c r="D932" s="36">
        <v>21208178.656022348</v>
      </c>
      <c r="F932" s="36">
        <v>20271298.394020729</v>
      </c>
      <c r="H932" s="36">
        <v>936809.03014271869</v>
      </c>
      <c r="I932" s="36">
        <v>71.231858900577919</v>
      </c>
      <c r="L932" s="36">
        <v>71.231858900577919</v>
      </c>
      <c r="N932" s="36">
        <v>0</v>
      </c>
      <c r="O932" s="36">
        <v>0</v>
      </c>
      <c r="P932" s="36">
        <v>0</v>
      </c>
      <c r="Q932" s="36">
        <v>0</v>
      </c>
      <c r="T932" s="36">
        <v>21208178.656022348</v>
      </c>
    </row>
    <row r="933" spans="1:23" x14ac:dyDescent="0.2">
      <c r="A933" s="35">
        <v>19</v>
      </c>
      <c r="B933" s="35" t="s">
        <v>2290</v>
      </c>
      <c r="C933" s="35" t="s">
        <v>1346</v>
      </c>
      <c r="D933" s="36">
        <v>1202902.1105319702</v>
      </c>
      <c r="F933" s="36">
        <v>1053474.3115989505</v>
      </c>
      <c r="H933" s="36">
        <v>48684.806910068502</v>
      </c>
      <c r="I933" s="36">
        <v>100742.99202295124</v>
      </c>
      <c r="L933" s="36">
        <v>3.7018316271903999</v>
      </c>
      <c r="N933" s="36">
        <v>100739.29019132405</v>
      </c>
      <c r="O933" s="36">
        <v>31265.333393102188</v>
      </c>
      <c r="P933" s="36">
        <v>69473.956798221858</v>
      </c>
      <c r="Q933" s="36">
        <v>0</v>
      </c>
      <c r="T933" s="36">
        <v>1202902.1105319702</v>
      </c>
      <c r="W933" s="35" t="s">
        <v>2397</v>
      </c>
    </row>
    <row r="934" spans="1:23" x14ac:dyDescent="0.2">
      <c r="A934" s="35">
        <v>20</v>
      </c>
      <c r="B934" s="35" t="s">
        <v>2165</v>
      </c>
      <c r="C934" s="35" t="s">
        <v>2024</v>
      </c>
      <c r="D934" s="36">
        <v>600</v>
      </c>
      <c r="F934" s="36">
        <v>600</v>
      </c>
      <c r="H934" s="36">
        <v>0</v>
      </c>
      <c r="I934" s="36">
        <v>0</v>
      </c>
      <c r="L934" s="36">
        <v>0</v>
      </c>
      <c r="N934" s="36">
        <v>0</v>
      </c>
      <c r="O934" s="36">
        <v>0</v>
      </c>
      <c r="P934" s="36">
        <v>0</v>
      </c>
      <c r="Q934" s="36">
        <v>0</v>
      </c>
      <c r="T934" s="36">
        <v>600</v>
      </c>
    </row>
    <row r="935" spans="1:23" x14ac:dyDescent="0.2">
      <c r="A935" s="35">
        <v>21</v>
      </c>
      <c r="B935" s="35" t="s">
        <v>2166</v>
      </c>
      <c r="C935" s="35" t="s">
        <v>2014</v>
      </c>
      <c r="D935" s="36">
        <v>153025.22119999997</v>
      </c>
      <c r="F935" s="36">
        <v>153158.37567627843</v>
      </c>
      <c r="H935" s="36">
        <v>-133.15447627844711</v>
      </c>
      <c r="I935" s="36">
        <v>0</v>
      </c>
      <c r="L935" s="36">
        <v>0</v>
      </c>
      <c r="N935" s="36">
        <v>0</v>
      </c>
      <c r="O935" s="36">
        <v>0</v>
      </c>
      <c r="P935" s="36">
        <v>0</v>
      </c>
      <c r="Q935" s="36">
        <v>0</v>
      </c>
      <c r="T935" s="36">
        <v>153025.2212</v>
      </c>
    </row>
    <row r="936" spans="1:23" x14ac:dyDescent="0.2">
      <c r="A936" s="35">
        <v>22</v>
      </c>
      <c r="B936" s="35" t="s">
        <v>2167</v>
      </c>
      <c r="C936" s="35" t="s">
        <v>2008</v>
      </c>
      <c r="D936" s="36">
        <v>17812.882574000007</v>
      </c>
      <c r="F936" s="36">
        <v>17812.882574000007</v>
      </c>
      <c r="H936" s="36">
        <v>0</v>
      </c>
      <c r="I936" s="36">
        <v>0</v>
      </c>
      <c r="L936" s="36">
        <v>0</v>
      </c>
      <c r="N936" s="36">
        <v>0</v>
      </c>
      <c r="O936" s="36">
        <v>0</v>
      </c>
      <c r="P936" s="36">
        <v>0</v>
      </c>
      <c r="Q936" s="36">
        <v>0</v>
      </c>
      <c r="T936" s="36">
        <v>17812.882574000007</v>
      </c>
    </row>
    <row r="937" spans="1:23" x14ac:dyDescent="0.2">
      <c r="A937" s="35">
        <v>23</v>
      </c>
      <c r="B937" s="35" t="s">
        <v>2168</v>
      </c>
      <c r="C937" s="35" t="s">
        <v>2006</v>
      </c>
      <c r="D937" s="36">
        <v>31159.913393999996</v>
      </c>
      <c r="F937" s="36">
        <v>22317.831393999993</v>
      </c>
      <c r="H937" s="36">
        <v>2038.2500000000002</v>
      </c>
      <c r="I937" s="36">
        <v>6803.8320000000003</v>
      </c>
      <c r="L937" s="36">
        <v>0</v>
      </c>
      <c r="N937" s="36">
        <v>6803.8320000000003</v>
      </c>
      <c r="O937" s="36">
        <v>2763.36</v>
      </c>
      <c r="P937" s="36">
        <v>4040.4720000000007</v>
      </c>
      <c r="Q937" s="36">
        <v>0</v>
      </c>
      <c r="T937" s="36">
        <v>31159.913393999996</v>
      </c>
    </row>
    <row r="938" spans="1:23" x14ac:dyDescent="0.2">
      <c r="A938" s="35">
        <v>24</v>
      </c>
      <c r="B938" s="35" t="s">
        <v>2169</v>
      </c>
      <c r="C938" s="35" t="s">
        <v>2024</v>
      </c>
      <c r="D938" s="36">
        <v>0</v>
      </c>
      <c r="F938" s="36">
        <v>0</v>
      </c>
      <c r="H938" s="36">
        <v>0</v>
      </c>
      <c r="I938" s="36">
        <v>0</v>
      </c>
      <c r="L938" s="36">
        <v>0</v>
      </c>
      <c r="N938" s="36">
        <v>0</v>
      </c>
      <c r="O938" s="36">
        <v>0</v>
      </c>
      <c r="P938" s="36">
        <v>0</v>
      </c>
      <c r="Q938" s="36">
        <v>0</v>
      </c>
      <c r="T938" s="36">
        <v>0</v>
      </c>
    </row>
    <row r="939" spans="1:23" x14ac:dyDescent="0.2">
      <c r="A939" s="35">
        <v>25</v>
      </c>
      <c r="B939" s="35" t="s">
        <v>2353</v>
      </c>
      <c r="C939" s="35" t="s">
        <v>1444</v>
      </c>
      <c r="D939" s="36">
        <v>142901.77199999997</v>
      </c>
      <c r="F939" s="36">
        <v>125665.30726099105</v>
      </c>
      <c r="H939" s="36">
        <v>5209.5151618120744</v>
      </c>
      <c r="I939" s="36">
        <v>12026.949577196854</v>
      </c>
      <c r="L939" s="36">
        <v>0.60603232898100279</v>
      </c>
      <c r="N939" s="36">
        <v>12026.343544867874</v>
      </c>
      <c r="O939" s="36">
        <v>3800.485838733794</v>
      </c>
      <c r="P939" s="36">
        <v>8225.8577061340802</v>
      </c>
      <c r="Q939" s="36">
        <v>0</v>
      </c>
      <c r="T939" s="36">
        <v>142901.772</v>
      </c>
    </row>
    <row r="940" spans="1:23" x14ac:dyDescent="0.2">
      <c r="A940" s="35">
        <v>26</v>
      </c>
      <c r="B940" s="35" t="s">
        <v>2354</v>
      </c>
      <c r="C940" s="35" t="s">
        <v>2024</v>
      </c>
      <c r="D940" s="36">
        <v>372730.96</v>
      </c>
      <c r="F940" s="36">
        <v>372730.96</v>
      </c>
      <c r="H940" s="36">
        <v>0</v>
      </c>
      <c r="I940" s="36">
        <v>0</v>
      </c>
      <c r="L940" s="36">
        <v>0</v>
      </c>
      <c r="N940" s="36">
        <v>0</v>
      </c>
      <c r="O940" s="36">
        <v>0</v>
      </c>
      <c r="P940" s="36">
        <v>0</v>
      </c>
      <c r="Q940" s="36">
        <v>0</v>
      </c>
      <c r="T940" s="36">
        <v>372730.96</v>
      </c>
    </row>
    <row r="941" spans="1:23" x14ac:dyDescent="0.2">
      <c r="A941" s="35">
        <v>27</v>
      </c>
      <c r="B941" s="35" t="s">
        <v>2355</v>
      </c>
      <c r="C941" s="35" t="s">
        <v>2024</v>
      </c>
      <c r="D941" s="36">
        <v>33721.1</v>
      </c>
      <c r="F941" s="36">
        <v>33721.1</v>
      </c>
      <c r="H941" s="36">
        <v>0</v>
      </c>
      <c r="I941" s="36">
        <v>0</v>
      </c>
      <c r="L941" s="36">
        <v>0</v>
      </c>
      <c r="N941" s="36">
        <v>0</v>
      </c>
      <c r="O941" s="36">
        <v>0</v>
      </c>
      <c r="P941" s="36">
        <v>0</v>
      </c>
      <c r="Q941" s="36">
        <v>0</v>
      </c>
      <c r="T941" s="36">
        <v>33721.1</v>
      </c>
    </row>
    <row r="942" spans="1:23" x14ac:dyDescent="0.2">
      <c r="A942" s="35">
        <v>28</v>
      </c>
      <c r="B942" s="35" t="s">
        <v>2356</v>
      </c>
      <c r="C942" s="35" t="s">
        <v>2024</v>
      </c>
      <c r="D942" s="36">
        <v>287280.96000000002</v>
      </c>
      <c r="F942" s="36">
        <v>287280.96000000002</v>
      </c>
      <c r="H942" s="36">
        <v>0</v>
      </c>
      <c r="I942" s="36">
        <v>0</v>
      </c>
      <c r="L942" s="36">
        <v>0</v>
      </c>
      <c r="N942" s="36">
        <v>0</v>
      </c>
      <c r="O942" s="36">
        <v>0</v>
      </c>
      <c r="P942" s="36">
        <v>0</v>
      </c>
      <c r="Q942" s="36">
        <v>0</v>
      </c>
      <c r="T942" s="36">
        <v>287280.96000000002</v>
      </c>
    </row>
    <row r="943" spans="1:23" x14ac:dyDescent="0.2">
      <c r="A943" s="35">
        <v>29</v>
      </c>
      <c r="B943" s="35" t="s">
        <v>626</v>
      </c>
      <c r="D943" s="36">
        <v>33043014.334752318</v>
      </c>
      <c r="F943" s="36">
        <v>31446491.700875163</v>
      </c>
      <c r="H943" s="36">
        <v>1476782.3469399633</v>
      </c>
      <c r="I943" s="36">
        <v>119740.28693719229</v>
      </c>
      <c r="L943" s="36">
        <v>130.6268661167166</v>
      </c>
      <c r="N943" s="36">
        <v>119609.66007107557</v>
      </c>
      <c r="O943" s="36">
        <v>37869.373566719652</v>
      </c>
      <c r="P943" s="36">
        <v>81740.286504355929</v>
      </c>
      <c r="Q943" s="36">
        <v>0</v>
      </c>
    </row>
    <row r="944" spans="1:23" x14ac:dyDescent="0.2">
      <c r="F944" s="36"/>
      <c r="W944" s="35" t="s">
        <v>2398</v>
      </c>
    </row>
    <row r="945" spans="1:31" x14ac:dyDescent="0.2">
      <c r="A945" s="35">
        <v>30</v>
      </c>
      <c r="B945" s="35" t="s">
        <v>627</v>
      </c>
      <c r="D945" s="36">
        <v>1834046623.6075928</v>
      </c>
      <c r="F945" s="36">
        <v>1642616498.3454938</v>
      </c>
      <c r="H945" s="36">
        <v>75952935.483654529</v>
      </c>
      <c r="I945" s="36">
        <v>115477189.77844454</v>
      </c>
      <c r="L945" s="36">
        <v>193.35802632033906</v>
      </c>
      <c r="N945" s="36">
        <v>115476996.42041822</v>
      </c>
      <c r="O945" s="36">
        <v>35922856.200012952</v>
      </c>
      <c r="P945" s="36">
        <v>79554140.220405266</v>
      </c>
      <c r="Q945" s="36">
        <v>0</v>
      </c>
      <c r="W945" s="35">
        <v>1834046623.607589</v>
      </c>
      <c r="X945" s="35">
        <v>3.814697265625E-6</v>
      </c>
    </row>
    <row r="946" spans="1:31" x14ac:dyDescent="0.2">
      <c r="F946" s="36"/>
      <c r="Z946" s="35" t="s">
        <v>2163</v>
      </c>
      <c r="AA946" s="35" t="s">
        <v>459</v>
      </c>
    </row>
    <row r="947" spans="1:31" x14ac:dyDescent="0.2">
      <c r="F947" s="36"/>
    </row>
    <row r="948" spans="1:31" x14ac:dyDescent="0.2">
      <c r="B948" s="35" t="s">
        <v>628</v>
      </c>
      <c r="F948" s="36"/>
    </row>
    <row r="949" spans="1:31" x14ac:dyDescent="0.2">
      <c r="F949" s="36"/>
    </row>
    <row r="950" spans="1:31" x14ac:dyDescent="0.2">
      <c r="B950" s="35" t="s">
        <v>629</v>
      </c>
      <c r="F950" s="36"/>
      <c r="Z950" s="35">
        <v>0</v>
      </c>
      <c r="AA950" s="35">
        <v>0</v>
      </c>
      <c r="AB950" s="35">
        <v>2.6987201832853403E-2</v>
      </c>
      <c r="AC950" s="35">
        <v>5.9996725288025146E-2</v>
      </c>
      <c r="AD950" s="35">
        <v>8.6983927120878546E-2</v>
      </c>
      <c r="AE950" s="35" t="s">
        <v>1422</v>
      </c>
    </row>
    <row r="951" spans="1:31" x14ac:dyDescent="0.2">
      <c r="A951" s="35">
        <v>1</v>
      </c>
      <c r="B951" s="35" t="s">
        <v>630</v>
      </c>
      <c r="C951" s="35" t="s">
        <v>1422</v>
      </c>
      <c r="D951" s="36">
        <v>10778628.999999899</v>
      </c>
      <c r="F951" s="36">
        <v>9442701.0434221886</v>
      </c>
      <c r="H951" s="36">
        <v>421458.16443275817</v>
      </c>
      <c r="I951" s="36">
        <v>914469.79214495246</v>
      </c>
      <c r="L951" s="36">
        <v>31.234020011380032</v>
      </c>
      <c r="N951" s="36">
        <v>914438.55812494108</v>
      </c>
      <c r="O951" s="36">
        <v>283804.12779348932</v>
      </c>
      <c r="P951" s="36">
        <v>630634.43033145182</v>
      </c>
      <c r="Q951" s="36">
        <v>0</v>
      </c>
      <c r="T951" s="36">
        <v>10224564.999999899</v>
      </c>
      <c r="U951" s="35">
        <v>500</v>
      </c>
      <c r="W951" s="35">
        <v>10778628.999999899</v>
      </c>
      <c r="X951" s="35">
        <v>554064</v>
      </c>
      <c r="Y951" s="35">
        <v>554064</v>
      </c>
      <c r="Z951" s="35">
        <v>0</v>
      </c>
      <c r="AA951" s="35">
        <v>0</v>
      </c>
    </row>
    <row r="952" spans="1:31" x14ac:dyDescent="0.2">
      <c r="A952" s="35">
        <v>2</v>
      </c>
      <c r="B952" s="35" t="s">
        <v>631</v>
      </c>
      <c r="C952" s="35" t="s">
        <v>1444</v>
      </c>
      <c r="D952" s="36">
        <v>363496581.587125</v>
      </c>
      <c r="F952" s="36">
        <v>319657243.94834697</v>
      </c>
      <c r="H952" s="36">
        <v>13249915.082421038</v>
      </c>
      <c r="I952" s="36">
        <v>30589422.556356974</v>
      </c>
      <c r="L952" s="36">
        <v>1541.3866063894955</v>
      </c>
      <c r="N952" s="36">
        <v>30587881.169750586</v>
      </c>
      <c r="O952" s="36">
        <v>9666180.6465787552</v>
      </c>
      <c r="P952" s="36">
        <v>20921700.523171831</v>
      </c>
      <c r="Q952" s="36">
        <v>0</v>
      </c>
      <c r="T952" s="36">
        <v>363457305.58712506</v>
      </c>
      <c r="U952" s="35">
        <v>501</v>
      </c>
      <c r="W952" s="35">
        <v>363496581.58712506</v>
      </c>
      <c r="X952" s="35">
        <v>39275.999999940395</v>
      </c>
      <c r="Y952" s="35">
        <v>39276</v>
      </c>
      <c r="Z952" s="35">
        <v>0</v>
      </c>
      <c r="AA952" s="35">
        <v>0</v>
      </c>
    </row>
    <row r="953" spans="1:31" x14ac:dyDescent="0.2">
      <c r="A953" s="35">
        <v>3</v>
      </c>
      <c r="B953" s="35" t="s">
        <v>2357</v>
      </c>
      <c r="C953" s="35" t="s">
        <v>1422</v>
      </c>
      <c r="D953" s="36">
        <v>23353383.999999993</v>
      </c>
      <c r="F953" s="36">
        <v>20309658.646901891</v>
      </c>
      <c r="H953" s="36">
        <v>960233.59196731751</v>
      </c>
      <c r="I953" s="36">
        <v>2083491.7611307818</v>
      </c>
      <c r="L953" s="36">
        <v>71.162354316881689</v>
      </c>
      <c r="N953" s="36">
        <v>2083420.598776465</v>
      </c>
      <c r="O953" s="36">
        <v>646608.08603168721</v>
      </c>
      <c r="P953" s="36">
        <v>1436812.5127447778</v>
      </c>
      <c r="Q953" s="36">
        <v>0</v>
      </c>
      <c r="T953" s="36">
        <v>23295243.999999989</v>
      </c>
      <c r="U953" s="35">
        <v>502</v>
      </c>
      <c r="W953" s="35">
        <v>23353383.999999989</v>
      </c>
      <c r="X953" s="35">
        <v>58140.000000003725</v>
      </c>
      <c r="Y953" s="35">
        <v>58140</v>
      </c>
      <c r="Z953" s="35">
        <v>0</v>
      </c>
      <c r="AA953" s="35">
        <v>0</v>
      </c>
    </row>
    <row r="954" spans="1:31" x14ac:dyDescent="0.2">
      <c r="A954" s="35">
        <v>4</v>
      </c>
      <c r="B954" s="35" t="s">
        <v>2358</v>
      </c>
      <c r="C954" s="35" t="s">
        <v>1422</v>
      </c>
      <c r="D954" s="36">
        <v>0</v>
      </c>
      <c r="F954" s="36">
        <v>0</v>
      </c>
      <c r="H954" s="36">
        <v>0</v>
      </c>
      <c r="I954" s="36">
        <v>0</v>
      </c>
      <c r="L954" s="36">
        <v>0</v>
      </c>
      <c r="N954" s="36">
        <v>0</v>
      </c>
      <c r="O954" s="36">
        <v>0</v>
      </c>
      <c r="P954" s="36">
        <v>0</v>
      </c>
      <c r="Q954" s="36">
        <v>0</v>
      </c>
      <c r="T954" s="36">
        <v>0</v>
      </c>
      <c r="U954" s="35">
        <v>504</v>
      </c>
      <c r="W954" s="35">
        <v>0</v>
      </c>
      <c r="X954" s="35">
        <v>0</v>
      </c>
    </row>
    <row r="955" spans="1:31" x14ac:dyDescent="0.2">
      <c r="A955" s="35">
        <v>5</v>
      </c>
      <c r="B955" s="35" t="s">
        <v>632</v>
      </c>
      <c r="C955" s="35" t="s">
        <v>1422</v>
      </c>
      <c r="D955" s="36">
        <v>8292745</v>
      </c>
      <c r="F955" s="36">
        <v>7214387.5946459835</v>
      </c>
      <c r="H955" s="36">
        <v>340199.88160681806</v>
      </c>
      <c r="I955" s="36">
        <v>738157.52374719852</v>
      </c>
      <c r="L955" s="36">
        <v>25.212015821968436</v>
      </c>
      <c r="N955" s="36">
        <v>738132.31173137657</v>
      </c>
      <c r="O955" s="36">
        <v>229085.91842044026</v>
      </c>
      <c r="P955" s="36">
        <v>509046.39331093628</v>
      </c>
      <c r="Q955" s="36">
        <v>0</v>
      </c>
      <c r="T955" s="36">
        <v>8253241</v>
      </c>
      <c r="U955" s="35">
        <v>505</v>
      </c>
      <c r="W955" s="35">
        <v>8292745</v>
      </c>
      <c r="X955" s="35">
        <v>39504</v>
      </c>
      <c r="Y955" s="35">
        <v>39504</v>
      </c>
      <c r="Z955" s="35">
        <v>0</v>
      </c>
      <c r="AA955" s="35">
        <v>0</v>
      </c>
    </row>
    <row r="956" spans="1:31" x14ac:dyDescent="0.2">
      <c r="A956" s="35">
        <v>6</v>
      </c>
      <c r="B956" s="35" t="s">
        <v>633</v>
      </c>
      <c r="C956" s="35" t="s">
        <v>1422</v>
      </c>
      <c r="D956" s="36">
        <v>30687737</v>
      </c>
      <c r="F956" s="36">
        <v>26686433.015824649</v>
      </c>
      <c r="H956" s="36">
        <v>1262330.220881135</v>
      </c>
      <c r="I956" s="36">
        <v>2738973.7632942148</v>
      </c>
      <c r="L956" s="36">
        <v>93.55056019151256</v>
      </c>
      <c r="N956" s="36">
        <v>2738880.2127340231</v>
      </c>
      <c r="O956" s="36">
        <v>850035.79846818035</v>
      </c>
      <c r="P956" s="36">
        <v>1888844.4142658426</v>
      </c>
      <c r="Q956" s="36">
        <v>0</v>
      </c>
      <c r="T956" s="36">
        <v>30624101</v>
      </c>
      <c r="U956" s="35">
        <v>506</v>
      </c>
      <c r="W956" s="35">
        <v>30687737</v>
      </c>
      <c r="X956" s="35">
        <v>63636</v>
      </c>
      <c r="Y956" s="35">
        <v>63636</v>
      </c>
      <c r="Z956" s="35">
        <v>0</v>
      </c>
      <c r="AA956" s="35">
        <v>0</v>
      </c>
    </row>
    <row r="957" spans="1:31" x14ac:dyDescent="0.2">
      <c r="A957" s="35">
        <v>7</v>
      </c>
      <c r="B957" s="35" t="s">
        <v>2359</v>
      </c>
      <c r="C957" s="35" t="s">
        <v>1422</v>
      </c>
      <c r="D957" s="36">
        <v>0</v>
      </c>
      <c r="F957" s="36">
        <v>0</v>
      </c>
      <c r="H957" s="36">
        <v>0</v>
      </c>
      <c r="I957" s="36">
        <v>0</v>
      </c>
      <c r="L957" s="36">
        <v>0</v>
      </c>
      <c r="N957" s="36">
        <v>0</v>
      </c>
      <c r="O957" s="36">
        <v>0</v>
      </c>
      <c r="P957" s="36">
        <v>0</v>
      </c>
      <c r="Q957" s="36">
        <v>0</v>
      </c>
      <c r="T957" s="36">
        <v>0</v>
      </c>
      <c r="U957" s="35">
        <v>507</v>
      </c>
      <c r="W957" s="35">
        <v>0</v>
      </c>
      <c r="X957" s="35">
        <v>0</v>
      </c>
      <c r="Z957" s="35">
        <v>0</v>
      </c>
      <c r="AA957" s="35">
        <v>0</v>
      </c>
      <c r="AB957" s="35">
        <v>2.6187712759923706E-2</v>
      </c>
      <c r="AC957" s="35">
        <v>5.5650788143081421E-2</v>
      </c>
      <c r="AD957" s="35">
        <v>8.1838500903005124E-2</v>
      </c>
      <c r="AE957" s="35" t="s">
        <v>1444</v>
      </c>
    </row>
    <row r="958" spans="1:31" x14ac:dyDescent="0.2">
      <c r="A958" s="35">
        <v>8</v>
      </c>
      <c r="B958" s="35" t="s">
        <v>2360</v>
      </c>
      <c r="C958" s="35" t="s">
        <v>1422</v>
      </c>
      <c r="D958" s="36">
        <v>5000</v>
      </c>
      <c r="F958" s="36">
        <v>4346.7067026432305</v>
      </c>
      <c r="H958" s="36">
        <v>206.10078004920615</v>
      </c>
      <c r="I958" s="36">
        <v>447.19251730756343</v>
      </c>
      <c r="L958" s="36">
        <v>1.5274009217693046E-2</v>
      </c>
      <c r="N958" s="36">
        <v>447.17724329834573</v>
      </c>
      <c r="O958" s="36">
        <v>138.78542891237529</v>
      </c>
      <c r="P958" s="36">
        <v>308.39181438597046</v>
      </c>
      <c r="Q958" s="36">
        <v>0</v>
      </c>
      <c r="T958" s="36">
        <v>5000</v>
      </c>
      <c r="U958" s="35">
        <v>509</v>
      </c>
      <c r="W958" s="35">
        <v>5000</v>
      </c>
      <c r="X958" s="35">
        <v>0</v>
      </c>
      <c r="Z958" s="35">
        <v>0</v>
      </c>
      <c r="AA958" s="35">
        <v>0</v>
      </c>
    </row>
    <row r="959" spans="1:31" x14ac:dyDescent="0.2">
      <c r="A959" s="35">
        <v>9</v>
      </c>
      <c r="B959" s="35" t="s">
        <v>634</v>
      </c>
      <c r="D959" s="36">
        <v>436614076.58712488</v>
      </c>
      <c r="F959" s="36">
        <v>383314770.95584434</v>
      </c>
      <c r="H959" s="36">
        <v>16234343.042089116</v>
      </c>
      <c r="I959" s="36">
        <v>37064962.589191422</v>
      </c>
      <c r="L959" s="36">
        <v>1762.5608307404557</v>
      </c>
      <c r="N959" s="36">
        <v>37063200.02836068</v>
      </c>
      <c r="O959" s="36">
        <v>11675853.362721462</v>
      </c>
      <c r="P959" s="36">
        <v>25387346.665639222</v>
      </c>
      <c r="Q959" s="36">
        <v>0</v>
      </c>
      <c r="Z959" s="35">
        <v>0</v>
      </c>
      <c r="AA959" s="35">
        <v>0</v>
      </c>
    </row>
    <row r="960" spans="1:31" x14ac:dyDescent="0.2">
      <c r="A960" s="35">
        <v>10</v>
      </c>
      <c r="B960" s="35" t="s">
        <v>635</v>
      </c>
      <c r="C960" s="35" t="s">
        <v>1422</v>
      </c>
      <c r="D960" s="36">
        <v>11797961</v>
      </c>
      <c r="F960" s="36">
        <v>10261750.042761102</v>
      </c>
      <c r="H960" s="36">
        <v>484643.3874158797</v>
      </c>
      <c r="I960" s="36">
        <v>1051567.5698230176</v>
      </c>
      <c r="L960" s="36">
        <v>35.916640222889058</v>
      </c>
      <c r="N960" s="36">
        <v>1051531.6531827946</v>
      </c>
      <c r="O960" s="36">
        <v>326352.18739104626</v>
      </c>
      <c r="P960" s="36">
        <v>725179.46579174837</v>
      </c>
      <c r="Q960" s="36">
        <v>0</v>
      </c>
      <c r="T960" s="36">
        <v>11757437</v>
      </c>
      <c r="U960" s="35">
        <v>510</v>
      </c>
      <c r="W960" s="35">
        <v>11797961</v>
      </c>
      <c r="X960" s="35">
        <v>40524</v>
      </c>
      <c r="Y960" s="35">
        <v>40524</v>
      </c>
    </row>
    <row r="961" spans="1:25" x14ac:dyDescent="0.2">
      <c r="A961" s="35">
        <v>11</v>
      </c>
      <c r="B961" s="35" t="s">
        <v>636</v>
      </c>
      <c r="C961" s="35" t="s">
        <v>1422</v>
      </c>
      <c r="D961" s="36">
        <v>6848247</v>
      </c>
      <c r="F961" s="36">
        <v>5959887.1456335718</v>
      </c>
      <c r="H961" s="36">
        <v>280259.50930479541</v>
      </c>
      <c r="I961" s="36">
        <v>608100.34506163292</v>
      </c>
      <c r="L961" s="36">
        <v>20.769869611583079</v>
      </c>
      <c r="N961" s="36">
        <v>608079.57519202132</v>
      </c>
      <c r="O961" s="36">
        <v>188722.89661568258</v>
      </c>
      <c r="P961" s="36">
        <v>419356.67857633875</v>
      </c>
      <c r="Q961" s="36">
        <v>0</v>
      </c>
      <c r="T961" s="36">
        <v>6799089</v>
      </c>
      <c r="U961" s="35">
        <v>511</v>
      </c>
      <c r="W961" s="35">
        <v>6848247</v>
      </c>
      <c r="X961" s="35">
        <v>49158</v>
      </c>
      <c r="Y961" s="35">
        <v>49158</v>
      </c>
    </row>
    <row r="962" spans="1:25" x14ac:dyDescent="0.2">
      <c r="A962" s="35">
        <v>12</v>
      </c>
      <c r="B962" s="35" t="s">
        <v>637</v>
      </c>
      <c r="C962" s="35" t="s">
        <v>1444</v>
      </c>
      <c r="D962" s="36">
        <v>50187056.999999993</v>
      </c>
      <c r="F962" s="36">
        <v>44139000.419223778</v>
      </c>
      <c r="H962" s="36">
        <v>1827952.7115409283</v>
      </c>
      <c r="I962" s="36">
        <v>4220103.8692352846</v>
      </c>
      <c r="L962" s="36">
        <v>212.64904787357449</v>
      </c>
      <c r="N962" s="36">
        <v>4219891.2201874107</v>
      </c>
      <c r="O962" s="36">
        <v>1333542.2161761902</v>
      </c>
      <c r="P962" s="36">
        <v>2886349.0040112203</v>
      </c>
      <c r="Q962" s="36">
        <v>0</v>
      </c>
      <c r="T962" s="36">
        <v>50142417</v>
      </c>
      <c r="U962" s="35">
        <v>512</v>
      </c>
      <c r="W962" s="35">
        <v>50187057</v>
      </c>
      <c r="X962" s="35">
        <v>44639.999999992549</v>
      </c>
      <c r="Y962" s="35">
        <v>44640</v>
      </c>
    </row>
    <row r="963" spans="1:25" x14ac:dyDescent="0.2">
      <c r="A963" s="35">
        <v>13</v>
      </c>
      <c r="B963" s="35" t="s">
        <v>638</v>
      </c>
      <c r="C963" s="35" t="s">
        <v>1444</v>
      </c>
      <c r="D963" s="36">
        <v>9402969</v>
      </c>
      <c r="F963" s="36">
        <v>8270033.1162846461</v>
      </c>
      <c r="H963" s="36">
        <v>342416.31059174211</v>
      </c>
      <c r="I963" s="36">
        <v>790519.57312361093</v>
      </c>
      <c r="L963" s="36">
        <v>39.833909249400072</v>
      </c>
      <c r="N963" s="36">
        <v>790479.73921436153</v>
      </c>
      <c r="O963" s="36">
        <v>249802.19827265618</v>
      </c>
      <c r="P963" s="36">
        <v>540677.54094170535</v>
      </c>
      <c r="Q963" s="36">
        <v>0</v>
      </c>
      <c r="T963" s="36">
        <v>9392793</v>
      </c>
      <c r="U963" s="35">
        <v>513</v>
      </c>
      <c r="W963" s="35">
        <v>9402969</v>
      </c>
      <c r="X963" s="35">
        <v>10176</v>
      </c>
      <c r="Y963" s="35">
        <v>10176</v>
      </c>
    </row>
    <row r="964" spans="1:25" x14ac:dyDescent="0.2">
      <c r="A964" s="35">
        <v>14</v>
      </c>
      <c r="B964" s="35" t="s">
        <v>639</v>
      </c>
      <c r="C964" s="35" t="s">
        <v>1422</v>
      </c>
      <c r="D964" s="36">
        <v>2760902</v>
      </c>
      <c r="F964" s="36">
        <v>2439522.2018849053</v>
      </c>
      <c r="H964" s="36">
        <v>101388.80553584638</v>
      </c>
      <c r="I964" s="36">
        <v>219990.99257924818</v>
      </c>
      <c r="L964" s="36">
        <v>7.5138655465334816</v>
      </c>
      <c r="N964" s="36">
        <v>219983.47871370165</v>
      </c>
      <c r="O964" s="36">
        <v>68273.826328296083</v>
      </c>
      <c r="P964" s="36">
        <v>151709.65238540556</v>
      </c>
      <c r="Q964" s="36">
        <v>0</v>
      </c>
      <c r="T964" s="36">
        <v>2459690</v>
      </c>
      <c r="U964" s="35">
        <v>514</v>
      </c>
      <c r="W964" s="35">
        <v>2760902</v>
      </c>
      <c r="X964" s="35">
        <v>301212</v>
      </c>
      <c r="Y964" s="35">
        <v>301212</v>
      </c>
    </row>
    <row r="965" spans="1:25" x14ac:dyDescent="0.2">
      <c r="A965" s="35">
        <v>15</v>
      </c>
      <c r="B965" s="35" t="s">
        <v>640</v>
      </c>
      <c r="D965" s="36">
        <v>80997135.999999985</v>
      </c>
      <c r="F965" s="36">
        <v>71070192.925788</v>
      </c>
      <c r="H965" s="36">
        <v>3036660.7243891917</v>
      </c>
      <c r="I965" s="36">
        <v>6890282.3498227922</v>
      </c>
      <c r="L965" s="36">
        <v>316.68333250398018</v>
      </c>
      <c r="N965" s="36">
        <v>6889965.6664902885</v>
      </c>
      <c r="O965" s="36">
        <v>2166693.3247838714</v>
      </c>
      <c r="P965" s="36">
        <v>4723272.3417064175</v>
      </c>
      <c r="Q965" s="36">
        <v>0</v>
      </c>
    </row>
    <row r="966" spans="1:25" x14ac:dyDescent="0.2">
      <c r="F966" s="36"/>
    </row>
    <row r="967" spans="1:25" x14ac:dyDescent="0.2">
      <c r="A967" s="35">
        <v>16</v>
      </c>
      <c r="B967" s="35" t="s">
        <v>641</v>
      </c>
      <c r="D967" s="36">
        <v>517611212.58712482</v>
      </c>
      <c r="F967" s="36">
        <v>454384963.88163233</v>
      </c>
      <c r="H967" s="36">
        <v>19271003.766478308</v>
      </c>
      <c r="I967" s="36">
        <v>43955244.939014219</v>
      </c>
      <c r="L967" s="36">
        <v>2079.2441632444361</v>
      </c>
      <c r="N967" s="36">
        <v>43953165.694850974</v>
      </c>
      <c r="O967" s="36">
        <v>13842546.687505333</v>
      </c>
      <c r="P967" s="36">
        <v>30110619.007345639</v>
      </c>
      <c r="Q967" s="36">
        <v>0</v>
      </c>
      <c r="W967" s="35">
        <v>517611212.58712494</v>
      </c>
      <c r="X967" s="35">
        <v>0</v>
      </c>
    </row>
    <row r="968" spans="1:25" x14ac:dyDescent="0.2">
      <c r="F968" s="36"/>
    </row>
    <row r="969" spans="1:25" x14ac:dyDescent="0.2">
      <c r="B969" s="35" t="s">
        <v>642</v>
      </c>
      <c r="F969" s="36"/>
    </row>
    <row r="970" spans="1:25" x14ac:dyDescent="0.2">
      <c r="A970" s="35">
        <v>17</v>
      </c>
      <c r="B970" s="35" t="s">
        <v>643</v>
      </c>
      <c r="C970" s="35" t="s">
        <v>1424</v>
      </c>
      <c r="D970" s="36">
        <v>0</v>
      </c>
      <c r="F970" s="36">
        <v>0</v>
      </c>
      <c r="H970" s="36">
        <v>0</v>
      </c>
      <c r="I970" s="36">
        <v>0</v>
      </c>
      <c r="L970" s="36">
        <v>0</v>
      </c>
      <c r="N970" s="36">
        <v>0</v>
      </c>
      <c r="O970" s="36">
        <v>0</v>
      </c>
      <c r="P970" s="36">
        <v>0</v>
      </c>
      <c r="Q970" s="36">
        <v>0</v>
      </c>
      <c r="T970" s="36">
        <v>0</v>
      </c>
      <c r="U970" s="35">
        <v>535</v>
      </c>
      <c r="W970" s="35">
        <v>0</v>
      </c>
      <c r="X970" s="35">
        <v>0</v>
      </c>
    </row>
    <row r="971" spans="1:25" x14ac:dyDescent="0.2">
      <c r="A971" s="35">
        <v>18</v>
      </c>
      <c r="B971" s="35" t="s">
        <v>644</v>
      </c>
      <c r="C971" s="35" t="s">
        <v>1424</v>
      </c>
      <c r="D971" s="36">
        <v>0</v>
      </c>
      <c r="F971" s="36">
        <v>0</v>
      </c>
      <c r="H971" s="36">
        <v>0</v>
      </c>
      <c r="I971" s="36">
        <v>0</v>
      </c>
      <c r="L971" s="36">
        <v>0</v>
      </c>
      <c r="N971" s="36">
        <v>0</v>
      </c>
      <c r="O971" s="36">
        <v>0</v>
      </c>
      <c r="P971" s="36">
        <v>0</v>
      </c>
      <c r="Q971" s="36">
        <v>0</v>
      </c>
      <c r="T971" s="36">
        <v>0</v>
      </c>
      <c r="U971" s="35">
        <v>536</v>
      </c>
      <c r="W971" s="35">
        <v>0</v>
      </c>
      <c r="X971" s="35">
        <v>0</v>
      </c>
    </row>
    <row r="972" spans="1:25" x14ac:dyDescent="0.2">
      <c r="A972" s="35">
        <v>19</v>
      </c>
      <c r="B972" s="35" t="s">
        <v>645</v>
      </c>
      <c r="C972" s="35" t="s">
        <v>1424</v>
      </c>
      <c r="D972" s="36">
        <v>0</v>
      </c>
      <c r="F972" s="36">
        <v>0</v>
      </c>
      <c r="H972" s="36">
        <v>0</v>
      </c>
      <c r="I972" s="36">
        <v>0</v>
      </c>
      <c r="L972" s="36">
        <v>0</v>
      </c>
      <c r="N972" s="36">
        <v>0</v>
      </c>
      <c r="O972" s="36">
        <v>0</v>
      </c>
      <c r="P972" s="36">
        <v>0</v>
      </c>
      <c r="Q972" s="36">
        <v>0</v>
      </c>
      <c r="T972" s="36">
        <v>0</v>
      </c>
      <c r="U972" s="35">
        <v>537</v>
      </c>
      <c r="W972" s="35">
        <v>0</v>
      </c>
      <c r="X972" s="35">
        <v>0</v>
      </c>
    </row>
    <row r="973" spans="1:25" x14ac:dyDescent="0.2">
      <c r="A973" s="35">
        <v>20</v>
      </c>
      <c r="B973" s="35" t="s">
        <v>646</v>
      </c>
      <c r="C973" s="35" t="s">
        <v>1424</v>
      </c>
      <c r="D973" s="36">
        <v>0</v>
      </c>
      <c r="F973" s="36">
        <v>0</v>
      </c>
      <c r="H973" s="36">
        <v>0</v>
      </c>
      <c r="I973" s="36">
        <v>0</v>
      </c>
      <c r="L973" s="36">
        <v>0</v>
      </c>
      <c r="N973" s="36">
        <v>0</v>
      </c>
      <c r="O973" s="36">
        <v>0</v>
      </c>
      <c r="P973" s="36">
        <v>0</v>
      </c>
      <c r="Q973" s="36">
        <v>0</v>
      </c>
      <c r="T973" s="36">
        <v>0</v>
      </c>
      <c r="U973" s="35">
        <v>538</v>
      </c>
      <c r="W973" s="35">
        <v>0</v>
      </c>
      <c r="X973" s="35">
        <v>0</v>
      </c>
    </row>
    <row r="974" spans="1:25" x14ac:dyDescent="0.2">
      <c r="A974" s="35">
        <v>21</v>
      </c>
      <c r="B974" s="35" t="s">
        <v>2361</v>
      </c>
      <c r="C974" s="35" t="s">
        <v>1424</v>
      </c>
      <c r="D974" s="36">
        <v>9756</v>
      </c>
      <c r="F974" s="36">
        <v>8522.7845649540959</v>
      </c>
      <c r="H974" s="36">
        <v>393.92949114170079</v>
      </c>
      <c r="I974" s="36">
        <v>839.28594390420415</v>
      </c>
      <c r="L974" s="36">
        <v>2.9948441178780302E-2</v>
      </c>
      <c r="N974" s="36">
        <v>839.25599546302533</v>
      </c>
      <c r="O974" s="36">
        <v>260.4705517626445</v>
      </c>
      <c r="P974" s="36">
        <v>578.78544370038082</v>
      </c>
      <c r="Q974" s="36">
        <v>0</v>
      </c>
      <c r="T974" s="36">
        <v>9756</v>
      </c>
      <c r="U974" s="35">
        <v>539</v>
      </c>
      <c r="W974" s="35">
        <v>9756</v>
      </c>
      <c r="X974" s="35">
        <v>0</v>
      </c>
    </row>
    <row r="975" spans="1:25" x14ac:dyDescent="0.2">
      <c r="A975" s="35">
        <v>22</v>
      </c>
      <c r="B975" s="35" t="s">
        <v>647</v>
      </c>
      <c r="C975" s="35" t="s">
        <v>1424</v>
      </c>
      <c r="D975" s="36">
        <v>0</v>
      </c>
      <c r="F975" s="36">
        <v>0</v>
      </c>
      <c r="H975" s="36">
        <v>0</v>
      </c>
      <c r="I975" s="36">
        <v>0</v>
      </c>
      <c r="L975" s="36">
        <v>0</v>
      </c>
      <c r="N975" s="36">
        <v>0</v>
      </c>
      <c r="O975" s="36">
        <v>0</v>
      </c>
      <c r="P975" s="36">
        <v>0</v>
      </c>
      <c r="Q975" s="36">
        <v>0</v>
      </c>
      <c r="T975" s="36">
        <v>0</v>
      </c>
      <c r="U975" s="35">
        <v>540</v>
      </c>
      <c r="W975" s="35">
        <v>0</v>
      </c>
      <c r="X975" s="35">
        <v>0</v>
      </c>
    </row>
    <row r="976" spans="1:25" x14ac:dyDescent="0.2">
      <c r="A976" s="35">
        <v>23</v>
      </c>
      <c r="B976" s="35" t="s">
        <v>648</v>
      </c>
      <c r="D976" s="36">
        <v>9756</v>
      </c>
      <c r="F976" s="36">
        <v>8522.7845649540959</v>
      </c>
      <c r="H976" s="36">
        <v>393.92949114170079</v>
      </c>
      <c r="I976" s="36">
        <v>839.28594390420415</v>
      </c>
      <c r="L976" s="36">
        <v>2.9948441178780302E-2</v>
      </c>
      <c r="N976" s="36">
        <v>839.25599546302533</v>
      </c>
      <c r="O976" s="36">
        <v>260.4705517626445</v>
      </c>
      <c r="P976" s="36">
        <v>578.78544370038082</v>
      </c>
      <c r="Q976" s="36">
        <v>0</v>
      </c>
    </row>
    <row r="977" spans="1:24" x14ac:dyDescent="0.2">
      <c r="A977" s="35">
        <v>24</v>
      </c>
      <c r="B977" s="35" t="s">
        <v>649</v>
      </c>
      <c r="C977" s="35" t="s">
        <v>1424</v>
      </c>
      <c r="D977" s="36">
        <v>213479</v>
      </c>
      <c r="F977" s="36">
        <v>186494.00636960182</v>
      </c>
      <c r="H977" s="36">
        <v>8619.8927674701863</v>
      </c>
      <c r="I977" s="36">
        <v>18365.100862928</v>
      </c>
      <c r="L977" s="36">
        <v>0.65532628888938504</v>
      </c>
      <c r="N977" s="36">
        <v>18364.445536639112</v>
      </c>
      <c r="O977" s="36">
        <v>5699.5687699608025</v>
      </c>
      <c r="P977" s="36">
        <v>12664.876766678311</v>
      </c>
      <c r="Q977" s="36">
        <v>0</v>
      </c>
      <c r="T977" s="36">
        <v>213479</v>
      </c>
      <c r="U977" s="35">
        <v>541</v>
      </c>
      <c r="W977" s="35">
        <v>213479</v>
      </c>
      <c r="X977" s="35">
        <v>0</v>
      </c>
    </row>
    <row r="978" spans="1:24" x14ac:dyDescent="0.2">
      <c r="A978" s="35">
        <v>25</v>
      </c>
      <c r="B978" s="35" t="s">
        <v>129</v>
      </c>
      <c r="C978" s="35" t="s">
        <v>1424</v>
      </c>
      <c r="D978" s="36">
        <v>133816</v>
      </c>
      <c r="F978" s="36">
        <v>116900.87529150238</v>
      </c>
      <c r="H978" s="36">
        <v>5403.2460830891587</v>
      </c>
      <c r="I978" s="36">
        <v>11511.878625408464</v>
      </c>
      <c r="L978" s="36">
        <v>0.41078111980111365</v>
      </c>
      <c r="N978" s="36">
        <v>11511.467844288663</v>
      </c>
      <c r="O978" s="36">
        <v>3572.6862807164862</v>
      </c>
      <c r="P978" s="36">
        <v>7938.7815635721772</v>
      </c>
      <c r="Q978" s="36">
        <v>0</v>
      </c>
      <c r="T978" s="36">
        <v>133816</v>
      </c>
      <c r="U978" s="35">
        <v>542</v>
      </c>
      <c r="W978" s="35">
        <v>133816</v>
      </c>
      <c r="X978" s="35">
        <v>0</v>
      </c>
    </row>
    <row r="979" spans="1:24" x14ac:dyDescent="0.2">
      <c r="A979" s="35">
        <v>26</v>
      </c>
      <c r="B979" s="35" t="s">
        <v>130</v>
      </c>
      <c r="C979" s="35" t="s">
        <v>1424</v>
      </c>
      <c r="D979" s="36">
        <v>25752</v>
      </c>
      <c r="F979" s="36">
        <v>22496.79664992803</v>
      </c>
      <c r="H979" s="36">
        <v>1039.8188044158549</v>
      </c>
      <c r="I979" s="36">
        <v>2215.3845456561157</v>
      </c>
      <c r="L979" s="36">
        <v>7.9052096887653786E-2</v>
      </c>
      <c r="N979" s="36">
        <v>2215.3054935592281</v>
      </c>
      <c r="O979" s="36">
        <v>687.5397344189854</v>
      </c>
      <c r="P979" s="36">
        <v>1527.7657591402426</v>
      </c>
      <c r="Q979" s="36">
        <v>0</v>
      </c>
      <c r="T979" s="36">
        <v>25752</v>
      </c>
      <c r="U979" s="35">
        <v>543</v>
      </c>
      <c r="W979" s="35">
        <v>25752</v>
      </c>
      <c r="X979" s="35">
        <v>0</v>
      </c>
    </row>
    <row r="980" spans="1:24" x14ac:dyDescent="0.2">
      <c r="A980" s="35">
        <v>27</v>
      </c>
      <c r="B980" s="35" t="s">
        <v>131</v>
      </c>
      <c r="C980" s="35" t="s">
        <v>1444</v>
      </c>
      <c r="D980" s="36">
        <v>37559.999999999891</v>
      </c>
      <c r="F980" s="36">
        <v>33029.604004650209</v>
      </c>
      <c r="H980" s="36">
        <v>1369.2579646784295</v>
      </c>
      <c r="I980" s="36">
        <v>3161.1380306712545</v>
      </c>
      <c r="L980" s="36">
        <v>0.1592882576468429</v>
      </c>
      <c r="N980" s="36">
        <v>3160.9787424136075</v>
      </c>
      <c r="O980" s="36">
        <v>998.91167271768268</v>
      </c>
      <c r="P980" s="36">
        <v>2162.0670696959251</v>
      </c>
      <c r="Q980" s="36">
        <v>0</v>
      </c>
      <c r="T980" s="36">
        <v>37559.999999999898</v>
      </c>
      <c r="U980" s="35">
        <v>544</v>
      </c>
      <c r="W980" s="35">
        <v>37559.999999999898</v>
      </c>
      <c r="X980" s="35">
        <v>0</v>
      </c>
    </row>
    <row r="981" spans="1:24" x14ac:dyDescent="0.2">
      <c r="A981" s="35">
        <v>28</v>
      </c>
      <c r="B981" s="35" t="s">
        <v>132</v>
      </c>
      <c r="C981" s="35" t="s">
        <v>1424</v>
      </c>
      <c r="D981" s="36">
        <v>10979.9999999999</v>
      </c>
      <c r="F981" s="36">
        <v>9592.0638092655918</v>
      </c>
      <c r="H981" s="36">
        <v>443.35237932921643</v>
      </c>
      <c r="I981" s="36">
        <v>944.58381140509186</v>
      </c>
      <c r="L981" s="36">
        <v>3.370581018275981E-2</v>
      </c>
      <c r="N981" s="36">
        <v>944.55010559490916</v>
      </c>
      <c r="O981" s="36">
        <v>293.14951397640533</v>
      </c>
      <c r="P981" s="36">
        <v>651.40059161850388</v>
      </c>
      <c r="Q981" s="36">
        <v>0</v>
      </c>
      <c r="T981" s="36">
        <v>10979.9999999999</v>
      </c>
      <c r="U981" s="35">
        <v>545</v>
      </c>
      <c r="W981" s="35">
        <v>10979.9999999999</v>
      </c>
      <c r="X981" s="35">
        <v>0</v>
      </c>
    </row>
    <row r="982" spans="1:24" x14ac:dyDescent="0.2">
      <c r="A982" s="35">
        <v>29</v>
      </c>
      <c r="B982" s="35" t="s">
        <v>1113</v>
      </c>
      <c r="D982" s="36">
        <v>421586.99999999983</v>
      </c>
      <c r="F982" s="36">
        <v>368513.34612494806</v>
      </c>
      <c r="H982" s="36">
        <v>16875.567998982846</v>
      </c>
      <c r="I982" s="36">
        <v>36198.08587606893</v>
      </c>
      <c r="L982" s="36">
        <v>1.3381535734077552</v>
      </c>
      <c r="N982" s="36">
        <v>36196.747722495522</v>
      </c>
      <c r="O982" s="36">
        <v>11251.855971790363</v>
      </c>
      <c r="P982" s="36">
        <v>24944.891750705159</v>
      </c>
      <c r="Q982" s="36">
        <v>0</v>
      </c>
    </row>
    <row r="983" spans="1:24" x14ac:dyDescent="0.2">
      <c r="F983" s="36"/>
    </row>
    <row r="984" spans="1:24" x14ac:dyDescent="0.2">
      <c r="A984" s="35">
        <v>30</v>
      </c>
      <c r="B984" s="35" t="s">
        <v>1114</v>
      </c>
      <c r="D984" s="36">
        <v>431342.99999999988</v>
      </c>
      <c r="F984" s="36">
        <v>377036.13068990217</v>
      </c>
      <c r="H984" s="36">
        <v>17269.497490124548</v>
      </c>
      <c r="I984" s="36">
        <v>37037.371819973137</v>
      </c>
      <c r="L984" s="36">
        <v>1.3681020145865355</v>
      </c>
      <c r="N984" s="36">
        <v>37036.003717958549</v>
      </c>
      <c r="O984" s="36">
        <v>11512.326523553007</v>
      </c>
      <c r="P984" s="36">
        <v>25523.67719440554</v>
      </c>
      <c r="Q984" s="36">
        <v>0</v>
      </c>
      <c r="W984" s="35">
        <v>431342.99999999977</v>
      </c>
      <c r="X984" s="35">
        <v>0</v>
      </c>
    </row>
    <row r="985" spans="1:24" x14ac:dyDescent="0.2">
      <c r="F985" s="36"/>
    </row>
    <row r="986" spans="1:24" x14ac:dyDescent="0.2">
      <c r="B986" s="35" t="s">
        <v>1115</v>
      </c>
      <c r="F986" s="36"/>
    </row>
    <row r="987" spans="1:24" x14ac:dyDescent="0.2">
      <c r="A987" s="35">
        <v>31</v>
      </c>
      <c r="B987" s="35" t="s">
        <v>1116</v>
      </c>
      <c r="C987" s="35" t="s">
        <v>1426</v>
      </c>
      <c r="D987" s="36">
        <v>1225819</v>
      </c>
      <c r="F987" s="36">
        <v>1071395.3885709851</v>
      </c>
      <c r="H987" s="36">
        <v>49513.778841157386</v>
      </c>
      <c r="I987" s="36">
        <v>104909.8325878575</v>
      </c>
      <c r="L987" s="36">
        <v>3.7648049800267867</v>
      </c>
      <c r="N987" s="36">
        <v>104906.06778287746</v>
      </c>
      <c r="O987" s="36">
        <v>32558.529824478726</v>
      </c>
      <c r="P987" s="36">
        <v>72347.537958398738</v>
      </c>
      <c r="Q987" s="36">
        <v>0</v>
      </c>
      <c r="T987" s="36">
        <v>1225819</v>
      </c>
      <c r="U987" s="35">
        <v>546</v>
      </c>
      <c r="W987" s="35">
        <v>1225819</v>
      </c>
      <c r="X987" s="35">
        <v>0</v>
      </c>
    </row>
    <row r="988" spans="1:24" x14ac:dyDescent="0.2">
      <c r="A988" s="35">
        <v>32</v>
      </c>
      <c r="B988" s="35" t="s">
        <v>1117</v>
      </c>
      <c r="C988" s="35" t="s">
        <v>1444</v>
      </c>
      <c r="D988" s="36">
        <v>148706225.29642853</v>
      </c>
      <c r="F988" s="36">
        <v>130769641.49540326</v>
      </c>
      <c r="H988" s="36">
        <v>5421117.7684877608</v>
      </c>
      <c r="I988" s="36">
        <v>12515466.032537522</v>
      </c>
      <c r="L988" s="36">
        <v>630.64844325631111</v>
      </c>
      <c r="N988" s="36">
        <v>12514835.384094266</v>
      </c>
      <c r="O988" s="36">
        <v>3954855.8108197134</v>
      </c>
      <c r="P988" s="36">
        <v>8559979.5732745528</v>
      </c>
      <c r="Q988" s="36">
        <v>0</v>
      </c>
      <c r="T988" s="36">
        <v>148706225.29642856</v>
      </c>
      <c r="U988" s="35">
        <v>547</v>
      </c>
      <c r="W988" s="35">
        <v>148706225.29642856</v>
      </c>
      <c r="X988" s="35">
        <v>0</v>
      </c>
    </row>
    <row r="989" spans="1:24" x14ac:dyDescent="0.2">
      <c r="A989" s="35">
        <v>33</v>
      </c>
      <c r="B989" s="35" t="s">
        <v>1118</v>
      </c>
      <c r="C989" s="35" t="s">
        <v>1426</v>
      </c>
      <c r="D989" s="36">
        <v>699415.99999999884</v>
      </c>
      <c r="F989" s="36">
        <v>611306.46293846227</v>
      </c>
      <c r="H989" s="36">
        <v>28251.095098025795</v>
      </c>
      <c r="I989" s="36">
        <v>59858.441963510792</v>
      </c>
      <c r="L989" s="36">
        <v>2.1480861692553397</v>
      </c>
      <c r="N989" s="36">
        <v>59856.293877341537</v>
      </c>
      <c r="O989" s="36">
        <v>18576.932398435314</v>
      </c>
      <c r="P989" s="36">
        <v>41279.361478906219</v>
      </c>
      <c r="Q989" s="36">
        <v>0</v>
      </c>
      <c r="T989" s="36">
        <v>699415.99999999895</v>
      </c>
      <c r="U989" s="35">
        <v>548</v>
      </c>
      <c r="W989" s="35">
        <v>699415.99999999895</v>
      </c>
      <c r="X989" s="35">
        <v>0</v>
      </c>
    </row>
    <row r="990" spans="1:24" x14ac:dyDescent="0.2">
      <c r="A990" s="35">
        <v>34</v>
      </c>
      <c r="B990" s="35" t="s">
        <v>2362</v>
      </c>
      <c r="C990" s="35" t="s">
        <v>1426</v>
      </c>
      <c r="D990" s="36">
        <v>4163559.9999999898</v>
      </c>
      <c r="F990" s="36">
        <v>3639051.9187894785</v>
      </c>
      <c r="H990" s="36">
        <v>168176.2063011658</v>
      </c>
      <c r="I990" s="36">
        <v>356331.87490934547</v>
      </c>
      <c r="L990" s="36">
        <v>12.787362100473473</v>
      </c>
      <c r="N990" s="36">
        <v>356319.08754724497</v>
      </c>
      <c r="O990" s="36">
        <v>110586.7933487785</v>
      </c>
      <c r="P990" s="36">
        <v>245732.29419846646</v>
      </c>
      <c r="Q990" s="36">
        <v>0</v>
      </c>
      <c r="T990" s="36">
        <v>4163559.9999999902</v>
      </c>
      <c r="U990" s="35">
        <v>549</v>
      </c>
      <c r="W990" s="35">
        <v>4163559.9999999902</v>
      </c>
      <c r="X990" s="35">
        <v>0</v>
      </c>
    </row>
    <row r="991" spans="1:24" x14ac:dyDescent="0.2">
      <c r="A991" s="35">
        <v>35</v>
      </c>
      <c r="B991" s="35" t="s">
        <v>2363</v>
      </c>
      <c r="C991" s="35" t="s">
        <v>1426</v>
      </c>
      <c r="D991" s="36">
        <v>5058</v>
      </c>
      <c r="F991" s="36">
        <v>4420.8140642232192</v>
      </c>
      <c r="H991" s="36">
        <v>204.30479000453906</v>
      </c>
      <c r="I991" s="36">
        <v>432.88114577224144</v>
      </c>
      <c r="L991" s="36">
        <v>1.5534417062368496E-2</v>
      </c>
      <c r="N991" s="36">
        <v>432.86561135517906</v>
      </c>
      <c r="O991" s="36">
        <v>134.3436868348536</v>
      </c>
      <c r="P991" s="36">
        <v>298.52192452032546</v>
      </c>
      <c r="Q991" s="36">
        <v>0</v>
      </c>
      <c r="T991" s="36">
        <v>5058</v>
      </c>
      <c r="U991" s="35">
        <v>550</v>
      </c>
      <c r="W991" s="35">
        <v>5058</v>
      </c>
      <c r="X991" s="35">
        <v>0</v>
      </c>
    </row>
    <row r="992" spans="1:24" x14ac:dyDescent="0.2">
      <c r="A992" s="35">
        <v>36</v>
      </c>
      <c r="B992" s="35" t="s">
        <v>1119</v>
      </c>
      <c r="D992" s="36">
        <v>154800078.29642853</v>
      </c>
      <c r="F992" s="36">
        <v>136095816.07976642</v>
      </c>
      <c r="H992" s="36">
        <v>5667263.1535181142</v>
      </c>
      <c r="I992" s="36">
        <v>13036999.063144008</v>
      </c>
      <c r="L992" s="36">
        <v>649.36423092312907</v>
      </c>
      <c r="N992" s="36">
        <v>13036349.698913084</v>
      </c>
      <c r="O992" s="36">
        <v>4116712.4100782406</v>
      </c>
      <c r="P992" s="36">
        <v>8919637.2888348438</v>
      </c>
      <c r="Q992" s="36">
        <v>0</v>
      </c>
    </row>
    <row r="993" spans="1:24" x14ac:dyDescent="0.2">
      <c r="A993" s="35">
        <v>37</v>
      </c>
      <c r="B993" s="35" t="s">
        <v>1120</v>
      </c>
      <c r="C993" s="35" t="s">
        <v>1426</v>
      </c>
      <c r="D993" s="36">
        <v>294270</v>
      </c>
      <c r="F993" s="36">
        <v>257199.08158935679</v>
      </c>
      <c r="H993" s="36">
        <v>11886.27334018104</v>
      </c>
      <c r="I993" s="36">
        <v>25184.645070462135</v>
      </c>
      <c r="L993" s="36">
        <v>0.90377874830825966</v>
      </c>
      <c r="N993" s="36">
        <v>25183.741291713828</v>
      </c>
      <c r="O993" s="36">
        <v>7815.9977708367669</v>
      </c>
      <c r="P993" s="36">
        <v>17367.743520877062</v>
      </c>
      <c r="Q993" s="36">
        <v>0</v>
      </c>
      <c r="T993" s="36">
        <v>294270</v>
      </c>
      <c r="U993" s="35">
        <v>551</v>
      </c>
      <c r="W993" s="35">
        <v>294270</v>
      </c>
      <c r="X993" s="35">
        <v>0</v>
      </c>
    </row>
    <row r="994" spans="1:24" x14ac:dyDescent="0.2">
      <c r="A994" s="35">
        <v>38</v>
      </c>
      <c r="B994" s="35" t="s">
        <v>1121</v>
      </c>
      <c r="C994" s="35" t="s">
        <v>1426</v>
      </c>
      <c r="D994" s="36">
        <v>1922968.9999999998</v>
      </c>
      <c r="F994" s="36">
        <v>1680721.31282429</v>
      </c>
      <c r="H994" s="36">
        <v>77673.344746982693</v>
      </c>
      <c r="I994" s="36">
        <v>164574.34242872705</v>
      </c>
      <c r="L994" s="36">
        <v>5.9059316812980791</v>
      </c>
      <c r="N994" s="36">
        <v>164568.43649704574</v>
      </c>
      <c r="O994" s="36">
        <v>51075.275826241908</v>
      </c>
      <c r="P994" s="36">
        <v>113493.16067080382</v>
      </c>
      <c r="Q994" s="36">
        <v>0</v>
      </c>
      <c r="T994" s="36">
        <v>1922969</v>
      </c>
      <c r="U994" s="35">
        <v>552</v>
      </c>
      <c r="W994" s="35">
        <v>1922969</v>
      </c>
      <c r="X994" s="35">
        <v>0</v>
      </c>
    </row>
    <row r="995" spans="1:24" x14ac:dyDescent="0.2">
      <c r="A995" s="35">
        <v>39</v>
      </c>
      <c r="B995" s="35" t="s">
        <v>1122</v>
      </c>
      <c r="C995" s="35" t="s">
        <v>1426</v>
      </c>
      <c r="D995" s="36">
        <v>5600983.9999999981</v>
      </c>
      <c r="F995" s="36">
        <v>4895395.1840034043</v>
      </c>
      <c r="H995" s="36">
        <v>226237.2202330532</v>
      </c>
      <c r="I995" s="36">
        <v>479351.59576354129</v>
      </c>
      <c r="L995" s="36">
        <v>17.202060382691368</v>
      </c>
      <c r="N995" s="36">
        <v>479334.3937031586</v>
      </c>
      <c r="O995" s="36">
        <v>148765.68613345703</v>
      </c>
      <c r="P995" s="36">
        <v>330568.7075697016</v>
      </c>
      <c r="Q995" s="36">
        <v>0</v>
      </c>
      <c r="T995" s="36">
        <v>5600984</v>
      </c>
      <c r="U995" s="35">
        <v>553</v>
      </c>
      <c r="W995" s="35">
        <v>5600984</v>
      </c>
      <c r="X995" s="35">
        <v>0</v>
      </c>
    </row>
    <row r="996" spans="1:24" x14ac:dyDescent="0.2">
      <c r="A996" s="35">
        <v>40</v>
      </c>
      <c r="B996" s="35" t="s">
        <v>1123</v>
      </c>
      <c r="C996" s="35" t="s">
        <v>1426</v>
      </c>
      <c r="D996" s="36">
        <v>5879946</v>
      </c>
      <c r="F996" s="36">
        <v>5139214.7041662829</v>
      </c>
      <c r="H996" s="36">
        <v>237505.16662080452</v>
      </c>
      <c r="I996" s="36">
        <v>503226.12921291182</v>
      </c>
      <c r="L996" s="36">
        <v>18.058824331396874</v>
      </c>
      <c r="N996" s="36">
        <v>503208.07038858044</v>
      </c>
      <c r="O996" s="36">
        <v>156175.09371883157</v>
      </c>
      <c r="P996" s="36">
        <v>347032.97666974884</v>
      </c>
      <c r="Q996" s="36">
        <v>0</v>
      </c>
      <c r="T996" s="36">
        <v>5879946</v>
      </c>
      <c r="U996" s="35">
        <v>554</v>
      </c>
      <c r="W996" s="35">
        <v>5879946</v>
      </c>
      <c r="X996" s="35">
        <v>0</v>
      </c>
    </row>
    <row r="997" spans="1:24" x14ac:dyDescent="0.2">
      <c r="A997" s="35">
        <v>41</v>
      </c>
      <c r="B997" s="35" t="s">
        <v>1124</v>
      </c>
      <c r="D997" s="36">
        <v>13698168.999999998</v>
      </c>
      <c r="F997" s="36">
        <v>11972530.282583334</v>
      </c>
      <c r="H997" s="36">
        <v>553302.00494102144</v>
      </c>
      <c r="I997" s="36">
        <v>1172336.7124756423</v>
      </c>
      <c r="L997" s="36">
        <v>42.070595143694575</v>
      </c>
      <c r="N997" s="36">
        <v>1172294.6418804987</v>
      </c>
      <c r="O997" s="36">
        <v>363832.05344936729</v>
      </c>
      <c r="P997" s="36">
        <v>808462.58843113133</v>
      </c>
      <c r="Q997" s="36">
        <v>0</v>
      </c>
    </row>
    <row r="998" spans="1:24" x14ac:dyDescent="0.2">
      <c r="F998" s="36"/>
    </row>
    <row r="999" spans="1:24" x14ac:dyDescent="0.2">
      <c r="A999" s="35">
        <v>42</v>
      </c>
      <c r="B999" s="35" t="s">
        <v>1125</v>
      </c>
      <c r="D999" s="36">
        <v>168498247.29642853</v>
      </c>
      <c r="F999" s="36">
        <v>148068346.36234975</v>
      </c>
      <c r="H999" s="36">
        <v>6220565.1584591353</v>
      </c>
      <c r="I999" s="36">
        <v>14209335.77561965</v>
      </c>
      <c r="L999" s="36">
        <v>691.43482606682369</v>
      </c>
      <c r="N999" s="36">
        <v>14208644.340793584</v>
      </c>
      <c r="O999" s="36">
        <v>4480544.4635276077</v>
      </c>
      <c r="P999" s="36">
        <v>9728099.8772659749</v>
      </c>
      <c r="Q999" s="36">
        <v>0</v>
      </c>
      <c r="W999" s="35">
        <v>168498247.29642856</v>
      </c>
      <c r="X999" s="35">
        <v>0</v>
      </c>
    </row>
    <row r="1000" spans="1:24" x14ac:dyDescent="0.2">
      <c r="F1000" s="36"/>
    </row>
    <row r="1001" spans="1:24" x14ac:dyDescent="0.2">
      <c r="B1001" s="35" t="s">
        <v>1133</v>
      </c>
      <c r="F1001" s="36"/>
    </row>
    <row r="1002" spans="1:24" x14ac:dyDescent="0.2">
      <c r="F1002" s="36"/>
    </row>
    <row r="1003" spans="1:24" x14ac:dyDescent="0.2">
      <c r="B1003" s="35" t="s">
        <v>1126</v>
      </c>
      <c r="F1003" s="36"/>
      <c r="U1003" s="35">
        <v>555</v>
      </c>
      <c r="W1003" s="35">
        <v>57748981.663309112</v>
      </c>
      <c r="X1003" s="35">
        <v>0</v>
      </c>
    </row>
    <row r="1004" spans="1:24" x14ac:dyDescent="0.2">
      <c r="A1004" s="35">
        <v>43</v>
      </c>
      <c r="B1004" s="35" t="s">
        <v>1127</v>
      </c>
      <c r="C1004" s="35" t="s">
        <v>1333</v>
      </c>
      <c r="D1004" s="36">
        <v>8349412.9308000002</v>
      </c>
      <c r="F1004" s="36">
        <v>7312225.9596335888</v>
      </c>
      <c r="H1004" s="36">
        <v>337924.0528297532</v>
      </c>
      <c r="I1004" s="36">
        <v>699262.91833665769</v>
      </c>
      <c r="L1004" s="36">
        <v>25.694626840449345</v>
      </c>
      <c r="N1004" s="36">
        <v>699237.22370981728</v>
      </c>
      <c r="O1004" s="36">
        <v>217014.48241926785</v>
      </c>
      <c r="P1004" s="36">
        <v>482222.7412905494</v>
      </c>
      <c r="Q1004" s="36">
        <v>0</v>
      </c>
      <c r="T1004" s="36">
        <v>8349412.9307999993</v>
      </c>
    </row>
    <row r="1005" spans="1:24" x14ac:dyDescent="0.2">
      <c r="A1005" s="35">
        <v>44</v>
      </c>
      <c r="B1005" s="35" t="s">
        <v>1128</v>
      </c>
      <c r="C1005" s="35" t="s">
        <v>1444</v>
      </c>
      <c r="D1005" s="36">
        <v>49399568.732509106</v>
      </c>
      <c r="F1005" s="36">
        <v>43441112.705944642</v>
      </c>
      <c r="H1005" s="36">
        <v>1800872.0164714535</v>
      </c>
      <c r="I1005" s="36">
        <v>4157584.0100930128</v>
      </c>
      <c r="L1005" s="36">
        <v>209.49870159496427</v>
      </c>
      <c r="N1005" s="36">
        <v>4157374.5113914181</v>
      </c>
      <c r="O1005" s="36">
        <v>1313786.0978200999</v>
      </c>
      <c r="P1005" s="36">
        <v>2843588.4135713181</v>
      </c>
      <c r="Q1005" s="36">
        <v>0</v>
      </c>
      <c r="T1005" s="36">
        <v>49399568.732509114</v>
      </c>
    </row>
    <row r="1006" spans="1:24" x14ac:dyDescent="0.2">
      <c r="A1006" s="35">
        <v>45</v>
      </c>
      <c r="B1006" s="35" t="s">
        <v>1129</v>
      </c>
      <c r="D1006" s="36">
        <v>57748981.663309105</v>
      </c>
      <c r="F1006" s="36">
        <v>50753338.665578231</v>
      </c>
      <c r="H1006" s="36">
        <v>2138796.0693012066</v>
      </c>
      <c r="I1006" s="36">
        <v>4856846.9284296706</v>
      </c>
      <c r="L1006" s="36">
        <v>235.1933284354136</v>
      </c>
      <c r="N1006" s="36">
        <v>4856611.7351012351</v>
      </c>
      <c r="O1006" s="36">
        <v>1530800.5802393677</v>
      </c>
      <c r="P1006" s="36">
        <v>3325811.1548618674</v>
      </c>
      <c r="Q1006" s="36">
        <v>0</v>
      </c>
      <c r="T1006" s="36">
        <v>57748981.663309112</v>
      </c>
    </row>
    <row r="1007" spans="1:24" x14ac:dyDescent="0.2">
      <c r="F1007" s="36"/>
    </row>
    <row r="1008" spans="1:24" x14ac:dyDescent="0.2">
      <c r="A1008" s="35">
        <v>46</v>
      </c>
      <c r="B1008" s="35" t="s">
        <v>1130</v>
      </c>
      <c r="C1008" s="35" t="s">
        <v>1333</v>
      </c>
      <c r="D1008" s="36">
        <v>2129214</v>
      </c>
      <c r="F1008" s="36">
        <v>1864717.1978980682</v>
      </c>
      <c r="H1008" s="36">
        <v>86175.235335127931</v>
      </c>
      <c r="I1008" s="36">
        <v>178321.56676680394</v>
      </c>
      <c r="L1008" s="36">
        <v>6.5524797547913991</v>
      </c>
      <c r="N1008" s="36">
        <v>178315.01428704915</v>
      </c>
      <c r="O1008" s="36">
        <v>55341.648328990443</v>
      </c>
      <c r="P1008" s="36">
        <v>122973.36595805871</v>
      </c>
      <c r="Q1008" s="36">
        <v>0</v>
      </c>
      <c r="T1008" s="36">
        <v>2129214</v>
      </c>
      <c r="U1008" s="35">
        <v>556</v>
      </c>
      <c r="W1008" s="35">
        <v>2129214</v>
      </c>
      <c r="X1008" s="35">
        <v>0</v>
      </c>
    </row>
    <row r="1009" spans="1:31" x14ac:dyDescent="0.2">
      <c r="A1009" s="35">
        <v>47</v>
      </c>
      <c r="B1009" s="35" t="s">
        <v>1131</v>
      </c>
      <c r="C1009" s="35" t="s">
        <v>950</v>
      </c>
      <c r="D1009" s="36">
        <v>46113</v>
      </c>
      <c r="F1009" s="36">
        <v>40123.893324844234</v>
      </c>
      <c r="H1009" s="36">
        <v>1894.4024269045826</v>
      </c>
      <c r="I1009" s="36">
        <v>4094.7042482511852</v>
      </c>
      <c r="L1009" s="36">
        <v>0.14099242447638066</v>
      </c>
      <c r="N1009" s="36">
        <v>4094.5632558267089</v>
      </c>
      <c r="O1009" s="36">
        <v>1270.7840709363393</v>
      </c>
      <c r="P1009" s="36">
        <v>2823.7791848903694</v>
      </c>
      <c r="Q1009" s="36">
        <v>0</v>
      </c>
      <c r="T1009" s="36">
        <v>46113</v>
      </c>
      <c r="U1009" s="35">
        <v>557</v>
      </c>
      <c r="W1009" s="35">
        <v>46113</v>
      </c>
      <c r="X1009" s="35">
        <v>0</v>
      </c>
    </row>
    <row r="1010" spans="1:31" x14ac:dyDescent="0.2">
      <c r="F1010" s="36"/>
    </row>
    <row r="1011" spans="1:31" x14ac:dyDescent="0.2">
      <c r="A1011" s="35">
        <v>48</v>
      </c>
      <c r="B1011" s="35" t="s">
        <v>1132</v>
      </c>
      <c r="D1011" s="36">
        <v>746465111.54686248</v>
      </c>
      <c r="F1011" s="36">
        <v>655488526.13147306</v>
      </c>
      <c r="H1011" s="36">
        <v>27735704.129490804</v>
      </c>
      <c r="I1011" s="36">
        <v>63240881.285898566</v>
      </c>
      <c r="L1011" s="36">
        <v>3013.9338919405272</v>
      </c>
      <c r="N1011" s="36">
        <v>63237867.352006629</v>
      </c>
      <c r="O1011" s="36">
        <v>19922016.490195785</v>
      </c>
      <c r="P1011" s="36">
        <v>43315850.861810841</v>
      </c>
      <c r="Q1011" s="36">
        <v>0</v>
      </c>
      <c r="W1011" s="35">
        <v>746465111.5468626</v>
      </c>
      <c r="X1011" s="35">
        <v>0</v>
      </c>
    </row>
    <row r="1012" spans="1:31" x14ac:dyDescent="0.2">
      <c r="F1012" s="36"/>
    </row>
    <row r="1013" spans="1:31" x14ac:dyDescent="0.2">
      <c r="B1013" s="35" t="s">
        <v>1133</v>
      </c>
      <c r="F1013" s="36"/>
    </row>
    <row r="1014" spans="1:31" x14ac:dyDescent="0.2">
      <c r="F1014" s="36"/>
    </row>
    <row r="1015" spans="1:31" x14ac:dyDescent="0.2">
      <c r="B1015" s="35" t="s">
        <v>1134</v>
      </c>
      <c r="F1015" s="36"/>
      <c r="AA1015" s="35" t="s">
        <v>2291</v>
      </c>
      <c r="AB1015" s="35">
        <v>2.5121071489807408E-2</v>
      </c>
      <c r="AC1015" s="35">
        <v>5.5848028797117387E-2</v>
      </c>
      <c r="AD1015" s="35">
        <v>8.0969100286924792E-2</v>
      </c>
      <c r="AE1015" s="35" t="s">
        <v>1346</v>
      </c>
    </row>
    <row r="1016" spans="1:31" x14ac:dyDescent="0.2">
      <c r="A1016" s="35">
        <v>1</v>
      </c>
      <c r="B1016" s="35" t="s">
        <v>1135</v>
      </c>
      <c r="C1016" s="35" t="s">
        <v>538</v>
      </c>
      <c r="D1016" s="36">
        <v>2001339.9999999998</v>
      </c>
      <c r="F1016" s="36">
        <v>1804304.989136664</v>
      </c>
      <c r="H1016" s="36">
        <v>197028.67066766103</v>
      </c>
      <c r="I1016" s="36">
        <v>6.3401956747724348</v>
      </c>
      <c r="L1016" s="36">
        <v>6.3401956747724348</v>
      </c>
      <c r="N1016" s="36">
        <v>0</v>
      </c>
      <c r="O1016" s="36">
        <v>0</v>
      </c>
      <c r="P1016" s="36">
        <v>0</v>
      </c>
      <c r="Q1016" s="36">
        <v>0</v>
      </c>
      <c r="T1016" s="36">
        <v>2001340</v>
      </c>
      <c r="U1016" s="35">
        <v>560</v>
      </c>
      <c r="W1016" s="35">
        <v>2001340</v>
      </c>
      <c r="X1016" s="35">
        <v>0</v>
      </c>
      <c r="AA1016" s="35">
        <v>484145.4</v>
      </c>
      <c r="AB1016" s="35">
        <v>150208.55069110126</v>
      </c>
      <c r="AC1016" s="35">
        <v>333936.84930889879</v>
      </c>
      <c r="AD1016" s="35">
        <v>484145.4</v>
      </c>
    </row>
    <row r="1017" spans="1:31" x14ac:dyDescent="0.2">
      <c r="A1017" s="35">
        <v>2</v>
      </c>
      <c r="B1017" s="35" t="s">
        <v>1136</v>
      </c>
      <c r="C1017" s="35" t="s">
        <v>2271</v>
      </c>
      <c r="D1017" s="36">
        <v>4041991.9999999995</v>
      </c>
      <c r="F1017" s="36">
        <v>3644051.6512189247</v>
      </c>
      <c r="H1017" s="36">
        <v>397927.54385028058</v>
      </c>
      <c r="I1017" s="36">
        <v>12.804930794300214</v>
      </c>
      <c r="L1017" s="36">
        <v>12.804930794300214</v>
      </c>
      <c r="N1017" s="36">
        <v>0</v>
      </c>
      <c r="O1017" s="36">
        <v>0</v>
      </c>
      <c r="P1017" s="36">
        <v>0</v>
      </c>
      <c r="Q1017" s="36">
        <v>0</v>
      </c>
      <c r="T1017" s="36">
        <v>4041992</v>
      </c>
      <c r="U1017" s="35">
        <v>561</v>
      </c>
      <c r="W1017" s="35">
        <v>4041992</v>
      </c>
      <c r="X1017" s="35">
        <v>0</v>
      </c>
    </row>
    <row r="1018" spans="1:31" x14ac:dyDescent="0.2">
      <c r="A1018" s="35">
        <v>3</v>
      </c>
      <c r="B1018" s="35" t="s">
        <v>1137</v>
      </c>
      <c r="C1018" s="35" t="s">
        <v>2271</v>
      </c>
      <c r="D1018" s="36">
        <v>1445621.9999999998</v>
      </c>
      <c r="F1018" s="36">
        <v>1303298.2836528139</v>
      </c>
      <c r="H1018" s="36">
        <v>142319.13665240564</v>
      </c>
      <c r="I1018" s="36">
        <v>4.579694780375088</v>
      </c>
      <c r="L1018" s="36">
        <v>4.579694780375088</v>
      </c>
      <c r="N1018" s="36">
        <v>0</v>
      </c>
      <c r="O1018" s="36">
        <v>0</v>
      </c>
      <c r="P1018" s="36">
        <v>0</v>
      </c>
      <c r="Q1018" s="36">
        <v>0</v>
      </c>
      <c r="T1018" s="36">
        <v>1445622</v>
      </c>
      <c r="U1018" s="35">
        <v>562</v>
      </c>
      <c r="W1018" s="35">
        <v>1445622</v>
      </c>
      <c r="X1018" s="35">
        <v>0</v>
      </c>
    </row>
    <row r="1019" spans="1:31" x14ac:dyDescent="0.2">
      <c r="A1019" s="35">
        <v>4</v>
      </c>
      <c r="B1019" s="35" t="s">
        <v>1138</v>
      </c>
      <c r="C1019" s="35" t="s">
        <v>2271</v>
      </c>
      <c r="D1019" s="36">
        <v>1174638</v>
      </c>
      <c r="F1019" s="36">
        <v>1058993.0765534656</v>
      </c>
      <c r="H1019" s="36">
        <v>115641.20222237102</v>
      </c>
      <c r="I1019" s="36">
        <v>3.7212241633222463</v>
      </c>
      <c r="L1019" s="36">
        <v>3.7212241633222463</v>
      </c>
      <c r="N1019" s="36">
        <v>0</v>
      </c>
      <c r="O1019" s="36">
        <v>0</v>
      </c>
      <c r="P1019" s="36">
        <v>0</v>
      </c>
      <c r="Q1019" s="36">
        <v>0</v>
      </c>
      <c r="T1019" s="36">
        <v>1174638</v>
      </c>
      <c r="U1019" s="35">
        <v>563</v>
      </c>
      <c r="W1019" s="35">
        <v>1174638</v>
      </c>
      <c r="X1019" s="35">
        <v>0</v>
      </c>
    </row>
    <row r="1020" spans="1:31" x14ac:dyDescent="0.2">
      <c r="A1020" s="35">
        <v>5</v>
      </c>
      <c r="B1020" s="35" t="s">
        <v>1139</v>
      </c>
      <c r="C1020" s="35" t="s">
        <v>2271</v>
      </c>
      <c r="D1020" s="36">
        <v>0</v>
      </c>
      <c r="F1020" s="36">
        <v>0</v>
      </c>
      <c r="H1020" s="36">
        <v>0</v>
      </c>
      <c r="I1020" s="36">
        <v>0</v>
      </c>
      <c r="L1020" s="36">
        <v>0</v>
      </c>
      <c r="N1020" s="36">
        <v>0</v>
      </c>
      <c r="O1020" s="36">
        <v>0</v>
      </c>
      <c r="P1020" s="36">
        <v>0</v>
      </c>
      <c r="Q1020" s="36">
        <v>0</v>
      </c>
      <c r="T1020" s="36">
        <v>0</v>
      </c>
      <c r="U1020" s="35">
        <v>564</v>
      </c>
      <c r="W1020" s="35">
        <v>0</v>
      </c>
      <c r="X1020" s="35">
        <v>0</v>
      </c>
    </row>
    <row r="1021" spans="1:31" x14ac:dyDescent="0.2">
      <c r="A1021" s="35">
        <v>6</v>
      </c>
      <c r="B1021" s="35" t="s">
        <v>1140</v>
      </c>
      <c r="C1021" s="35" t="s">
        <v>2271</v>
      </c>
      <c r="D1021" s="36">
        <v>3503454.9999999902</v>
      </c>
      <c r="F1021" s="36">
        <v>3158534.4497765368</v>
      </c>
      <c r="H1021" s="36">
        <v>344909.45136456995</v>
      </c>
      <c r="I1021" s="36">
        <v>11.098858883428004</v>
      </c>
      <c r="L1021" s="36">
        <v>11.098858883428004</v>
      </c>
      <c r="N1021" s="36">
        <v>0</v>
      </c>
      <c r="O1021" s="36">
        <v>0</v>
      </c>
      <c r="P1021" s="36">
        <v>0</v>
      </c>
      <c r="Q1021" s="36">
        <v>0</v>
      </c>
      <c r="T1021" s="36">
        <v>3503454.9999999902</v>
      </c>
      <c r="U1021" s="35">
        <v>565</v>
      </c>
      <c r="W1021" s="35">
        <v>3503454.9999999902</v>
      </c>
      <c r="X1021" s="35">
        <v>0</v>
      </c>
    </row>
    <row r="1022" spans="1:31" x14ac:dyDescent="0.2">
      <c r="A1022" s="35">
        <v>7</v>
      </c>
      <c r="B1022" s="35" t="s">
        <v>1141</v>
      </c>
      <c r="C1022" s="35" t="s">
        <v>2271</v>
      </c>
      <c r="D1022" s="36">
        <v>13253388</v>
      </c>
      <c r="F1022" s="36">
        <v>11948571.502775138</v>
      </c>
      <c r="H1022" s="36">
        <v>1304774.5108191166</v>
      </c>
      <c r="I1022" s="36">
        <v>41.986405744991309</v>
      </c>
      <c r="L1022" s="36">
        <v>41.986405744991309</v>
      </c>
      <c r="N1022" s="36">
        <v>0</v>
      </c>
      <c r="O1022" s="36">
        <v>0</v>
      </c>
      <c r="P1022" s="36">
        <v>0</v>
      </c>
      <c r="Q1022" s="36">
        <v>0</v>
      </c>
      <c r="T1022" s="36">
        <v>13253388</v>
      </c>
      <c r="U1022" s="35">
        <v>566</v>
      </c>
      <c r="W1022" s="35">
        <v>13253388</v>
      </c>
      <c r="X1022" s="35">
        <v>0</v>
      </c>
    </row>
    <row r="1023" spans="1:31" x14ac:dyDescent="0.2">
      <c r="A1023" s="35">
        <v>8</v>
      </c>
      <c r="B1023" s="35" t="s">
        <v>1142</v>
      </c>
      <c r="C1023" s="35" t="s">
        <v>2271</v>
      </c>
      <c r="D1023" s="36">
        <v>124236</v>
      </c>
      <c r="F1023" s="36">
        <v>112004.77411653323</v>
      </c>
      <c r="H1023" s="36">
        <v>12230.832306888153</v>
      </c>
      <c r="I1023" s="36">
        <v>0.39357657861784023</v>
      </c>
      <c r="L1023" s="36">
        <v>0.39357657861784023</v>
      </c>
      <c r="N1023" s="36">
        <v>0</v>
      </c>
      <c r="O1023" s="36">
        <v>0</v>
      </c>
      <c r="P1023" s="36">
        <v>0</v>
      </c>
      <c r="Q1023" s="36">
        <v>0</v>
      </c>
      <c r="T1023" s="36">
        <v>124236</v>
      </c>
      <c r="U1023" s="35">
        <v>567</v>
      </c>
      <c r="W1023" s="35">
        <v>124236</v>
      </c>
      <c r="X1023" s="35">
        <v>0</v>
      </c>
      <c r="Y1023" s="35" t="s">
        <v>2399</v>
      </c>
    </row>
    <row r="1024" spans="1:31" x14ac:dyDescent="0.2">
      <c r="A1024" s="35">
        <v>9</v>
      </c>
      <c r="B1024" s="35" t="s">
        <v>2170</v>
      </c>
      <c r="C1024" s="35" t="s">
        <v>2271</v>
      </c>
      <c r="D1024" s="36">
        <v>0</v>
      </c>
      <c r="F1024" s="36">
        <v>0</v>
      </c>
      <c r="H1024" s="36">
        <v>0</v>
      </c>
      <c r="I1024" s="36">
        <v>0</v>
      </c>
      <c r="L1024" s="36">
        <v>0</v>
      </c>
      <c r="N1024" s="36">
        <v>0</v>
      </c>
      <c r="O1024" s="36">
        <v>0</v>
      </c>
      <c r="P1024" s="36">
        <v>0</v>
      </c>
      <c r="Q1024" s="36">
        <v>0</v>
      </c>
      <c r="T1024" s="36">
        <v>0</v>
      </c>
      <c r="U1024" s="35">
        <v>575.70000000000005</v>
      </c>
      <c r="W1024" s="35">
        <v>0</v>
      </c>
      <c r="X1024" s="35">
        <v>0</v>
      </c>
      <c r="Y1024" s="35">
        <v>0</v>
      </c>
    </row>
    <row r="1025" spans="1:25" x14ac:dyDescent="0.2">
      <c r="A1025" s="35">
        <v>10</v>
      </c>
      <c r="B1025" s="35" t="s">
        <v>1143</v>
      </c>
      <c r="D1025" s="36">
        <v>25544670.999999989</v>
      </c>
      <c r="F1025" s="36">
        <v>23029758.727230076</v>
      </c>
      <c r="H1025" s="36">
        <v>2514831.3478832925</v>
      </c>
      <c r="I1025" s="36">
        <v>80.92488661980714</v>
      </c>
      <c r="L1025" s="36">
        <v>80.92488661980714</v>
      </c>
      <c r="N1025" s="36">
        <v>0</v>
      </c>
      <c r="O1025" s="36">
        <v>0</v>
      </c>
      <c r="P1025" s="36">
        <v>0</v>
      </c>
      <c r="Q1025" s="36">
        <v>0</v>
      </c>
      <c r="Y1025" s="35" t="s">
        <v>2400</v>
      </c>
    </row>
    <row r="1026" spans="1:25" x14ac:dyDescent="0.2">
      <c r="A1026" s="35">
        <v>11</v>
      </c>
      <c r="B1026" s="35" t="s">
        <v>1144</v>
      </c>
      <c r="C1026" s="35" t="s">
        <v>2271</v>
      </c>
      <c r="D1026" s="36">
        <v>0</v>
      </c>
      <c r="F1026" s="36">
        <v>0</v>
      </c>
      <c r="H1026" s="36">
        <v>0</v>
      </c>
      <c r="I1026" s="36">
        <v>0</v>
      </c>
      <c r="L1026" s="36">
        <v>0</v>
      </c>
      <c r="N1026" s="36">
        <v>0</v>
      </c>
      <c r="O1026" s="36">
        <v>0</v>
      </c>
      <c r="P1026" s="36">
        <v>0</v>
      </c>
      <c r="Q1026" s="36">
        <v>0</v>
      </c>
      <c r="T1026" s="36">
        <v>0</v>
      </c>
      <c r="U1026" s="35">
        <v>568</v>
      </c>
      <c r="W1026" s="35">
        <v>0</v>
      </c>
      <c r="X1026" s="35">
        <v>0</v>
      </c>
      <c r="Y1026" s="35" t="s">
        <v>2401</v>
      </c>
    </row>
    <row r="1027" spans="1:25" x14ac:dyDescent="0.2">
      <c r="A1027" s="35">
        <v>12</v>
      </c>
      <c r="B1027" s="35" t="s">
        <v>1145</v>
      </c>
      <c r="C1027" s="35" t="s">
        <v>2271</v>
      </c>
      <c r="D1027" s="36">
        <v>0</v>
      </c>
      <c r="F1027" s="36">
        <v>0</v>
      </c>
      <c r="H1027" s="36">
        <v>0</v>
      </c>
      <c r="I1027" s="36">
        <v>0</v>
      </c>
      <c r="L1027" s="36">
        <v>0</v>
      </c>
      <c r="N1027" s="36">
        <v>0</v>
      </c>
      <c r="O1027" s="36">
        <v>0</v>
      </c>
      <c r="P1027" s="36">
        <v>0</v>
      </c>
      <c r="Q1027" s="36">
        <v>0</v>
      </c>
      <c r="T1027" s="36">
        <v>0</v>
      </c>
      <c r="U1027" s="35">
        <v>569</v>
      </c>
      <c r="W1027" s="35">
        <v>0</v>
      </c>
      <c r="X1027" s="35">
        <v>0</v>
      </c>
      <c r="Y1027" s="35" t="s">
        <v>2402</v>
      </c>
    </row>
    <row r="1028" spans="1:25" x14ac:dyDescent="0.2">
      <c r="A1028" s="35">
        <v>13</v>
      </c>
      <c r="B1028" s="35" t="s">
        <v>1146</v>
      </c>
      <c r="C1028" s="35" t="s">
        <v>2271</v>
      </c>
      <c r="D1028" s="36">
        <v>2203328</v>
      </c>
      <c r="F1028" s="36">
        <v>1986406.9588897978</v>
      </c>
      <c r="H1028" s="36">
        <v>216914.06102153368</v>
      </c>
      <c r="I1028" s="36">
        <v>6.980088668444643</v>
      </c>
      <c r="L1028" s="36">
        <v>6.980088668444643</v>
      </c>
      <c r="N1028" s="36">
        <v>0</v>
      </c>
      <c r="O1028" s="36">
        <v>0</v>
      </c>
      <c r="P1028" s="36">
        <v>0</v>
      </c>
      <c r="Q1028" s="36">
        <v>0</v>
      </c>
      <c r="T1028" s="36">
        <v>2203328</v>
      </c>
      <c r="U1028" s="35">
        <v>570</v>
      </c>
      <c r="W1028" s="35">
        <v>2203328</v>
      </c>
      <c r="X1028" s="35">
        <v>0</v>
      </c>
      <c r="Y1028" s="35" t="s">
        <v>2292</v>
      </c>
    </row>
    <row r="1029" spans="1:25" x14ac:dyDescent="0.2">
      <c r="A1029" s="35">
        <v>14</v>
      </c>
      <c r="B1029" s="35" t="s">
        <v>1147</v>
      </c>
      <c r="C1029" s="35" t="s">
        <v>2271</v>
      </c>
      <c r="D1029" s="36">
        <v>11716853</v>
      </c>
      <c r="F1029" s="36">
        <v>10570831.60725012</v>
      </c>
      <c r="H1029" s="36">
        <v>1145984.5160554999</v>
      </c>
      <c r="I1029" s="36">
        <v>36.876694378691852</v>
      </c>
      <c r="L1029" s="36">
        <v>36.876694378691852</v>
      </c>
      <c r="N1029" s="36">
        <v>0</v>
      </c>
      <c r="O1029" s="36">
        <v>0</v>
      </c>
      <c r="P1029" s="36">
        <v>0</v>
      </c>
      <c r="Q1029" s="36">
        <v>0</v>
      </c>
      <c r="T1029" s="36">
        <v>11640461.48</v>
      </c>
      <c r="U1029" s="35">
        <v>571</v>
      </c>
      <c r="W1029" s="35">
        <v>11716853</v>
      </c>
      <c r="X1029" s="35">
        <v>76391.519999999553</v>
      </c>
      <c r="Y1029" s="35">
        <v>76391.520000000004</v>
      </c>
    </row>
    <row r="1030" spans="1:25" x14ac:dyDescent="0.2">
      <c r="A1030" s="35">
        <v>15</v>
      </c>
      <c r="B1030" s="35" t="s">
        <v>1148</v>
      </c>
      <c r="C1030" s="35" t="s">
        <v>2271</v>
      </c>
      <c r="D1030" s="36">
        <v>0</v>
      </c>
      <c r="F1030" s="36">
        <v>0</v>
      </c>
      <c r="H1030" s="36">
        <v>0</v>
      </c>
      <c r="I1030" s="36">
        <v>0</v>
      </c>
      <c r="L1030" s="36">
        <v>0</v>
      </c>
      <c r="N1030" s="36">
        <v>0</v>
      </c>
      <c r="O1030" s="36">
        <v>0</v>
      </c>
      <c r="P1030" s="36">
        <v>0</v>
      </c>
      <c r="Q1030" s="36">
        <v>0</v>
      </c>
      <c r="T1030" s="36">
        <v>0</v>
      </c>
      <c r="U1030" s="35">
        <v>572</v>
      </c>
      <c r="W1030" s="35">
        <v>0</v>
      </c>
      <c r="X1030" s="35">
        <v>0</v>
      </c>
    </row>
    <row r="1031" spans="1:25" x14ac:dyDescent="0.2">
      <c r="A1031" s="35">
        <v>16</v>
      </c>
      <c r="B1031" s="35" t="s">
        <v>1149</v>
      </c>
      <c r="C1031" s="35" t="s">
        <v>2271</v>
      </c>
      <c r="D1031" s="36">
        <v>373911</v>
      </c>
      <c r="F1031" s="36">
        <v>337098.88514349348</v>
      </c>
      <c r="H1031" s="36">
        <v>36810.930315696387</v>
      </c>
      <c r="I1031" s="36">
        <v>1.1845408101321295</v>
      </c>
      <c r="L1031" s="36">
        <v>1.1845408101321295</v>
      </c>
      <c r="N1031" s="36">
        <v>0</v>
      </c>
      <c r="O1031" s="36">
        <v>0</v>
      </c>
      <c r="P1031" s="36">
        <v>0</v>
      </c>
      <c r="Q1031" s="36">
        <v>0</v>
      </c>
      <c r="T1031" s="36">
        <v>373911</v>
      </c>
      <c r="U1031" s="35">
        <v>573</v>
      </c>
      <c r="W1031" s="35">
        <v>373911</v>
      </c>
      <c r="X1031" s="35">
        <v>0</v>
      </c>
    </row>
    <row r="1032" spans="1:25" x14ac:dyDescent="0.2">
      <c r="A1032" s="35">
        <v>17</v>
      </c>
      <c r="B1032" s="35" t="s">
        <v>1150</v>
      </c>
      <c r="D1032" s="36">
        <v>14294092</v>
      </c>
      <c r="F1032" s="36">
        <v>12894337.451283412</v>
      </c>
      <c r="H1032" s="36">
        <v>1399709.5073927299</v>
      </c>
      <c r="I1032" s="36">
        <v>45.041323857268623</v>
      </c>
      <c r="L1032" s="36">
        <v>45.041323857268623</v>
      </c>
      <c r="N1032" s="36">
        <v>0</v>
      </c>
      <c r="O1032" s="36">
        <v>0</v>
      </c>
      <c r="P1032" s="36">
        <v>0</v>
      </c>
      <c r="Q1032" s="36">
        <v>0</v>
      </c>
    </row>
    <row r="1033" spans="1:25" x14ac:dyDescent="0.2">
      <c r="F1033" s="36"/>
    </row>
    <row r="1034" spans="1:25" x14ac:dyDescent="0.2">
      <c r="A1034" s="35">
        <v>18</v>
      </c>
      <c r="B1034" s="35" t="s">
        <v>1151</v>
      </c>
      <c r="D1034" s="36">
        <v>39838762.999999993</v>
      </c>
      <c r="F1034" s="36">
        <v>35924096.17851349</v>
      </c>
      <c r="H1034" s="36">
        <v>3914540.8552760221</v>
      </c>
      <c r="I1034" s="36">
        <v>125.96621047707576</v>
      </c>
      <c r="L1034" s="36">
        <v>125.96621047707576</v>
      </c>
      <c r="N1034" s="36">
        <v>0</v>
      </c>
      <c r="O1034" s="36">
        <v>0</v>
      </c>
      <c r="P1034" s="36">
        <v>0</v>
      </c>
      <c r="Q1034" s="36">
        <v>0</v>
      </c>
      <c r="W1034" s="35">
        <v>39838762.999999993</v>
      </c>
      <c r="X1034" s="35">
        <v>0</v>
      </c>
    </row>
    <row r="1035" spans="1:25" x14ac:dyDescent="0.2">
      <c r="F1035" s="36"/>
    </row>
    <row r="1036" spans="1:25" x14ac:dyDescent="0.2">
      <c r="B1036" s="35" t="s">
        <v>765</v>
      </c>
      <c r="F1036" s="36"/>
    </row>
    <row r="1037" spans="1:25" x14ac:dyDescent="0.2">
      <c r="A1037" s="35">
        <v>19</v>
      </c>
      <c r="B1037" s="35" t="s">
        <v>766</v>
      </c>
      <c r="C1037" s="35" t="s">
        <v>1509</v>
      </c>
      <c r="D1037" s="36">
        <v>1599414.9999999998</v>
      </c>
      <c r="F1037" s="36">
        <v>1510424.1157263049</v>
      </c>
      <c r="H1037" s="36">
        <v>84551.559484668993</v>
      </c>
      <c r="I1037" s="36">
        <v>4439.3247890259354</v>
      </c>
      <c r="L1037" s="36">
        <v>153.85010013756252</v>
      </c>
      <c r="N1037" s="36">
        <v>4285.4746888883728</v>
      </c>
      <c r="O1037" s="36">
        <v>3714.6220243798252</v>
      </c>
      <c r="P1037" s="36">
        <v>570.8526645085476</v>
      </c>
      <c r="Q1037" s="36">
        <v>0</v>
      </c>
      <c r="T1037" s="36">
        <v>1599415</v>
      </c>
      <c r="U1037" s="35">
        <v>580</v>
      </c>
      <c r="W1037" s="35">
        <v>1599415</v>
      </c>
      <c r="X1037" s="35">
        <v>0</v>
      </c>
    </row>
    <row r="1038" spans="1:25" x14ac:dyDescent="0.2">
      <c r="A1038" s="35">
        <v>20</v>
      </c>
      <c r="B1038" s="35" t="s">
        <v>767</v>
      </c>
      <c r="C1038" s="35" t="s">
        <v>2026</v>
      </c>
      <c r="D1038" s="36">
        <v>362688</v>
      </c>
      <c r="F1038" s="36">
        <v>341053.32063580118</v>
      </c>
      <c r="H1038" s="36">
        <v>14940.278172818724</v>
      </c>
      <c r="I1038" s="36">
        <v>6694.4011913801223</v>
      </c>
      <c r="L1038" s="36">
        <v>121.20010596135121</v>
      </c>
      <c r="N1038" s="36">
        <v>6573.2010854187711</v>
      </c>
      <c r="O1038" s="36">
        <v>6573.2010854187711</v>
      </c>
      <c r="P1038" s="36">
        <v>0</v>
      </c>
      <c r="Q1038" s="36">
        <v>0</v>
      </c>
      <c r="T1038" s="36">
        <v>362688</v>
      </c>
      <c r="U1038" s="35">
        <v>581</v>
      </c>
      <c r="W1038" s="35">
        <v>362688</v>
      </c>
      <c r="X1038" s="35">
        <v>0</v>
      </c>
    </row>
    <row r="1039" spans="1:25" x14ac:dyDescent="0.2">
      <c r="A1039" s="35">
        <v>21</v>
      </c>
      <c r="B1039" s="35" t="s">
        <v>768</v>
      </c>
      <c r="C1039" s="35" t="s">
        <v>2026</v>
      </c>
      <c r="D1039" s="36">
        <v>1912636</v>
      </c>
      <c r="F1039" s="36">
        <v>1798545.4687433171</v>
      </c>
      <c r="H1039" s="36">
        <v>78787.591217099296</v>
      </c>
      <c r="I1039" s="36">
        <v>35302.940039583642</v>
      </c>
      <c r="L1039" s="36">
        <v>639.1490368181328</v>
      </c>
      <c r="N1039" s="36">
        <v>34663.791002765509</v>
      </c>
      <c r="O1039" s="36">
        <v>34663.791002765509</v>
      </c>
      <c r="P1039" s="36">
        <v>0</v>
      </c>
      <c r="Q1039" s="36">
        <v>0</v>
      </c>
      <c r="T1039" s="36">
        <v>1912636</v>
      </c>
      <c r="U1039" s="35">
        <v>582</v>
      </c>
      <c r="W1039" s="35">
        <v>1912636</v>
      </c>
      <c r="X1039" s="35">
        <v>0</v>
      </c>
    </row>
    <row r="1040" spans="1:25" x14ac:dyDescent="0.2">
      <c r="A1040" s="35">
        <v>22</v>
      </c>
      <c r="B1040" s="35" t="s">
        <v>769</v>
      </c>
      <c r="C1040" s="35" t="s">
        <v>2025</v>
      </c>
      <c r="D1040" s="36">
        <v>5076060</v>
      </c>
      <c r="F1040" s="36">
        <v>4706316.5542154722</v>
      </c>
      <c r="H1040" s="36">
        <v>369122.97922693781</v>
      </c>
      <c r="I1040" s="36">
        <v>620.46655759008536</v>
      </c>
      <c r="L1040" s="36">
        <v>620.46655759008536</v>
      </c>
      <c r="N1040" s="36">
        <v>0</v>
      </c>
      <c r="O1040" s="36">
        <v>0</v>
      </c>
      <c r="P1040" s="36">
        <v>0</v>
      </c>
      <c r="Q1040" s="36">
        <v>0</v>
      </c>
      <c r="T1040" s="36">
        <v>5076060</v>
      </c>
      <c r="U1040" s="35">
        <v>583</v>
      </c>
      <c r="W1040" s="35">
        <v>5076060</v>
      </c>
      <c r="X1040" s="35">
        <v>0</v>
      </c>
    </row>
    <row r="1041" spans="1:25" x14ac:dyDescent="0.2">
      <c r="A1041" s="35">
        <v>23</v>
      </c>
      <c r="B1041" s="35" t="s">
        <v>770</v>
      </c>
      <c r="C1041" s="35" t="s">
        <v>2027</v>
      </c>
      <c r="D1041" s="36">
        <v>0</v>
      </c>
      <c r="F1041" s="36">
        <v>0</v>
      </c>
      <c r="H1041" s="36">
        <v>0</v>
      </c>
      <c r="I1041" s="36">
        <v>0</v>
      </c>
      <c r="L1041" s="36">
        <v>0</v>
      </c>
      <c r="N1041" s="36">
        <v>0</v>
      </c>
      <c r="O1041" s="36">
        <v>0</v>
      </c>
      <c r="P1041" s="36">
        <v>0</v>
      </c>
      <c r="Q1041" s="36">
        <v>0</v>
      </c>
      <c r="T1041" s="36">
        <v>0</v>
      </c>
      <c r="U1041" s="35">
        <v>584</v>
      </c>
      <c r="W1041" s="35">
        <v>0</v>
      </c>
      <c r="X1041" s="35">
        <v>0</v>
      </c>
    </row>
    <row r="1042" spans="1:25" x14ac:dyDescent="0.2">
      <c r="A1042" s="35">
        <v>24</v>
      </c>
      <c r="B1042" s="35" t="s">
        <v>771</v>
      </c>
      <c r="C1042" s="35" t="s">
        <v>2028</v>
      </c>
      <c r="D1042" s="36">
        <v>0</v>
      </c>
      <c r="F1042" s="36">
        <v>0</v>
      </c>
      <c r="H1042" s="36">
        <v>0</v>
      </c>
      <c r="I1042" s="36">
        <v>0</v>
      </c>
      <c r="L1042" s="36">
        <v>0</v>
      </c>
      <c r="N1042" s="36">
        <v>0</v>
      </c>
      <c r="O1042" s="36">
        <v>0</v>
      </c>
      <c r="P1042" s="36">
        <v>0</v>
      </c>
      <c r="Q1042" s="36">
        <v>0</v>
      </c>
      <c r="T1042" s="36">
        <v>0</v>
      </c>
      <c r="U1042" s="35">
        <v>585</v>
      </c>
      <c r="W1042" s="35">
        <v>0</v>
      </c>
      <c r="X1042" s="35">
        <v>0</v>
      </c>
    </row>
    <row r="1043" spans="1:25" x14ac:dyDescent="0.2">
      <c r="A1043" s="35">
        <v>25</v>
      </c>
      <c r="B1043" s="35" t="s">
        <v>772</v>
      </c>
      <c r="C1043" s="35" t="s">
        <v>2029</v>
      </c>
      <c r="D1043" s="36">
        <v>9202911.0000000019</v>
      </c>
      <c r="F1043" s="36">
        <v>8749182.5699744299</v>
      </c>
      <c r="H1043" s="36">
        <v>415180.97862841492</v>
      </c>
      <c r="I1043" s="36">
        <v>38547.451397155863</v>
      </c>
      <c r="L1043" s="36">
        <v>442.71189566488744</v>
      </c>
      <c r="N1043" s="36">
        <v>38104.739501490978</v>
      </c>
      <c r="O1043" s="36">
        <v>6658.4798556174364</v>
      </c>
      <c r="P1043" s="36">
        <v>31446.259645873542</v>
      </c>
      <c r="Q1043" s="36">
        <v>0</v>
      </c>
      <c r="T1043" s="36">
        <v>9202911</v>
      </c>
      <c r="U1043" s="35">
        <v>586</v>
      </c>
      <c r="W1043" s="35">
        <v>9202911</v>
      </c>
      <c r="X1043" s="35">
        <v>0</v>
      </c>
    </row>
    <row r="1044" spans="1:25" x14ac:dyDescent="0.2">
      <c r="A1044" s="35">
        <v>26</v>
      </c>
      <c r="B1044" s="35" t="s">
        <v>773</v>
      </c>
      <c r="C1044" s="35" t="s">
        <v>2030</v>
      </c>
      <c r="D1044" s="36">
        <v>-142800</v>
      </c>
      <c r="F1044" s="36">
        <v>-142800</v>
      </c>
      <c r="H1044" s="36">
        <v>0</v>
      </c>
      <c r="I1044" s="36">
        <v>0</v>
      </c>
      <c r="L1044" s="36">
        <v>0</v>
      </c>
      <c r="N1044" s="36">
        <v>0</v>
      </c>
      <c r="O1044" s="36">
        <v>0</v>
      </c>
      <c r="P1044" s="36">
        <v>0</v>
      </c>
      <c r="Q1044" s="36">
        <v>0</v>
      </c>
      <c r="T1044" s="36">
        <v>-142800</v>
      </c>
      <c r="U1044" s="35">
        <v>587</v>
      </c>
      <c r="W1044" s="35">
        <v>-142800</v>
      </c>
      <c r="X1044" s="35">
        <v>0</v>
      </c>
    </row>
    <row r="1045" spans="1:25" x14ac:dyDescent="0.2">
      <c r="A1045" s="35">
        <v>27</v>
      </c>
      <c r="B1045" s="35" t="s">
        <v>774</v>
      </c>
      <c r="C1045" s="35" t="s">
        <v>1509</v>
      </c>
      <c r="D1045" s="36">
        <v>7140466</v>
      </c>
      <c r="F1045" s="36">
        <v>6743173.0000804961</v>
      </c>
      <c r="H1045" s="36">
        <v>377473.97376369266</v>
      </c>
      <c r="I1045" s="36">
        <v>19819.026155811254</v>
      </c>
      <c r="L1045" s="36">
        <v>686.85201097204947</v>
      </c>
      <c r="N1045" s="36">
        <v>19132.174144839206</v>
      </c>
      <c r="O1045" s="36">
        <v>16583.646063051372</v>
      </c>
      <c r="P1045" s="36">
        <v>2548.5280817878356</v>
      </c>
      <c r="Q1045" s="36">
        <v>0</v>
      </c>
      <c r="T1045" s="36">
        <v>7140466</v>
      </c>
      <c r="U1045" s="35">
        <v>588</v>
      </c>
      <c r="W1045" s="35">
        <v>7140466</v>
      </c>
      <c r="X1045" s="35">
        <v>0</v>
      </c>
    </row>
    <row r="1046" spans="1:25" x14ac:dyDescent="0.2">
      <c r="A1046" s="35">
        <v>28</v>
      </c>
      <c r="B1046" s="35" t="s">
        <v>775</v>
      </c>
      <c r="C1046" s="35" t="s">
        <v>1509</v>
      </c>
      <c r="D1046" s="36">
        <v>0</v>
      </c>
      <c r="F1046" s="36">
        <v>0</v>
      </c>
      <c r="H1046" s="36">
        <v>0</v>
      </c>
      <c r="I1046" s="36">
        <v>0</v>
      </c>
      <c r="L1046" s="36">
        <v>0</v>
      </c>
      <c r="N1046" s="36">
        <v>0</v>
      </c>
      <c r="O1046" s="36">
        <v>0</v>
      </c>
      <c r="P1046" s="36">
        <v>0</v>
      </c>
      <c r="Q1046" s="36">
        <v>0</v>
      </c>
      <c r="T1046" s="36">
        <v>0</v>
      </c>
      <c r="U1046" s="35">
        <v>589</v>
      </c>
      <c r="W1046" s="35">
        <v>0</v>
      </c>
      <c r="X1046" s="35">
        <v>0</v>
      </c>
    </row>
    <row r="1047" spans="1:25" x14ac:dyDescent="0.2">
      <c r="A1047" s="35">
        <v>29</v>
      </c>
      <c r="B1047" s="35" t="s">
        <v>776</v>
      </c>
      <c r="D1047" s="36">
        <v>25151376.000000004</v>
      </c>
      <c r="F1047" s="36">
        <v>23705895.029375821</v>
      </c>
      <c r="H1047" s="36">
        <v>1340057.3604936325</v>
      </c>
      <c r="I1047" s="36">
        <v>105423.61013054691</v>
      </c>
      <c r="L1047" s="36">
        <v>2664.2297071440689</v>
      </c>
      <c r="N1047" s="36">
        <v>102759.38042340284</v>
      </c>
      <c r="O1047" s="36">
        <v>68193.740031232912</v>
      </c>
      <c r="P1047" s="36">
        <v>34565.640392169924</v>
      </c>
      <c r="Q1047" s="36">
        <v>0</v>
      </c>
    </row>
    <row r="1048" spans="1:25" x14ac:dyDescent="0.2">
      <c r="A1048" s="35">
        <v>30</v>
      </c>
      <c r="B1048" s="35" t="s">
        <v>777</v>
      </c>
      <c r="C1048" s="35" t="s">
        <v>1509</v>
      </c>
      <c r="D1048" s="36">
        <v>60834</v>
      </c>
      <c r="F1048" s="36">
        <v>57449.2177803097</v>
      </c>
      <c r="H1048" s="36">
        <v>3215.9318061230847</v>
      </c>
      <c r="I1048" s="36">
        <v>168.85041356721285</v>
      </c>
      <c r="L1048" s="36">
        <v>5.8517126522937941</v>
      </c>
      <c r="N1048" s="36">
        <v>162.99870091491906</v>
      </c>
      <c r="O1048" s="36">
        <v>141.28623042244962</v>
      </c>
      <c r="P1048" s="36">
        <v>21.712470492469425</v>
      </c>
      <c r="Q1048" s="36">
        <v>0</v>
      </c>
      <c r="T1048" s="36">
        <v>60834</v>
      </c>
      <c r="U1048" s="35">
        <v>590</v>
      </c>
      <c r="W1048" s="35">
        <v>60834</v>
      </c>
      <c r="X1048" s="35">
        <v>0</v>
      </c>
    </row>
    <row r="1049" spans="1:25" x14ac:dyDescent="0.2">
      <c r="A1049" s="35">
        <v>31</v>
      </c>
      <c r="B1049" s="35" t="s">
        <v>778</v>
      </c>
      <c r="C1049" s="35" t="s">
        <v>2026</v>
      </c>
      <c r="D1049" s="36">
        <v>0</v>
      </c>
      <c r="F1049" s="36">
        <v>0</v>
      </c>
      <c r="H1049" s="36">
        <v>0</v>
      </c>
      <c r="I1049" s="36">
        <v>0</v>
      </c>
      <c r="L1049" s="36">
        <v>0</v>
      </c>
      <c r="N1049" s="36">
        <v>0</v>
      </c>
      <c r="O1049" s="36">
        <v>0</v>
      </c>
      <c r="P1049" s="36">
        <v>0</v>
      </c>
      <c r="Q1049" s="36">
        <v>0</v>
      </c>
      <c r="T1049" s="36">
        <v>0</v>
      </c>
      <c r="U1049" s="35">
        <v>591</v>
      </c>
      <c r="W1049" s="35">
        <v>0</v>
      </c>
      <c r="X1049" s="35">
        <v>0</v>
      </c>
    </row>
    <row r="1050" spans="1:25" x14ac:dyDescent="0.2">
      <c r="A1050" s="35">
        <v>32</v>
      </c>
      <c r="B1050" s="35" t="s">
        <v>779</v>
      </c>
      <c r="C1050" s="35" t="s">
        <v>2026</v>
      </c>
      <c r="D1050" s="36">
        <v>1368313.0000000002</v>
      </c>
      <c r="F1050" s="36">
        <v>1286691.8462125435</v>
      </c>
      <c r="H1050" s="36">
        <v>56365.186737592936</v>
      </c>
      <c r="I1050" s="36">
        <v>25255.967049863546</v>
      </c>
      <c r="L1050" s="36">
        <v>457.25163387896583</v>
      </c>
      <c r="N1050" s="36">
        <v>24798.715415984581</v>
      </c>
      <c r="O1050" s="36">
        <v>24798.715415984581</v>
      </c>
      <c r="P1050" s="36">
        <v>0</v>
      </c>
      <c r="Q1050" s="36">
        <v>0</v>
      </c>
      <c r="T1050" s="36">
        <v>1368313</v>
      </c>
      <c r="U1050" s="35">
        <v>592</v>
      </c>
      <c r="W1050" s="35">
        <v>1368313</v>
      </c>
      <c r="X1050" s="35">
        <v>0</v>
      </c>
      <c r="Y1050" s="35" t="s">
        <v>2293</v>
      </c>
    </row>
    <row r="1051" spans="1:25" x14ac:dyDescent="0.2">
      <c r="A1051" s="35">
        <v>33</v>
      </c>
      <c r="B1051" s="35" t="s">
        <v>780</v>
      </c>
      <c r="C1051" s="35" t="s">
        <v>2025</v>
      </c>
      <c r="D1051" s="36">
        <v>32390400.999999996</v>
      </c>
      <c r="F1051" s="36">
        <v>30239214.880671129</v>
      </c>
      <c r="H1051" s="36">
        <v>2147972.9385059001</v>
      </c>
      <c r="I1051" s="36">
        <v>3213.1808229691278</v>
      </c>
      <c r="L1051" s="36">
        <v>3213.1808229691278</v>
      </c>
      <c r="N1051" s="36">
        <v>0</v>
      </c>
      <c r="O1051" s="36">
        <v>0</v>
      </c>
      <c r="P1051" s="36">
        <v>0</v>
      </c>
      <c r="Q1051" s="36">
        <v>0</v>
      </c>
      <c r="T1051" s="36">
        <v>26287151.899999999</v>
      </c>
      <c r="U1051" s="35">
        <v>593</v>
      </c>
      <c r="W1051" s="35">
        <v>32390401</v>
      </c>
      <c r="X1051" s="35">
        <v>6103249.0999999978</v>
      </c>
      <c r="Y1051" s="35">
        <v>219551.64</v>
      </c>
    </row>
    <row r="1052" spans="1:25" x14ac:dyDescent="0.2">
      <c r="A1052" s="35">
        <v>34</v>
      </c>
      <c r="B1052" s="35" t="s">
        <v>781</v>
      </c>
      <c r="C1052" s="35" t="s">
        <v>2027</v>
      </c>
      <c r="D1052" s="36">
        <v>812273</v>
      </c>
      <c r="F1052" s="36">
        <v>790500.34303623124</v>
      </c>
      <c r="H1052" s="36">
        <v>21772.65696376875</v>
      </c>
      <c r="I1052" s="36">
        <v>0</v>
      </c>
      <c r="L1052" s="36">
        <v>0</v>
      </c>
      <c r="N1052" s="36">
        <v>0</v>
      </c>
      <c r="O1052" s="36">
        <v>0</v>
      </c>
      <c r="P1052" s="36">
        <v>0</v>
      </c>
      <c r="Q1052" s="36">
        <v>0</v>
      </c>
      <c r="T1052" s="36">
        <v>812273</v>
      </c>
      <c r="U1052" s="35">
        <v>594</v>
      </c>
      <c r="W1052" s="35">
        <v>812273</v>
      </c>
      <c r="X1052" s="35">
        <v>0</v>
      </c>
      <c r="Y1052" s="35" t="s">
        <v>2292</v>
      </c>
    </row>
    <row r="1053" spans="1:25" x14ac:dyDescent="0.2">
      <c r="A1053" s="35">
        <v>35</v>
      </c>
      <c r="B1053" s="35" t="s">
        <v>782</v>
      </c>
      <c r="C1053" s="35" t="s">
        <v>2031</v>
      </c>
      <c r="D1053" s="36">
        <v>100466</v>
      </c>
      <c r="F1053" s="36">
        <v>96331.044492663816</v>
      </c>
      <c r="H1053" s="36">
        <v>3972.3252199636363</v>
      </c>
      <c r="I1053" s="36">
        <v>162.63028737255487</v>
      </c>
      <c r="L1053" s="36">
        <v>0.97356579005597732</v>
      </c>
      <c r="N1053" s="36">
        <v>161.6567215824989</v>
      </c>
      <c r="O1053" s="36">
        <v>50.171599243092665</v>
      </c>
      <c r="P1053" s="36">
        <v>111.48512233940623</v>
      </c>
      <c r="Q1053" s="36">
        <v>0</v>
      </c>
      <c r="T1053" s="36">
        <v>100466</v>
      </c>
      <c r="U1053" s="35">
        <v>595</v>
      </c>
      <c r="W1053" s="35">
        <v>100466</v>
      </c>
      <c r="X1053" s="35">
        <v>0</v>
      </c>
      <c r="Y1053" s="35">
        <v>5647284.2400000002</v>
      </c>
    </row>
    <row r="1054" spans="1:25" x14ac:dyDescent="0.2">
      <c r="A1054" s="35">
        <v>36</v>
      </c>
      <c r="B1054" s="35" t="s">
        <v>783</v>
      </c>
      <c r="C1054" s="35" t="s">
        <v>2028</v>
      </c>
      <c r="D1054" s="36">
        <v>0</v>
      </c>
      <c r="F1054" s="36">
        <v>0</v>
      </c>
      <c r="H1054" s="36">
        <v>0</v>
      </c>
      <c r="I1054" s="36">
        <v>0</v>
      </c>
      <c r="L1054" s="36">
        <v>0</v>
      </c>
      <c r="N1054" s="36">
        <v>0</v>
      </c>
      <c r="O1054" s="36">
        <v>0</v>
      </c>
      <c r="P1054" s="36">
        <v>0</v>
      </c>
      <c r="Q1054" s="36">
        <v>0</v>
      </c>
      <c r="T1054" s="36">
        <v>0</v>
      </c>
      <c r="U1054" s="35">
        <v>596</v>
      </c>
      <c r="W1054" s="35">
        <v>0</v>
      </c>
      <c r="X1054" s="35">
        <v>0</v>
      </c>
      <c r="Y1054" s="35" t="s">
        <v>2403</v>
      </c>
    </row>
    <row r="1055" spans="1:25" x14ac:dyDescent="0.2">
      <c r="A1055" s="35">
        <v>37</v>
      </c>
      <c r="B1055" s="35" t="s">
        <v>784</v>
      </c>
      <c r="C1055" s="35" t="s">
        <v>2029</v>
      </c>
      <c r="D1055" s="36">
        <v>1443101.99999999</v>
      </c>
      <c r="F1055" s="36">
        <v>1371953.1640689725</v>
      </c>
      <c r="H1055" s="36">
        <v>65104.237194146364</v>
      </c>
      <c r="I1055" s="36">
        <v>6044.5987368711958</v>
      </c>
      <c r="L1055" s="36">
        <v>69.421340927646256</v>
      </c>
      <c r="N1055" s="36">
        <v>5975.1773959435495</v>
      </c>
      <c r="O1055" s="36">
        <v>1044.1115421632533</v>
      </c>
      <c r="P1055" s="36">
        <v>4931.0658537802965</v>
      </c>
      <c r="Q1055" s="36">
        <v>0</v>
      </c>
      <c r="T1055" s="36">
        <v>1443101.99999999</v>
      </c>
      <c r="U1055" s="35">
        <v>597</v>
      </c>
      <c r="W1055" s="35">
        <v>1443101.99999999</v>
      </c>
      <c r="X1055" s="35">
        <v>0</v>
      </c>
      <c r="Y1055" s="35">
        <v>236413.22</v>
      </c>
    </row>
    <row r="1056" spans="1:25" x14ac:dyDescent="0.2">
      <c r="A1056" s="35">
        <v>38</v>
      </c>
      <c r="B1056" s="35" t="s">
        <v>785</v>
      </c>
      <c r="C1056" s="35" t="s">
        <v>1509</v>
      </c>
      <c r="D1056" s="36">
        <v>582737</v>
      </c>
      <c r="F1056" s="36">
        <v>550313.71965749969</v>
      </c>
      <c r="H1056" s="36">
        <v>30805.839709779859</v>
      </c>
      <c r="I1056" s="36">
        <v>1617.4406327204674</v>
      </c>
      <c r="L1056" s="36">
        <v>56.054335994012042</v>
      </c>
      <c r="N1056" s="36">
        <v>1561.3862967264554</v>
      </c>
      <c r="O1056" s="36">
        <v>1353.3996458836675</v>
      </c>
      <c r="P1056" s="36">
        <v>207.98665084278784</v>
      </c>
      <c r="Q1056" s="36">
        <v>0</v>
      </c>
      <c r="T1056" s="36">
        <v>582737</v>
      </c>
      <c r="U1056" s="35">
        <v>598</v>
      </c>
      <c r="W1056" s="35">
        <v>582737</v>
      </c>
      <c r="X1056" s="35">
        <v>0</v>
      </c>
    </row>
    <row r="1057" spans="1:24" x14ac:dyDescent="0.2">
      <c r="A1057" s="35">
        <v>39</v>
      </c>
      <c r="B1057" s="35" t="s">
        <v>786</v>
      </c>
      <c r="D1057" s="36">
        <v>36758125.999999993</v>
      </c>
      <c r="F1057" s="36">
        <v>34392454.215919353</v>
      </c>
      <c r="H1057" s="36">
        <v>2329209.116137275</v>
      </c>
      <c r="I1057" s="36">
        <v>36462.667943364104</v>
      </c>
      <c r="L1057" s="36">
        <v>3802.7334122121015</v>
      </c>
      <c r="N1057" s="36">
        <v>32659.934531152001</v>
      </c>
      <c r="O1057" s="36">
        <v>27387.684433697043</v>
      </c>
      <c r="P1057" s="36">
        <v>5272.2500974549594</v>
      </c>
      <c r="Q1057" s="36">
        <v>0</v>
      </c>
    </row>
    <row r="1058" spans="1:24" x14ac:dyDescent="0.2">
      <c r="F1058" s="36"/>
    </row>
    <row r="1059" spans="1:24" x14ac:dyDescent="0.2">
      <c r="A1059" s="35">
        <v>40</v>
      </c>
      <c r="B1059" s="35" t="s">
        <v>787</v>
      </c>
      <c r="D1059" s="36">
        <v>61909501.999999993</v>
      </c>
      <c r="F1059" s="36">
        <v>58098349.245295174</v>
      </c>
      <c r="H1059" s="36">
        <v>3669266.4766309075</v>
      </c>
      <c r="I1059" s="36">
        <v>141886.278073911</v>
      </c>
      <c r="L1059" s="36">
        <v>6466.9631193561709</v>
      </c>
      <c r="N1059" s="36">
        <v>135419.31495455484</v>
      </c>
      <c r="O1059" s="36">
        <v>95581.424464929951</v>
      </c>
      <c r="P1059" s="36">
        <v>39837.890489624886</v>
      </c>
      <c r="Q1059" s="36">
        <v>0</v>
      </c>
    </row>
    <row r="1060" spans="1:24" x14ac:dyDescent="0.2">
      <c r="F1060" s="36"/>
    </row>
    <row r="1061" spans="1:24" x14ac:dyDescent="0.2">
      <c r="F1061" s="36"/>
    </row>
    <row r="1062" spans="1:24" x14ac:dyDescent="0.2">
      <c r="B1062" s="35" t="s">
        <v>1133</v>
      </c>
      <c r="F1062" s="36"/>
    </row>
    <row r="1063" spans="1:24" x14ac:dyDescent="0.2">
      <c r="F1063" s="36"/>
    </row>
    <row r="1064" spans="1:24" x14ac:dyDescent="0.2">
      <c r="B1064" s="35" t="s">
        <v>788</v>
      </c>
      <c r="F1064" s="36"/>
    </row>
    <row r="1065" spans="1:24" x14ac:dyDescent="0.2">
      <c r="A1065" s="35">
        <v>1</v>
      </c>
      <c r="B1065" s="35" t="s">
        <v>764</v>
      </c>
      <c r="C1065" s="35" t="s">
        <v>561</v>
      </c>
      <c r="D1065" s="36">
        <v>3827591.0000000005</v>
      </c>
      <c r="F1065" s="36">
        <v>3631553.6494342163</v>
      </c>
      <c r="H1065" s="36">
        <v>191535.91306471181</v>
      </c>
      <c r="I1065" s="36">
        <v>4501.4375010724361</v>
      </c>
      <c r="L1065" s="36">
        <v>30.31271044493224</v>
      </c>
      <c r="N1065" s="36">
        <v>4471.1247906275039</v>
      </c>
      <c r="O1065" s="36">
        <v>2318.9223490373156</v>
      </c>
      <c r="P1065" s="36">
        <v>2152.2024415901888</v>
      </c>
      <c r="Q1065" s="36">
        <v>0</v>
      </c>
      <c r="T1065" s="36">
        <v>3827591</v>
      </c>
      <c r="U1065" s="35">
        <v>901</v>
      </c>
      <c r="W1065" s="35">
        <v>3827591</v>
      </c>
      <c r="X1065" s="35">
        <v>0</v>
      </c>
    </row>
    <row r="1066" spans="1:24" x14ac:dyDescent="0.2">
      <c r="A1066" s="35">
        <v>2</v>
      </c>
      <c r="B1066" s="35" t="s">
        <v>347</v>
      </c>
      <c r="C1066" s="35" t="s">
        <v>1462</v>
      </c>
      <c r="D1066" s="36">
        <v>5587664.9999999991</v>
      </c>
      <c r="F1066" s="36">
        <v>5301482.1130486084</v>
      </c>
      <c r="H1066" s="36">
        <v>279611.51483393414</v>
      </c>
      <c r="I1066" s="36">
        <v>6571.3721174571465</v>
      </c>
      <c r="L1066" s="36">
        <v>44.251664090620515</v>
      </c>
      <c r="N1066" s="36">
        <v>6527.1204533665259</v>
      </c>
      <c r="O1066" s="36">
        <v>3385.2523029324693</v>
      </c>
      <c r="P1066" s="36">
        <v>3141.8681504340561</v>
      </c>
      <c r="Q1066" s="36">
        <v>0</v>
      </c>
      <c r="T1066" s="36">
        <v>5587665</v>
      </c>
      <c r="U1066" s="35">
        <v>902</v>
      </c>
      <c r="W1066" s="35">
        <v>5587665</v>
      </c>
      <c r="X1066" s="35">
        <v>0</v>
      </c>
    </row>
    <row r="1067" spans="1:24" x14ac:dyDescent="0.2">
      <c r="A1067" s="35">
        <v>3</v>
      </c>
      <c r="B1067" s="35" t="s">
        <v>348</v>
      </c>
      <c r="C1067" s="35" t="s">
        <v>1464</v>
      </c>
      <c r="D1067" s="36">
        <v>21256145</v>
      </c>
      <c r="F1067" s="36">
        <v>20167471.118949976</v>
      </c>
      <c r="H1067" s="36">
        <v>1063675.5966901656</v>
      </c>
      <c r="I1067" s="36">
        <v>24998.284359858029</v>
      </c>
      <c r="L1067" s="36">
        <v>168.33861521789922</v>
      </c>
      <c r="N1067" s="36">
        <v>24829.945744640128</v>
      </c>
      <c r="O1067" s="36">
        <v>12877.904064169288</v>
      </c>
      <c r="P1067" s="36">
        <v>11952.041680470842</v>
      </c>
      <c r="Q1067" s="36">
        <v>0</v>
      </c>
      <c r="T1067" s="36">
        <v>21256145</v>
      </c>
      <c r="U1067" s="35">
        <v>903</v>
      </c>
      <c r="W1067" s="35">
        <v>21256145</v>
      </c>
      <c r="X1067" s="35">
        <v>0</v>
      </c>
    </row>
    <row r="1068" spans="1:24" x14ac:dyDescent="0.2">
      <c r="A1068" s="35">
        <v>4</v>
      </c>
      <c r="B1068" s="35" t="s">
        <v>349</v>
      </c>
      <c r="C1068" s="35" t="s">
        <v>1466</v>
      </c>
      <c r="D1068" s="36">
        <v>5866627.3317271918</v>
      </c>
      <c r="F1068" s="36">
        <v>5566156.8585578762</v>
      </c>
      <c r="H1068" s="36">
        <v>293571.02746682218</v>
      </c>
      <c r="I1068" s="36">
        <v>6899.4457024936319</v>
      </c>
      <c r="L1068" s="36">
        <v>46.46091382150594</v>
      </c>
      <c r="N1068" s="36">
        <v>6852.9847886721263</v>
      </c>
      <c r="O1068" s="36">
        <v>3554.2599073452047</v>
      </c>
      <c r="P1068" s="36">
        <v>3298.7248813269216</v>
      </c>
      <c r="Q1068" s="36">
        <v>0</v>
      </c>
      <c r="T1068" s="36">
        <v>5866627.3317271918</v>
      </c>
      <c r="U1068" s="35">
        <v>904</v>
      </c>
      <c r="W1068" s="35">
        <v>5866627.3317271918</v>
      </c>
      <c r="X1068" s="35">
        <v>0</v>
      </c>
    </row>
    <row r="1069" spans="1:24" x14ac:dyDescent="0.2">
      <c r="A1069" s="35">
        <v>5</v>
      </c>
      <c r="B1069" s="35" t="s">
        <v>350</v>
      </c>
      <c r="C1069" s="35" t="s">
        <v>2032</v>
      </c>
      <c r="D1069" s="36">
        <v>0</v>
      </c>
      <c r="F1069" s="36">
        <v>0</v>
      </c>
      <c r="H1069" s="36">
        <v>0</v>
      </c>
      <c r="I1069" s="36">
        <v>0</v>
      </c>
      <c r="L1069" s="36">
        <v>0</v>
      </c>
      <c r="N1069" s="36">
        <v>0</v>
      </c>
      <c r="O1069" s="36">
        <v>0</v>
      </c>
      <c r="P1069" s="36">
        <v>0</v>
      </c>
      <c r="Q1069" s="36">
        <v>0</v>
      </c>
      <c r="T1069" s="36">
        <v>0</v>
      </c>
      <c r="U1069" s="35">
        <v>905</v>
      </c>
      <c r="W1069" s="35">
        <v>0</v>
      </c>
      <c r="X1069" s="35">
        <v>0</v>
      </c>
    </row>
    <row r="1070" spans="1:24" x14ac:dyDescent="0.2">
      <c r="A1070" s="35">
        <v>6</v>
      </c>
      <c r="B1070" s="35" t="s">
        <v>351</v>
      </c>
      <c r="D1070" s="36">
        <v>36538028.331727199</v>
      </c>
      <c r="F1070" s="36">
        <v>34666663.739990681</v>
      </c>
      <c r="H1070" s="36">
        <v>1828394.0520556339</v>
      </c>
      <c r="I1070" s="36">
        <v>42970.539680881244</v>
      </c>
      <c r="L1070" s="36">
        <v>289.36390357495793</v>
      </c>
      <c r="N1070" s="36">
        <v>42681.175777306285</v>
      </c>
      <c r="O1070" s="36">
        <v>22136.338623484276</v>
      </c>
      <c r="P1070" s="36">
        <v>20544.837153822009</v>
      </c>
      <c r="Q1070" s="36">
        <v>0</v>
      </c>
    </row>
    <row r="1071" spans="1:24" x14ac:dyDescent="0.2">
      <c r="F1071" s="36"/>
    </row>
    <row r="1072" spans="1:24" x14ac:dyDescent="0.2">
      <c r="B1072" s="35" t="s">
        <v>352</v>
      </c>
      <c r="F1072" s="36"/>
    </row>
    <row r="1073" spans="1:24" x14ac:dyDescent="0.2">
      <c r="A1073" s="35">
        <v>7</v>
      </c>
      <c r="B1073" s="35" t="s">
        <v>353</v>
      </c>
      <c r="C1073" s="35" t="s">
        <v>567</v>
      </c>
      <c r="D1073" s="36">
        <v>653222</v>
      </c>
      <c r="F1073" s="36">
        <v>651425.35319489997</v>
      </c>
      <c r="H1073" s="36">
        <v>1796.3927543640334</v>
      </c>
      <c r="I1073" s="36">
        <v>0.25405073601527844</v>
      </c>
      <c r="L1073" s="36">
        <v>0.25405073601527844</v>
      </c>
      <c r="N1073" s="36">
        <v>0</v>
      </c>
      <c r="O1073" s="36">
        <v>0</v>
      </c>
      <c r="P1073" s="36">
        <v>0</v>
      </c>
      <c r="Q1073" s="36">
        <v>0</v>
      </c>
      <c r="T1073" s="36">
        <v>653222</v>
      </c>
      <c r="U1073" s="35">
        <v>907</v>
      </c>
      <c r="W1073" s="35">
        <v>653222</v>
      </c>
      <c r="X1073" s="35">
        <v>0</v>
      </c>
    </row>
    <row r="1074" spans="1:24" x14ac:dyDescent="0.2">
      <c r="A1074" s="35">
        <v>8</v>
      </c>
      <c r="B1074" s="35" t="s">
        <v>354</v>
      </c>
      <c r="C1074" s="35" t="s">
        <v>1476</v>
      </c>
      <c r="D1074" s="36">
        <v>21099696</v>
      </c>
      <c r="F1074" s="36">
        <v>21099696</v>
      </c>
      <c r="H1074" s="36">
        <v>0</v>
      </c>
      <c r="I1074" s="36">
        <v>0</v>
      </c>
      <c r="L1074" s="36">
        <v>0</v>
      </c>
      <c r="N1074" s="36">
        <v>0</v>
      </c>
      <c r="O1074" s="36">
        <v>0</v>
      </c>
      <c r="P1074" s="36">
        <v>0</v>
      </c>
      <c r="Q1074" s="36">
        <v>0</v>
      </c>
      <c r="T1074" s="36">
        <v>21099696</v>
      </c>
      <c r="U1074" s="35">
        <v>908</v>
      </c>
      <c r="W1074" s="35">
        <v>21099696</v>
      </c>
      <c r="X1074" s="35">
        <v>0</v>
      </c>
    </row>
    <row r="1075" spans="1:24" x14ac:dyDescent="0.2">
      <c r="A1075" s="35">
        <v>9</v>
      </c>
      <c r="B1075" s="35" t="s">
        <v>355</v>
      </c>
      <c r="C1075" s="35" t="s">
        <v>1478</v>
      </c>
      <c r="D1075" s="36">
        <v>411162.00000000006</v>
      </c>
      <c r="F1075" s="36">
        <v>389844.86125564732</v>
      </c>
      <c r="H1075" s="36">
        <v>21314.124443059667</v>
      </c>
      <c r="I1075" s="36">
        <v>3.0143012930362985</v>
      </c>
      <c r="L1075" s="36">
        <v>3.0143012930362985</v>
      </c>
      <c r="N1075" s="36">
        <v>0</v>
      </c>
      <c r="O1075" s="36">
        <v>0</v>
      </c>
      <c r="P1075" s="36">
        <v>0</v>
      </c>
      <c r="Q1075" s="36">
        <v>0</v>
      </c>
      <c r="T1075" s="36">
        <v>411162</v>
      </c>
      <c r="U1075" s="35">
        <v>909</v>
      </c>
      <c r="W1075" s="35">
        <v>411162</v>
      </c>
      <c r="X1075" s="35">
        <v>0</v>
      </c>
    </row>
    <row r="1076" spans="1:24" x14ac:dyDescent="0.2">
      <c r="A1076" s="35">
        <v>10</v>
      </c>
      <c r="B1076" s="35" t="s">
        <v>356</v>
      </c>
      <c r="C1076" s="35" t="s">
        <v>2033</v>
      </c>
      <c r="D1076" s="36">
        <v>1862873.0000000002</v>
      </c>
      <c r="F1076" s="36">
        <v>1861026.9033819989</v>
      </c>
      <c r="H1076" s="36">
        <v>1845.835574927597</v>
      </c>
      <c r="I1076" s="36">
        <v>0.26104307381241648</v>
      </c>
      <c r="L1076" s="36">
        <v>0.26104307381241648</v>
      </c>
      <c r="N1076" s="36">
        <v>0</v>
      </c>
      <c r="O1076" s="36">
        <v>0</v>
      </c>
      <c r="P1076" s="36">
        <v>0</v>
      </c>
      <c r="Q1076" s="36">
        <v>0</v>
      </c>
      <c r="T1076" s="36">
        <v>1862873</v>
      </c>
      <c r="U1076" s="35">
        <v>910</v>
      </c>
      <c r="W1076" s="35">
        <v>1862873</v>
      </c>
      <c r="X1076" s="35">
        <v>0</v>
      </c>
    </row>
    <row r="1077" spans="1:24" x14ac:dyDescent="0.2">
      <c r="A1077" s="35">
        <v>11</v>
      </c>
      <c r="B1077" s="35" t="s">
        <v>357</v>
      </c>
      <c r="D1077" s="36">
        <v>24026953</v>
      </c>
      <c r="F1077" s="36">
        <v>24001993.117832545</v>
      </c>
      <c r="H1077" s="36">
        <v>24956.3527723513</v>
      </c>
      <c r="I1077" s="36">
        <v>3.5293951028639934</v>
      </c>
      <c r="L1077" s="36">
        <v>3.5293951028639934</v>
      </c>
      <c r="N1077" s="36">
        <v>0</v>
      </c>
      <c r="O1077" s="36">
        <v>0</v>
      </c>
      <c r="P1077" s="36">
        <v>0</v>
      </c>
      <c r="Q1077" s="36">
        <v>0</v>
      </c>
    </row>
    <row r="1078" spans="1:24" x14ac:dyDescent="0.2">
      <c r="F1078" s="36"/>
    </row>
    <row r="1079" spans="1:24" x14ac:dyDescent="0.2">
      <c r="B1079" s="35" t="s">
        <v>358</v>
      </c>
      <c r="F1079" s="36"/>
    </row>
    <row r="1080" spans="1:24" x14ac:dyDescent="0.2">
      <c r="A1080" s="35">
        <v>12</v>
      </c>
      <c r="B1080" s="35" t="s">
        <v>359</v>
      </c>
      <c r="C1080" s="35" t="s">
        <v>567</v>
      </c>
      <c r="D1080" s="36">
        <v>0</v>
      </c>
      <c r="F1080" s="36">
        <v>0</v>
      </c>
      <c r="H1080" s="36">
        <v>0</v>
      </c>
      <c r="I1080" s="36">
        <v>0</v>
      </c>
      <c r="L1080" s="36">
        <v>0</v>
      </c>
      <c r="N1080" s="36">
        <v>0</v>
      </c>
      <c r="O1080" s="36">
        <v>0</v>
      </c>
      <c r="P1080" s="36">
        <v>0</v>
      </c>
      <c r="Q1080" s="36">
        <v>0</v>
      </c>
      <c r="T1080" s="36">
        <v>0</v>
      </c>
      <c r="U1080" s="35">
        <v>911</v>
      </c>
      <c r="W1080" s="35">
        <v>0</v>
      </c>
      <c r="X1080" s="35">
        <v>0</v>
      </c>
    </row>
    <row r="1081" spans="1:24" x14ac:dyDescent="0.2">
      <c r="A1081" s="35">
        <v>13</v>
      </c>
      <c r="B1081" s="35" t="s">
        <v>360</v>
      </c>
      <c r="C1081" s="35" t="s">
        <v>1480</v>
      </c>
      <c r="D1081" s="36">
        <v>0</v>
      </c>
      <c r="F1081" s="36">
        <v>0</v>
      </c>
      <c r="H1081" s="36">
        <v>0</v>
      </c>
      <c r="I1081" s="36">
        <v>0</v>
      </c>
      <c r="L1081" s="36">
        <v>0</v>
      </c>
      <c r="N1081" s="36">
        <v>0</v>
      </c>
      <c r="O1081" s="36">
        <v>0</v>
      </c>
      <c r="P1081" s="36">
        <v>0</v>
      </c>
      <c r="Q1081" s="36">
        <v>0</v>
      </c>
      <c r="T1081" s="36">
        <v>0</v>
      </c>
      <c r="U1081" s="35">
        <v>912</v>
      </c>
      <c r="W1081" s="35">
        <v>0</v>
      </c>
      <c r="X1081" s="35">
        <v>0</v>
      </c>
    </row>
    <row r="1082" spans="1:24" x14ac:dyDescent="0.2">
      <c r="A1082" s="35">
        <v>14</v>
      </c>
      <c r="B1082" s="35" t="s">
        <v>361</v>
      </c>
      <c r="C1082" s="35" t="s">
        <v>1482</v>
      </c>
      <c r="D1082" s="36">
        <v>837646</v>
      </c>
      <c r="F1082" s="36">
        <v>794217.3368437452</v>
      </c>
      <c r="H1082" s="36">
        <v>43422.5222253787</v>
      </c>
      <c r="I1082" s="36">
        <v>6.1409308761672605</v>
      </c>
      <c r="L1082" s="36">
        <v>6.1409308761672605</v>
      </c>
      <c r="N1082" s="36">
        <v>0</v>
      </c>
      <c r="O1082" s="36">
        <v>0</v>
      </c>
      <c r="P1082" s="36">
        <v>0</v>
      </c>
      <c r="Q1082" s="36">
        <v>0</v>
      </c>
      <c r="T1082" s="36">
        <v>837646</v>
      </c>
      <c r="U1082" s="35">
        <v>913</v>
      </c>
      <c r="W1082" s="35">
        <v>837646</v>
      </c>
      <c r="X1082" s="35">
        <v>0</v>
      </c>
    </row>
    <row r="1083" spans="1:24" x14ac:dyDescent="0.2">
      <c r="A1083" s="35">
        <v>15</v>
      </c>
      <c r="B1083" s="35" t="s">
        <v>362</v>
      </c>
      <c r="C1083" s="35" t="s">
        <v>2034</v>
      </c>
      <c r="D1083" s="36">
        <v>0</v>
      </c>
      <c r="F1083" s="36">
        <v>0</v>
      </c>
      <c r="H1083" s="36">
        <v>0</v>
      </c>
      <c r="I1083" s="36">
        <v>0</v>
      </c>
      <c r="L1083" s="36">
        <v>0</v>
      </c>
      <c r="N1083" s="36">
        <v>0</v>
      </c>
      <c r="O1083" s="36">
        <v>0</v>
      </c>
      <c r="P1083" s="36">
        <v>0</v>
      </c>
      <c r="Q1083" s="36">
        <v>0</v>
      </c>
      <c r="T1083" s="36">
        <v>0</v>
      </c>
      <c r="U1083" s="35">
        <v>916</v>
      </c>
      <c r="W1083" s="35">
        <v>0</v>
      </c>
      <c r="X1083" s="35">
        <v>0</v>
      </c>
    </row>
    <row r="1084" spans="1:24" x14ac:dyDescent="0.2">
      <c r="A1084" s="35">
        <v>16</v>
      </c>
      <c r="B1084" s="35" t="s">
        <v>363</v>
      </c>
      <c r="D1084" s="36">
        <v>837646</v>
      </c>
      <c r="F1084" s="36">
        <v>794217.3368437452</v>
      </c>
      <c r="H1084" s="36">
        <v>43422.5222253787</v>
      </c>
      <c r="I1084" s="36">
        <v>6.1409308761672605</v>
      </c>
      <c r="L1084" s="36">
        <v>6.1409308761672605</v>
      </c>
      <c r="N1084" s="36">
        <v>0</v>
      </c>
      <c r="O1084" s="36">
        <v>0</v>
      </c>
      <c r="P1084" s="36">
        <v>0</v>
      </c>
      <c r="Q1084" s="36">
        <v>0</v>
      </c>
    </row>
    <row r="1085" spans="1:24" x14ac:dyDescent="0.2">
      <c r="F1085" s="36"/>
    </row>
    <row r="1086" spans="1:24" x14ac:dyDescent="0.2">
      <c r="B1086" s="35" t="s">
        <v>364</v>
      </c>
      <c r="F1086" s="36"/>
    </row>
    <row r="1087" spans="1:24" x14ac:dyDescent="0.2">
      <c r="F1087" s="36"/>
    </row>
    <row r="1088" spans="1:24" x14ac:dyDescent="0.2">
      <c r="B1088" s="35" t="s">
        <v>283</v>
      </c>
      <c r="F1088" s="36"/>
    </row>
    <row r="1089" spans="1:33" x14ac:dyDescent="0.2">
      <c r="A1089" s="35">
        <v>17</v>
      </c>
      <c r="B1089" s="35" t="s">
        <v>284</v>
      </c>
      <c r="C1089" s="35" t="s">
        <v>1414</v>
      </c>
      <c r="D1089" s="36">
        <v>6240515</v>
      </c>
      <c r="F1089" s="36">
        <v>5543868.9752872689</v>
      </c>
      <c r="H1089" s="36">
        <v>308490.29022102396</v>
      </c>
      <c r="I1089" s="36">
        <v>388155.73449170648</v>
      </c>
      <c r="L1089" s="36">
        <v>135.06062929945958</v>
      </c>
      <c r="N1089" s="36">
        <v>388020.67386240704</v>
      </c>
      <c r="O1089" s="36">
        <v>122298.17186242226</v>
      </c>
      <c r="P1089" s="36">
        <v>265722.50199998479</v>
      </c>
      <c r="Q1089" s="36">
        <v>8.2926188622408009E-15</v>
      </c>
      <c r="T1089" s="36">
        <v>6240515</v>
      </c>
      <c r="U1089" s="35">
        <v>924</v>
      </c>
      <c r="W1089" s="35">
        <v>6240515</v>
      </c>
      <c r="X1089" s="35">
        <v>0</v>
      </c>
    </row>
    <row r="1090" spans="1:33" x14ac:dyDescent="0.2">
      <c r="A1090" s="35">
        <v>18</v>
      </c>
      <c r="B1090" s="35" t="s">
        <v>285</v>
      </c>
      <c r="D1090" s="36">
        <v>6240515</v>
      </c>
      <c r="F1090" s="36">
        <v>5543868.9752872689</v>
      </c>
      <c r="H1090" s="36">
        <v>308490.29022102396</v>
      </c>
      <c r="I1090" s="36">
        <v>388155.73449170648</v>
      </c>
      <c r="L1090" s="36">
        <v>135.06062929945958</v>
      </c>
      <c r="N1090" s="36">
        <v>388020.67386240704</v>
      </c>
      <c r="O1090" s="36">
        <v>122298.17186242226</v>
      </c>
      <c r="P1090" s="36">
        <v>265722.50199998479</v>
      </c>
      <c r="Q1090" s="36">
        <v>8.2926188622408009E-15</v>
      </c>
    </row>
    <row r="1091" spans="1:33" x14ac:dyDescent="0.2">
      <c r="F1091" s="36"/>
    </row>
    <row r="1092" spans="1:33" x14ac:dyDescent="0.2">
      <c r="B1092" s="35" t="s">
        <v>286</v>
      </c>
      <c r="F1092" s="36"/>
    </row>
    <row r="1093" spans="1:33" x14ac:dyDescent="0.2">
      <c r="A1093" s="35">
        <v>19</v>
      </c>
      <c r="B1093" s="35" t="s">
        <v>287</v>
      </c>
      <c r="C1093" s="35" t="s">
        <v>1493</v>
      </c>
      <c r="D1093" s="36">
        <v>37411569</v>
      </c>
      <c r="F1093" s="36">
        <v>33809231.790585563</v>
      </c>
      <c r="H1093" s="36">
        <v>1755544.8706008829</v>
      </c>
      <c r="I1093" s="36">
        <v>1846792.3388135568</v>
      </c>
      <c r="L1093" s="36">
        <v>842.55518194507727</v>
      </c>
      <c r="N1093" s="36">
        <v>1845949.7836316118</v>
      </c>
      <c r="O1093" s="36">
        <v>589301.99402958783</v>
      </c>
      <c r="P1093" s="36">
        <v>1256647.789602024</v>
      </c>
      <c r="Q1093" s="36">
        <v>1.8931227399167373E-12</v>
      </c>
      <c r="T1093" s="36">
        <v>37411569</v>
      </c>
      <c r="U1093" s="35">
        <v>920</v>
      </c>
      <c r="W1093" s="35">
        <v>37411569</v>
      </c>
      <c r="X1093" s="35">
        <v>0</v>
      </c>
    </row>
    <row r="1094" spans="1:33" x14ac:dyDescent="0.2">
      <c r="A1094" s="35">
        <v>20</v>
      </c>
      <c r="B1094" s="35" t="s">
        <v>288</v>
      </c>
      <c r="C1094" s="35" t="s">
        <v>1493</v>
      </c>
      <c r="D1094" s="36">
        <v>8043619</v>
      </c>
      <c r="F1094" s="36">
        <v>7269103.8220331799</v>
      </c>
      <c r="H1094" s="36">
        <v>377448.32558393379</v>
      </c>
      <c r="I1094" s="36">
        <v>397066.85238288634</v>
      </c>
      <c r="L1094" s="36">
        <v>181.15232937816322</v>
      </c>
      <c r="N1094" s="36">
        <v>396885.70005350816</v>
      </c>
      <c r="O1094" s="36">
        <v>126702.00268570078</v>
      </c>
      <c r="P1094" s="36">
        <v>270183.69736780738</v>
      </c>
      <c r="Q1094" s="36">
        <v>4.0702805167370356E-13</v>
      </c>
      <c r="T1094" s="36">
        <v>8043619</v>
      </c>
      <c r="U1094" s="35">
        <v>921</v>
      </c>
      <c r="W1094" s="35">
        <v>8043619</v>
      </c>
      <c r="X1094" s="35">
        <v>0</v>
      </c>
    </row>
    <row r="1095" spans="1:33" x14ac:dyDescent="0.2">
      <c r="A1095" s="35">
        <v>21</v>
      </c>
      <c r="B1095" s="35" t="s">
        <v>289</v>
      </c>
      <c r="C1095" s="35" t="s">
        <v>1493</v>
      </c>
      <c r="D1095" s="36">
        <v>-4884600.9999999898</v>
      </c>
      <c r="F1095" s="36">
        <v>-4414265.7425975818</v>
      </c>
      <c r="H1095" s="36">
        <v>-229210.81525562122</v>
      </c>
      <c r="I1095" s="36">
        <v>-241124.44214678675</v>
      </c>
      <c r="L1095" s="36">
        <v>-110.0073050741095</v>
      </c>
      <c r="N1095" s="36">
        <v>-241014.43484171265</v>
      </c>
      <c r="O1095" s="36">
        <v>-76941.576797779126</v>
      </c>
      <c r="P1095" s="36">
        <v>-164072.85804393352</v>
      </c>
      <c r="Q1095" s="36">
        <v>-2.471735208036855E-13</v>
      </c>
      <c r="T1095" s="36">
        <v>-4884600.9999999898</v>
      </c>
      <c r="U1095" s="35">
        <v>922</v>
      </c>
      <c r="W1095" s="35">
        <v>-4884600.9999999898</v>
      </c>
      <c r="X1095" s="35">
        <v>0</v>
      </c>
      <c r="Z1095" s="35" t="s">
        <v>1842</v>
      </c>
      <c r="AA1095" s="35" t="s">
        <v>1843</v>
      </c>
      <c r="AB1095" s="35" t="s">
        <v>1844</v>
      </c>
      <c r="AC1095" s="35" t="s">
        <v>934</v>
      </c>
      <c r="AD1095" s="35" t="s">
        <v>68</v>
      </c>
    </row>
    <row r="1096" spans="1:33" x14ac:dyDescent="0.2">
      <c r="A1096" s="35">
        <v>22</v>
      </c>
      <c r="B1096" s="35" t="s">
        <v>290</v>
      </c>
      <c r="C1096" s="35" t="s">
        <v>1493</v>
      </c>
      <c r="D1096" s="36">
        <v>21171836</v>
      </c>
      <c r="F1096" s="36">
        <v>19133212.797257014</v>
      </c>
      <c r="H1096" s="36">
        <v>993492.36304425285</v>
      </c>
      <c r="I1096" s="36">
        <v>1045130.8396987322</v>
      </c>
      <c r="L1096" s="36">
        <v>476.81614564444857</v>
      </c>
      <c r="N1096" s="36">
        <v>1044654.0235530878</v>
      </c>
      <c r="O1096" s="36">
        <v>333495.90796545887</v>
      </c>
      <c r="P1096" s="36">
        <v>711158.11558762903</v>
      </c>
      <c r="Q1096" s="36">
        <v>1.0713499927626081E-12</v>
      </c>
      <c r="T1096" s="36">
        <v>21171836</v>
      </c>
      <c r="U1096" s="35">
        <v>923</v>
      </c>
      <c r="W1096" s="35">
        <v>21171836</v>
      </c>
      <c r="X1096" s="35">
        <v>0</v>
      </c>
      <c r="Z1096" s="35">
        <v>521995</v>
      </c>
      <c r="AA1096" s="35">
        <v>0</v>
      </c>
      <c r="AB1096" s="35">
        <v>4219982.9999999898</v>
      </c>
      <c r="AC1096" s="35">
        <v>0</v>
      </c>
      <c r="AD1096" s="35">
        <v>4741977.9999999898</v>
      </c>
      <c r="AE1096" s="35" t="s">
        <v>1845</v>
      </c>
      <c r="AF1096" s="35" t="s">
        <v>1846</v>
      </c>
      <c r="AG1096" s="35">
        <v>521995</v>
      </c>
    </row>
    <row r="1097" spans="1:33" x14ac:dyDescent="0.2">
      <c r="A1097" s="35">
        <v>23</v>
      </c>
      <c r="B1097" s="35" t="s">
        <v>291</v>
      </c>
      <c r="C1097" s="35" t="s">
        <v>1493</v>
      </c>
      <c r="D1097" s="36">
        <v>4319943.9999999898</v>
      </c>
      <c r="F1097" s="36">
        <v>3904092.4577877838</v>
      </c>
      <c r="H1097" s="36">
        <v>202658.99593024864</v>
      </c>
      <c r="I1097" s="36">
        <v>213192.54628195707</v>
      </c>
      <c r="L1097" s="36">
        <v>97.264040383298777</v>
      </c>
      <c r="N1097" s="36">
        <v>213095.28224157376</v>
      </c>
      <c r="O1097" s="36">
        <v>68028.651622474572</v>
      </c>
      <c r="P1097" s="36">
        <v>145066.63061909919</v>
      </c>
      <c r="Q1097" s="36">
        <v>2.1854089865155637E-13</v>
      </c>
      <c r="T1097" s="36">
        <v>4318767.9999999898</v>
      </c>
      <c r="U1097" s="35">
        <v>925</v>
      </c>
      <c r="W1097" s="35">
        <v>4319943.9999999898</v>
      </c>
      <c r="X1097" s="35">
        <v>1176</v>
      </c>
      <c r="Y1097" s="35">
        <v>1176</v>
      </c>
      <c r="AE1097" s="35" t="s">
        <v>1847</v>
      </c>
      <c r="AF1097" s="35" t="s">
        <v>1848</v>
      </c>
    </row>
    <row r="1098" spans="1:33" x14ac:dyDescent="0.2">
      <c r="A1098" s="35">
        <v>24</v>
      </c>
      <c r="B1098" s="35" t="s">
        <v>292</v>
      </c>
      <c r="C1098" s="35" t="s">
        <v>1493</v>
      </c>
      <c r="D1098" s="36">
        <v>42916267.244429894</v>
      </c>
      <c r="F1098" s="36">
        <v>38783885.991353229</v>
      </c>
      <c r="H1098" s="36">
        <v>2013853.8649981662</v>
      </c>
      <c r="I1098" s="36">
        <v>2118527.3880784931</v>
      </c>
      <c r="L1098" s="36">
        <v>966.52785015603547</v>
      </c>
      <c r="N1098" s="36">
        <v>2117560.8602283369</v>
      </c>
      <c r="O1098" s="36">
        <v>676011.25906933274</v>
      </c>
      <c r="P1098" s="36">
        <v>1441549.6011590043</v>
      </c>
      <c r="Q1098" s="36">
        <v>2.1716747948415108E-12</v>
      </c>
      <c r="T1098" s="36">
        <v>42916267.244429886</v>
      </c>
      <c r="U1098" s="35">
        <v>926</v>
      </c>
      <c r="W1098" s="35">
        <v>43705184</v>
      </c>
      <c r="X1098" s="35">
        <v>0</v>
      </c>
      <c r="AE1098" s="35" t="s">
        <v>2294</v>
      </c>
      <c r="AF1098" s="35" t="s">
        <v>2295</v>
      </c>
    </row>
    <row r="1099" spans="1:33" x14ac:dyDescent="0.2">
      <c r="A1099" s="35">
        <v>25</v>
      </c>
      <c r="B1099" s="35" t="s">
        <v>2364</v>
      </c>
      <c r="C1099" s="35" t="s">
        <v>2175</v>
      </c>
      <c r="D1099" s="36">
        <v>128220</v>
      </c>
      <c r="F1099" s="36">
        <v>128220</v>
      </c>
      <c r="H1099" s="36">
        <v>0</v>
      </c>
      <c r="I1099" s="36">
        <v>0</v>
      </c>
      <c r="L1099" s="36">
        <v>0</v>
      </c>
      <c r="N1099" s="36">
        <v>0</v>
      </c>
      <c r="O1099" s="36">
        <v>0</v>
      </c>
      <c r="P1099" s="36">
        <v>0</v>
      </c>
      <c r="Q1099" s="36">
        <v>0</v>
      </c>
      <c r="T1099" s="36">
        <v>128220</v>
      </c>
      <c r="X1099" s="35">
        <v>0</v>
      </c>
      <c r="Y1099" s="35" t="s">
        <v>2404</v>
      </c>
      <c r="AE1099" s="35" t="s">
        <v>1849</v>
      </c>
      <c r="AF1099" s="35" t="s">
        <v>1850</v>
      </c>
    </row>
    <row r="1100" spans="1:33" x14ac:dyDescent="0.2">
      <c r="A1100" s="35">
        <v>26</v>
      </c>
      <c r="B1100" s="35" t="s">
        <v>2365</v>
      </c>
      <c r="C1100" s="35" t="s">
        <v>2175</v>
      </c>
      <c r="D1100" s="36">
        <v>321576.9289718871</v>
      </c>
      <c r="F1100" s="36">
        <v>0</v>
      </c>
      <c r="H1100" s="36">
        <v>321576.9289718871</v>
      </c>
      <c r="I1100" s="36">
        <v>0</v>
      </c>
      <c r="L1100" s="36">
        <v>0</v>
      </c>
      <c r="N1100" s="36">
        <v>0</v>
      </c>
      <c r="O1100" s="36">
        <v>0</v>
      </c>
      <c r="P1100" s="36">
        <v>0</v>
      </c>
      <c r="Q1100" s="36">
        <v>0</v>
      </c>
      <c r="T1100" s="36">
        <v>321576.9289718871</v>
      </c>
      <c r="X1100" s="35">
        <v>0</v>
      </c>
      <c r="Y1100" s="35" t="s">
        <v>2405</v>
      </c>
      <c r="AE1100" s="35" t="s">
        <v>2171</v>
      </c>
      <c r="AF1100" s="35" t="s">
        <v>2172</v>
      </c>
    </row>
    <row r="1101" spans="1:33" x14ac:dyDescent="0.2">
      <c r="A1101" s="35">
        <v>27</v>
      </c>
      <c r="B1101" s="35" t="s">
        <v>2366</v>
      </c>
      <c r="C1101" s="35" t="s">
        <v>2175</v>
      </c>
      <c r="D1101" s="36">
        <v>0</v>
      </c>
      <c r="F1101" s="36">
        <v>0</v>
      </c>
      <c r="H1101" s="36">
        <v>0</v>
      </c>
      <c r="I1101" s="36">
        <v>0</v>
      </c>
      <c r="L1101" s="36">
        <v>0</v>
      </c>
      <c r="N1101" s="36">
        <v>0</v>
      </c>
      <c r="O1101" s="36">
        <v>0</v>
      </c>
      <c r="P1101" s="36">
        <v>0</v>
      </c>
      <c r="Q1101" s="36">
        <v>0</v>
      </c>
      <c r="X1101" s="35">
        <v>0</v>
      </c>
      <c r="Y1101" s="35">
        <v>188407217</v>
      </c>
      <c r="AE1101" s="35" t="s">
        <v>2173</v>
      </c>
      <c r="AF1101" s="35" t="s">
        <v>2174</v>
      </c>
    </row>
    <row r="1102" spans="1:33" x14ac:dyDescent="0.2">
      <c r="A1102" s="35">
        <v>27</v>
      </c>
      <c r="B1102" s="35" t="s">
        <v>2367</v>
      </c>
      <c r="C1102" s="35" t="s">
        <v>2175</v>
      </c>
      <c r="D1102" s="36">
        <v>339119.82659822685</v>
      </c>
      <c r="F1102" s="36">
        <v>0</v>
      </c>
      <c r="H1102" s="36">
        <v>0</v>
      </c>
      <c r="I1102" s="36">
        <v>339119.82659822685</v>
      </c>
      <c r="L1102" s="36">
        <v>134.49130541274116</v>
      </c>
      <c r="N1102" s="36">
        <v>338985.33529281412</v>
      </c>
      <c r="O1102" s="36">
        <v>108217.85934059296</v>
      </c>
      <c r="P1102" s="36">
        <v>230767.47595222117</v>
      </c>
      <c r="Q1102" s="36">
        <v>0</v>
      </c>
      <c r="T1102" s="36">
        <v>339119.82659822685</v>
      </c>
      <c r="X1102" s="35">
        <v>0</v>
      </c>
      <c r="AE1102" s="35" t="s">
        <v>1855</v>
      </c>
    </row>
    <row r="1103" spans="1:33" x14ac:dyDescent="0.2">
      <c r="A1103" s="35">
        <v>28</v>
      </c>
      <c r="B1103" s="35" t="s">
        <v>2368</v>
      </c>
      <c r="C1103" s="35" t="s">
        <v>2276</v>
      </c>
      <c r="D1103" s="36">
        <v>46179.000000000007</v>
      </c>
      <c r="F1103" s="36">
        <v>43898.476935244908</v>
      </c>
      <c r="H1103" s="36">
        <v>2279.4290768925403</v>
      </c>
      <c r="I1103" s="36">
        <v>1.093987862557301</v>
      </c>
      <c r="L1103" s="36">
        <v>1.093987862557301</v>
      </c>
      <c r="N1103" s="36">
        <v>0</v>
      </c>
      <c r="O1103" s="36">
        <v>0</v>
      </c>
      <c r="P1103" s="36">
        <v>0</v>
      </c>
      <c r="Q1103" s="36">
        <v>0</v>
      </c>
      <c r="T1103" s="36">
        <v>46179</v>
      </c>
      <c r="U1103" s="35">
        <v>930.1</v>
      </c>
      <c r="W1103" s="35">
        <v>46179</v>
      </c>
      <c r="AE1103" s="35" t="s">
        <v>1856</v>
      </c>
      <c r="AF1103" s="35" t="s">
        <v>1857</v>
      </c>
    </row>
    <row r="1104" spans="1:33" x14ac:dyDescent="0.2">
      <c r="A1104" s="35">
        <v>29</v>
      </c>
      <c r="B1104" s="35" t="s">
        <v>2369</v>
      </c>
      <c r="C1104" s="35" t="s">
        <v>1493</v>
      </c>
      <c r="D1104" s="36">
        <v>5691533.9999999991</v>
      </c>
      <c r="F1104" s="36">
        <v>5153363.5442508301</v>
      </c>
      <c r="H1104" s="36">
        <v>262269.2791308586</v>
      </c>
      <c r="I1104" s="36">
        <v>275901.17661831091</v>
      </c>
      <c r="L1104" s="36">
        <v>125.87336495766677</v>
      </c>
      <c r="N1104" s="36">
        <v>275775.30325335322</v>
      </c>
      <c r="O1104" s="36">
        <v>88038.654979873361</v>
      </c>
      <c r="P1104" s="36">
        <v>187736.64827347989</v>
      </c>
      <c r="Q1104" s="36">
        <v>2.828226977384265E-13</v>
      </c>
      <c r="T1104" s="36">
        <v>5589093.96</v>
      </c>
      <c r="U1104" s="35">
        <v>930.2</v>
      </c>
      <c r="W1104" s="35">
        <v>5691534</v>
      </c>
      <c r="X1104" s="35">
        <v>102440.03999999911</v>
      </c>
      <c r="Y1104" s="35" t="s">
        <v>2406</v>
      </c>
      <c r="Z1104" s="35" t="s">
        <v>1852</v>
      </c>
      <c r="AA1104" s="35" t="s">
        <v>1853</v>
      </c>
      <c r="AB1104" s="35" t="s">
        <v>1854</v>
      </c>
      <c r="AC1104" s="35" t="s">
        <v>1315</v>
      </c>
      <c r="AD1104" s="35" t="s">
        <v>68</v>
      </c>
      <c r="AE1104" s="35" t="s">
        <v>1858</v>
      </c>
      <c r="AF1104" s="35" t="s">
        <v>1859</v>
      </c>
      <c r="AG1104" s="35">
        <v>4219982.9999999898</v>
      </c>
    </row>
    <row r="1105" spans="1:34" x14ac:dyDescent="0.2">
      <c r="A1105" s="35">
        <v>30</v>
      </c>
      <c r="B1105" s="35" t="s">
        <v>294</v>
      </c>
      <c r="C1105" s="35" t="s">
        <v>1493</v>
      </c>
      <c r="D1105" s="36">
        <v>2026239</v>
      </c>
      <c r="F1105" s="36">
        <v>1831133.6799085943</v>
      </c>
      <c r="H1105" s="36">
        <v>95081.643944456402</v>
      </c>
      <c r="I1105" s="36">
        <v>100023.67614694918</v>
      </c>
      <c r="L1105" s="36">
        <v>45.633428774644855</v>
      </c>
      <c r="N1105" s="36">
        <v>99978.042718174533</v>
      </c>
      <c r="O1105" s="36">
        <v>31917.043711278671</v>
      </c>
      <c r="P1105" s="36">
        <v>68060.999006895858</v>
      </c>
      <c r="Q1105" s="36">
        <v>1.0253296586962577E-13</v>
      </c>
      <c r="T1105" s="36">
        <v>2026239</v>
      </c>
      <c r="U1105" s="35">
        <v>931</v>
      </c>
      <c r="W1105" s="35">
        <v>2026239</v>
      </c>
      <c r="X1105" s="35">
        <v>0</v>
      </c>
      <c r="Y1105" s="35" t="s">
        <v>2407</v>
      </c>
      <c r="Z1105" s="35">
        <v>1042686</v>
      </c>
      <c r="AA1105" s="35">
        <v>0</v>
      </c>
      <c r="AB1105" s="35">
        <v>0</v>
      </c>
      <c r="AC1105" s="35">
        <v>0</v>
      </c>
      <c r="AD1105" s="35">
        <v>1042686</v>
      </c>
      <c r="AE1105" s="35" t="s">
        <v>2296</v>
      </c>
      <c r="AF1105" s="35" t="s">
        <v>2297</v>
      </c>
    </row>
    <row r="1106" spans="1:34" x14ac:dyDescent="0.2">
      <c r="A1106" s="35">
        <v>31</v>
      </c>
      <c r="B1106" s="35" t="s">
        <v>295</v>
      </c>
      <c r="C1106" s="35" t="s">
        <v>1493</v>
      </c>
      <c r="D1106" s="36">
        <v>966814</v>
      </c>
      <c r="F1106" s="36">
        <v>873720.0683666378</v>
      </c>
      <c r="H1106" s="36">
        <v>45367.92772645066</v>
      </c>
      <c r="I1106" s="36">
        <v>47726.00390691153</v>
      </c>
      <c r="L1106" s="36">
        <v>21.773856789514706</v>
      </c>
      <c r="N1106" s="36">
        <v>47704.230050122016</v>
      </c>
      <c r="O1106" s="36">
        <v>15229.123858871622</v>
      </c>
      <c r="P1106" s="36">
        <v>32475.106191250394</v>
      </c>
      <c r="Q1106" s="36">
        <v>4.8923304143428474E-14</v>
      </c>
      <c r="T1106" s="36">
        <v>966814</v>
      </c>
      <c r="U1106" s="35">
        <v>935</v>
      </c>
      <c r="W1106" s="35">
        <v>966814</v>
      </c>
      <c r="X1106" s="35">
        <v>0</v>
      </c>
      <c r="Z1106" s="35">
        <v>275687.56</v>
      </c>
    </row>
    <row r="1107" spans="1:34" x14ac:dyDescent="0.2">
      <c r="A1107" s="35">
        <v>32</v>
      </c>
      <c r="B1107" s="35" t="s">
        <v>296</v>
      </c>
      <c r="D1107" s="36">
        <v>118498317</v>
      </c>
      <c r="F1107" s="36">
        <v>106515596.88588049</v>
      </c>
      <c r="H1107" s="36">
        <v>5840362.8137524091</v>
      </c>
      <c r="I1107" s="36">
        <v>6142357.3003670992</v>
      </c>
      <c r="L1107" s="36">
        <v>2783.1741862300387</v>
      </c>
      <c r="N1107" s="36">
        <v>6139574.1261808695</v>
      </c>
      <c r="O1107" s="36">
        <v>1960000.9204653923</v>
      </c>
      <c r="P1107" s="36">
        <v>4179573.2057154775</v>
      </c>
      <c r="Q1107" s="36">
        <v>5.9488219247939113E-12</v>
      </c>
      <c r="AE1107" s="35" t="s">
        <v>2176</v>
      </c>
      <c r="AF1107" s="35" t="s">
        <v>2177</v>
      </c>
      <c r="AG1107" s="35">
        <v>0</v>
      </c>
    </row>
    <row r="1108" spans="1:34" x14ac:dyDescent="0.2">
      <c r="F1108" s="36"/>
      <c r="Z1108" s="35">
        <v>275687.56</v>
      </c>
      <c r="AE1108" s="35" t="s">
        <v>1860</v>
      </c>
      <c r="AF1108" s="35" t="s">
        <v>1861</v>
      </c>
      <c r="AG1108" s="35">
        <v>0</v>
      </c>
    </row>
    <row r="1109" spans="1:34" x14ac:dyDescent="0.2">
      <c r="B1109" s="35" t="s">
        <v>297</v>
      </c>
      <c r="F1109" s="36"/>
      <c r="Z1109" s="35">
        <v>766998.44</v>
      </c>
    </row>
    <row r="1110" spans="1:34" x14ac:dyDescent="0.2">
      <c r="A1110" s="35">
        <v>33</v>
      </c>
      <c r="B1110" s="35" t="s">
        <v>2370</v>
      </c>
      <c r="C1110" s="35" t="s">
        <v>2175</v>
      </c>
      <c r="D1110" s="36">
        <v>1414752</v>
      </c>
      <c r="F1110" s="36">
        <v>1414752</v>
      </c>
      <c r="H1110" s="36">
        <v>0</v>
      </c>
      <c r="I1110" s="36">
        <v>0</v>
      </c>
      <c r="L1110" s="36">
        <v>0</v>
      </c>
      <c r="N1110" s="36">
        <v>0</v>
      </c>
      <c r="O1110" s="36">
        <v>0</v>
      </c>
      <c r="P1110" s="36">
        <v>0</v>
      </c>
      <c r="Q1110" s="36">
        <v>0</v>
      </c>
      <c r="T1110" s="36">
        <v>1414752</v>
      </c>
      <c r="U1110" s="35">
        <v>0</v>
      </c>
    </row>
    <row r="1111" spans="1:34" x14ac:dyDescent="0.2">
      <c r="A1111" s="35">
        <v>34</v>
      </c>
      <c r="B1111" s="35" t="s">
        <v>299</v>
      </c>
      <c r="C1111" s="35" t="s">
        <v>2175</v>
      </c>
      <c r="D1111" s="36">
        <v>0</v>
      </c>
      <c r="F1111" s="36">
        <v>0</v>
      </c>
      <c r="H1111" s="36">
        <v>0</v>
      </c>
      <c r="I1111" s="36">
        <v>0</v>
      </c>
      <c r="L1111" s="36">
        <v>0</v>
      </c>
      <c r="N1111" s="36">
        <v>0</v>
      </c>
      <c r="O1111" s="36">
        <v>0</v>
      </c>
      <c r="P1111" s="36">
        <v>0</v>
      </c>
      <c r="Q1111" s="36">
        <v>0</v>
      </c>
      <c r="T1111" s="36">
        <v>0</v>
      </c>
    </row>
    <row r="1112" spans="1:34" x14ac:dyDescent="0.2">
      <c r="A1112" s="35">
        <v>35</v>
      </c>
      <c r="B1112" s="35" t="s">
        <v>298</v>
      </c>
      <c r="C1112" s="35" t="s">
        <v>59</v>
      </c>
      <c r="D1112" s="36">
        <v>0</v>
      </c>
      <c r="F1112" s="36">
        <v>0</v>
      </c>
      <c r="H1112" s="36">
        <v>0</v>
      </c>
      <c r="I1112" s="36">
        <v>0</v>
      </c>
      <c r="L1112" s="36">
        <v>0</v>
      </c>
      <c r="N1112" s="36">
        <v>0</v>
      </c>
      <c r="O1112" s="36">
        <v>0</v>
      </c>
      <c r="P1112" s="36">
        <v>0</v>
      </c>
      <c r="Q1112" s="36">
        <v>0</v>
      </c>
      <c r="T1112" s="36">
        <v>0</v>
      </c>
      <c r="Y1112" s="35" t="s">
        <v>1851</v>
      </c>
      <c r="Z1112" s="35" t="s">
        <v>304</v>
      </c>
      <c r="AE1112" s="35" t="s">
        <v>1860</v>
      </c>
      <c r="AF1112" s="35" t="s">
        <v>2298</v>
      </c>
      <c r="AG1112" s="35">
        <v>102440.04000000001</v>
      </c>
      <c r="AH1112" s="35" t="s">
        <v>2299</v>
      </c>
    </row>
    <row r="1113" spans="1:34" x14ac:dyDescent="0.2">
      <c r="A1113" s="35">
        <v>36</v>
      </c>
      <c r="B1113" s="35" t="s">
        <v>300</v>
      </c>
      <c r="C1113" s="35" t="s">
        <v>1444</v>
      </c>
      <c r="D1113" s="36">
        <v>438437.99999998993</v>
      </c>
      <c r="F1113" s="36">
        <v>385554.67307216552</v>
      </c>
      <c r="H1113" s="36">
        <v>15983.35259631707</v>
      </c>
      <c r="I1113" s="36">
        <v>36899.974331507343</v>
      </c>
      <c r="L1113" s="36">
        <v>1.8593723404197313</v>
      </c>
      <c r="N1113" s="36">
        <v>36898.114959166924</v>
      </c>
      <c r="O1113" s="36">
        <v>11660.29914704437</v>
      </c>
      <c r="P1113" s="36">
        <v>25237.81581212255</v>
      </c>
      <c r="Q1113" s="36">
        <v>0</v>
      </c>
      <c r="T1113" s="36">
        <v>438437.99999998999</v>
      </c>
      <c r="U1113" s="35">
        <v>928</v>
      </c>
      <c r="W1113" s="35">
        <v>438437.99999998999</v>
      </c>
      <c r="X1113" s="35">
        <v>0</v>
      </c>
      <c r="Y1113" s="35">
        <v>1853189.99999999</v>
      </c>
      <c r="AA1113" s="35">
        <v>1181890500.8093729</v>
      </c>
      <c r="AB1113" s="35">
        <v>0</v>
      </c>
    </row>
    <row r="1114" spans="1:34" x14ac:dyDescent="0.2">
      <c r="A1114" s="35">
        <v>37</v>
      </c>
      <c r="B1114" s="35" t="s">
        <v>301</v>
      </c>
      <c r="D1114" s="36">
        <v>1853189.9999999902</v>
      </c>
      <c r="F1114" s="36">
        <v>1800306.6730721656</v>
      </c>
      <c r="H1114" s="36">
        <v>15983.35259631707</v>
      </c>
      <c r="I1114" s="36">
        <v>36899.974331507343</v>
      </c>
      <c r="L1114" s="36">
        <v>1.8593723404197313</v>
      </c>
      <c r="N1114" s="36">
        <v>36898.114959166924</v>
      </c>
      <c r="O1114" s="36">
        <v>11660.29914704437</v>
      </c>
      <c r="P1114" s="36">
        <v>25237.81581212255</v>
      </c>
      <c r="Q1114" s="36">
        <v>0</v>
      </c>
      <c r="Y1114" s="35" t="s">
        <v>2408</v>
      </c>
      <c r="AG1114" s="35">
        <v>102440.04000000001</v>
      </c>
    </row>
    <row r="1115" spans="1:34" x14ac:dyDescent="0.2">
      <c r="F1115" s="36"/>
      <c r="Y1115" s="35" t="s">
        <v>2409</v>
      </c>
    </row>
    <row r="1116" spans="1:34" x14ac:dyDescent="0.2">
      <c r="A1116" s="35">
        <v>38</v>
      </c>
      <c r="B1116" s="35" t="s">
        <v>302</v>
      </c>
      <c r="C1116" s="35" t="s">
        <v>911</v>
      </c>
      <c r="D1116" s="36">
        <v>0</v>
      </c>
      <c r="F1116" s="36">
        <v>0</v>
      </c>
      <c r="H1116" s="36">
        <v>0</v>
      </c>
      <c r="I1116" s="36">
        <v>0</v>
      </c>
      <c r="L1116" s="36">
        <v>0</v>
      </c>
      <c r="N1116" s="36">
        <v>0</v>
      </c>
      <c r="O1116" s="36">
        <v>0</v>
      </c>
      <c r="P1116" s="36">
        <v>0</v>
      </c>
      <c r="Q1116" s="36">
        <v>0</v>
      </c>
      <c r="T1116" s="36">
        <v>0</v>
      </c>
      <c r="U1116" s="35">
        <v>927</v>
      </c>
      <c r="W1116" s="35">
        <v>0</v>
      </c>
      <c r="X1116" s="35">
        <v>0</v>
      </c>
    </row>
    <row r="1117" spans="1:34" x14ac:dyDescent="0.2">
      <c r="A1117" s="35">
        <v>39</v>
      </c>
      <c r="B1117" s="35" t="s">
        <v>293</v>
      </c>
      <c r="C1117" s="35" t="s">
        <v>911</v>
      </c>
      <c r="D1117" s="36">
        <v>0</v>
      </c>
      <c r="F1117" s="36">
        <v>0</v>
      </c>
      <c r="H1117" s="36">
        <v>0</v>
      </c>
      <c r="I1117" s="36">
        <v>0</v>
      </c>
      <c r="L1117" s="36">
        <v>0</v>
      </c>
      <c r="N1117" s="36">
        <v>0</v>
      </c>
      <c r="O1117" s="36">
        <v>0</v>
      </c>
      <c r="P1117" s="36">
        <v>0</v>
      </c>
      <c r="Q1117" s="36">
        <v>0</v>
      </c>
      <c r="T1117" s="36">
        <v>0</v>
      </c>
      <c r="U1117" s="35">
        <v>929</v>
      </c>
      <c r="W1117" s="35">
        <v>0</v>
      </c>
      <c r="X1117" s="35">
        <v>0</v>
      </c>
    </row>
    <row r="1118" spans="1:34" x14ac:dyDescent="0.2">
      <c r="F1118" s="36"/>
      <c r="Y1118" s="35" t="s">
        <v>849</v>
      </c>
    </row>
    <row r="1119" spans="1:34" x14ac:dyDescent="0.2">
      <c r="A1119" s="35">
        <v>40</v>
      </c>
      <c r="B1119" s="35" t="s">
        <v>303</v>
      </c>
      <c r="D1119" s="36">
        <v>126592021.99999997</v>
      </c>
      <c r="F1119" s="36">
        <v>113859772.53423992</v>
      </c>
      <c r="H1119" s="36">
        <v>6164836.4565697508</v>
      </c>
      <c r="I1119" s="36">
        <v>6567413.0091903135</v>
      </c>
      <c r="L1119" s="36">
        <v>2920.0941878699177</v>
      </c>
      <c r="N1119" s="36">
        <v>6564492.9150024438</v>
      </c>
      <c r="O1119" s="36">
        <v>2093959.3914748589</v>
      </c>
      <c r="P1119" s="36">
        <v>4470533.523527585</v>
      </c>
      <c r="Q1119" s="36">
        <v>5.957114543656152E-12</v>
      </c>
    </row>
    <row r="1120" spans="1:34" x14ac:dyDescent="0.2">
      <c r="F1120" s="36"/>
    </row>
    <row r="1121" spans="1:22" x14ac:dyDescent="0.2">
      <c r="A1121" s="35">
        <v>41</v>
      </c>
      <c r="B1121" s="35" t="s">
        <v>278</v>
      </c>
      <c r="D1121" s="36">
        <v>1036208025.8785896</v>
      </c>
      <c r="F1121" s="36">
        <v>922833618.28418863</v>
      </c>
      <c r="H1121" s="36">
        <v>43381120.845020853</v>
      </c>
      <c r="I1121" s="36">
        <v>69993286.749380127</v>
      </c>
      <c r="L1121" s="36">
        <v>12825.99163919768</v>
      </c>
      <c r="N1121" s="36">
        <v>69980460.75774093</v>
      </c>
      <c r="O1121" s="36">
        <v>22133693.644759055</v>
      </c>
      <c r="P1121" s="36">
        <v>47846767.112981871</v>
      </c>
      <c r="Q1121" s="36">
        <v>5.957114543656152E-12</v>
      </c>
    </row>
    <row r="1122" spans="1:22" x14ac:dyDescent="0.2">
      <c r="B1122" s="35" t="s">
        <v>279</v>
      </c>
      <c r="D1122" s="36">
        <v>889072101.87858963</v>
      </c>
      <c r="F1122" s="36">
        <v>791261869.99412298</v>
      </c>
      <c r="H1122" s="36">
        <v>35999995.996435203</v>
      </c>
      <c r="L1122" s="36">
        <v>8596.3509651177155</v>
      </c>
      <c r="N1122" s="36">
        <v>61801639.537066363</v>
      </c>
    </row>
    <row r="1123" spans="1:22" x14ac:dyDescent="0.2">
      <c r="B1123" s="35" t="s">
        <v>280</v>
      </c>
      <c r="D1123" s="36">
        <v>147135923.99999997</v>
      </c>
      <c r="F1123" s="36">
        <v>131571748.29006569</v>
      </c>
      <c r="H1123" s="36">
        <v>7381124.8485856513</v>
      </c>
      <c r="L1123" s="36">
        <v>4229.6406740799675</v>
      </c>
      <c r="N1123" s="36">
        <v>8178821.2206745576</v>
      </c>
    </row>
    <row r="1124" spans="1:22" x14ac:dyDescent="0.2">
      <c r="B1124" s="35" t="s">
        <v>281</v>
      </c>
      <c r="D1124" s="36">
        <v>319120313.33172697</v>
      </c>
      <c r="F1124" s="36">
        <v>290081645.88479447</v>
      </c>
      <c r="H1124" s="36">
        <v>15190167.076225195</v>
      </c>
      <c r="L1124" s="36">
        <v>6189.122587036496</v>
      </c>
      <c r="N1124" s="36">
        <v>13842311.248120271</v>
      </c>
    </row>
    <row r="1125" spans="1:22" x14ac:dyDescent="0.2">
      <c r="B1125" s="35" t="s">
        <v>1229</v>
      </c>
      <c r="F1125" s="36"/>
    </row>
    <row r="1126" spans="1:22" x14ac:dyDescent="0.2">
      <c r="F1126" s="36"/>
    </row>
    <row r="1127" spans="1:22" x14ac:dyDescent="0.2">
      <c r="B1127" s="35" t="s">
        <v>1230</v>
      </c>
      <c r="F1127" s="36"/>
    </row>
    <row r="1128" spans="1:22" x14ac:dyDescent="0.2">
      <c r="F1128" s="36"/>
    </row>
    <row r="1129" spans="1:22" x14ac:dyDescent="0.2">
      <c r="B1129" s="35" t="s">
        <v>7</v>
      </c>
      <c r="F1129" s="36"/>
    </row>
    <row r="1130" spans="1:22" x14ac:dyDescent="0.2">
      <c r="B1130" s="35" t="s">
        <v>8</v>
      </c>
      <c r="F1130" s="36"/>
    </row>
    <row r="1131" spans="1:22" x14ac:dyDescent="0.2">
      <c r="A1131" s="35">
        <v>1</v>
      </c>
      <c r="B1131" s="35" t="s">
        <v>9</v>
      </c>
      <c r="C1131" s="35" t="s">
        <v>1495</v>
      </c>
      <c r="D1131" s="36">
        <v>171344585.50725687</v>
      </c>
      <c r="F1131" s="36">
        <v>150059691.21098113</v>
      </c>
      <c r="H1131" s="36">
        <v>6934793.7687277133</v>
      </c>
      <c r="I1131" s="36">
        <v>14350100.52754803</v>
      </c>
      <c r="L1131" s="36">
        <v>527.29877204894592</v>
      </c>
      <c r="N1131" s="36">
        <v>14349573.228775982</v>
      </c>
      <c r="O1131" s="36">
        <v>4453517.4924733927</v>
      </c>
      <c r="P1131" s="36">
        <v>9896055.73630259</v>
      </c>
      <c r="Q1131" s="36">
        <v>0</v>
      </c>
      <c r="T1131" s="36">
        <v>171344585.50725687</v>
      </c>
    </row>
    <row r="1132" spans="1:22" x14ac:dyDescent="0.2">
      <c r="A1132" s="35">
        <v>2</v>
      </c>
      <c r="B1132" s="35" t="s">
        <v>11</v>
      </c>
      <c r="C1132" s="35" t="s">
        <v>1335</v>
      </c>
      <c r="D1132" s="36">
        <v>352911.99999999959</v>
      </c>
      <c r="F1132" s="36">
        <v>0</v>
      </c>
      <c r="H1132" s="36">
        <v>114984.4831559364</v>
      </c>
      <c r="I1132" s="36">
        <v>237927.51684406321</v>
      </c>
      <c r="L1132" s="36">
        <v>0</v>
      </c>
      <c r="N1132" s="36">
        <v>237927.51684406321</v>
      </c>
      <c r="O1132" s="36">
        <v>73842.917926011258</v>
      </c>
      <c r="P1132" s="36">
        <v>164084.59891805195</v>
      </c>
      <c r="Q1132" s="36">
        <v>0</v>
      </c>
      <c r="T1132" s="36">
        <v>352911.99999999959</v>
      </c>
      <c r="V1132" s="35" t="s">
        <v>1231</v>
      </c>
    </row>
    <row r="1133" spans="1:22" x14ac:dyDescent="0.2">
      <c r="A1133" s="35">
        <v>3</v>
      </c>
      <c r="B1133" s="35" t="s">
        <v>12</v>
      </c>
      <c r="C1133" s="35" t="s">
        <v>1341</v>
      </c>
      <c r="D1133" s="36">
        <v>565413.99999999965</v>
      </c>
      <c r="F1133" s="36">
        <v>0</v>
      </c>
      <c r="H1133" s="36">
        <v>0</v>
      </c>
      <c r="I1133" s="36">
        <v>565413.99999999965</v>
      </c>
      <c r="L1133" s="36">
        <v>0</v>
      </c>
      <c r="N1133" s="36">
        <v>565413.99999999965</v>
      </c>
      <c r="O1133" s="36">
        <v>175481.25643483971</v>
      </c>
      <c r="P1133" s="36">
        <v>389932.74356515991</v>
      </c>
      <c r="Q1133" s="36">
        <v>0</v>
      </c>
      <c r="T1133" s="36">
        <v>565413.99999999965</v>
      </c>
      <c r="V1133" s="35" t="s">
        <v>1231</v>
      </c>
    </row>
    <row r="1134" spans="1:22" x14ac:dyDescent="0.2">
      <c r="A1134" s="35">
        <v>4</v>
      </c>
      <c r="B1134" s="35" t="s">
        <v>13</v>
      </c>
      <c r="D1134" s="36">
        <v>172262911.5072569</v>
      </c>
      <c r="F1134" s="36">
        <v>150059691.21098113</v>
      </c>
      <c r="H1134" s="36">
        <v>7049778.2518836493</v>
      </c>
      <c r="I1134" s="36">
        <v>15153442.044392096</v>
      </c>
      <c r="L1134" s="36">
        <v>527.29877204894592</v>
      </c>
      <c r="N1134" s="36">
        <v>15152914.745620048</v>
      </c>
      <c r="O1134" s="36">
        <v>4702841.6668342445</v>
      </c>
      <c r="P1134" s="36">
        <v>10450073.078785803</v>
      </c>
      <c r="Q1134" s="36">
        <v>0</v>
      </c>
      <c r="T1134" s="36">
        <v>172262911.50725687</v>
      </c>
      <c r="V1134" s="35" t="s">
        <v>1232</v>
      </c>
    </row>
    <row r="1135" spans="1:22" x14ac:dyDescent="0.2">
      <c r="F1135" s="36"/>
    </row>
    <row r="1136" spans="1:22" x14ac:dyDescent="0.2">
      <c r="B1136" s="35" t="s">
        <v>14</v>
      </c>
      <c r="F1136" s="36"/>
    </row>
    <row r="1137" spans="1:22" x14ac:dyDescent="0.2">
      <c r="A1137" s="35">
        <v>5</v>
      </c>
      <c r="B1137" s="35" t="s">
        <v>9</v>
      </c>
      <c r="C1137" s="35" t="s">
        <v>1499</v>
      </c>
      <c r="D1137" s="36">
        <v>1277529.0551643101</v>
      </c>
      <c r="F1137" s="36">
        <v>1118830.8925168437</v>
      </c>
      <c r="H1137" s="36">
        <v>51705.167717405609</v>
      </c>
      <c r="I1137" s="36">
        <v>106992.99493006083</v>
      </c>
      <c r="L1137" s="36">
        <v>3.9314898690887459</v>
      </c>
      <c r="N1137" s="36">
        <v>106989.06344019173</v>
      </c>
      <c r="O1137" s="36">
        <v>33205.006026153627</v>
      </c>
      <c r="P1137" s="36">
        <v>73784.057414038107</v>
      </c>
      <c r="Q1137" s="36">
        <v>0</v>
      </c>
      <c r="T1137" s="36">
        <v>1277529.0551643101</v>
      </c>
    </row>
    <row r="1138" spans="1:22" x14ac:dyDescent="0.2">
      <c r="A1138" s="35">
        <v>6</v>
      </c>
      <c r="B1138" s="35" t="s">
        <v>11</v>
      </c>
      <c r="C1138" s="35" t="s">
        <v>1335</v>
      </c>
      <c r="D1138" s="36">
        <v>21.999999999999954</v>
      </c>
      <c r="F1138" s="36">
        <v>0</v>
      </c>
      <c r="H1138" s="36">
        <v>7.1679586679699145</v>
      </c>
      <c r="I1138" s="36">
        <v>14.832041332030039</v>
      </c>
      <c r="L1138" s="36">
        <v>0</v>
      </c>
      <c r="N1138" s="36">
        <v>14.832041332030039</v>
      </c>
      <c r="O1138" s="36">
        <v>4.6032557531969616</v>
      </c>
      <c r="P1138" s="36">
        <v>10.228785578833078</v>
      </c>
      <c r="Q1138" s="36">
        <v>0</v>
      </c>
      <c r="T1138" s="36">
        <v>21.999999999999954</v>
      </c>
      <c r="V1138" s="35" t="s">
        <v>1231</v>
      </c>
    </row>
    <row r="1139" spans="1:22" x14ac:dyDescent="0.2">
      <c r="A1139" s="35">
        <v>7</v>
      </c>
      <c r="B1139" s="35" t="s">
        <v>12</v>
      </c>
      <c r="C1139" s="35" t="s">
        <v>1341</v>
      </c>
      <c r="D1139" s="36">
        <v>2759.0000000000036</v>
      </c>
      <c r="F1139" s="36">
        <v>0</v>
      </c>
      <c r="H1139" s="36">
        <v>0</v>
      </c>
      <c r="I1139" s="36">
        <v>2759.0000000000036</v>
      </c>
      <c r="L1139" s="36">
        <v>0</v>
      </c>
      <c r="N1139" s="36">
        <v>2759.0000000000036</v>
      </c>
      <c r="O1139" s="36">
        <v>856.28015313332139</v>
      </c>
      <c r="P1139" s="36">
        <v>1902.7198468666825</v>
      </c>
      <c r="Q1139" s="36">
        <v>0</v>
      </c>
      <c r="T1139" s="36">
        <v>2759.0000000000041</v>
      </c>
      <c r="V1139" s="35" t="s">
        <v>1231</v>
      </c>
    </row>
    <row r="1140" spans="1:22" x14ac:dyDescent="0.2">
      <c r="A1140" s="35">
        <v>8</v>
      </c>
      <c r="B1140" s="35" t="s">
        <v>15</v>
      </c>
      <c r="D1140" s="36">
        <v>1280310.0551643101</v>
      </c>
      <c r="F1140" s="36">
        <v>1118830.8925168437</v>
      </c>
      <c r="H1140" s="36">
        <v>51712.335676073577</v>
      </c>
      <c r="I1140" s="36">
        <v>109766.82697139286</v>
      </c>
      <c r="L1140" s="36">
        <v>3.9314898690887459</v>
      </c>
      <c r="N1140" s="36">
        <v>109762.89548152377</v>
      </c>
      <c r="O1140" s="36">
        <v>34065.889435040146</v>
      </c>
      <c r="P1140" s="36">
        <v>75697.006046483613</v>
      </c>
      <c r="Q1140" s="36">
        <v>0</v>
      </c>
      <c r="T1140" s="36">
        <v>1280310.0551643101</v>
      </c>
      <c r="V1140" s="35" t="s">
        <v>1232</v>
      </c>
    </row>
    <row r="1141" spans="1:22" x14ac:dyDescent="0.2">
      <c r="F1141" s="36"/>
    </row>
    <row r="1142" spans="1:22" x14ac:dyDescent="0.2">
      <c r="B1142" s="35" t="s">
        <v>16</v>
      </c>
      <c r="F1142" s="36"/>
    </row>
    <row r="1143" spans="1:22" x14ac:dyDescent="0.2">
      <c r="A1143" s="35">
        <v>9</v>
      </c>
      <c r="B1143" s="35" t="s">
        <v>9</v>
      </c>
      <c r="C1143" s="35" t="s">
        <v>1501</v>
      </c>
      <c r="D1143" s="36">
        <v>40672960.919772714</v>
      </c>
      <c r="F1143" s="36">
        <v>35620454.175360583</v>
      </c>
      <c r="H1143" s="36">
        <v>1646148.287132188</v>
      </c>
      <c r="I1143" s="36">
        <v>3406358.4572799429</v>
      </c>
      <c r="L1143" s="36">
        <v>125.1676689117357</v>
      </c>
      <c r="N1143" s="36">
        <v>3406233.2896110313</v>
      </c>
      <c r="O1143" s="36">
        <v>1057154.7527495278</v>
      </c>
      <c r="P1143" s="36">
        <v>2349078.5368615035</v>
      </c>
      <c r="Q1143" s="36">
        <v>0</v>
      </c>
      <c r="T1143" s="36">
        <v>40672960.919772714</v>
      </c>
    </row>
    <row r="1144" spans="1:22" x14ac:dyDescent="0.2">
      <c r="A1144" s="35">
        <v>10</v>
      </c>
      <c r="B1144" s="35" t="s">
        <v>11</v>
      </c>
      <c r="C1144" s="35" t="s">
        <v>1335</v>
      </c>
      <c r="D1144" s="36">
        <v>78</v>
      </c>
      <c r="F1144" s="36">
        <v>0</v>
      </c>
      <c r="H1144" s="36">
        <v>25.413671640984298</v>
      </c>
      <c r="I1144" s="36">
        <v>52.58632835901571</v>
      </c>
      <c r="L1144" s="36">
        <v>0</v>
      </c>
      <c r="N1144" s="36">
        <v>52.58632835901571</v>
      </c>
      <c r="O1144" s="36">
        <v>16.320634034061992</v>
      </c>
      <c r="P1144" s="36">
        <v>36.265694324953721</v>
      </c>
      <c r="Q1144" s="36">
        <v>0</v>
      </c>
      <c r="T1144" s="36">
        <v>78.000000000000014</v>
      </c>
      <c r="V1144" s="35" t="s">
        <v>1231</v>
      </c>
    </row>
    <row r="1145" spans="1:22" x14ac:dyDescent="0.2">
      <c r="A1145" s="35">
        <v>11</v>
      </c>
      <c r="B1145" s="35" t="s">
        <v>12</v>
      </c>
      <c r="C1145" s="35" t="s">
        <v>1341</v>
      </c>
      <c r="D1145" s="36">
        <v>77771.999999999971</v>
      </c>
      <c r="F1145" s="36">
        <v>0</v>
      </c>
      <c r="H1145" s="36">
        <v>0</v>
      </c>
      <c r="I1145" s="36">
        <v>77771.999999999971</v>
      </c>
      <c r="L1145" s="36">
        <v>0</v>
      </c>
      <c r="N1145" s="36">
        <v>77771.999999999971</v>
      </c>
      <c r="O1145" s="36">
        <v>24137.230905938588</v>
      </c>
      <c r="P1145" s="36">
        <v>53634.76909406139</v>
      </c>
      <c r="Q1145" s="36">
        <v>0</v>
      </c>
      <c r="T1145" s="36">
        <v>77771.999999999985</v>
      </c>
      <c r="V1145" s="35" t="s">
        <v>1231</v>
      </c>
    </row>
    <row r="1146" spans="1:22" x14ac:dyDescent="0.2">
      <c r="A1146" s="35">
        <v>12</v>
      </c>
      <c r="B1146" s="35" t="s">
        <v>17</v>
      </c>
      <c r="D1146" s="36">
        <v>40750810.919772714</v>
      </c>
      <c r="F1146" s="36">
        <v>35620454.175360583</v>
      </c>
      <c r="H1146" s="36">
        <v>1646173.7008038289</v>
      </c>
      <c r="I1146" s="36">
        <v>3484183.0436083023</v>
      </c>
      <c r="L1146" s="36">
        <v>125.1676689117357</v>
      </c>
      <c r="N1146" s="36">
        <v>3484057.8759393906</v>
      </c>
      <c r="O1146" s="36">
        <v>1081308.3042895005</v>
      </c>
      <c r="P1146" s="36">
        <v>2402749.5716498899</v>
      </c>
      <c r="Q1146" s="36">
        <v>0</v>
      </c>
      <c r="T1146" s="36">
        <v>40750810.919772714</v>
      </c>
      <c r="V1146" s="35" t="s">
        <v>1232</v>
      </c>
    </row>
    <row r="1147" spans="1:22" x14ac:dyDescent="0.2">
      <c r="F1147" s="36"/>
    </row>
    <row r="1148" spans="1:22" x14ac:dyDescent="0.2">
      <c r="A1148" s="35">
        <v>13</v>
      </c>
      <c r="B1148" s="35" t="s">
        <v>18</v>
      </c>
      <c r="D1148" s="36">
        <v>214294032.48219392</v>
      </c>
      <c r="F1148" s="36">
        <v>186798976.27885857</v>
      </c>
      <c r="H1148" s="36">
        <v>8747664.2883635517</v>
      </c>
      <c r="I1148" s="36">
        <v>18747391.914971791</v>
      </c>
      <c r="L1148" s="36">
        <v>656.39793082977042</v>
      </c>
      <c r="N1148" s="36">
        <v>18746735.51704096</v>
      </c>
      <c r="O1148" s="36">
        <v>5818215.8605587846</v>
      </c>
      <c r="P1148" s="36">
        <v>12928519.656482177</v>
      </c>
      <c r="Q1148" s="36">
        <v>0</v>
      </c>
    </row>
    <row r="1149" spans="1:22" x14ac:dyDescent="0.2">
      <c r="F1149" s="36"/>
    </row>
    <row r="1150" spans="1:22" x14ac:dyDescent="0.2">
      <c r="B1150" s="35" t="s">
        <v>19</v>
      </c>
      <c r="F1150" s="36"/>
    </row>
    <row r="1151" spans="1:22" x14ac:dyDescent="0.2">
      <c r="A1151" s="35">
        <v>14</v>
      </c>
      <c r="B1151" s="35" t="s">
        <v>1106</v>
      </c>
      <c r="C1151" s="35" t="s">
        <v>2278</v>
      </c>
      <c r="D1151" s="36">
        <v>21142539.272840548</v>
      </c>
      <c r="F1151" s="36">
        <v>20185930.110497635</v>
      </c>
      <c r="H1151" s="36">
        <v>956538.23046191595</v>
      </c>
      <c r="I1151" s="36">
        <v>70.931881000381097</v>
      </c>
      <c r="L1151" s="36">
        <v>70.931881000381097</v>
      </c>
      <c r="N1151" s="36">
        <v>0</v>
      </c>
      <c r="O1151" s="36">
        <v>0</v>
      </c>
      <c r="P1151" s="36">
        <v>0</v>
      </c>
      <c r="Q1151" s="36">
        <v>0</v>
      </c>
      <c r="T1151" s="36">
        <v>21142539.272840552</v>
      </c>
      <c r="V1151" s="35" t="s">
        <v>1233</v>
      </c>
    </row>
    <row r="1152" spans="1:22" x14ac:dyDescent="0.2">
      <c r="A1152" s="35">
        <v>15</v>
      </c>
      <c r="B1152" s="35" t="s">
        <v>1109</v>
      </c>
      <c r="C1152" s="35" t="s">
        <v>1411</v>
      </c>
      <c r="D1152" s="36">
        <v>1397348.0253008001</v>
      </c>
      <c r="F1152" s="36">
        <v>182213.83552902148</v>
      </c>
      <c r="H1152" s="36">
        <v>1215133.5494856967</v>
      </c>
      <c r="I1152" s="36">
        <v>0.64028608182122226</v>
      </c>
      <c r="L1152" s="36">
        <v>0.64028608182122226</v>
      </c>
      <c r="N1152" s="36">
        <v>0</v>
      </c>
      <c r="O1152" s="36">
        <v>0</v>
      </c>
      <c r="P1152" s="36">
        <v>0</v>
      </c>
      <c r="Q1152" s="36">
        <v>0</v>
      </c>
      <c r="T1152" s="36">
        <v>1397348.0253007999</v>
      </c>
      <c r="V1152" s="35" t="s">
        <v>1232</v>
      </c>
    </row>
    <row r="1153" spans="1:28" x14ac:dyDescent="0.2">
      <c r="A1153" s="35">
        <v>17</v>
      </c>
      <c r="B1153" s="35" t="s">
        <v>1097</v>
      </c>
      <c r="C1153" s="35" t="s">
        <v>1335</v>
      </c>
      <c r="D1153" s="36">
        <v>55968</v>
      </c>
      <c r="F1153" s="36">
        <v>0</v>
      </c>
      <c r="H1153" s="36">
        <v>18235.286851315501</v>
      </c>
      <c r="I1153" s="36">
        <v>37732.713148684503</v>
      </c>
      <c r="L1153" s="36">
        <v>0</v>
      </c>
      <c r="N1153" s="36">
        <v>37732.713148684503</v>
      </c>
      <c r="O1153" s="36">
        <v>11710.682636133095</v>
      </c>
      <c r="P1153" s="36">
        <v>26022.03051255141</v>
      </c>
      <c r="Q1153" s="36">
        <v>0</v>
      </c>
      <c r="T1153" s="36">
        <v>55968.000000000007</v>
      </c>
      <c r="V1153" s="35" t="s">
        <v>1231</v>
      </c>
    </row>
    <row r="1154" spans="1:28" x14ac:dyDescent="0.2">
      <c r="A1154" s="35">
        <v>18</v>
      </c>
      <c r="B1154" s="35" t="s">
        <v>1098</v>
      </c>
      <c r="C1154" s="35" t="s">
        <v>1341</v>
      </c>
      <c r="D1154" s="36">
        <v>25545</v>
      </c>
      <c r="F1154" s="36">
        <v>0</v>
      </c>
      <c r="H1154" s="36">
        <v>0</v>
      </c>
      <c r="I1154" s="36">
        <v>25545</v>
      </c>
      <c r="L1154" s="36">
        <v>0</v>
      </c>
      <c r="N1154" s="36">
        <v>25545</v>
      </c>
      <c r="O1154" s="36">
        <v>7928.1176193514548</v>
      </c>
      <c r="P1154" s="36">
        <v>17616.882380648545</v>
      </c>
      <c r="Q1154" s="36">
        <v>0</v>
      </c>
      <c r="T1154" s="36">
        <v>25545</v>
      </c>
      <c r="V1154" s="35" t="s">
        <v>1231</v>
      </c>
    </row>
    <row r="1155" spans="1:28" x14ac:dyDescent="0.2">
      <c r="A1155" s="35">
        <v>19</v>
      </c>
      <c r="B1155" s="35" t="s">
        <v>20</v>
      </c>
      <c r="D1155" s="36">
        <v>22621400.298141353</v>
      </c>
      <c r="F1155" s="36">
        <v>20368143.946026657</v>
      </c>
      <c r="H1155" s="36">
        <v>2189907.0667989277</v>
      </c>
      <c r="I1155" s="36">
        <v>63349.285315766712</v>
      </c>
      <c r="L1155" s="36">
        <v>71.572167082202313</v>
      </c>
      <c r="N1155" s="36">
        <v>63277.71314868451</v>
      </c>
      <c r="O1155" s="36">
        <v>19638.800255484552</v>
      </c>
      <c r="P1155" s="36">
        <v>43638.912893199958</v>
      </c>
      <c r="Q1155" s="36">
        <v>0</v>
      </c>
      <c r="T1155" s="36">
        <v>22621400.298141353</v>
      </c>
      <c r="V1155" s="35" t="s">
        <v>1232</v>
      </c>
    </row>
    <row r="1156" spans="1:28" x14ac:dyDescent="0.2">
      <c r="F1156" s="36"/>
    </row>
    <row r="1157" spans="1:28" x14ac:dyDescent="0.2">
      <c r="B1157" s="35" t="s">
        <v>838</v>
      </c>
      <c r="F1157" s="36"/>
    </row>
    <row r="1158" spans="1:28" x14ac:dyDescent="0.2">
      <c r="A1158" s="35">
        <v>20</v>
      </c>
      <c r="B1158" s="35" t="s">
        <v>2178</v>
      </c>
      <c r="C1158" s="35" t="s">
        <v>966</v>
      </c>
      <c r="D1158" s="36">
        <v>43166520.987306178</v>
      </c>
      <c r="F1158" s="36">
        <v>43044392.604235888</v>
      </c>
      <c r="H1158" s="36">
        <v>0</v>
      </c>
      <c r="I1158" s="36">
        <v>122128.38307029039</v>
      </c>
      <c r="L1158" s="36">
        <v>0</v>
      </c>
      <c r="N1158" s="36">
        <v>122128.38307029039</v>
      </c>
      <c r="O1158" s="36">
        <v>105860.10056973965</v>
      </c>
      <c r="P1158" s="36">
        <v>16268.282500550746</v>
      </c>
      <c r="Q1158" s="36">
        <v>0</v>
      </c>
      <c r="T1158" s="36">
        <v>43166520.987306185</v>
      </c>
      <c r="V1158" s="35" t="s">
        <v>1232</v>
      </c>
    </row>
    <row r="1159" spans="1:28" x14ac:dyDescent="0.2">
      <c r="A1159" s="35">
        <v>21</v>
      </c>
      <c r="B1159" s="35" t="s">
        <v>2179</v>
      </c>
      <c r="C1159" s="35" t="s">
        <v>28</v>
      </c>
      <c r="D1159" s="36">
        <v>2400859.7926289593</v>
      </c>
      <c r="F1159" s="36">
        <v>0</v>
      </c>
      <c r="H1159" s="36">
        <v>2400859.7926289593</v>
      </c>
      <c r="I1159" s="36">
        <v>0</v>
      </c>
      <c r="L1159" s="36">
        <v>0</v>
      </c>
      <c r="N1159" s="36">
        <v>0</v>
      </c>
      <c r="O1159" s="36">
        <v>0</v>
      </c>
      <c r="P1159" s="36">
        <v>0</v>
      </c>
      <c r="Q1159" s="36">
        <v>0</v>
      </c>
      <c r="T1159" s="36">
        <v>2400859.7926289593</v>
      </c>
      <c r="V1159" s="35" t="s">
        <v>1232</v>
      </c>
    </row>
    <row r="1160" spans="1:28" x14ac:dyDescent="0.2">
      <c r="A1160" s="35">
        <v>22</v>
      </c>
      <c r="B1160" s="35" t="s">
        <v>2180</v>
      </c>
      <c r="C1160" s="35" t="s">
        <v>30</v>
      </c>
      <c r="D1160" s="36">
        <v>4272.6100175880001</v>
      </c>
      <c r="F1160" s="36">
        <v>0</v>
      </c>
      <c r="H1160" s="36">
        <v>0</v>
      </c>
      <c r="I1160" s="36">
        <v>4272.6100175880001</v>
      </c>
      <c r="L1160" s="36">
        <v>4272.6100175880001</v>
      </c>
      <c r="N1160" s="36">
        <v>0</v>
      </c>
      <c r="O1160" s="36">
        <v>0</v>
      </c>
      <c r="P1160" s="36">
        <v>0</v>
      </c>
      <c r="Q1160" s="36">
        <v>0</v>
      </c>
      <c r="T1160" s="36">
        <v>4272.6100175880001</v>
      </c>
      <c r="V1160" s="35" t="s">
        <v>1232</v>
      </c>
    </row>
    <row r="1161" spans="1:28" x14ac:dyDescent="0.2">
      <c r="A1161" s="35">
        <v>23</v>
      </c>
      <c r="B1161" s="35" t="s">
        <v>21</v>
      </c>
      <c r="D1161" s="36">
        <v>45571653.389952727</v>
      </c>
      <c r="F1161" s="36">
        <v>43044392.604235888</v>
      </c>
      <c r="H1161" s="36">
        <v>2400859.7926289593</v>
      </c>
      <c r="I1161" s="36">
        <v>126400.99308787839</v>
      </c>
      <c r="L1161" s="36">
        <v>4272.6100175880001</v>
      </c>
      <c r="N1161" s="36">
        <v>122128.38307029039</v>
      </c>
      <c r="O1161" s="36">
        <v>105860.10056973965</v>
      </c>
      <c r="P1161" s="36">
        <v>16268.282500550746</v>
      </c>
      <c r="Q1161" s="36">
        <v>0</v>
      </c>
      <c r="T1161" s="36">
        <v>45571653.389952734</v>
      </c>
      <c r="V1161" s="35" t="s">
        <v>1232</v>
      </c>
      <c r="Z1161" s="35" t="s">
        <v>828</v>
      </c>
    </row>
    <row r="1162" spans="1:28" x14ac:dyDescent="0.2">
      <c r="F1162" s="36"/>
      <c r="Z1162" s="35">
        <v>10501.560000000003</v>
      </c>
      <c r="AA1162" s="35">
        <v>239971068.02450919</v>
      </c>
      <c r="AB1162" s="35">
        <v>-6.8545341491699219E-7</v>
      </c>
    </row>
    <row r="1163" spans="1:28" x14ac:dyDescent="0.2">
      <c r="A1163" s="35">
        <v>24</v>
      </c>
      <c r="B1163" s="35" t="s">
        <v>22</v>
      </c>
      <c r="C1163" s="35" t="s">
        <v>1513</v>
      </c>
      <c r="D1163" s="36">
        <v>12799499.766819293</v>
      </c>
      <c r="F1163" s="36">
        <v>11631104.926124556</v>
      </c>
      <c r="H1163" s="36">
        <v>569399.65643904789</v>
      </c>
      <c r="I1163" s="36">
        <v>598995.18425568868</v>
      </c>
      <c r="L1163" s="36">
        <v>273.27733922645837</v>
      </c>
      <c r="N1163" s="36">
        <v>598721.90691646223</v>
      </c>
      <c r="O1163" s="36">
        <v>191136.30107582643</v>
      </c>
      <c r="P1163" s="36">
        <v>407585.60584063578</v>
      </c>
      <c r="Q1163" s="36">
        <v>7.7067388977551349E-13</v>
      </c>
      <c r="T1163" s="36">
        <v>12799499.766819293</v>
      </c>
      <c r="V1163" s="35" t="s">
        <v>1232</v>
      </c>
    </row>
    <row r="1164" spans="1:28" x14ac:dyDescent="0.2">
      <c r="F1164" s="36"/>
    </row>
    <row r="1165" spans="1:28" x14ac:dyDescent="0.2">
      <c r="A1165" s="35">
        <v>25</v>
      </c>
      <c r="B1165" s="35" t="s">
        <v>24</v>
      </c>
      <c r="C1165" s="35" t="s">
        <v>2022</v>
      </c>
      <c r="D1165" s="36">
        <v>18435783.763599981</v>
      </c>
      <c r="F1165" s="36">
        <v>16377733.930414284</v>
      </c>
      <c r="H1165" s="36">
        <v>911350.05125535338</v>
      </c>
      <c r="I1165" s="36">
        <v>1146699.7819303416</v>
      </c>
      <c r="L1165" s="36">
        <v>398.9996292799176</v>
      </c>
      <c r="N1165" s="36">
        <v>1146300.7823010618</v>
      </c>
      <c r="O1165" s="36">
        <v>361296.44506930612</v>
      </c>
      <c r="P1165" s="36">
        <v>785004.33723175561</v>
      </c>
      <c r="Q1165" s="36">
        <v>2.4498270657820568E-14</v>
      </c>
      <c r="T1165" s="36">
        <v>18435783.763599977</v>
      </c>
      <c r="V1165" s="35" t="s">
        <v>1232</v>
      </c>
    </row>
    <row r="1166" spans="1:28" x14ac:dyDescent="0.2">
      <c r="F1166" s="36"/>
    </row>
    <row r="1167" spans="1:28" x14ac:dyDescent="0.2">
      <c r="A1167" s="35">
        <v>26</v>
      </c>
      <c r="B1167" s="35" t="s">
        <v>23</v>
      </c>
      <c r="C1167" s="35" t="s">
        <v>2021</v>
      </c>
      <c r="D1167" s="36">
        <v>2029.8535296</v>
      </c>
      <c r="F1167" s="36">
        <v>2029.8535296</v>
      </c>
      <c r="H1167" s="36">
        <v>0</v>
      </c>
      <c r="I1167" s="36">
        <v>0</v>
      </c>
      <c r="L1167" s="36">
        <v>0</v>
      </c>
      <c r="N1167" s="36">
        <v>0</v>
      </c>
      <c r="O1167" s="36">
        <v>0</v>
      </c>
      <c r="P1167" s="36">
        <v>0</v>
      </c>
      <c r="Q1167" s="36">
        <v>0</v>
      </c>
      <c r="T1167" s="36">
        <v>2029.8535296</v>
      </c>
      <c r="V1167" s="35" t="s">
        <v>1232</v>
      </c>
    </row>
    <row r="1168" spans="1:28" x14ac:dyDescent="0.2">
      <c r="F1168" s="36"/>
    </row>
    <row r="1169" spans="1:25" x14ac:dyDescent="0.2">
      <c r="A1169" s="35">
        <v>27</v>
      </c>
      <c r="B1169" s="35" t="s">
        <v>829</v>
      </c>
      <c r="D1169" s="36">
        <v>313724399.55423689</v>
      </c>
      <c r="F1169" s="36">
        <v>278222381.53918958</v>
      </c>
      <c r="H1169" s="36">
        <v>14819180.855485838</v>
      </c>
      <c r="I1169" s="36">
        <v>20682837.159561466</v>
      </c>
      <c r="L1169" s="36">
        <v>5672.8570840063485</v>
      </c>
      <c r="N1169" s="36">
        <v>20677164.30247746</v>
      </c>
      <c r="O1169" s="36">
        <v>6496147.5075291423</v>
      </c>
      <c r="P1169" s="36">
        <v>14181016.794948319</v>
      </c>
      <c r="Q1169" s="36">
        <v>2.4498270657820568E-14</v>
      </c>
    </row>
    <row r="1170" spans="1:25" x14ac:dyDescent="0.2">
      <c r="F1170" s="36"/>
    </row>
    <row r="1171" spans="1:25" x14ac:dyDescent="0.2">
      <c r="F1171" s="36"/>
    </row>
    <row r="1172" spans="1:25" x14ac:dyDescent="0.2">
      <c r="B1172" s="35" t="s">
        <v>2371</v>
      </c>
      <c r="F1172" s="36"/>
    </row>
    <row r="1173" spans="1:25" x14ac:dyDescent="0.2">
      <c r="F1173" s="36"/>
    </row>
    <row r="1174" spans="1:25" x14ac:dyDescent="0.2">
      <c r="B1174" s="35" t="s">
        <v>2372</v>
      </c>
      <c r="F1174" s="36"/>
    </row>
    <row r="1175" spans="1:25" x14ac:dyDescent="0.2">
      <c r="F1175" s="36"/>
    </row>
    <row r="1176" spans="1:25" x14ac:dyDescent="0.2">
      <c r="B1176" s="35" t="s">
        <v>7</v>
      </c>
      <c r="F1176" s="36"/>
      <c r="Y1176" s="35" t="s">
        <v>2410</v>
      </c>
    </row>
    <row r="1177" spans="1:25" x14ac:dyDescent="0.2">
      <c r="A1177" s="35">
        <v>1</v>
      </c>
      <c r="B1177" s="35" t="s">
        <v>8</v>
      </c>
      <c r="C1177" s="35" t="s">
        <v>2175</v>
      </c>
      <c r="D1177" s="36">
        <v>1781349.4960150376</v>
      </c>
      <c r="F1177" s="36">
        <v>1629582.8909282801</v>
      </c>
      <c r="H1177" s="36">
        <v>50948.295548525602</v>
      </c>
      <c r="I1177" s="36">
        <v>100818.309538232</v>
      </c>
      <c r="L1177" s="36">
        <v>0</v>
      </c>
      <c r="N1177" s="36">
        <v>100818.309538232</v>
      </c>
      <c r="O1177" s="36">
        <v>31356.79007488702</v>
      </c>
      <c r="P1177" s="36">
        <v>69461.519463344986</v>
      </c>
      <c r="Q1177" s="36">
        <v>0</v>
      </c>
      <c r="T1177" s="36">
        <v>0</v>
      </c>
      <c r="V1177" s="35" t="s">
        <v>2411</v>
      </c>
      <c r="X1177" s="35">
        <v>2.5611370801925659E-9</v>
      </c>
      <c r="Y1177" s="35">
        <v>1781349.4960150351</v>
      </c>
    </row>
    <row r="1178" spans="1:25" x14ac:dyDescent="0.2">
      <c r="A1178" s="35">
        <v>2</v>
      </c>
      <c r="B1178" s="35" t="s">
        <v>14</v>
      </c>
      <c r="C1178" s="35" t="s">
        <v>1499</v>
      </c>
      <c r="D1178" s="36">
        <v>0</v>
      </c>
      <c r="F1178" s="36">
        <v>0</v>
      </c>
      <c r="H1178" s="36">
        <v>0</v>
      </c>
      <c r="I1178" s="36">
        <v>0</v>
      </c>
      <c r="L1178" s="36">
        <v>0</v>
      </c>
      <c r="N1178" s="36">
        <v>0</v>
      </c>
      <c r="O1178" s="36">
        <v>0</v>
      </c>
      <c r="P1178" s="36">
        <v>0</v>
      </c>
      <c r="Q1178" s="36">
        <v>0</v>
      </c>
      <c r="T1178" s="36">
        <v>0</v>
      </c>
      <c r="Y1178" s="35" t="s">
        <v>2412</v>
      </c>
    </row>
    <row r="1179" spans="1:25" x14ac:dyDescent="0.2">
      <c r="A1179" s="35">
        <v>3</v>
      </c>
      <c r="B1179" s="35" t="s">
        <v>16</v>
      </c>
      <c r="C1179" s="35" t="s">
        <v>1501</v>
      </c>
      <c r="D1179" s="36">
        <v>0</v>
      </c>
      <c r="F1179" s="36">
        <v>0</v>
      </c>
      <c r="H1179" s="36">
        <v>0</v>
      </c>
      <c r="I1179" s="36">
        <v>0</v>
      </c>
      <c r="L1179" s="36">
        <v>0</v>
      </c>
      <c r="N1179" s="36">
        <v>0</v>
      </c>
      <c r="O1179" s="36">
        <v>0</v>
      </c>
      <c r="P1179" s="36">
        <v>0</v>
      </c>
      <c r="Q1179" s="36">
        <v>0</v>
      </c>
      <c r="T1179" s="36">
        <v>0</v>
      </c>
    </row>
    <row r="1180" spans="1:25" x14ac:dyDescent="0.2">
      <c r="F1180" s="36"/>
    </row>
    <row r="1181" spans="1:25" x14ac:dyDescent="0.2">
      <c r="A1181" s="35">
        <v>4</v>
      </c>
      <c r="B1181" s="35" t="s">
        <v>18</v>
      </c>
      <c r="D1181" s="36">
        <v>1781349.4960150376</v>
      </c>
      <c r="F1181" s="36">
        <v>1629582.8909282801</v>
      </c>
      <c r="H1181" s="36">
        <v>50948.295548525602</v>
      </c>
      <c r="I1181" s="36">
        <v>100818.309538232</v>
      </c>
      <c r="L1181" s="36">
        <v>0</v>
      </c>
      <c r="N1181" s="36">
        <v>100818.309538232</v>
      </c>
      <c r="O1181" s="36">
        <v>31356.79007488702</v>
      </c>
      <c r="P1181" s="36">
        <v>69461.519463344986</v>
      </c>
      <c r="Q1181" s="36">
        <v>0</v>
      </c>
    </row>
    <row r="1182" spans="1:25" x14ac:dyDescent="0.2">
      <c r="F1182" s="36"/>
    </row>
    <row r="1183" spans="1:25" x14ac:dyDescent="0.2">
      <c r="B1183" s="35" t="s">
        <v>19</v>
      </c>
      <c r="F1183" s="36"/>
    </row>
    <row r="1184" spans="1:25" x14ac:dyDescent="0.2">
      <c r="A1184" s="35">
        <v>5</v>
      </c>
      <c r="B1184" s="35" t="s">
        <v>1106</v>
      </c>
      <c r="C1184" s="35" t="s">
        <v>2278</v>
      </c>
      <c r="D1184" s="36">
        <v>0</v>
      </c>
      <c r="F1184" s="36">
        <v>0</v>
      </c>
      <c r="H1184" s="36">
        <v>0</v>
      </c>
      <c r="I1184" s="36">
        <v>0</v>
      </c>
      <c r="L1184" s="36">
        <v>0</v>
      </c>
      <c r="N1184" s="36">
        <v>0</v>
      </c>
      <c r="O1184" s="36">
        <v>0</v>
      </c>
      <c r="P1184" s="36">
        <v>0</v>
      </c>
      <c r="Q1184" s="36">
        <v>0</v>
      </c>
      <c r="T1184" s="36">
        <v>0</v>
      </c>
      <c r="V1184" s="35" t="s">
        <v>2411</v>
      </c>
    </row>
    <row r="1185" spans="1:22" x14ac:dyDescent="0.2">
      <c r="A1185" s="35">
        <v>6</v>
      </c>
      <c r="B1185" s="35" t="s">
        <v>1109</v>
      </c>
      <c r="C1185" s="35" t="s">
        <v>1411</v>
      </c>
      <c r="D1185" s="36">
        <v>0</v>
      </c>
      <c r="F1185" s="36">
        <v>0</v>
      </c>
      <c r="H1185" s="36">
        <v>0</v>
      </c>
      <c r="I1185" s="36">
        <v>0</v>
      </c>
      <c r="L1185" s="36">
        <v>0</v>
      </c>
      <c r="N1185" s="36">
        <v>0</v>
      </c>
      <c r="O1185" s="36">
        <v>0</v>
      </c>
      <c r="P1185" s="36">
        <v>0</v>
      </c>
      <c r="Q1185" s="36">
        <v>0</v>
      </c>
    </row>
    <row r="1186" spans="1:22" x14ac:dyDescent="0.2">
      <c r="F1186" s="36"/>
    </row>
    <row r="1187" spans="1:22" x14ac:dyDescent="0.2">
      <c r="A1187" s="35">
        <v>7</v>
      </c>
      <c r="B1187" s="35" t="s">
        <v>20</v>
      </c>
      <c r="D1187" s="36">
        <v>0</v>
      </c>
      <c r="F1187" s="36">
        <v>0</v>
      </c>
      <c r="H1187" s="36">
        <v>0</v>
      </c>
      <c r="I1187" s="36">
        <v>0</v>
      </c>
      <c r="L1187" s="36">
        <v>0</v>
      </c>
      <c r="N1187" s="36">
        <v>0</v>
      </c>
      <c r="O1187" s="36">
        <v>0</v>
      </c>
      <c r="P1187" s="36">
        <v>0</v>
      </c>
      <c r="Q1187" s="36">
        <v>0</v>
      </c>
    </row>
    <row r="1188" spans="1:22" x14ac:dyDescent="0.2">
      <c r="F1188" s="36"/>
    </row>
    <row r="1189" spans="1:22" x14ac:dyDescent="0.2">
      <c r="B1189" s="35" t="s">
        <v>838</v>
      </c>
      <c r="F1189" s="36"/>
    </row>
    <row r="1190" spans="1:22" x14ac:dyDescent="0.2">
      <c r="A1190" s="35">
        <v>8</v>
      </c>
      <c r="B1190" s="35" t="s">
        <v>830</v>
      </c>
      <c r="C1190" s="35" t="s">
        <v>966</v>
      </c>
      <c r="D1190" s="36">
        <v>0</v>
      </c>
      <c r="F1190" s="36">
        <v>0</v>
      </c>
      <c r="H1190" s="36">
        <v>0</v>
      </c>
      <c r="I1190" s="36">
        <v>0</v>
      </c>
      <c r="L1190" s="36">
        <v>0</v>
      </c>
      <c r="N1190" s="36">
        <v>0</v>
      </c>
      <c r="O1190" s="36">
        <v>0</v>
      </c>
      <c r="P1190" s="36">
        <v>0</v>
      </c>
      <c r="Q1190" s="36">
        <v>0</v>
      </c>
      <c r="T1190" s="36">
        <v>0</v>
      </c>
      <c r="V1190" s="35" t="s">
        <v>2411</v>
      </c>
    </row>
    <row r="1191" spans="1:22" x14ac:dyDescent="0.2">
      <c r="A1191" s="35">
        <v>9</v>
      </c>
      <c r="B1191" s="35" t="s">
        <v>831</v>
      </c>
      <c r="C1191" s="35" t="s">
        <v>28</v>
      </c>
      <c r="D1191" s="36">
        <v>0</v>
      </c>
      <c r="F1191" s="36">
        <v>0</v>
      </c>
      <c r="H1191" s="36">
        <v>0</v>
      </c>
      <c r="I1191" s="36">
        <v>0</v>
      </c>
      <c r="L1191" s="36">
        <v>0</v>
      </c>
      <c r="N1191" s="36">
        <v>0</v>
      </c>
      <c r="O1191" s="36">
        <v>0</v>
      </c>
      <c r="P1191" s="36">
        <v>0</v>
      </c>
      <c r="Q1191" s="36">
        <v>0</v>
      </c>
    </row>
    <row r="1192" spans="1:22" x14ac:dyDescent="0.2">
      <c r="F1192" s="36"/>
    </row>
    <row r="1193" spans="1:22" x14ac:dyDescent="0.2">
      <c r="A1193" s="35">
        <v>10</v>
      </c>
      <c r="B1193" s="35" t="s">
        <v>21</v>
      </c>
      <c r="D1193" s="36">
        <v>0</v>
      </c>
      <c r="F1193" s="36">
        <v>0</v>
      </c>
      <c r="H1193" s="36">
        <v>0</v>
      </c>
      <c r="I1193" s="36">
        <v>0</v>
      </c>
      <c r="L1193" s="36">
        <v>0</v>
      </c>
      <c r="N1193" s="36">
        <v>0</v>
      </c>
      <c r="O1193" s="36">
        <v>0</v>
      </c>
      <c r="P1193" s="36">
        <v>0</v>
      </c>
      <c r="Q1193" s="36">
        <v>0</v>
      </c>
    </row>
    <row r="1194" spans="1:22" x14ac:dyDescent="0.2">
      <c r="F1194" s="36"/>
    </row>
    <row r="1195" spans="1:22" x14ac:dyDescent="0.2">
      <c r="A1195" s="35">
        <v>11</v>
      </c>
      <c r="B1195" s="35" t="s">
        <v>2373</v>
      </c>
      <c r="D1195" s="36">
        <v>1781349.4960150376</v>
      </c>
      <c r="E1195" s="36"/>
      <c r="F1195" s="36">
        <v>1629582.8909282801</v>
      </c>
      <c r="G1195" s="36"/>
      <c r="H1195" s="36">
        <v>50948.295548525602</v>
      </c>
      <c r="I1195" s="36">
        <v>100818.309538232</v>
      </c>
      <c r="L1195" s="36">
        <v>0</v>
      </c>
      <c r="N1195" s="36">
        <v>100818.309538232</v>
      </c>
      <c r="O1195" s="36">
        <v>31356.79007488702</v>
      </c>
      <c r="P1195" s="36">
        <v>69461.519463344986</v>
      </c>
      <c r="Q1195" s="36">
        <v>0</v>
      </c>
    </row>
    <row r="1196" spans="1:22" x14ac:dyDescent="0.2">
      <c r="F1196" s="36"/>
    </row>
    <row r="1197" spans="1:22" x14ac:dyDescent="0.2">
      <c r="B1197" s="35" t="s">
        <v>832</v>
      </c>
      <c r="F1197" s="36"/>
    </row>
    <row r="1198" spans="1:22" x14ac:dyDescent="0.2">
      <c r="F1198" s="36"/>
    </row>
    <row r="1199" spans="1:22" x14ac:dyDescent="0.2">
      <c r="B1199" s="35" t="s">
        <v>7</v>
      </c>
      <c r="F1199" s="36"/>
    </row>
    <row r="1200" spans="1:22" x14ac:dyDescent="0.2">
      <c r="A1200" s="35">
        <v>12</v>
      </c>
      <c r="B1200" s="35" t="s">
        <v>8</v>
      </c>
      <c r="C1200" s="35" t="s">
        <v>1495</v>
      </c>
      <c r="D1200" s="36">
        <v>0</v>
      </c>
      <c r="F1200" s="36">
        <v>0</v>
      </c>
      <c r="H1200" s="36">
        <v>0</v>
      </c>
      <c r="I1200" s="36">
        <v>0</v>
      </c>
      <c r="L1200" s="36">
        <v>0</v>
      </c>
      <c r="N1200" s="36">
        <v>0</v>
      </c>
      <c r="O1200" s="36">
        <v>0</v>
      </c>
      <c r="P1200" s="36">
        <v>0</v>
      </c>
      <c r="Q1200" s="36">
        <v>0</v>
      </c>
      <c r="T1200" s="36">
        <v>0</v>
      </c>
      <c r="V1200" s="35" t="s">
        <v>2413</v>
      </c>
    </row>
    <row r="1201" spans="1:26" x14ac:dyDescent="0.2">
      <c r="A1201" s="35">
        <v>13</v>
      </c>
      <c r="B1201" s="35" t="s">
        <v>14</v>
      </c>
      <c r="C1201" s="35" t="s">
        <v>1499</v>
      </c>
      <c r="D1201" s="36">
        <v>0</v>
      </c>
      <c r="F1201" s="36">
        <v>0</v>
      </c>
      <c r="H1201" s="36">
        <v>0</v>
      </c>
      <c r="I1201" s="36">
        <v>0</v>
      </c>
      <c r="L1201" s="36">
        <v>0</v>
      </c>
      <c r="N1201" s="36">
        <v>0</v>
      </c>
      <c r="O1201" s="36">
        <v>0</v>
      </c>
      <c r="P1201" s="36">
        <v>0</v>
      </c>
      <c r="Q1201" s="36">
        <v>0</v>
      </c>
      <c r="T1201" s="36">
        <v>0</v>
      </c>
    </row>
    <row r="1202" spans="1:26" x14ac:dyDescent="0.2">
      <c r="A1202" s="35">
        <v>14</v>
      </c>
      <c r="B1202" s="35" t="s">
        <v>16</v>
      </c>
      <c r="C1202" s="35" t="s">
        <v>1501</v>
      </c>
      <c r="D1202" s="36">
        <v>0</v>
      </c>
      <c r="F1202" s="36">
        <v>0</v>
      </c>
      <c r="H1202" s="36">
        <v>0</v>
      </c>
      <c r="I1202" s="36">
        <v>0</v>
      </c>
      <c r="L1202" s="36">
        <v>0</v>
      </c>
      <c r="N1202" s="36">
        <v>0</v>
      </c>
      <c r="O1202" s="36">
        <v>0</v>
      </c>
      <c r="P1202" s="36">
        <v>0</v>
      </c>
      <c r="Q1202" s="36">
        <v>0</v>
      </c>
      <c r="T1202" s="36">
        <v>0</v>
      </c>
    </row>
    <row r="1203" spans="1:26" x14ac:dyDescent="0.2">
      <c r="F1203" s="36"/>
    </row>
    <row r="1204" spans="1:26" x14ac:dyDescent="0.2">
      <c r="A1204" s="35">
        <v>15</v>
      </c>
      <c r="B1204" s="35" t="s">
        <v>18</v>
      </c>
      <c r="D1204" s="36">
        <v>0</v>
      </c>
      <c r="F1204" s="36">
        <v>0</v>
      </c>
      <c r="H1204" s="36">
        <v>0</v>
      </c>
      <c r="I1204" s="36">
        <v>0</v>
      </c>
      <c r="L1204" s="36">
        <v>0</v>
      </c>
      <c r="N1204" s="36">
        <v>0</v>
      </c>
      <c r="O1204" s="36">
        <v>0</v>
      </c>
      <c r="P1204" s="36">
        <v>0</v>
      </c>
      <c r="Q1204" s="36">
        <v>0</v>
      </c>
    </row>
    <row r="1205" spans="1:26" x14ac:dyDescent="0.2">
      <c r="F1205" s="36"/>
    </row>
    <row r="1206" spans="1:26" x14ac:dyDescent="0.2">
      <c r="B1206" s="35" t="s">
        <v>19</v>
      </c>
      <c r="F1206" s="36"/>
    </row>
    <row r="1207" spans="1:26" x14ac:dyDescent="0.2">
      <c r="A1207" s="35">
        <v>16</v>
      </c>
      <c r="B1207" s="35" t="s">
        <v>1106</v>
      </c>
      <c r="C1207" s="35" t="s">
        <v>2278</v>
      </c>
      <c r="D1207" s="36">
        <v>0</v>
      </c>
      <c r="F1207" s="36">
        <v>0</v>
      </c>
      <c r="H1207" s="36">
        <v>0</v>
      </c>
      <c r="I1207" s="36">
        <v>0</v>
      </c>
      <c r="L1207" s="36">
        <v>0</v>
      </c>
      <c r="N1207" s="36">
        <v>0</v>
      </c>
      <c r="O1207" s="36">
        <v>0</v>
      </c>
      <c r="P1207" s="36">
        <v>0</v>
      </c>
      <c r="Q1207" s="36">
        <v>0</v>
      </c>
      <c r="T1207" s="36">
        <v>0</v>
      </c>
      <c r="V1207" s="35" t="s">
        <v>2413</v>
      </c>
    </row>
    <row r="1208" spans="1:26" x14ac:dyDescent="0.2">
      <c r="A1208" s="35">
        <v>17</v>
      </c>
      <c r="B1208" s="35" t="s">
        <v>1109</v>
      </c>
      <c r="C1208" s="35" t="s">
        <v>1411</v>
      </c>
      <c r="D1208" s="36">
        <v>0</v>
      </c>
      <c r="F1208" s="36">
        <v>0</v>
      </c>
      <c r="H1208" s="36">
        <v>0</v>
      </c>
      <c r="I1208" s="36">
        <v>0</v>
      </c>
      <c r="L1208" s="36">
        <v>0</v>
      </c>
      <c r="N1208" s="36">
        <v>0</v>
      </c>
      <c r="O1208" s="36">
        <v>0</v>
      </c>
      <c r="P1208" s="36">
        <v>0</v>
      </c>
      <c r="Q1208" s="36">
        <v>0</v>
      </c>
    </row>
    <row r="1209" spans="1:26" x14ac:dyDescent="0.2">
      <c r="F1209" s="36"/>
      <c r="Z1209" s="35">
        <v>0</v>
      </c>
    </row>
    <row r="1210" spans="1:26" x14ac:dyDescent="0.2">
      <c r="A1210" s="35">
        <v>18</v>
      </c>
      <c r="B1210" s="35" t="s">
        <v>20</v>
      </c>
      <c r="D1210" s="36">
        <v>0</v>
      </c>
      <c r="F1210" s="36">
        <v>0</v>
      </c>
      <c r="H1210" s="36">
        <v>0</v>
      </c>
      <c r="I1210" s="36">
        <v>0</v>
      </c>
      <c r="L1210" s="36">
        <v>0</v>
      </c>
      <c r="N1210" s="36">
        <v>0</v>
      </c>
      <c r="O1210" s="36">
        <v>0</v>
      </c>
      <c r="P1210" s="36">
        <v>0</v>
      </c>
      <c r="Q1210" s="36">
        <v>0</v>
      </c>
    </row>
    <row r="1211" spans="1:26" x14ac:dyDescent="0.2">
      <c r="F1211" s="36"/>
    </row>
    <row r="1212" spans="1:26" x14ac:dyDescent="0.2">
      <c r="B1212" s="35" t="s">
        <v>1111</v>
      </c>
      <c r="F1212" s="36"/>
    </row>
    <row r="1213" spans="1:26" x14ac:dyDescent="0.2">
      <c r="A1213" s="35">
        <v>19</v>
      </c>
      <c r="B1213" s="35" t="s">
        <v>1106</v>
      </c>
      <c r="C1213" s="35" t="s">
        <v>966</v>
      </c>
      <c r="D1213" s="36">
        <v>0</v>
      </c>
      <c r="F1213" s="36">
        <v>0</v>
      </c>
      <c r="H1213" s="36">
        <v>0</v>
      </c>
      <c r="I1213" s="36">
        <v>0</v>
      </c>
      <c r="L1213" s="36">
        <v>0</v>
      </c>
      <c r="N1213" s="36">
        <v>0</v>
      </c>
      <c r="O1213" s="36">
        <v>0</v>
      </c>
      <c r="P1213" s="36">
        <v>0</v>
      </c>
      <c r="Q1213" s="36">
        <v>0</v>
      </c>
      <c r="T1213" s="36">
        <v>0</v>
      </c>
      <c r="V1213" s="35" t="s">
        <v>2413</v>
      </c>
    </row>
    <row r="1214" spans="1:26" x14ac:dyDescent="0.2">
      <c r="A1214" s="35">
        <v>20</v>
      </c>
      <c r="B1214" s="35" t="s">
        <v>1109</v>
      </c>
      <c r="C1214" s="35" t="s">
        <v>977</v>
      </c>
      <c r="D1214" s="36">
        <v>0</v>
      </c>
      <c r="F1214" s="36">
        <v>0</v>
      </c>
      <c r="H1214" s="36">
        <v>0</v>
      </c>
      <c r="I1214" s="36">
        <v>0</v>
      </c>
      <c r="L1214" s="36">
        <v>0</v>
      </c>
      <c r="N1214" s="36">
        <v>0</v>
      </c>
      <c r="O1214" s="36">
        <v>0</v>
      </c>
      <c r="P1214" s="36">
        <v>0</v>
      </c>
      <c r="Q1214" s="36">
        <v>0</v>
      </c>
    </row>
    <row r="1215" spans="1:26" x14ac:dyDescent="0.2">
      <c r="F1215" s="36"/>
      <c r="W1215" s="35" t="s">
        <v>2414</v>
      </c>
      <c r="X1215" s="35" t="s">
        <v>833</v>
      </c>
    </row>
    <row r="1216" spans="1:26" x14ac:dyDescent="0.2">
      <c r="A1216" s="35">
        <v>21</v>
      </c>
      <c r="B1216" s="35" t="s">
        <v>21</v>
      </c>
      <c r="D1216" s="36">
        <v>0</v>
      </c>
      <c r="F1216" s="36">
        <v>0</v>
      </c>
      <c r="H1216" s="36">
        <v>0</v>
      </c>
      <c r="I1216" s="36">
        <v>0</v>
      </c>
      <c r="L1216" s="36">
        <v>0</v>
      </c>
      <c r="N1216" s="36">
        <v>0</v>
      </c>
      <c r="O1216" s="36">
        <v>0</v>
      </c>
      <c r="P1216" s="36">
        <v>0</v>
      </c>
      <c r="Q1216" s="36">
        <v>0</v>
      </c>
      <c r="W1216" s="35">
        <v>1781349.4960150351</v>
      </c>
      <c r="X1216" s="35">
        <v>0</v>
      </c>
      <c r="Y1216" s="35">
        <v>1781349.4960150351</v>
      </c>
    </row>
    <row r="1217" spans="1:26" x14ac:dyDescent="0.2">
      <c r="D1217" s="340"/>
      <c r="E1217" s="341"/>
      <c r="F1217" s="36"/>
      <c r="G1217" s="341"/>
      <c r="H1217" s="340"/>
      <c r="I1217" s="340"/>
      <c r="J1217" s="340"/>
      <c r="K1217" s="340"/>
      <c r="L1217" s="340"/>
      <c r="M1217" s="340"/>
      <c r="N1217" s="340"/>
      <c r="O1217" s="340"/>
      <c r="P1217" s="340"/>
      <c r="Q1217" s="340"/>
      <c r="R1217" s="341"/>
      <c r="S1217" s="341"/>
      <c r="T1217" s="340"/>
      <c r="U1217" s="341"/>
      <c r="V1217" s="341"/>
      <c r="W1217" s="341"/>
      <c r="X1217" s="341"/>
      <c r="Y1217" s="341"/>
      <c r="Z1217" s="341"/>
    </row>
    <row r="1218" spans="1:26" x14ac:dyDescent="0.2">
      <c r="A1218" s="35">
        <v>22</v>
      </c>
      <c r="B1218" s="35" t="s">
        <v>834</v>
      </c>
      <c r="D1218" s="340">
        <v>0</v>
      </c>
      <c r="E1218" s="341"/>
      <c r="F1218" s="340">
        <v>0</v>
      </c>
      <c r="G1218" s="341"/>
      <c r="H1218" s="340">
        <v>0</v>
      </c>
      <c r="I1218" s="340">
        <v>0</v>
      </c>
      <c r="J1218" s="340"/>
      <c r="K1218" s="340"/>
      <c r="L1218" s="340">
        <v>0</v>
      </c>
      <c r="M1218" s="340"/>
      <c r="N1218" s="340">
        <v>0</v>
      </c>
      <c r="O1218" s="340">
        <v>0</v>
      </c>
      <c r="P1218" s="340">
        <v>0</v>
      </c>
      <c r="Q1218" s="340">
        <v>0</v>
      </c>
      <c r="R1218" s="341"/>
      <c r="S1218" s="341"/>
      <c r="T1218" s="340"/>
      <c r="U1218" s="341"/>
      <c r="V1218" s="341"/>
      <c r="W1218" s="341"/>
      <c r="X1218" s="341"/>
      <c r="Y1218" s="341"/>
      <c r="Z1218" s="341"/>
    </row>
    <row r="1219" spans="1:26" x14ac:dyDescent="0.2">
      <c r="D1219" s="340"/>
      <c r="E1219" s="341"/>
      <c r="F1219" s="36"/>
      <c r="G1219" s="341"/>
      <c r="H1219" s="340"/>
      <c r="I1219" s="340"/>
      <c r="J1219" s="340"/>
      <c r="K1219" s="340"/>
      <c r="L1219" s="340"/>
      <c r="M1219" s="340"/>
      <c r="N1219" s="340"/>
      <c r="O1219" s="340"/>
      <c r="P1219" s="340"/>
      <c r="Q1219" s="340"/>
      <c r="R1219" s="341"/>
      <c r="S1219" s="341"/>
      <c r="T1219" s="340"/>
      <c r="U1219" s="341"/>
      <c r="V1219" s="341"/>
      <c r="W1219" s="341"/>
      <c r="X1219" s="341"/>
      <c r="Y1219" s="341"/>
      <c r="Z1219" s="341"/>
    </row>
    <row r="1220" spans="1:26" x14ac:dyDescent="0.2">
      <c r="B1220" s="35" t="s">
        <v>835</v>
      </c>
      <c r="D1220" s="340"/>
      <c r="E1220" s="341"/>
      <c r="F1220" s="340"/>
      <c r="G1220" s="341"/>
      <c r="H1220" s="340"/>
      <c r="I1220" s="340"/>
      <c r="J1220" s="340"/>
      <c r="K1220" s="340"/>
      <c r="L1220" s="340"/>
      <c r="M1220" s="340"/>
      <c r="N1220" s="340"/>
      <c r="O1220" s="340"/>
      <c r="P1220" s="340"/>
      <c r="Q1220" s="340"/>
      <c r="R1220" s="341"/>
      <c r="S1220" s="341"/>
      <c r="T1220" s="340"/>
      <c r="U1220" s="341"/>
      <c r="V1220" s="341"/>
      <c r="W1220" s="341"/>
      <c r="X1220" s="341"/>
      <c r="Y1220" s="341"/>
      <c r="Z1220" s="341"/>
    </row>
    <row r="1221" spans="1:26" x14ac:dyDescent="0.2">
      <c r="D1221" s="340"/>
      <c r="E1221" s="341"/>
      <c r="F1221" s="340"/>
      <c r="G1221" s="341"/>
      <c r="H1221" s="340"/>
      <c r="I1221" s="340"/>
      <c r="J1221" s="340"/>
      <c r="K1221" s="340"/>
      <c r="L1221" s="340"/>
      <c r="M1221" s="340"/>
      <c r="N1221" s="340"/>
      <c r="O1221" s="340"/>
      <c r="P1221" s="340"/>
      <c r="Q1221" s="340"/>
      <c r="R1221" s="341"/>
      <c r="S1221" s="341"/>
      <c r="T1221" s="340"/>
      <c r="U1221" s="341"/>
      <c r="V1221" s="341"/>
      <c r="W1221" s="341"/>
      <c r="X1221" s="341"/>
      <c r="Y1221" s="341"/>
      <c r="Z1221" s="341"/>
    </row>
    <row r="1222" spans="1:26" x14ac:dyDescent="0.2">
      <c r="B1222" s="35" t="s">
        <v>836</v>
      </c>
      <c r="F1222" s="36"/>
    </row>
    <row r="1223" spans="1:26" x14ac:dyDescent="0.2">
      <c r="A1223" s="35">
        <v>1</v>
      </c>
      <c r="B1223" s="35" t="s">
        <v>837</v>
      </c>
      <c r="C1223" s="35" t="s">
        <v>32</v>
      </c>
      <c r="D1223" s="36">
        <v>29910218.736850802</v>
      </c>
      <c r="F1223" s="36">
        <v>26672024.893674199</v>
      </c>
      <c r="H1223" s="36">
        <v>1388944.6423189638</v>
      </c>
      <c r="I1223" s="36">
        <v>1849249.2008576407</v>
      </c>
      <c r="L1223" s="36">
        <v>236.15781771706537</v>
      </c>
      <c r="N1223" s="36">
        <v>1849013.0430399235</v>
      </c>
      <c r="O1223" s="36">
        <v>582536.230664136</v>
      </c>
      <c r="P1223" s="36">
        <v>1266476.8123757876</v>
      </c>
      <c r="Q1223" s="36">
        <v>4.0658760758394481E-14</v>
      </c>
      <c r="T1223" s="36">
        <v>29910218.736850802</v>
      </c>
      <c r="V1223" s="35" t="s">
        <v>2415</v>
      </c>
    </row>
    <row r="1224" spans="1:26" x14ac:dyDescent="0.2">
      <c r="A1224" s="35">
        <v>2</v>
      </c>
      <c r="B1224" s="35" t="s">
        <v>325</v>
      </c>
      <c r="C1224" s="35" t="s">
        <v>2024</v>
      </c>
      <c r="D1224" s="36">
        <v>3194472</v>
      </c>
      <c r="F1224" s="36">
        <v>3194472</v>
      </c>
      <c r="H1224" s="36">
        <v>0</v>
      </c>
      <c r="I1224" s="36">
        <v>0</v>
      </c>
      <c r="L1224" s="36">
        <v>0</v>
      </c>
      <c r="N1224" s="36">
        <v>0</v>
      </c>
      <c r="O1224" s="36">
        <v>0</v>
      </c>
      <c r="P1224" s="36">
        <v>0</v>
      </c>
      <c r="Q1224" s="36">
        <v>0</v>
      </c>
      <c r="T1224" s="36">
        <v>3194472</v>
      </c>
    </row>
    <row r="1225" spans="1:26" x14ac:dyDescent="0.2">
      <c r="A1225" s="35">
        <v>3</v>
      </c>
      <c r="B1225" s="35" t="s">
        <v>326</v>
      </c>
      <c r="C1225" s="35" t="s">
        <v>907</v>
      </c>
      <c r="D1225" s="36">
        <v>0</v>
      </c>
      <c r="F1225" s="36">
        <v>0</v>
      </c>
      <c r="H1225" s="36">
        <v>0</v>
      </c>
      <c r="I1225" s="36">
        <v>0</v>
      </c>
      <c r="L1225" s="36">
        <v>0</v>
      </c>
      <c r="N1225" s="36">
        <v>0</v>
      </c>
      <c r="O1225" s="36">
        <v>0</v>
      </c>
      <c r="P1225" s="36">
        <v>0</v>
      </c>
      <c r="Q1225" s="36">
        <v>0</v>
      </c>
    </row>
    <row r="1226" spans="1:26" x14ac:dyDescent="0.2">
      <c r="A1226" s="35">
        <v>4</v>
      </c>
      <c r="B1226" s="35" t="s">
        <v>1380</v>
      </c>
      <c r="C1226" s="35" t="s">
        <v>1493</v>
      </c>
      <c r="D1226" s="36">
        <v>0</v>
      </c>
      <c r="F1226" s="36">
        <v>0</v>
      </c>
      <c r="H1226" s="36">
        <v>0</v>
      </c>
      <c r="I1226" s="36">
        <v>0</v>
      </c>
      <c r="L1226" s="36">
        <v>0</v>
      </c>
      <c r="N1226" s="36">
        <v>0</v>
      </c>
      <c r="O1226" s="36">
        <v>0</v>
      </c>
      <c r="P1226" s="36">
        <v>0</v>
      </c>
      <c r="Q1226" s="36">
        <v>0</v>
      </c>
      <c r="T1226" s="36">
        <v>0</v>
      </c>
      <c r="Z1226" s="35" t="s">
        <v>1868</v>
      </c>
    </row>
    <row r="1227" spans="1:26" x14ac:dyDescent="0.2">
      <c r="A1227" s="35">
        <v>5</v>
      </c>
      <c r="B1227" s="35" t="s">
        <v>2300</v>
      </c>
      <c r="C1227" s="35" t="s">
        <v>1493</v>
      </c>
      <c r="D1227" s="36">
        <v>10760830</v>
      </c>
      <c r="F1227" s="36">
        <v>9732302.3484011702</v>
      </c>
      <c r="H1227" s="36">
        <v>501237.48501851154</v>
      </c>
      <c r="I1227" s="36">
        <v>527290.16658031777</v>
      </c>
      <c r="L1227" s="36">
        <v>240.56362640444178</v>
      </c>
      <c r="N1227" s="36">
        <v>527049.60295391339</v>
      </c>
      <c r="O1227" s="36">
        <v>168255.59651043417</v>
      </c>
      <c r="P1227" s="36">
        <v>358794.00644347927</v>
      </c>
      <c r="Q1227" s="36">
        <v>5.4051827263317446E-13</v>
      </c>
      <c r="T1227" s="36">
        <v>10681630</v>
      </c>
      <c r="U1227" s="35">
        <v>10760830</v>
      </c>
      <c r="V1227" s="35">
        <v>79200</v>
      </c>
      <c r="W1227" s="35" t="s">
        <v>2416</v>
      </c>
      <c r="Z1227" s="35">
        <v>665824.11349999998</v>
      </c>
    </row>
    <row r="1228" spans="1:26" x14ac:dyDescent="0.2">
      <c r="A1228" s="35">
        <v>6</v>
      </c>
      <c r="B1228" s="35" t="s">
        <v>327</v>
      </c>
      <c r="C1228" s="35" t="s">
        <v>1414</v>
      </c>
      <c r="D1228" s="36">
        <v>0</v>
      </c>
      <c r="F1228" s="36">
        <v>0</v>
      </c>
      <c r="H1228" s="36">
        <v>0</v>
      </c>
      <c r="I1228" s="36">
        <v>0</v>
      </c>
      <c r="L1228" s="36">
        <v>0</v>
      </c>
      <c r="N1228" s="36">
        <v>0</v>
      </c>
      <c r="O1228" s="36">
        <v>0</v>
      </c>
      <c r="P1228" s="36">
        <v>0</v>
      </c>
      <c r="Q1228" s="36">
        <v>0</v>
      </c>
    </row>
    <row r="1229" spans="1:26" x14ac:dyDescent="0.2">
      <c r="A1229" s="35">
        <v>7</v>
      </c>
      <c r="B1229" s="35" t="s">
        <v>328</v>
      </c>
      <c r="D1229" s="36">
        <v>43865520.736850806</v>
      </c>
      <c r="F1229" s="36">
        <v>39598799.242075369</v>
      </c>
      <c r="H1229" s="36">
        <v>1890182.1273374753</v>
      </c>
      <c r="I1229" s="36">
        <v>2376539.3674379587</v>
      </c>
      <c r="L1229" s="36">
        <v>476.72144412150715</v>
      </c>
      <c r="N1229" s="36">
        <v>2376062.6459938372</v>
      </c>
      <c r="O1229" s="36">
        <v>750791.82717457018</v>
      </c>
      <c r="P1229" s="36">
        <v>1625270.818819267</v>
      </c>
      <c r="Q1229" s="36">
        <v>5.8117703339156895E-13</v>
      </c>
    </row>
    <row r="1230" spans="1:26" x14ac:dyDescent="0.2">
      <c r="F1230" s="36"/>
    </row>
    <row r="1231" spans="1:26" x14ac:dyDescent="0.2">
      <c r="A1231" s="35">
        <v>8</v>
      </c>
      <c r="B1231" s="35" t="s">
        <v>329</v>
      </c>
      <c r="C1231" s="35" t="s">
        <v>1333</v>
      </c>
      <c r="D1231" s="36">
        <v>0</v>
      </c>
      <c r="F1231" s="36">
        <v>0</v>
      </c>
      <c r="H1231" s="36">
        <v>0</v>
      </c>
      <c r="I1231" s="36">
        <v>0</v>
      </c>
      <c r="L1231" s="36">
        <v>0</v>
      </c>
      <c r="N1231" s="36">
        <v>0</v>
      </c>
      <c r="O1231" s="36">
        <v>0</v>
      </c>
      <c r="P1231" s="36">
        <v>0</v>
      </c>
      <c r="Q1231" s="36">
        <v>0</v>
      </c>
      <c r="T1231" s="36">
        <v>0</v>
      </c>
      <c r="V1231" s="35" t="s">
        <v>330</v>
      </c>
      <c r="X1231" s="35" t="s">
        <v>1864</v>
      </c>
    </row>
    <row r="1232" spans="1:26" x14ac:dyDescent="0.2">
      <c r="A1232" s="35">
        <v>9</v>
      </c>
      <c r="B1232" s="35" t="s">
        <v>1862</v>
      </c>
      <c r="C1232" s="35" t="s">
        <v>1414</v>
      </c>
      <c r="D1232" s="36">
        <v>0</v>
      </c>
      <c r="F1232" s="36">
        <v>0</v>
      </c>
      <c r="H1232" s="36">
        <v>0</v>
      </c>
      <c r="I1232" s="36">
        <v>0</v>
      </c>
      <c r="L1232" s="36">
        <v>0</v>
      </c>
      <c r="N1232" s="36">
        <v>0</v>
      </c>
      <c r="O1232" s="36">
        <v>0</v>
      </c>
      <c r="P1232" s="36">
        <v>0</v>
      </c>
      <c r="Q1232" s="36">
        <v>0</v>
      </c>
      <c r="T1232" s="36">
        <v>0</v>
      </c>
      <c r="V1232" s="35" t="s">
        <v>2417</v>
      </c>
      <c r="X1232" s="35">
        <v>0</v>
      </c>
      <c r="Y1232" s="35">
        <v>0</v>
      </c>
    </row>
    <row r="1233" spans="1:25" x14ac:dyDescent="0.2">
      <c r="A1233" s="35">
        <v>10</v>
      </c>
      <c r="B1233" s="35" t="s">
        <v>1863</v>
      </c>
      <c r="C1233" s="35" t="s">
        <v>1493</v>
      </c>
      <c r="D1233" s="36">
        <v>957051.45900000015</v>
      </c>
      <c r="F1233" s="36">
        <v>0</v>
      </c>
      <c r="H1233" s="36">
        <v>22454.909332304956</v>
      </c>
      <c r="I1233" s="36">
        <v>0</v>
      </c>
      <c r="L1233" s="36">
        <v>0</v>
      </c>
      <c r="N1233" s="36">
        <v>0</v>
      </c>
      <c r="O1233" s="36">
        <v>0</v>
      </c>
      <c r="P1233" s="36">
        <v>0</v>
      </c>
      <c r="Q1233" s="36">
        <v>0</v>
      </c>
      <c r="T1233" s="36">
        <v>478525.72950000007</v>
      </c>
      <c r="U1233" s="35" t="s">
        <v>1865</v>
      </c>
      <c r="V1233" s="35" t="s">
        <v>1866</v>
      </c>
      <c r="X1233" s="35" t="s">
        <v>2418</v>
      </c>
      <c r="Y1233" s="35" t="s">
        <v>1867</v>
      </c>
    </row>
    <row r="1234" spans="1:25" x14ac:dyDescent="0.2">
      <c r="F1234" s="36"/>
      <c r="T1234" s="36">
        <v>934596.54966769519</v>
      </c>
      <c r="U1234" s="35" t="s">
        <v>2181</v>
      </c>
      <c r="X1234" s="35">
        <v>1566369.0000000002</v>
      </c>
      <c r="Y1234" s="35">
        <v>957051.45900000015</v>
      </c>
    </row>
    <row r="1235" spans="1:25" x14ac:dyDescent="0.2">
      <c r="F1235" s="36"/>
      <c r="Y1235" s="35">
        <v>957051.45900000015</v>
      </c>
    </row>
    <row r="1236" spans="1:25" x14ac:dyDescent="0.2">
      <c r="B1236" s="35" t="s">
        <v>333</v>
      </c>
      <c r="F1236" s="36"/>
    </row>
    <row r="1237" spans="1:25" x14ac:dyDescent="0.2">
      <c r="A1237" s="35">
        <v>11</v>
      </c>
      <c r="B1237" s="35" t="s">
        <v>615</v>
      </c>
      <c r="C1237" s="35" t="s">
        <v>950</v>
      </c>
      <c r="D1237" s="36">
        <v>0</v>
      </c>
      <c r="F1237" s="36">
        <v>0</v>
      </c>
      <c r="H1237" s="36">
        <v>0</v>
      </c>
      <c r="I1237" s="36">
        <v>0</v>
      </c>
      <c r="L1237" s="36">
        <v>0</v>
      </c>
      <c r="N1237" s="36">
        <v>0</v>
      </c>
      <c r="O1237" s="36">
        <v>0</v>
      </c>
      <c r="P1237" s="36">
        <v>0</v>
      </c>
      <c r="Q1237" s="36">
        <v>0</v>
      </c>
      <c r="T1237" s="36">
        <v>0</v>
      </c>
      <c r="V1237" s="35" t="s">
        <v>332</v>
      </c>
      <c r="X1237" s="35" t="s">
        <v>334</v>
      </c>
    </row>
    <row r="1238" spans="1:25" x14ac:dyDescent="0.2">
      <c r="A1238" s="35">
        <v>12</v>
      </c>
      <c r="B1238" s="35" t="s">
        <v>616</v>
      </c>
      <c r="C1238" s="35" t="s">
        <v>2271</v>
      </c>
      <c r="D1238" s="36">
        <v>0</v>
      </c>
      <c r="F1238" s="36">
        <v>0</v>
      </c>
      <c r="H1238" s="36">
        <v>0</v>
      </c>
      <c r="I1238" s="36">
        <v>0</v>
      </c>
      <c r="L1238" s="36">
        <v>0</v>
      </c>
      <c r="N1238" s="36">
        <v>0</v>
      </c>
      <c r="O1238" s="36">
        <v>0</v>
      </c>
      <c r="P1238" s="36">
        <v>0</v>
      </c>
      <c r="Q1238" s="36">
        <v>0</v>
      </c>
      <c r="T1238" s="36">
        <v>0</v>
      </c>
    </row>
    <row r="1239" spans="1:25" x14ac:dyDescent="0.2">
      <c r="A1239" s="35">
        <v>13</v>
      </c>
      <c r="B1239" s="35" t="s">
        <v>617</v>
      </c>
      <c r="C1239" s="35" t="s">
        <v>1411</v>
      </c>
      <c r="D1239" s="36">
        <v>0</v>
      </c>
      <c r="F1239" s="36">
        <v>0</v>
      </c>
      <c r="H1239" s="36">
        <v>0</v>
      </c>
      <c r="I1239" s="36">
        <v>0</v>
      </c>
      <c r="L1239" s="36">
        <v>0</v>
      </c>
      <c r="N1239" s="36">
        <v>0</v>
      </c>
      <c r="O1239" s="36">
        <v>0</v>
      </c>
      <c r="P1239" s="36">
        <v>0</v>
      </c>
      <c r="Q1239" s="36">
        <v>0</v>
      </c>
      <c r="T1239" s="36">
        <v>0</v>
      </c>
    </row>
    <row r="1240" spans="1:25" x14ac:dyDescent="0.2">
      <c r="A1240" s="35">
        <v>14</v>
      </c>
      <c r="B1240" s="35" t="s">
        <v>335</v>
      </c>
      <c r="C1240" s="35" t="s">
        <v>1441</v>
      </c>
      <c r="D1240" s="36">
        <v>0</v>
      </c>
      <c r="F1240" s="36">
        <v>0</v>
      </c>
      <c r="H1240" s="36">
        <v>0</v>
      </c>
      <c r="I1240" s="36">
        <v>0</v>
      </c>
      <c r="L1240" s="36">
        <v>0</v>
      </c>
      <c r="N1240" s="36">
        <v>0</v>
      </c>
      <c r="O1240" s="36">
        <v>0</v>
      </c>
      <c r="P1240" s="36">
        <v>0</v>
      </c>
      <c r="Q1240" s="36">
        <v>0</v>
      </c>
      <c r="T1240" s="36">
        <v>0</v>
      </c>
    </row>
    <row r="1241" spans="1:25" x14ac:dyDescent="0.2">
      <c r="A1241" s="35">
        <v>15</v>
      </c>
      <c r="B1241" s="35" t="s">
        <v>619</v>
      </c>
      <c r="C1241" s="35" t="s">
        <v>977</v>
      </c>
      <c r="D1241" s="36">
        <v>0</v>
      </c>
      <c r="F1241" s="36">
        <v>0</v>
      </c>
      <c r="H1241" s="36">
        <v>0</v>
      </c>
      <c r="I1241" s="36">
        <v>0</v>
      </c>
      <c r="L1241" s="36">
        <v>0</v>
      </c>
      <c r="N1241" s="36">
        <v>0</v>
      </c>
      <c r="O1241" s="36">
        <v>0</v>
      </c>
      <c r="P1241" s="36">
        <v>0</v>
      </c>
      <c r="Q1241" s="36">
        <v>0</v>
      </c>
      <c r="T1241" s="36">
        <v>0</v>
      </c>
    </row>
    <row r="1242" spans="1:25" x14ac:dyDescent="0.2">
      <c r="A1242" s="35">
        <v>16</v>
      </c>
      <c r="B1242" s="35" t="s">
        <v>620</v>
      </c>
      <c r="C1242" s="35" t="s">
        <v>1513</v>
      </c>
      <c r="D1242" s="36">
        <v>0</v>
      </c>
      <c r="F1242" s="36">
        <v>0</v>
      </c>
      <c r="H1242" s="36">
        <v>0</v>
      </c>
      <c r="I1242" s="36">
        <v>0</v>
      </c>
      <c r="L1242" s="36">
        <v>0</v>
      </c>
      <c r="N1242" s="36">
        <v>0</v>
      </c>
      <c r="O1242" s="36">
        <v>0</v>
      </c>
      <c r="P1242" s="36">
        <v>0</v>
      </c>
      <c r="Q1242" s="36">
        <v>0</v>
      </c>
      <c r="T1242" s="36">
        <v>0</v>
      </c>
    </row>
    <row r="1243" spans="1:25" x14ac:dyDescent="0.2">
      <c r="A1243" s="35">
        <v>17</v>
      </c>
      <c r="B1243" s="35" t="s">
        <v>336</v>
      </c>
      <c r="D1243" s="36">
        <v>0</v>
      </c>
      <c r="F1243" s="36">
        <v>0</v>
      </c>
      <c r="H1243" s="36">
        <v>0</v>
      </c>
      <c r="I1243" s="36">
        <v>0</v>
      </c>
      <c r="L1243" s="36">
        <v>0</v>
      </c>
      <c r="N1243" s="36">
        <v>0</v>
      </c>
      <c r="O1243" s="36">
        <v>0</v>
      </c>
      <c r="P1243" s="36">
        <v>0</v>
      </c>
      <c r="Q1243" s="36">
        <v>0</v>
      </c>
    </row>
    <row r="1244" spans="1:25" x14ac:dyDescent="0.2">
      <c r="F1244" s="36"/>
    </row>
    <row r="1245" spans="1:25" x14ac:dyDescent="0.2">
      <c r="A1245" s="35">
        <v>18</v>
      </c>
      <c r="B1245" s="35" t="s">
        <v>337</v>
      </c>
      <c r="D1245" s="36">
        <v>1395579295.6656921</v>
      </c>
      <c r="F1245" s="36">
        <v>1242284381.9563818</v>
      </c>
      <c r="H1245" s="36">
        <v>60141432.123392694</v>
      </c>
      <c r="I1245" s="36">
        <v>93153481.585917801</v>
      </c>
      <c r="L1245" s="36">
        <v>18975.570167325535</v>
      </c>
      <c r="N1245" s="36">
        <v>93134506.015750468</v>
      </c>
      <c r="O1245" s="36">
        <v>29411989.769537657</v>
      </c>
      <c r="P1245" s="36">
        <v>63722516.246212803</v>
      </c>
      <c r="Q1245" s="36">
        <v>6.5627898477055416E-12</v>
      </c>
    </row>
    <row r="1246" spans="1:25" x14ac:dyDescent="0.2">
      <c r="F1246" s="36"/>
    </row>
    <row r="1247" spans="1:25" x14ac:dyDescent="0.2">
      <c r="F1247" s="36"/>
    </row>
    <row r="1248" spans="1:25" x14ac:dyDescent="0.2">
      <c r="F1248" s="36"/>
    </row>
    <row r="1249" spans="1:23" x14ac:dyDescent="0.2">
      <c r="F1249" s="36"/>
    </row>
    <row r="1250" spans="1:23" x14ac:dyDescent="0.2">
      <c r="F1250" s="36"/>
    </row>
    <row r="1251" spans="1:23" x14ac:dyDescent="0.2">
      <c r="F1251" s="36"/>
    </row>
    <row r="1252" spans="1:23" x14ac:dyDescent="0.2">
      <c r="F1252" s="36"/>
    </row>
    <row r="1253" spans="1:23" x14ac:dyDescent="0.2">
      <c r="F1253" s="36"/>
    </row>
    <row r="1254" spans="1:23" x14ac:dyDescent="0.2">
      <c r="B1254" s="35" t="s">
        <v>338</v>
      </c>
      <c r="F1254" s="36"/>
    </row>
    <row r="1255" spans="1:23" x14ac:dyDescent="0.2">
      <c r="F1255" s="36"/>
    </row>
    <row r="1256" spans="1:23" x14ac:dyDescent="0.2">
      <c r="A1256" s="35">
        <v>1</v>
      </c>
      <c r="B1256" s="35" t="s">
        <v>339</v>
      </c>
      <c r="D1256" s="36">
        <v>438467328</v>
      </c>
      <c r="F1256" s="36">
        <v>400332116.389112</v>
      </c>
      <c r="H1256" s="36">
        <v>15811503.360261835</v>
      </c>
      <c r="I1256" s="36">
        <v>22323708.192526754</v>
      </c>
      <c r="L1256" s="36">
        <v>-18782.212141005195</v>
      </c>
      <c r="N1256" s="36">
        <v>22342490.404667757</v>
      </c>
      <c r="O1256" s="36">
        <v>6510866.4304752946</v>
      </c>
      <c r="P1256" s="36">
        <v>15831623.974192463</v>
      </c>
      <c r="Q1256" s="36">
        <v>-6.5627898477055416E-12</v>
      </c>
      <c r="T1256" s="36">
        <v>438467328</v>
      </c>
      <c r="U1256" s="35" t="s">
        <v>583</v>
      </c>
      <c r="W1256" s="35">
        <v>0</v>
      </c>
    </row>
    <row r="1257" spans="1:23" x14ac:dyDescent="0.2">
      <c r="F1257" s="36"/>
    </row>
    <row r="1258" spans="1:23" x14ac:dyDescent="0.2">
      <c r="B1258" s="35" t="s">
        <v>340</v>
      </c>
      <c r="F1258" s="36"/>
    </row>
    <row r="1259" spans="1:23" x14ac:dyDescent="0.2">
      <c r="B1259" s="35" t="s">
        <v>341</v>
      </c>
      <c r="F1259" s="36"/>
    </row>
    <row r="1260" spans="1:23" x14ac:dyDescent="0.2">
      <c r="A1260" s="35">
        <v>2</v>
      </c>
      <c r="F1260" s="36"/>
    </row>
    <row r="1261" spans="1:23" x14ac:dyDescent="0.2">
      <c r="A1261" s="35">
        <v>3</v>
      </c>
      <c r="F1261" s="36"/>
    </row>
    <row r="1262" spans="1:23" x14ac:dyDescent="0.2">
      <c r="A1262" s="35">
        <v>4</v>
      </c>
      <c r="B1262" s="35" t="s">
        <v>342</v>
      </c>
      <c r="D1262" s="36">
        <v>0</v>
      </c>
      <c r="F1262" s="36">
        <v>0</v>
      </c>
      <c r="H1262" s="36">
        <v>0</v>
      </c>
      <c r="I1262" s="36">
        <v>0</v>
      </c>
      <c r="L1262" s="36">
        <v>0</v>
      </c>
      <c r="N1262" s="36">
        <v>0</v>
      </c>
      <c r="O1262" s="36">
        <v>0</v>
      </c>
      <c r="P1262" s="36">
        <v>0</v>
      </c>
      <c r="Q1262" s="36">
        <v>0</v>
      </c>
    </row>
    <row r="1263" spans="1:23" x14ac:dyDescent="0.2">
      <c r="F1263" s="36"/>
    </row>
    <row r="1264" spans="1:23" x14ac:dyDescent="0.2">
      <c r="B1264" s="35" t="s">
        <v>343</v>
      </c>
      <c r="F1264" s="36"/>
    </row>
    <row r="1265" spans="1:28" x14ac:dyDescent="0.2">
      <c r="B1265" s="35" t="s">
        <v>344</v>
      </c>
      <c r="F1265" s="36"/>
    </row>
    <row r="1266" spans="1:28" x14ac:dyDescent="0.2">
      <c r="A1266" s="35">
        <v>5</v>
      </c>
      <c r="B1266" s="35" t="s">
        <v>345</v>
      </c>
      <c r="C1266" s="35" t="s">
        <v>34</v>
      </c>
      <c r="D1266" s="36">
        <v>96310061.999999985</v>
      </c>
      <c r="F1266" s="36">
        <v>86095200.491145507</v>
      </c>
      <c r="H1266" s="36">
        <v>4201537.6719300905</v>
      </c>
      <c r="I1266" s="36">
        <v>6013323.8369243909</v>
      </c>
      <c r="L1266" s="36">
        <v>443.23039537815094</v>
      </c>
      <c r="N1266" s="36">
        <v>6012880.6065290123</v>
      </c>
      <c r="O1266" s="36">
        <v>1893356.2608538975</v>
      </c>
      <c r="P1266" s="36">
        <v>4119524.3456751145</v>
      </c>
      <c r="Q1266" s="36">
        <v>1.0429999438683989E-13</v>
      </c>
      <c r="T1266" s="36">
        <v>96310062</v>
      </c>
      <c r="V1266" s="35" t="s">
        <v>332</v>
      </c>
      <c r="Y1266" s="35" t="s">
        <v>2301</v>
      </c>
      <c r="Z1266" s="35">
        <v>0.298878010392436</v>
      </c>
    </row>
    <row r="1267" spans="1:28" x14ac:dyDescent="0.2">
      <c r="A1267" s="35">
        <v>6</v>
      </c>
      <c r="B1267" s="35" t="s">
        <v>346</v>
      </c>
      <c r="C1267" s="35" t="s">
        <v>1486</v>
      </c>
      <c r="D1267" s="36">
        <v>0</v>
      </c>
      <c r="F1267" s="36">
        <v>0</v>
      </c>
      <c r="H1267" s="36">
        <v>5481.5275514018986</v>
      </c>
      <c r="I1267" s="36">
        <v>0</v>
      </c>
      <c r="L1267" s="36">
        <v>0</v>
      </c>
      <c r="N1267" s="36">
        <v>0</v>
      </c>
      <c r="O1267" s="36">
        <v>0</v>
      </c>
      <c r="P1267" s="36">
        <v>0</v>
      </c>
      <c r="Q1267" s="36">
        <v>0</v>
      </c>
      <c r="T1267" s="36">
        <v>103603.640874</v>
      </c>
      <c r="V1267" s="35" t="s">
        <v>1869</v>
      </c>
      <c r="Y1267" s="35">
        <v>98122.113322598103</v>
      </c>
      <c r="Z1267" s="35">
        <v>0.701121989607564</v>
      </c>
    </row>
    <row r="1268" spans="1:28" x14ac:dyDescent="0.2">
      <c r="A1268" s="35">
        <v>7</v>
      </c>
      <c r="B1268" s="35" t="s">
        <v>1377</v>
      </c>
      <c r="C1268" s="35" t="s">
        <v>542</v>
      </c>
      <c r="D1268" s="36">
        <v>0</v>
      </c>
      <c r="F1268" s="36">
        <v>0</v>
      </c>
      <c r="H1268" s="36">
        <v>0</v>
      </c>
      <c r="I1268" s="36">
        <v>0</v>
      </c>
      <c r="L1268" s="36">
        <v>0</v>
      </c>
      <c r="N1268" s="36">
        <v>0</v>
      </c>
      <c r="O1268" s="36">
        <v>0</v>
      </c>
      <c r="P1268" s="36">
        <v>0</v>
      </c>
      <c r="Q1268" s="36">
        <v>0</v>
      </c>
      <c r="T1268" s="36">
        <v>0</v>
      </c>
      <c r="V1268" s="35" t="s">
        <v>332</v>
      </c>
    </row>
    <row r="1269" spans="1:28" x14ac:dyDescent="0.2">
      <c r="A1269" s="35">
        <v>8</v>
      </c>
      <c r="B1269" s="35" t="s">
        <v>1378</v>
      </c>
      <c r="D1269" s="36">
        <v>96310061.999999985</v>
      </c>
      <c r="F1269" s="36">
        <v>86095200.491145507</v>
      </c>
      <c r="H1269" s="36">
        <v>4207019.1994814929</v>
      </c>
      <c r="I1269" s="36">
        <v>6013323.8369243909</v>
      </c>
      <c r="L1269" s="36">
        <v>443.23039537815094</v>
      </c>
      <c r="N1269" s="36">
        <v>6012880.6065290123</v>
      </c>
      <c r="O1269" s="36">
        <v>1893356.2608538975</v>
      </c>
      <c r="P1269" s="36">
        <v>4119524.3456751145</v>
      </c>
      <c r="Q1269" s="36">
        <v>1.0429999438683989E-13</v>
      </c>
      <c r="V1269" s="35" t="s">
        <v>332</v>
      </c>
    </row>
    <row r="1270" spans="1:28" x14ac:dyDescent="0.2">
      <c r="F1270" s="36"/>
      <c r="Z1270" s="35" t="s">
        <v>2186</v>
      </c>
      <c r="AA1270" s="35" t="s">
        <v>68</v>
      </c>
    </row>
    <row r="1271" spans="1:28" x14ac:dyDescent="0.2">
      <c r="B1271" s="35" t="s">
        <v>1379</v>
      </c>
      <c r="F1271" s="36"/>
      <c r="Z1271" s="35">
        <v>8919654.271316722</v>
      </c>
      <c r="AA1271" s="35">
        <v>275343961.82872063</v>
      </c>
    </row>
    <row r="1272" spans="1:28" x14ac:dyDescent="0.2">
      <c r="A1272" s="35">
        <v>9</v>
      </c>
      <c r="B1272" s="35" t="s">
        <v>2182</v>
      </c>
      <c r="C1272" s="35" t="s">
        <v>1343</v>
      </c>
      <c r="D1272" s="36">
        <v>-5466051.0000000009</v>
      </c>
      <c r="F1272" s="36">
        <v>-4988960.3078382481</v>
      </c>
      <c r="H1272" s="36">
        <v>0</v>
      </c>
      <c r="I1272" s="36">
        <v>-477090.69216175243</v>
      </c>
      <c r="L1272" s="36">
        <v>-17.530841379817065</v>
      </c>
      <c r="N1272" s="36">
        <v>-477073.1613203726</v>
      </c>
      <c r="O1272" s="36">
        <v>-148063.89258108221</v>
      </c>
      <c r="P1272" s="36">
        <v>-329009.26873929042</v>
      </c>
      <c r="Q1272" s="36">
        <v>0</v>
      </c>
      <c r="T1272" s="36">
        <v>-5466051</v>
      </c>
      <c r="V1272" s="35" t="s">
        <v>2183</v>
      </c>
      <c r="Z1272" s="35">
        <v>3.2394588252729679E-2</v>
      </c>
      <c r="AA1272" s="35">
        <v>270735639.44065905</v>
      </c>
      <c r="AB1272" s="35">
        <v>1</v>
      </c>
    </row>
    <row r="1273" spans="1:28" x14ac:dyDescent="0.2">
      <c r="A1273" s="35">
        <v>10</v>
      </c>
      <c r="B1273" s="35" t="s">
        <v>2374</v>
      </c>
      <c r="C1273" s="35" t="s">
        <v>1495</v>
      </c>
      <c r="D1273" s="36">
        <v>0</v>
      </c>
      <c r="F1273" s="36">
        <v>0</v>
      </c>
      <c r="H1273" s="36">
        <v>0</v>
      </c>
      <c r="I1273" s="36">
        <v>0</v>
      </c>
      <c r="L1273" s="36">
        <v>0</v>
      </c>
      <c r="N1273" s="36">
        <v>0</v>
      </c>
      <c r="O1273" s="36">
        <v>0</v>
      </c>
      <c r="P1273" s="36">
        <v>0</v>
      </c>
      <c r="Q1273" s="36">
        <v>0</v>
      </c>
      <c r="T1273" s="36">
        <v>0</v>
      </c>
      <c r="V1273" s="35" t="s">
        <v>2419</v>
      </c>
      <c r="Y1273" s="35">
        <v>257803</v>
      </c>
    </row>
    <row r="1274" spans="1:28" x14ac:dyDescent="0.2">
      <c r="A1274" s="35">
        <v>11</v>
      </c>
      <c r="B1274" s="35" t="s">
        <v>2184</v>
      </c>
      <c r="C1274" s="35" t="s">
        <v>1335</v>
      </c>
      <c r="D1274" s="36">
        <v>221702.97428384691</v>
      </c>
      <c r="F1274" s="36">
        <v>0</v>
      </c>
      <c r="H1274" s="36">
        <v>72234.443465118864</v>
      </c>
      <c r="I1274" s="36">
        <v>149468.53081872806</v>
      </c>
      <c r="L1274" s="36">
        <v>0</v>
      </c>
      <c r="N1274" s="36">
        <v>149468.53081872806</v>
      </c>
      <c r="O1274" s="36">
        <v>46388.885994227203</v>
      </c>
      <c r="P1274" s="36">
        <v>103079.64482450087</v>
      </c>
      <c r="Q1274" s="36">
        <v>0</v>
      </c>
      <c r="T1274" s="36">
        <v>221702.97428384694</v>
      </c>
      <c r="V1274" s="35" t="s">
        <v>332</v>
      </c>
      <c r="Y1274" s="35">
        <v>730603</v>
      </c>
      <c r="Z1274" s="35" t="s">
        <v>1382</v>
      </c>
    </row>
    <row r="1275" spans="1:28" x14ac:dyDescent="0.2">
      <c r="A1275" s="35">
        <v>12</v>
      </c>
      <c r="B1275" s="35" t="s">
        <v>2185</v>
      </c>
      <c r="C1275" s="35" t="s">
        <v>1341</v>
      </c>
      <c r="D1275" s="36">
        <v>628297.02571615297</v>
      </c>
      <c r="F1275" s="36">
        <v>0</v>
      </c>
      <c r="H1275" s="36">
        <v>0</v>
      </c>
      <c r="I1275" s="36">
        <v>628297.02571615297</v>
      </c>
      <c r="L1275" s="36">
        <v>0</v>
      </c>
      <c r="N1275" s="36">
        <v>628297.02571615297</v>
      </c>
      <c r="O1275" s="36">
        <v>194997.56194035418</v>
      </c>
      <c r="P1275" s="36">
        <v>433299.46377579885</v>
      </c>
      <c r="Q1275" s="36">
        <v>0</v>
      </c>
      <c r="T1275" s="36">
        <v>628297.02571615309</v>
      </c>
      <c r="V1275" s="35" t="s">
        <v>332</v>
      </c>
      <c r="Y1275" s="35">
        <v>988406</v>
      </c>
      <c r="Z1275" s="35">
        <v>15099245</v>
      </c>
      <c r="AA1275" s="35">
        <v>-1.0199999995529652</v>
      </c>
    </row>
    <row r="1276" spans="1:28" x14ac:dyDescent="0.2">
      <c r="A1276" s="35">
        <v>13</v>
      </c>
      <c r="B1276" s="35" t="s">
        <v>1380</v>
      </c>
      <c r="C1276" s="35" t="s">
        <v>34</v>
      </c>
      <c r="D1276" s="36">
        <v>0</v>
      </c>
      <c r="F1276" s="36">
        <v>0</v>
      </c>
      <c r="H1276" s="36">
        <v>-98122.113322598103</v>
      </c>
      <c r="I1276" s="36">
        <v>0</v>
      </c>
      <c r="L1276" s="36">
        <v>0</v>
      </c>
      <c r="N1276" s="36">
        <v>0</v>
      </c>
      <c r="O1276" s="36">
        <v>0</v>
      </c>
      <c r="P1276" s="36">
        <v>0</v>
      </c>
      <c r="Q1276" s="36">
        <v>0</v>
      </c>
      <c r="T1276" s="36">
        <v>0</v>
      </c>
      <c r="V1276" s="35" t="s">
        <v>2302</v>
      </c>
    </row>
    <row r="1277" spans="1:28" x14ac:dyDescent="0.2">
      <c r="F1277" s="36"/>
    </row>
    <row r="1278" spans="1:28" x14ac:dyDescent="0.2">
      <c r="A1278" s="35">
        <v>14</v>
      </c>
      <c r="B1278" s="35" t="s">
        <v>2187</v>
      </c>
      <c r="D1278" s="36">
        <v>337541215</v>
      </c>
      <c r="F1278" s="36">
        <v>309247956</v>
      </c>
      <c r="H1278" s="36">
        <v>11578596</v>
      </c>
      <c r="I1278" s="36">
        <v>16611059</v>
      </c>
      <c r="L1278" s="36">
        <v>-19243</v>
      </c>
      <c r="N1278" s="36">
        <v>16630302</v>
      </c>
      <c r="O1278" s="36">
        <v>4710833</v>
      </c>
      <c r="P1278" s="36">
        <v>11919469</v>
      </c>
      <c r="Q1278" s="36">
        <v>0</v>
      </c>
      <c r="T1278" s="36">
        <v>337541215</v>
      </c>
    </row>
    <row r="1279" spans="1:28" x14ac:dyDescent="0.2">
      <c r="A1279" s="35">
        <v>15</v>
      </c>
      <c r="B1279" s="35" t="s">
        <v>2375</v>
      </c>
      <c r="D1279" s="36">
        <v>343007266</v>
      </c>
      <c r="F1279" s="36">
        <v>314236916</v>
      </c>
      <c r="H1279" s="36">
        <v>11738874.047384588</v>
      </c>
      <c r="I1279" s="36">
        <v>17088151</v>
      </c>
      <c r="L1279" s="36">
        <v>-19225</v>
      </c>
      <c r="N1279" s="36">
        <v>17107376</v>
      </c>
      <c r="O1279" s="36">
        <v>4858897</v>
      </c>
      <c r="P1279" s="36">
        <v>12248479</v>
      </c>
      <c r="Q1279" s="36">
        <v>0</v>
      </c>
      <c r="T1279" s="36">
        <v>342275365.33340985</v>
      </c>
    </row>
    <row r="1280" spans="1:28" x14ac:dyDescent="0.2">
      <c r="F1280" s="36"/>
      <c r="T1280" s="36">
        <v>3.429657882608575E-2</v>
      </c>
      <c r="V1280" s="35" t="s">
        <v>2420</v>
      </c>
    </row>
    <row r="1281" spans="1:27" x14ac:dyDescent="0.2">
      <c r="A1281" s="35">
        <v>16</v>
      </c>
      <c r="B1281" s="35" t="s">
        <v>1381</v>
      </c>
      <c r="D1281" s="36">
        <v>20252472.899999999</v>
      </c>
      <c r="F1281" s="36">
        <v>18554877.359999999</v>
      </c>
      <c r="H1281" s="36">
        <v>704332.44284307526</v>
      </c>
      <c r="I1281" s="36">
        <v>996663.54</v>
      </c>
      <c r="L1281" s="36">
        <v>-1154.58</v>
      </c>
      <c r="N1281" s="36">
        <v>997818.12</v>
      </c>
      <c r="O1281" s="36">
        <v>282649.98</v>
      </c>
      <c r="P1281" s="36">
        <v>715168.14</v>
      </c>
      <c r="Q1281" s="36">
        <v>0</v>
      </c>
      <c r="V1281" s="35" t="s">
        <v>2421</v>
      </c>
    </row>
    <row r="1282" spans="1:27" x14ac:dyDescent="0.2">
      <c r="A1282" s="35">
        <v>17</v>
      </c>
      <c r="B1282" s="35" t="s">
        <v>2303</v>
      </c>
      <c r="C1282" s="35" t="s">
        <v>34</v>
      </c>
      <c r="D1282" s="36">
        <v>106507</v>
      </c>
      <c r="F1282" s="36">
        <v>95211</v>
      </c>
      <c r="H1282" s="36">
        <v>4646</v>
      </c>
      <c r="I1282" s="36">
        <v>6650</v>
      </c>
      <c r="L1282" s="36">
        <v>0</v>
      </c>
      <c r="N1282" s="36">
        <v>6650</v>
      </c>
      <c r="O1282" s="36">
        <v>2094</v>
      </c>
      <c r="P1282" s="36">
        <v>4556</v>
      </c>
      <c r="Q1282" s="36">
        <v>1.1534287561936319E-16</v>
      </c>
      <c r="T1282" s="36">
        <v>106507</v>
      </c>
      <c r="V1282" s="35" t="s">
        <v>332</v>
      </c>
      <c r="Y1282" s="35">
        <v>106506</v>
      </c>
    </row>
    <row r="1283" spans="1:27" x14ac:dyDescent="0.2">
      <c r="A1283" s="35">
        <v>18</v>
      </c>
      <c r="B1283" s="35" t="s">
        <v>2304</v>
      </c>
      <c r="C1283" s="35" t="s">
        <v>1339</v>
      </c>
      <c r="D1283" s="36">
        <v>-1620000</v>
      </c>
      <c r="F1283" s="36">
        <v>-1478607</v>
      </c>
      <c r="H1283" s="36">
        <v>0</v>
      </c>
      <c r="I1283" s="36">
        <v>-141393</v>
      </c>
      <c r="L1283" s="36">
        <v>0</v>
      </c>
      <c r="N1283" s="36">
        <v>-141393</v>
      </c>
      <c r="O1283" s="36">
        <v>-43883</v>
      </c>
      <c r="P1283" s="36">
        <v>-97510</v>
      </c>
      <c r="Q1283" s="36">
        <v>0</v>
      </c>
      <c r="T1283" s="36">
        <v>-1620000</v>
      </c>
      <c r="V1283" s="35" t="s">
        <v>332</v>
      </c>
      <c r="Y1283" s="35">
        <v>106506.64831169322</v>
      </c>
    </row>
    <row r="1284" spans="1:27" x14ac:dyDescent="0.2">
      <c r="A1284" s="35">
        <v>19</v>
      </c>
      <c r="B1284" s="35" t="s">
        <v>331</v>
      </c>
      <c r="C1284" s="35" t="s">
        <v>1418</v>
      </c>
      <c r="D1284" s="36">
        <v>-392308</v>
      </c>
      <c r="F1284" s="36">
        <v>-366638</v>
      </c>
      <c r="H1284" s="36">
        <v>0</v>
      </c>
      <c r="I1284" s="36">
        <v>-25670</v>
      </c>
      <c r="L1284" s="36">
        <v>-9</v>
      </c>
      <c r="N1284" s="36">
        <v>-25661</v>
      </c>
      <c r="O1284" s="36">
        <v>-8088</v>
      </c>
      <c r="P1284" s="36">
        <v>-17573</v>
      </c>
      <c r="Q1284" s="36">
        <v>-5.4842332589157053E-16</v>
      </c>
      <c r="T1284" s="36">
        <v>-392308</v>
      </c>
      <c r="V1284" s="35" t="s">
        <v>2188</v>
      </c>
    </row>
    <row r="1285" spans="1:27" x14ac:dyDescent="0.2">
      <c r="A1285" s="35">
        <v>20</v>
      </c>
      <c r="B1285" s="35" t="s">
        <v>1383</v>
      </c>
      <c r="D1285" s="36">
        <v>18346671.899999999</v>
      </c>
      <c r="F1285" s="36">
        <v>16804843.359999999</v>
      </c>
      <c r="H1285" s="36">
        <v>708978.44284307526</v>
      </c>
      <c r="I1285" s="36">
        <v>836250.54</v>
      </c>
      <c r="L1285" s="36">
        <v>-1163.58</v>
      </c>
      <c r="N1285" s="36">
        <v>837414.12</v>
      </c>
      <c r="O1285" s="36">
        <v>232772.97999999998</v>
      </c>
      <c r="P1285" s="36">
        <v>604641.14</v>
      </c>
      <c r="Q1285" s="36">
        <v>1.1534287561936319E-16</v>
      </c>
    </row>
    <row r="1286" spans="1:27" x14ac:dyDescent="0.2">
      <c r="A1286" s="35">
        <v>21</v>
      </c>
      <c r="B1286" s="35" t="s">
        <v>2189</v>
      </c>
      <c r="C1286" s="35" t="s">
        <v>1343</v>
      </c>
      <c r="D1286" s="36">
        <v>0</v>
      </c>
      <c r="F1286" s="36">
        <v>0</v>
      </c>
      <c r="H1286" s="36">
        <v>0</v>
      </c>
      <c r="I1286" s="36">
        <v>0</v>
      </c>
      <c r="L1286" s="36">
        <v>0</v>
      </c>
      <c r="N1286" s="36">
        <v>0</v>
      </c>
      <c r="O1286" s="36">
        <v>0</v>
      </c>
      <c r="P1286" s="36">
        <v>0</v>
      </c>
      <c r="Q1286" s="36">
        <v>0</v>
      </c>
      <c r="T1286" s="36">
        <v>0</v>
      </c>
      <c r="V1286" s="35" t="s">
        <v>2190</v>
      </c>
      <c r="Z1286" s="35" t="s">
        <v>1386</v>
      </c>
    </row>
    <row r="1287" spans="1:27" x14ac:dyDescent="0.2">
      <c r="A1287" s="35">
        <v>22</v>
      </c>
      <c r="B1287" s="35" t="s">
        <v>1870</v>
      </c>
      <c r="C1287" s="35" t="s">
        <v>34</v>
      </c>
      <c r="D1287" s="36">
        <v>0</v>
      </c>
      <c r="F1287" s="36">
        <v>0</v>
      </c>
      <c r="H1287" s="36">
        <v>98122.113322598103</v>
      </c>
      <c r="I1287" s="36">
        <v>0</v>
      </c>
      <c r="L1287" s="36">
        <v>0</v>
      </c>
      <c r="N1287" s="36">
        <v>0</v>
      </c>
      <c r="O1287" s="36">
        <v>0</v>
      </c>
      <c r="P1287" s="36">
        <v>0</v>
      </c>
      <c r="Q1287" s="36">
        <v>0</v>
      </c>
      <c r="T1287" s="36">
        <v>0</v>
      </c>
      <c r="V1287" s="35" t="s">
        <v>2305</v>
      </c>
      <c r="Z1287" s="35">
        <v>92315007</v>
      </c>
      <c r="AA1287" s="35">
        <v>1</v>
      </c>
    </row>
    <row r="1288" spans="1:27" x14ac:dyDescent="0.2">
      <c r="A1288" s="35">
        <v>23</v>
      </c>
      <c r="B1288" s="35" t="s">
        <v>2376</v>
      </c>
      <c r="D1288" s="36">
        <v>324660594.10000002</v>
      </c>
      <c r="F1288" s="36">
        <v>297432072.63999999</v>
      </c>
      <c r="H1288" s="36">
        <v>10967739.670479523</v>
      </c>
      <c r="I1288" s="36">
        <v>16251900.459999999</v>
      </c>
      <c r="L1288" s="36">
        <v>-18061.419999999998</v>
      </c>
      <c r="N1288" s="36">
        <v>16269961.879999999</v>
      </c>
      <c r="O1288" s="36">
        <v>4626124.0199999996</v>
      </c>
      <c r="P1288" s="36">
        <v>11643837.859999999</v>
      </c>
      <c r="Q1288" s="36">
        <v>-1.1534287561936319E-16</v>
      </c>
    </row>
    <row r="1289" spans="1:27" x14ac:dyDescent="0.2">
      <c r="F1289" s="36"/>
      <c r="Z1289" s="35">
        <v>107414252</v>
      </c>
      <c r="AA1289" s="35" t="s">
        <v>2307</v>
      </c>
    </row>
    <row r="1290" spans="1:27" x14ac:dyDescent="0.2">
      <c r="A1290" s="35">
        <v>24</v>
      </c>
      <c r="B1290" s="35" t="s">
        <v>1384</v>
      </c>
      <c r="D1290" s="36">
        <v>113631208</v>
      </c>
      <c r="F1290" s="36">
        <v>104101225</v>
      </c>
      <c r="H1290" s="36">
        <v>3838709</v>
      </c>
      <c r="I1290" s="36">
        <v>5688165</v>
      </c>
      <c r="L1290" s="36">
        <v>-6321</v>
      </c>
      <c r="N1290" s="36">
        <v>5694486</v>
      </c>
      <c r="O1290" s="36">
        <v>1619143</v>
      </c>
      <c r="P1290" s="36">
        <v>4075343</v>
      </c>
      <c r="Q1290" s="36">
        <v>-4.0370006466777111E-17</v>
      </c>
      <c r="Z1290" s="35">
        <v>106293608.66269042</v>
      </c>
      <c r="AA1290" s="35" t="s">
        <v>2308</v>
      </c>
    </row>
    <row r="1291" spans="1:27" x14ac:dyDescent="0.2">
      <c r="A1291" s="35">
        <v>25</v>
      </c>
      <c r="B1291" s="35" t="s">
        <v>1385</v>
      </c>
      <c r="C1291" s="35" t="s">
        <v>34</v>
      </c>
      <c r="D1291" s="36">
        <v>0</v>
      </c>
      <c r="F1291" s="329">
        <v>0</v>
      </c>
      <c r="H1291" s="36">
        <v>0</v>
      </c>
      <c r="I1291" s="36">
        <v>0</v>
      </c>
      <c r="L1291" s="36">
        <v>0</v>
      </c>
      <c r="N1291" s="36">
        <v>0</v>
      </c>
      <c r="O1291" s="36">
        <v>0</v>
      </c>
      <c r="P1291" s="36">
        <v>0</v>
      </c>
      <c r="Q1291" s="36">
        <v>0</v>
      </c>
      <c r="V1291" s="35" t="s">
        <v>332</v>
      </c>
      <c r="Z1291" s="35">
        <v>1120643.337309584</v>
      </c>
      <c r="AA1291" s="35" t="s">
        <v>2309</v>
      </c>
    </row>
    <row r="1292" spans="1:27" x14ac:dyDescent="0.2">
      <c r="A1292" s="35">
        <v>26</v>
      </c>
      <c r="B1292" s="35" t="s">
        <v>331</v>
      </c>
      <c r="C1292" s="35" t="s">
        <v>1414</v>
      </c>
      <c r="D1292" s="36">
        <v>-694999</v>
      </c>
      <c r="F1292" s="36">
        <v>-617415</v>
      </c>
      <c r="H1292" s="36">
        <v>-34356</v>
      </c>
      <c r="I1292" s="36">
        <v>-43228</v>
      </c>
      <c r="L1292" s="36">
        <v>-15</v>
      </c>
      <c r="N1292" s="36">
        <v>-43213</v>
      </c>
      <c r="O1292" s="36">
        <v>-13620</v>
      </c>
      <c r="P1292" s="36">
        <v>-29593</v>
      </c>
      <c r="Q1292" s="36">
        <v>-9.2354078297341739E-16</v>
      </c>
      <c r="T1292" s="36">
        <v>-695000</v>
      </c>
      <c r="V1292" s="35" t="s">
        <v>2422</v>
      </c>
    </row>
    <row r="1293" spans="1:27" x14ac:dyDescent="0.2">
      <c r="A1293" s="35">
        <v>27</v>
      </c>
      <c r="B1293" s="35" t="s">
        <v>333</v>
      </c>
      <c r="D1293" s="36">
        <v>0</v>
      </c>
      <c r="F1293" s="36">
        <v>0</v>
      </c>
      <c r="H1293" s="36">
        <v>0</v>
      </c>
      <c r="I1293" s="36">
        <v>0</v>
      </c>
      <c r="L1293" s="36">
        <v>0</v>
      </c>
      <c r="N1293" s="36">
        <v>0</v>
      </c>
      <c r="O1293" s="36">
        <v>0</v>
      </c>
      <c r="P1293" s="36">
        <v>0</v>
      </c>
      <c r="Q1293" s="36">
        <v>0</v>
      </c>
    </row>
    <row r="1294" spans="1:27" x14ac:dyDescent="0.2">
      <c r="A1294" s="35">
        <v>28</v>
      </c>
      <c r="B1294" s="35" t="s">
        <v>2306</v>
      </c>
      <c r="C1294" s="35" t="s">
        <v>34</v>
      </c>
      <c r="D1294" s="36">
        <v>452399</v>
      </c>
      <c r="F1294" s="36">
        <v>404416</v>
      </c>
      <c r="H1294" s="36">
        <v>19736</v>
      </c>
      <c r="I1294" s="36">
        <v>28247</v>
      </c>
      <c r="L1294" s="36">
        <v>2</v>
      </c>
      <c r="N1294" s="36">
        <v>28245</v>
      </c>
      <c r="O1294" s="36">
        <v>8894</v>
      </c>
      <c r="P1294" s="36">
        <v>19351</v>
      </c>
      <c r="Q1294" s="36">
        <v>0</v>
      </c>
      <c r="T1294" s="36">
        <v>452398</v>
      </c>
      <c r="V1294" s="35" t="s">
        <v>332</v>
      </c>
      <c r="Y1294" s="35">
        <v>452406</v>
      </c>
    </row>
    <row r="1295" spans="1:27" x14ac:dyDescent="0.2">
      <c r="A1295" s="35">
        <v>29</v>
      </c>
      <c r="B1295" s="35" t="s">
        <v>1387</v>
      </c>
      <c r="D1295" s="36">
        <v>113388608</v>
      </c>
      <c r="F1295" s="36">
        <v>103888226</v>
      </c>
      <c r="H1295" s="36">
        <v>3824089</v>
      </c>
      <c r="I1295" s="36">
        <v>5673184</v>
      </c>
      <c r="L1295" s="36">
        <v>-6334</v>
      </c>
      <c r="N1295" s="36">
        <v>5679518</v>
      </c>
      <c r="O1295" s="36">
        <v>1614417</v>
      </c>
      <c r="P1295" s="36">
        <v>4065101</v>
      </c>
      <c r="Q1295" s="36">
        <v>-9.639107894401945E-16</v>
      </c>
      <c r="Y1295" s="35">
        <v>452398.00449444354</v>
      </c>
    </row>
    <row r="1296" spans="1:27" x14ac:dyDescent="0.2">
      <c r="F1296" s="36"/>
      <c r="W1296" s="35" t="s">
        <v>1839</v>
      </c>
    </row>
    <row r="1297" spans="1:24" x14ac:dyDescent="0.2">
      <c r="A1297" s="35">
        <v>30</v>
      </c>
      <c r="B1297" s="35" t="s">
        <v>1091</v>
      </c>
      <c r="D1297" s="36">
        <v>306732048.04190075</v>
      </c>
      <c r="F1297" s="36">
        <v>279639047.02911198</v>
      </c>
      <c r="H1297" s="36">
        <v>11278435.917418759</v>
      </c>
      <c r="I1297" s="36">
        <v>15814273.652526751</v>
      </c>
      <c r="L1297" s="36">
        <v>-11284.632141005197</v>
      </c>
      <c r="N1297" s="36">
        <v>15825558.284667756</v>
      </c>
      <c r="O1297" s="36">
        <v>4663676.4504752941</v>
      </c>
      <c r="P1297" s="36">
        <v>11161881.834192462</v>
      </c>
      <c r="Q1297" s="36">
        <v>-6.5619412797917213E-12</v>
      </c>
      <c r="W1297" s="35">
        <v>306732048.3890959</v>
      </c>
      <c r="X1297" s="35">
        <v>-0.34719514846801758</v>
      </c>
    </row>
    <row r="1298" spans="1:24" x14ac:dyDescent="0.2">
      <c r="A1298" s="35">
        <v>31</v>
      </c>
      <c r="B1298" s="35" t="s">
        <v>1092</v>
      </c>
      <c r="D1298" s="36">
        <v>5.8010948411384558E-2</v>
      </c>
      <c r="F1298" s="36">
        <v>5.8092631422638832E-2</v>
      </c>
      <c r="H1298" s="36">
        <v>4.8011225526958266E-2</v>
      </c>
      <c r="I1298" s="36">
        <v>4.7036698863932289E-2</v>
      </c>
      <c r="L1298" s="36">
        <v>-0.45536542093511767</v>
      </c>
      <c r="N1298" s="36">
        <v>4.7073732675971654E-2</v>
      </c>
      <c r="O1298" s="36">
        <v>4.4055308859793078E-2</v>
      </c>
      <c r="P1298" s="36">
        <v>4.8461017020163491E-2</v>
      </c>
      <c r="Q1298" s="36">
        <v>-1.1252531364189873</v>
      </c>
    </row>
    <row r="1299" spans="1:24" x14ac:dyDescent="0.2">
      <c r="F1299" s="36"/>
    </row>
    <row r="1300" spans="1:24" x14ac:dyDescent="0.2">
      <c r="F1300" s="36"/>
    </row>
    <row r="1301" spans="1:24" x14ac:dyDescent="0.2">
      <c r="B1301" s="35" t="s">
        <v>1388</v>
      </c>
      <c r="D1301" s="36">
        <v>0.06</v>
      </c>
      <c r="F1301" s="36">
        <v>0.06</v>
      </c>
      <c r="H1301" s="36">
        <v>0.06</v>
      </c>
      <c r="I1301" s="36">
        <v>0.06</v>
      </c>
      <c r="L1301" s="36">
        <v>0.06</v>
      </c>
      <c r="N1301" s="36">
        <v>0.06</v>
      </c>
      <c r="O1301" s="36">
        <v>0.06</v>
      </c>
      <c r="P1301" s="36">
        <v>0.06</v>
      </c>
      <c r="Q1301" s="36">
        <v>0.06</v>
      </c>
    </row>
    <row r="1302" spans="1:24" x14ac:dyDescent="0.2">
      <c r="B1302" s="35" t="s">
        <v>1389</v>
      </c>
      <c r="D1302" s="36">
        <v>0.35</v>
      </c>
      <c r="F1302" s="36">
        <v>0.35</v>
      </c>
      <c r="H1302" s="36">
        <v>0.35</v>
      </c>
      <c r="I1302" s="36">
        <v>0.35</v>
      </c>
      <c r="L1302" s="36">
        <v>0.35</v>
      </c>
      <c r="N1302" s="36">
        <v>0.35</v>
      </c>
      <c r="O1302" s="36">
        <v>0.35</v>
      </c>
      <c r="P1302" s="36">
        <v>0.35</v>
      </c>
      <c r="Q1302" s="36">
        <v>0.35</v>
      </c>
    </row>
    <row r="1303" spans="1:24" x14ac:dyDescent="0.2">
      <c r="B1303" s="35" t="s">
        <v>1390</v>
      </c>
      <c r="D1303" s="36">
        <v>0.61099999999999999</v>
      </c>
      <c r="F1303" s="36">
        <v>0.61099999999999999</v>
      </c>
      <c r="H1303" s="36">
        <v>0.61099999999999999</v>
      </c>
      <c r="I1303" s="36">
        <v>0.61099999999999999</v>
      </c>
      <c r="L1303" s="36">
        <v>0.61099999999999999</v>
      </c>
      <c r="N1303" s="36">
        <v>0.61099999999999999</v>
      </c>
      <c r="O1303" s="36">
        <v>0.61099999999999999</v>
      </c>
      <c r="P1303" s="36">
        <v>0.61099999999999999</v>
      </c>
      <c r="Q1303" s="36">
        <v>0.61099999999999999</v>
      </c>
    </row>
    <row r="1304" spans="1:24" x14ac:dyDescent="0.2">
      <c r="B1304" s="35" t="s">
        <v>1391</v>
      </c>
      <c r="D1304" s="36">
        <v>0.38899999999999996</v>
      </c>
      <c r="F1304" s="36">
        <v>0.38899999999999996</v>
      </c>
      <c r="H1304" s="36">
        <v>0.38899999999999996</v>
      </c>
      <c r="I1304" s="36">
        <v>0.38899999999999996</v>
      </c>
      <c r="L1304" s="36">
        <v>0.38899999999999996</v>
      </c>
      <c r="N1304" s="36">
        <v>0.38899999999999996</v>
      </c>
      <c r="O1304" s="36">
        <v>0.38899999999999996</v>
      </c>
      <c r="P1304" s="36">
        <v>0.38899999999999996</v>
      </c>
      <c r="Q1304" s="36">
        <v>0.38899999999999996</v>
      </c>
    </row>
    <row r="1305" spans="1:24" x14ac:dyDescent="0.2">
      <c r="B1305" s="35" t="s">
        <v>1392</v>
      </c>
      <c r="D1305" s="36">
        <v>1.6366612111292962</v>
      </c>
      <c r="F1305" s="36">
        <v>1.6366612111292962</v>
      </c>
      <c r="H1305" s="36">
        <v>1.6366612111292962</v>
      </c>
      <c r="I1305" s="36">
        <v>1.6366612111292962</v>
      </c>
      <c r="L1305" s="36">
        <v>1.6366612111292962</v>
      </c>
      <c r="N1305" s="36">
        <v>1.6366612111292962</v>
      </c>
      <c r="O1305" s="36">
        <v>1.6366612111292962</v>
      </c>
      <c r="P1305" s="36">
        <v>1.6366612111292962</v>
      </c>
      <c r="Q1305" s="36">
        <v>1.6366612111292962</v>
      </c>
    </row>
    <row r="1306" spans="1:24" x14ac:dyDescent="0.2">
      <c r="F1306" s="36"/>
    </row>
    <row r="1307" spans="1:24" x14ac:dyDescent="0.2">
      <c r="F1307" s="36"/>
    </row>
    <row r="1308" spans="1:24" x14ac:dyDescent="0.2">
      <c r="F1308" s="36"/>
    </row>
    <row r="1309" spans="1:24" x14ac:dyDescent="0.2">
      <c r="F1309" s="36"/>
    </row>
    <row r="1310" spans="1:24" x14ac:dyDescent="0.2">
      <c r="B1310" s="35" t="s">
        <v>857</v>
      </c>
      <c r="F1310" s="36"/>
    </row>
    <row r="1311" spans="1:24" x14ac:dyDescent="0.2">
      <c r="F1311" s="36"/>
    </row>
    <row r="1312" spans="1:24" x14ac:dyDescent="0.2">
      <c r="B1312" s="35" t="s">
        <v>858</v>
      </c>
      <c r="F1312" s="36"/>
    </row>
    <row r="1313" spans="1:25" x14ac:dyDescent="0.2">
      <c r="B1313" s="35" t="s">
        <v>859</v>
      </c>
      <c r="F1313" s="36"/>
    </row>
    <row r="1314" spans="1:25" x14ac:dyDescent="0.2">
      <c r="B1314" s="35" t="s">
        <v>860</v>
      </c>
      <c r="F1314" s="36"/>
    </row>
    <row r="1315" spans="1:25" x14ac:dyDescent="0.2">
      <c r="A1315" s="35">
        <v>1</v>
      </c>
      <c r="B1315" s="35" t="s">
        <v>861</v>
      </c>
      <c r="C1315" s="35" t="s">
        <v>1444</v>
      </c>
      <c r="D1315" s="36">
        <v>2863708.9999999995</v>
      </c>
      <c r="F1315" s="36">
        <v>2518295.3741893796</v>
      </c>
      <c r="H1315" s="36">
        <v>104397.13409934269</v>
      </c>
      <c r="I1315" s="36">
        <v>241016.49171127722</v>
      </c>
      <c r="L1315" s="36">
        <v>12.144707588327586</v>
      </c>
      <c r="N1315" s="36">
        <v>241004.34700368889</v>
      </c>
      <c r="O1315" s="36">
        <v>76160.605627441168</v>
      </c>
      <c r="P1315" s="36">
        <v>164843.74137624772</v>
      </c>
      <c r="Q1315" s="36">
        <v>0</v>
      </c>
      <c r="T1315" s="36">
        <v>2863709</v>
      </c>
      <c r="U1315" s="35">
        <v>501</v>
      </c>
      <c r="W1315" s="35">
        <v>2863709</v>
      </c>
      <c r="X1315" s="35">
        <v>0</v>
      </c>
      <c r="Y1315" s="35" t="s">
        <v>1871</v>
      </c>
    </row>
    <row r="1316" spans="1:25" x14ac:dyDescent="0.2">
      <c r="A1316" s="35">
        <v>2</v>
      </c>
      <c r="B1316" s="35" t="s">
        <v>862</v>
      </c>
      <c r="C1316" s="35" t="s">
        <v>1444</v>
      </c>
      <c r="D1316" s="36">
        <v>8497622</v>
      </c>
      <c r="F1316" s="36">
        <v>7472659.4686156679</v>
      </c>
      <c r="H1316" s="36">
        <v>309782.65719719586</v>
      </c>
      <c r="I1316" s="36">
        <v>715179.87418713525</v>
      </c>
      <c r="L1316" s="36">
        <v>36.037577276929824</v>
      </c>
      <c r="N1316" s="36">
        <v>715143.83660985832</v>
      </c>
      <c r="O1316" s="36">
        <v>225995.04276205014</v>
      </c>
      <c r="P1316" s="36">
        <v>489148.79384780821</v>
      </c>
      <c r="Q1316" s="36">
        <v>0</v>
      </c>
      <c r="T1316" s="36">
        <v>8497622</v>
      </c>
      <c r="U1316" s="35">
        <v>510</v>
      </c>
      <c r="W1316" s="35">
        <v>8497622</v>
      </c>
      <c r="X1316" s="35">
        <v>0</v>
      </c>
      <c r="Y1316" s="35" t="s">
        <v>1871</v>
      </c>
    </row>
    <row r="1317" spans="1:25" x14ac:dyDescent="0.2">
      <c r="A1317" s="35">
        <v>3</v>
      </c>
      <c r="B1317" s="35" t="s">
        <v>863</v>
      </c>
      <c r="C1317" s="35" t="s">
        <v>1444</v>
      </c>
      <c r="D1317" s="36">
        <v>10477664.999999998</v>
      </c>
      <c r="F1317" s="36">
        <v>9213874.4899729565</v>
      </c>
      <c r="H1317" s="36">
        <v>381965.55517791415</v>
      </c>
      <c r="I1317" s="36">
        <v>881824.95484912721</v>
      </c>
      <c r="L1317" s="36">
        <v>44.434744463719724</v>
      </c>
      <c r="N1317" s="36">
        <v>881780.52010466345</v>
      </c>
      <c r="O1317" s="36">
        <v>278654.46941761306</v>
      </c>
      <c r="P1317" s="36">
        <v>603126.05068705045</v>
      </c>
      <c r="Q1317" s="36">
        <v>0</v>
      </c>
      <c r="T1317" s="36">
        <v>10477665</v>
      </c>
      <c r="U1317" s="35">
        <v>512</v>
      </c>
      <c r="W1317" s="35">
        <v>10477665</v>
      </c>
      <c r="X1317" s="35">
        <v>0</v>
      </c>
      <c r="Y1317" s="35" t="s">
        <v>1871</v>
      </c>
    </row>
    <row r="1318" spans="1:25" x14ac:dyDescent="0.2">
      <c r="A1318" s="35">
        <v>4</v>
      </c>
      <c r="B1318" s="35" t="s">
        <v>864</v>
      </c>
      <c r="C1318" s="35" t="s">
        <v>1444</v>
      </c>
      <c r="D1318" s="36">
        <v>2265346</v>
      </c>
      <c r="F1318" s="36">
        <v>1992105.4662811111</v>
      </c>
      <c r="H1318" s="36">
        <v>82583.680864015711</v>
      </c>
      <c r="I1318" s="36">
        <v>190656.85285487282</v>
      </c>
      <c r="L1318" s="36">
        <v>9.6071090869873803</v>
      </c>
      <c r="N1318" s="36">
        <v>190647.24574578583</v>
      </c>
      <c r="O1318" s="36">
        <v>60247.086319071292</v>
      </c>
      <c r="P1318" s="36">
        <v>130400.15942671454</v>
      </c>
      <c r="Q1318" s="36">
        <v>0</v>
      </c>
      <c r="T1318" s="36">
        <v>2265346</v>
      </c>
      <c r="U1318" s="35">
        <v>513</v>
      </c>
      <c r="W1318" s="35">
        <v>2265346</v>
      </c>
      <c r="X1318" s="35">
        <v>0</v>
      </c>
      <c r="Y1318" s="35" t="s">
        <v>1871</v>
      </c>
    </row>
    <row r="1319" spans="1:25" x14ac:dyDescent="0.2">
      <c r="A1319" s="35">
        <v>5</v>
      </c>
      <c r="B1319" s="35" t="s">
        <v>865</v>
      </c>
      <c r="C1319" s="35" t="s">
        <v>1444</v>
      </c>
      <c r="D1319" s="36">
        <v>0</v>
      </c>
      <c r="F1319" s="36">
        <v>0</v>
      </c>
      <c r="H1319" s="36">
        <v>0</v>
      </c>
      <c r="I1319" s="36">
        <v>0</v>
      </c>
      <c r="L1319" s="36">
        <v>0</v>
      </c>
      <c r="N1319" s="36">
        <v>0</v>
      </c>
      <c r="O1319" s="36">
        <v>0</v>
      </c>
      <c r="P1319" s="36">
        <v>0</v>
      </c>
      <c r="Q1319" s="36">
        <v>0</v>
      </c>
      <c r="T1319" s="36">
        <v>0</v>
      </c>
      <c r="U1319" s="35">
        <v>547</v>
      </c>
      <c r="W1319" s="35">
        <v>0</v>
      </c>
      <c r="X1319" s="35">
        <v>0</v>
      </c>
      <c r="Y1319" s="35" t="s">
        <v>1871</v>
      </c>
    </row>
    <row r="1320" spans="1:25" x14ac:dyDescent="0.2">
      <c r="F1320" s="36"/>
    </row>
    <row r="1321" spans="1:25" x14ac:dyDescent="0.2">
      <c r="A1321" s="35">
        <v>6</v>
      </c>
      <c r="B1321" s="35" t="s">
        <v>866</v>
      </c>
      <c r="D1321" s="36">
        <v>24104341.999999996</v>
      </c>
      <c r="F1321" s="36">
        <v>21196934.799059115</v>
      </c>
      <c r="H1321" s="36">
        <v>878729.02733846835</v>
      </c>
      <c r="I1321" s="36">
        <v>2028678.1736024125</v>
      </c>
      <c r="L1321" s="36">
        <v>102.22413841596452</v>
      </c>
      <c r="N1321" s="36">
        <v>2028575.9494639963</v>
      </c>
      <c r="O1321" s="36">
        <v>641057.20412617561</v>
      </c>
      <c r="P1321" s="36">
        <v>1387518.7453378208</v>
      </c>
      <c r="Q1321" s="36">
        <v>0</v>
      </c>
    </row>
    <row r="1322" spans="1:25" x14ac:dyDescent="0.2">
      <c r="F1322" s="36"/>
    </row>
    <row r="1323" spans="1:25" x14ac:dyDescent="0.2">
      <c r="B1323" s="35" t="s">
        <v>867</v>
      </c>
      <c r="F1323" s="36"/>
    </row>
    <row r="1324" spans="1:25" x14ac:dyDescent="0.2">
      <c r="A1324" s="35">
        <v>7</v>
      </c>
      <c r="B1324" s="35" t="s">
        <v>868</v>
      </c>
      <c r="C1324" s="35" t="s">
        <v>950</v>
      </c>
      <c r="D1324" s="36">
        <v>8247485.0000000009</v>
      </c>
      <c r="F1324" s="36">
        <v>7176310.5488311965</v>
      </c>
      <c r="H1324" s="36">
        <v>338821.06130286778</v>
      </c>
      <c r="I1324" s="36">
        <v>732353.38986593636</v>
      </c>
      <c r="L1324" s="36">
        <v>25.217030034536513</v>
      </c>
      <c r="N1324" s="36">
        <v>732328.17283590185</v>
      </c>
      <c r="O1324" s="36">
        <v>227284.55236671641</v>
      </c>
      <c r="P1324" s="36">
        <v>505043.62046918547</v>
      </c>
      <c r="Q1324" s="36">
        <v>0</v>
      </c>
      <c r="T1324" s="36">
        <v>8247485</v>
      </c>
      <c r="U1324" s="35">
        <v>500</v>
      </c>
      <c r="W1324" s="35">
        <v>8247485</v>
      </c>
      <c r="X1324" s="35">
        <v>0</v>
      </c>
      <c r="Y1324" s="35" t="s">
        <v>1871</v>
      </c>
    </row>
    <row r="1325" spans="1:25" x14ac:dyDescent="0.2">
      <c r="A1325" s="35">
        <v>8</v>
      </c>
      <c r="B1325" s="35" t="s">
        <v>869</v>
      </c>
      <c r="C1325" s="35" t="s">
        <v>950</v>
      </c>
      <c r="D1325" s="36">
        <v>9489635</v>
      </c>
      <c r="F1325" s="36">
        <v>8257131.4473512508</v>
      </c>
      <c r="H1325" s="36">
        <v>389850.74869209697</v>
      </c>
      <c r="I1325" s="36">
        <v>842652.80395665288</v>
      </c>
      <c r="L1325" s="36">
        <v>29.014955566671407</v>
      </c>
      <c r="N1325" s="36">
        <v>842623.78900108626</v>
      </c>
      <c r="O1325" s="36">
        <v>261515.77639711075</v>
      </c>
      <c r="P1325" s="36">
        <v>581108.01260397548</v>
      </c>
      <c r="Q1325" s="36">
        <v>0</v>
      </c>
      <c r="T1325" s="36">
        <v>9489635</v>
      </c>
      <c r="U1325" s="35">
        <v>502</v>
      </c>
      <c r="W1325" s="35">
        <v>9489635</v>
      </c>
      <c r="X1325" s="35">
        <v>0</v>
      </c>
      <c r="Y1325" s="35" t="s">
        <v>1871</v>
      </c>
    </row>
    <row r="1326" spans="1:25" x14ac:dyDescent="0.2">
      <c r="A1326" s="35">
        <v>9</v>
      </c>
      <c r="B1326" s="35" t="s">
        <v>870</v>
      </c>
      <c r="C1326" s="35" t="s">
        <v>950</v>
      </c>
      <c r="D1326" s="36">
        <v>6769476</v>
      </c>
      <c r="F1326" s="36">
        <v>5890263.7626936706</v>
      </c>
      <c r="H1326" s="36">
        <v>278101.87503030221</v>
      </c>
      <c r="I1326" s="36">
        <v>601110.3622760271</v>
      </c>
      <c r="L1326" s="36">
        <v>20.69795575379332</v>
      </c>
      <c r="N1326" s="36">
        <v>601089.66432027332</v>
      </c>
      <c r="O1326" s="36">
        <v>186553.51569808612</v>
      </c>
      <c r="P1326" s="36">
        <v>414536.1486221872</v>
      </c>
      <c r="Q1326" s="36">
        <v>0</v>
      </c>
      <c r="T1326" s="36">
        <v>6769476</v>
      </c>
      <c r="U1326" s="35">
        <v>505</v>
      </c>
      <c r="W1326" s="35">
        <v>6769476</v>
      </c>
      <c r="X1326" s="35">
        <v>0</v>
      </c>
      <c r="Y1326" s="35" t="s">
        <v>1871</v>
      </c>
    </row>
    <row r="1327" spans="1:25" x14ac:dyDescent="0.2">
      <c r="A1327" s="35">
        <v>10</v>
      </c>
      <c r="B1327" s="35" t="s">
        <v>871</v>
      </c>
      <c r="C1327" s="35" t="s">
        <v>950</v>
      </c>
      <c r="D1327" s="36">
        <v>1963285</v>
      </c>
      <c r="F1327" s="36">
        <v>1708295.6629641708</v>
      </c>
      <c r="H1327" s="36">
        <v>80655.170314344403</v>
      </c>
      <c r="I1327" s="36">
        <v>174334.16672148477</v>
      </c>
      <c r="L1327" s="36">
        <v>6.0028259295233664</v>
      </c>
      <c r="N1327" s="36">
        <v>174328.16389555525</v>
      </c>
      <c r="O1327" s="36">
        <v>54104.293902115474</v>
      </c>
      <c r="P1327" s="36">
        <v>120223.86999343979</v>
      </c>
      <c r="Q1327" s="36">
        <v>0</v>
      </c>
      <c r="T1327" s="36">
        <v>1963285</v>
      </c>
      <c r="U1327" s="35">
        <v>506</v>
      </c>
      <c r="W1327" s="35">
        <v>1963285</v>
      </c>
      <c r="X1327" s="35">
        <v>0</v>
      </c>
      <c r="Y1327" s="35" t="s">
        <v>1871</v>
      </c>
    </row>
    <row r="1328" spans="1:25" x14ac:dyDescent="0.2">
      <c r="A1328" s="35">
        <v>11</v>
      </c>
      <c r="B1328" s="35" t="s">
        <v>872</v>
      </c>
      <c r="C1328" s="35" t="s">
        <v>950</v>
      </c>
      <c r="D1328" s="36">
        <v>0</v>
      </c>
      <c r="F1328" s="36">
        <v>0</v>
      </c>
      <c r="H1328" s="36">
        <v>0</v>
      </c>
      <c r="I1328" s="36">
        <v>0</v>
      </c>
      <c r="L1328" s="36">
        <v>0</v>
      </c>
      <c r="N1328" s="36">
        <v>0</v>
      </c>
      <c r="O1328" s="36">
        <v>0</v>
      </c>
      <c r="P1328" s="36">
        <v>0</v>
      </c>
      <c r="Q1328" s="36">
        <v>0</v>
      </c>
      <c r="T1328" s="36">
        <v>0</v>
      </c>
      <c r="U1328" s="35">
        <v>509</v>
      </c>
      <c r="W1328" s="35">
        <v>0</v>
      </c>
      <c r="X1328" s="35">
        <v>0</v>
      </c>
      <c r="Y1328" s="35" t="s">
        <v>1871</v>
      </c>
    </row>
    <row r="1329" spans="1:25" x14ac:dyDescent="0.2">
      <c r="A1329" s="35">
        <v>12</v>
      </c>
      <c r="B1329" s="35" t="s">
        <v>873</v>
      </c>
      <c r="C1329" s="35" t="s">
        <v>950</v>
      </c>
      <c r="D1329" s="36">
        <v>1423795</v>
      </c>
      <c r="F1329" s="36">
        <v>1238874.0419501355</v>
      </c>
      <c r="H1329" s="36">
        <v>58491.980643519404</v>
      </c>
      <c r="I1329" s="36">
        <v>126428.97740634519</v>
      </c>
      <c r="L1329" s="36">
        <v>4.353312710241112</v>
      </c>
      <c r="N1329" s="36">
        <v>126424.62409363495</v>
      </c>
      <c r="O1329" s="36">
        <v>39237.004885364324</v>
      </c>
      <c r="P1329" s="36">
        <v>87187.619208270626</v>
      </c>
      <c r="Q1329" s="36">
        <v>0</v>
      </c>
      <c r="T1329" s="36">
        <v>1423795</v>
      </c>
      <c r="U1329" s="35">
        <v>511</v>
      </c>
      <c r="W1329" s="35">
        <v>1423795</v>
      </c>
      <c r="X1329" s="35">
        <v>0</v>
      </c>
      <c r="Y1329" s="35" t="s">
        <v>1871</v>
      </c>
    </row>
    <row r="1330" spans="1:25" x14ac:dyDescent="0.2">
      <c r="A1330" s="35">
        <v>13</v>
      </c>
      <c r="B1330" s="35" t="s">
        <v>874</v>
      </c>
      <c r="C1330" s="35" t="s">
        <v>950</v>
      </c>
      <c r="D1330" s="36">
        <v>456883.00000000006</v>
      </c>
      <c r="F1330" s="36">
        <v>397543.52902510809</v>
      </c>
      <c r="H1330" s="36">
        <v>18769.550105424642</v>
      </c>
      <c r="I1330" s="36">
        <v>40569.920869467314</v>
      </c>
      <c r="L1330" s="36">
        <v>1.3969388647895868</v>
      </c>
      <c r="N1330" s="36">
        <v>40568.523930602525</v>
      </c>
      <c r="O1330" s="36">
        <v>12590.801697603874</v>
      </c>
      <c r="P1330" s="36">
        <v>27977.722232998651</v>
      </c>
      <c r="Q1330" s="36">
        <v>0</v>
      </c>
      <c r="T1330" s="36">
        <v>456883</v>
      </c>
      <c r="U1330" s="35">
        <v>514</v>
      </c>
      <c r="W1330" s="35">
        <v>456883</v>
      </c>
      <c r="X1330" s="35">
        <v>0</v>
      </c>
      <c r="Y1330" s="35" t="s">
        <v>1871</v>
      </c>
    </row>
    <row r="1331" spans="1:25" x14ac:dyDescent="0.2">
      <c r="A1331" s="35">
        <v>14</v>
      </c>
      <c r="B1331" s="35" t="s">
        <v>1252</v>
      </c>
      <c r="C1331" s="35" t="s">
        <v>950</v>
      </c>
      <c r="D1331" s="36">
        <v>0</v>
      </c>
      <c r="F1331" s="36">
        <v>0</v>
      </c>
      <c r="H1331" s="36">
        <v>0</v>
      </c>
      <c r="I1331" s="36">
        <v>0</v>
      </c>
      <c r="L1331" s="36">
        <v>0</v>
      </c>
      <c r="N1331" s="36">
        <v>0</v>
      </c>
      <c r="O1331" s="36">
        <v>0</v>
      </c>
      <c r="P1331" s="36">
        <v>0</v>
      </c>
      <c r="Q1331" s="36">
        <v>0</v>
      </c>
      <c r="T1331" s="36">
        <v>0</v>
      </c>
      <c r="U1331" s="35">
        <v>535</v>
      </c>
      <c r="W1331" s="35">
        <v>0</v>
      </c>
      <c r="X1331" s="35">
        <v>0</v>
      </c>
      <c r="Y1331" s="35" t="s">
        <v>1871</v>
      </c>
    </row>
    <row r="1332" spans="1:25" x14ac:dyDescent="0.2">
      <c r="A1332" s="35">
        <v>15</v>
      </c>
      <c r="B1332" s="35" t="s">
        <v>1253</v>
      </c>
      <c r="C1332" s="35" t="s">
        <v>950</v>
      </c>
      <c r="D1332" s="36">
        <v>0</v>
      </c>
      <c r="F1332" s="36">
        <v>0</v>
      </c>
      <c r="H1332" s="36">
        <v>0</v>
      </c>
      <c r="I1332" s="36">
        <v>0</v>
      </c>
      <c r="L1332" s="36">
        <v>0</v>
      </c>
      <c r="N1332" s="36">
        <v>0</v>
      </c>
      <c r="O1332" s="36">
        <v>0</v>
      </c>
      <c r="P1332" s="36">
        <v>0</v>
      </c>
      <c r="Q1332" s="36">
        <v>0</v>
      </c>
      <c r="T1332" s="36">
        <v>0</v>
      </c>
      <c r="U1332" s="35">
        <v>538</v>
      </c>
      <c r="W1332" s="35">
        <v>0</v>
      </c>
      <c r="X1332" s="35">
        <v>0</v>
      </c>
      <c r="Y1332" s="35" t="s">
        <v>1871</v>
      </c>
    </row>
    <row r="1333" spans="1:25" x14ac:dyDescent="0.2">
      <c r="A1333" s="35">
        <v>16</v>
      </c>
      <c r="B1333" s="35" t="s">
        <v>1254</v>
      </c>
      <c r="C1333" s="35" t="s">
        <v>950</v>
      </c>
      <c r="D1333" s="36">
        <v>0</v>
      </c>
      <c r="F1333" s="36">
        <v>0</v>
      </c>
      <c r="H1333" s="36">
        <v>0</v>
      </c>
      <c r="I1333" s="36">
        <v>0</v>
      </c>
      <c r="L1333" s="36">
        <v>0</v>
      </c>
      <c r="N1333" s="36">
        <v>0</v>
      </c>
      <c r="O1333" s="36">
        <v>0</v>
      </c>
      <c r="P1333" s="36">
        <v>0</v>
      </c>
      <c r="Q1333" s="36">
        <v>0</v>
      </c>
      <c r="T1333" s="36">
        <v>0</v>
      </c>
      <c r="U1333" s="35">
        <v>539</v>
      </c>
      <c r="W1333" s="35">
        <v>0</v>
      </c>
      <c r="X1333" s="35">
        <v>0</v>
      </c>
      <c r="Y1333" s="35" t="s">
        <v>1871</v>
      </c>
    </row>
    <row r="1334" spans="1:25" x14ac:dyDescent="0.2">
      <c r="A1334" s="35">
        <v>17</v>
      </c>
      <c r="B1334" s="35" t="s">
        <v>1255</v>
      </c>
      <c r="C1334" s="35" t="s">
        <v>950</v>
      </c>
      <c r="D1334" s="36">
        <v>191573.00000000003</v>
      </c>
      <c r="F1334" s="36">
        <v>166691.70550431299</v>
      </c>
      <c r="H1334" s="36">
        <v>7870.1528013660272</v>
      </c>
      <c r="I1334" s="36">
        <v>17011.141694321002</v>
      </c>
      <c r="L1334" s="36">
        <v>0.58574245297884919</v>
      </c>
      <c r="N1334" s="36">
        <v>17010.555951868024</v>
      </c>
      <c r="O1334" s="36">
        <v>5279.3771132107504</v>
      </c>
      <c r="P1334" s="36">
        <v>11731.178838657272</v>
      </c>
      <c r="Q1334" s="36">
        <v>0</v>
      </c>
      <c r="T1334" s="36">
        <v>191573</v>
      </c>
      <c r="U1334" s="35">
        <v>541</v>
      </c>
      <c r="W1334" s="35">
        <v>191573</v>
      </c>
      <c r="X1334" s="35">
        <v>0</v>
      </c>
      <c r="Y1334" s="35" t="s">
        <v>1871</v>
      </c>
    </row>
    <row r="1335" spans="1:25" x14ac:dyDescent="0.2">
      <c r="A1335" s="35">
        <v>18</v>
      </c>
      <c r="B1335" s="35" t="s">
        <v>1256</v>
      </c>
      <c r="C1335" s="35" t="s">
        <v>950</v>
      </c>
      <c r="D1335" s="36">
        <v>54228</v>
      </c>
      <c r="F1335" s="36">
        <v>47184.925882498494</v>
      </c>
      <c r="H1335" s="36">
        <v>2227.7807734517751</v>
      </c>
      <c r="I1335" s="36">
        <v>4815.2933440497318</v>
      </c>
      <c r="L1335" s="36">
        <v>0.16580437608711579</v>
      </c>
      <c r="N1335" s="36">
        <v>4815.1275396736446</v>
      </c>
      <c r="O1335" s="36">
        <v>1494.4175958782946</v>
      </c>
      <c r="P1335" s="36">
        <v>3320.7099437953498</v>
      </c>
      <c r="Q1335" s="36">
        <v>0</v>
      </c>
      <c r="T1335" s="36">
        <v>54228</v>
      </c>
      <c r="U1335" s="35">
        <v>542</v>
      </c>
      <c r="W1335" s="35">
        <v>54228</v>
      </c>
      <c r="X1335" s="35">
        <v>0</v>
      </c>
      <c r="Y1335" s="35" t="s">
        <v>1871</v>
      </c>
    </row>
    <row r="1336" spans="1:25" x14ac:dyDescent="0.2">
      <c r="A1336" s="35">
        <v>19</v>
      </c>
      <c r="B1336" s="35" t="s">
        <v>2377</v>
      </c>
      <c r="C1336" s="35" t="s">
        <v>950</v>
      </c>
      <c r="D1336" s="36">
        <v>0</v>
      </c>
      <c r="F1336" s="36">
        <v>0</v>
      </c>
      <c r="H1336" s="36">
        <v>0</v>
      </c>
      <c r="I1336" s="36">
        <v>0</v>
      </c>
      <c r="L1336" s="36">
        <v>0</v>
      </c>
      <c r="N1336" s="36">
        <v>0</v>
      </c>
      <c r="O1336" s="36">
        <v>0</v>
      </c>
      <c r="P1336" s="36">
        <v>0</v>
      </c>
      <c r="Q1336" s="36">
        <v>0</v>
      </c>
      <c r="T1336" s="36">
        <v>0</v>
      </c>
      <c r="U1336" s="35">
        <v>543</v>
      </c>
      <c r="W1336" s="35">
        <v>0</v>
      </c>
      <c r="X1336" s="35">
        <v>0</v>
      </c>
      <c r="Y1336" s="35" t="s">
        <v>1871</v>
      </c>
    </row>
    <row r="1337" spans="1:25" x14ac:dyDescent="0.2">
      <c r="A1337" s="35">
        <v>20</v>
      </c>
      <c r="B1337" s="35" t="s">
        <v>1257</v>
      </c>
      <c r="C1337" s="35" t="s">
        <v>950</v>
      </c>
      <c r="D1337" s="36">
        <v>0</v>
      </c>
      <c r="F1337" s="36">
        <v>0</v>
      </c>
      <c r="H1337" s="36">
        <v>0</v>
      </c>
      <c r="I1337" s="36">
        <v>0</v>
      </c>
      <c r="L1337" s="36">
        <v>0</v>
      </c>
      <c r="N1337" s="36">
        <v>0</v>
      </c>
      <c r="O1337" s="36">
        <v>0</v>
      </c>
      <c r="P1337" s="36">
        <v>0</v>
      </c>
      <c r="Q1337" s="36">
        <v>0</v>
      </c>
      <c r="T1337" s="36">
        <v>0</v>
      </c>
      <c r="U1337" s="35">
        <v>544</v>
      </c>
      <c r="W1337" s="35">
        <v>0</v>
      </c>
      <c r="X1337" s="35">
        <v>0</v>
      </c>
      <c r="Y1337" s="35" t="s">
        <v>1871</v>
      </c>
    </row>
    <row r="1338" spans="1:25" x14ac:dyDescent="0.2">
      <c r="A1338" s="35">
        <v>21</v>
      </c>
      <c r="B1338" s="35" t="s">
        <v>1258</v>
      </c>
      <c r="C1338" s="35" t="s">
        <v>950</v>
      </c>
      <c r="D1338" s="36">
        <v>0</v>
      </c>
      <c r="F1338" s="36">
        <v>0</v>
      </c>
      <c r="H1338" s="36">
        <v>0</v>
      </c>
      <c r="I1338" s="36">
        <v>0</v>
      </c>
      <c r="L1338" s="36">
        <v>0</v>
      </c>
      <c r="N1338" s="36">
        <v>0</v>
      </c>
      <c r="O1338" s="36">
        <v>0</v>
      </c>
      <c r="P1338" s="36">
        <v>0</v>
      </c>
      <c r="Q1338" s="36">
        <v>0</v>
      </c>
      <c r="T1338" s="36">
        <v>0</v>
      </c>
      <c r="U1338" s="35">
        <v>545</v>
      </c>
      <c r="W1338" s="35">
        <v>0</v>
      </c>
      <c r="X1338" s="35">
        <v>0</v>
      </c>
      <c r="Y1338" s="35" t="s">
        <v>1871</v>
      </c>
    </row>
    <row r="1339" spans="1:25" x14ac:dyDescent="0.2">
      <c r="A1339" s="35">
        <v>22</v>
      </c>
      <c r="B1339" s="35" t="s">
        <v>1259</v>
      </c>
      <c r="C1339" s="35" t="s">
        <v>950</v>
      </c>
      <c r="D1339" s="36">
        <v>974885.00000000012</v>
      </c>
      <c r="F1339" s="36">
        <v>848267.98828943621</v>
      </c>
      <c r="H1339" s="36">
        <v>40049.975277099169</v>
      </c>
      <c r="I1339" s="36">
        <v>86567.036433464687</v>
      </c>
      <c r="L1339" s="36">
        <v>2.9807516261283444</v>
      </c>
      <c r="N1339" s="36">
        <v>86564.055681838552</v>
      </c>
      <c r="O1339" s="36">
        <v>26865.923470491467</v>
      </c>
      <c r="P1339" s="36">
        <v>59698.132211347081</v>
      </c>
      <c r="Q1339" s="36">
        <v>0</v>
      </c>
      <c r="T1339" s="36">
        <v>974885</v>
      </c>
      <c r="U1339" s="35">
        <v>546</v>
      </c>
      <c r="W1339" s="35">
        <v>974885</v>
      </c>
      <c r="X1339" s="35">
        <v>0</v>
      </c>
      <c r="Y1339" s="35" t="s">
        <v>1871</v>
      </c>
    </row>
    <row r="1340" spans="1:25" x14ac:dyDescent="0.2">
      <c r="A1340" s="35">
        <v>23</v>
      </c>
      <c r="B1340" s="35" t="s">
        <v>1260</v>
      </c>
      <c r="C1340" s="35" t="s">
        <v>950</v>
      </c>
      <c r="D1340" s="36">
        <v>375868</v>
      </c>
      <c r="F1340" s="36">
        <v>327050.66979425657</v>
      </c>
      <c r="H1340" s="36">
        <v>15441.312675292687</v>
      </c>
      <c r="I1340" s="36">
        <v>33376.017530450779</v>
      </c>
      <c r="L1340" s="36">
        <v>1.1492321168236341</v>
      </c>
      <c r="N1340" s="36">
        <v>33374.868298333953</v>
      </c>
      <c r="O1340" s="36">
        <v>10358.186784089085</v>
      </c>
      <c r="P1340" s="36">
        <v>23016.681514244865</v>
      </c>
      <c r="Q1340" s="36">
        <v>0</v>
      </c>
      <c r="T1340" s="36">
        <v>375868</v>
      </c>
      <c r="U1340" s="35">
        <v>548</v>
      </c>
      <c r="W1340" s="35">
        <v>375868</v>
      </c>
      <c r="X1340" s="35">
        <v>0</v>
      </c>
      <c r="Y1340" s="35" t="s">
        <v>1871</v>
      </c>
    </row>
    <row r="1341" spans="1:25" x14ac:dyDescent="0.2">
      <c r="A1341" s="35">
        <v>24</v>
      </c>
      <c r="B1341" s="35" t="s">
        <v>1261</v>
      </c>
      <c r="C1341" s="35" t="s">
        <v>950</v>
      </c>
      <c r="D1341" s="36">
        <v>1910954</v>
      </c>
      <c r="F1341" s="36">
        <v>1662761.3567689022</v>
      </c>
      <c r="H1341" s="36">
        <v>78505.321607855047</v>
      </c>
      <c r="I1341" s="36">
        <v>169687.32162324281</v>
      </c>
      <c r="L1341" s="36">
        <v>5.8428217102083471</v>
      </c>
      <c r="N1341" s="36">
        <v>169681.47880153259</v>
      </c>
      <c r="O1341" s="36">
        <v>52662.153915210052</v>
      </c>
      <c r="P1341" s="36">
        <v>117019.32488632255</v>
      </c>
      <c r="Q1341" s="36">
        <v>0</v>
      </c>
      <c r="T1341" s="36">
        <v>1910954</v>
      </c>
      <c r="U1341" s="35">
        <v>549</v>
      </c>
      <c r="W1341" s="35">
        <v>1910954</v>
      </c>
      <c r="X1341" s="35">
        <v>0</v>
      </c>
      <c r="Y1341" s="35" t="s">
        <v>1871</v>
      </c>
    </row>
    <row r="1342" spans="1:25" x14ac:dyDescent="0.2">
      <c r="A1342" s="35">
        <v>25</v>
      </c>
      <c r="B1342" s="35" t="s">
        <v>1262</v>
      </c>
      <c r="C1342" s="35" t="s">
        <v>950</v>
      </c>
      <c r="D1342" s="36">
        <v>0</v>
      </c>
      <c r="F1342" s="36">
        <v>0</v>
      </c>
      <c r="H1342" s="36">
        <v>0</v>
      </c>
      <c r="I1342" s="36">
        <v>0</v>
      </c>
      <c r="L1342" s="36">
        <v>0</v>
      </c>
      <c r="N1342" s="36">
        <v>0</v>
      </c>
      <c r="O1342" s="36">
        <v>0</v>
      </c>
      <c r="P1342" s="36">
        <v>0</v>
      </c>
      <c r="Q1342" s="36">
        <v>0</v>
      </c>
      <c r="T1342" s="36">
        <v>0</v>
      </c>
      <c r="U1342" s="35">
        <v>550</v>
      </c>
      <c r="W1342" s="35">
        <v>0</v>
      </c>
      <c r="X1342" s="35">
        <v>0</v>
      </c>
      <c r="Y1342" s="35" t="s">
        <v>1871</v>
      </c>
    </row>
    <row r="1343" spans="1:25" x14ac:dyDescent="0.2">
      <c r="A1343" s="35">
        <v>26</v>
      </c>
      <c r="B1343" s="35" t="s">
        <v>1263</v>
      </c>
      <c r="C1343" s="35" t="s">
        <v>950</v>
      </c>
      <c r="D1343" s="36">
        <v>231372.00000000003</v>
      </c>
      <c r="F1343" s="36">
        <v>201321.65433513024</v>
      </c>
      <c r="H1343" s="36">
        <v>9505.1651013329665</v>
      </c>
      <c r="I1343" s="36">
        <v>20545.180563536815</v>
      </c>
      <c r="L1343" s="36">
        <v>0.70742955860493018</v>
      </c>
      <c r="N1343" s="36">
        <v>20544.473133978208</v>
      </c>
      <c r="O1343" s="36">
        <v>6376.1596959790659</v>
      </c>
      <c r="P1343" s="36">
        <v>14168.313437999144</v>
      </c>
      <c r="Q1343" s="36">
        <v>0</v>
      </c>
      <c r="T1343" s="36">
        <v>231372</v>
      </c>
      <c r="U1343" s="35">
        <v>551</v>
      </c>
      <c r="W1343" s="35">
        <v>231372</v>
      </c>
      <c r="X1343" s="35">
        <v>0</v>
      </c>
      <c r="Y1343" s="35" t="s">
        <v>1871</v>
      </c>
    </row>
    <row r="1344" spans="1:25" x14ac:dyDescent="0.2">
      <c r="A1344" s="35">
        <v>27</v>
      </c>
      <c r="B1344" s="35" t="s">
        <v>1264</v>
      </c>
      <c r="C1344" s="35" t="s">
        <v>950</v>
      </c>
      <c r="D1344" s="36">
        <v>0</v>
      </c>
      <c r="F1344" s="36">
        <v>0</v>
      </c>
      <c r="H1344" s="36">
        <v>0</v>
      </c>
      <c r="I1344" s="36">
        <v>0</v>
      </c>
      <c r="L1344" s="36">
        <v>0</v>
      </c>
      <c r="N1344" s="36">
        <v>0</v>
      </c>
      <c r="O1344" s="36">
        <v>0</v>
      </c>
      <c r="P1344" s="36">
        <v>0</v>
      </c>
      <c r="Q1344" s="36">
        <v>0</v>
      </c>
      <c r="T1344" s="36">
        <v>0</v>
      </c>
      <c r="U1344" s="35">
        <v>552</v>
      </c>
      <c r="W1344" s="35">
        <v>0</v>
      </c>
      <c r="X1344" s="35">
        <v>0</v>
      </c>
      <c r="Y1344" s="35" t="s">
        <v>1871</v>
      </c>
    </row>
    <row r="1345" spans="1:25" x14ac:dyDescent="0.2">
      <c r="A1345" s="35">
        <v>28</v>
      </c>
      <c r="B1345" s="35" t="s">
        <v>1265</v>
      </c>
      <c r="C1345" s="35" t="s">
        <v>950</v>
      </c>
      <c r="D1345" s="36">
        <v>1169573</v>
      </c>
      <c r="F1345" s="36">
        <v>1017670.1209554366</v>
      </c>
      <c r="H1345" s="36">
        <v>48048.097708717141</v>
      </c>
      <c r="I1345" s="36">
        <v>103854.78133584636</v>
      </c>
      <c r="L1345" s="36">
        <v>3.5760183217772417</v>
      </c>
      <c r="N1345" s="36">
        <v>103851.20531752458</v>
      </c>
      <c r="O1345" s="36">
        <v>32231.143889949191</v>
      </c>
      <c r="P1345" s="36">
        <v>71620.061427575391</v>
      </c>
      <c r="Q1345" s="36">
        <v>0</v>
      </c>
      <c r="T1345" s="36">
        <v>1169573</v>
      </c>
      <c r="U1345" s="35">
        <v>553</v>
      </c>
      <c r="W1345" s="35">
        <v>1169573</v>
      </c>
      <c r="X1345" s="35">
        <v>0</v>
      </c>
      <c r="Y1345" s="35" t="s">
        <v>1871</v>
      </c>
    </row>
    <row r="1346" spans="1:25" x14ac:dyDescent="0.2">
      <c r="A1346" s="35">
        <v>29</v>
      </c>
      <c r="B1346" s="35" t="s">
        <v>1266</v>
      </c>
      <c r="C1346" s="35" t="s">
        <v>950</v>
      </c>
      <c r="D1346" s="36">
        <v>1839458.0000000002</v>
      </c>
      <c r="F1346" s="36">
        <v>1600551.1800908926</v>
      </c>
      <c r="H1346" s="36">
        <v>75568.141291805994</v>
      </c>
      <c r="I1346" s="36">
        <v>163338.6786173016</v>
      </c>
      <c r="L1346" s="36">
        <v>5.6242197025236749</v>
      </c>
      <c r="N1346" s="36">
        <v>163333.05439759907</v>
      </c>
      <c r="O1346" s="36">
        <v>50691.864020046771</v>
      </c>
      <c r="P1346" s="36">
        <v>112641.19037755231</v>
      </c>
      <c r="Q1346" s="36">
        <v>0</v>
      </c>
      <c r="T1346" s="36">
        <v>1839458</v>
      </c>
      <c r="U1346" s="35">
        <v>554</v>
      </c>
      <c r="W1346" s="35">
        <v>1839458</v>
      </c>
      <c r="X1346" s="35">
        <v>0</v>
      </c>
      <c r="Y1346" s="35" t="s">
        <v>1871</v>
      </c>
    </row>
    <row r="1347" spans="1:25" x14ac:dyDescent="0.2">
      <c r="A1347" s="35">
        <v>30</v>
      </c>
      <c r="B1347" s="35" t="s">
        <v>1267</v>
      </c>
      <c r="C1347" s="35" t="s">
        <v>950</v>
      </c>
      <c r="D1347" s="36">
        <v>0</v>
      </c>
      <c r="F1347" s="36">
        <v>0</v>
      </c>
      <c r="H1347" s="36">
        <v>0</v>
      </c>
      <c r="I1347" s="36">
        <v>0</v>
      </c>
      <c r="L1347" s="36">
        <v>0</v>
      </c>
      <c r="N1347" s="36">
        <v>0</v>
      </c>
      <c r="O1347" s="36">
        <v>0</v>
      </c>
      <c r="P1347" s="36">
        <v>0</v>
      </c>
      <c r="Q1347" s="36">
        <v>0</v>
      </c>
      <c r="T1347" s="36">
        <v>0</v>
      </c>
      <c r="U1347" s="35">
        <v>555</v>
      </c>
      <c r="W1347" s="35">
        <v>0</v>
      </c>
      <c r="X1347" s="35">
        <v>0</v>
      </c>
      <c r="Y1347" s="35" t="s">
        <v>1871</v>
      </c>
    </row>
    <row r="1348" spans="1:25" x14ac:dyDescent="0.2">
      <c r="A1348" s="35">
        <v>31</v>
      </c>
      <c r="B1348" s="35" t="s">
        <v>1268</v>
      </c>
      <c r="C1348" s="35" t="s">
        <v>950</v>
      </c>
      <c r="D1348" s="36">
        <v>2102223</v>
      </c>
      <c r="F1348" s="36">
        <v>1829188.5454651404</v>
      </c>
      <c r="H1348" s="36">
        <v>86362.985559270324</v>
      </c>
      <c r="I1348" s="36">
        <v>186671.46897558935</v>
      </c>
      <c r="L1348" s="36">
        <v>6.4276346704836023</v>
      </c>
      <c r="N1348" s="36">
        <v>186665.04134091886</v>
      </c>
      <c r="O1348" s="36">
        <v>57933.153383124147</v>
      </c>
      <c r="P1348" s="36">
        <v>128731.88795779471</v>
      </c>
      <c r="Q1348" s="36">
        <v>0</v>
      </c>
      <c r="T1348" s="36">
        <v>2102223</v>
      </c>
      <c r="U1348" s="35">
        <v>556</v>
      </c>
      <c r="W1348" s="35">
        <v>2102223</v>
      </c>
      <c r="X1348" s="35">
        <v>0</v>
      </c>
      <c r="Y1348" s="35" t="s">
        <v>1871</v>
      </c>
    </row>
    <row r="1349" spans="1:25" x14ac:dyDescent="0.2">
      <c r="A1349" s="35">
        <v>32</v>
      </c>
      <c r="B1349" s="35" t="s">
        <v>1269</v>
      </c>
      <c r="C1349" s="35" t="s">
        <v>950</v>
      </c>
      <c r="D1349" s="36">
        <v>0</v>
      </c>
      <c r="F1349" s="36">
        <v>0</v>
      </c>
      <c r="H1349" s="36">
        <v>0</v>
      </c>
      <c r="I1349" s="36">
        <v>0</v>
      </c>
      <c r="L1349" s="36">
        <v>0</v>
      </c>
      <c r="N1349" s="36">
        <v>0</v>
      </c>
      <c r="O1349" s="36">
        <v>0</v>
      </c>
      <c r="P1349" s="36">
        <v>0</v>
      </c>
      <c r="Q1349" s="36">
        <v>0</v>
      </c>
      <c r="T1349" s="36">
        <v>0</v>
      </c>
      <c r="U1349" s="35">
        <v>557</v>
      </c>
      <c r="W1349" s="35">
        <v>0</v>
      </c>
      <c r="X1349" s="35">
        <v>0</v>
      </c>
      <c r="Y1349" s="35" t="s">
        <v>1871</v>
      </c>
    </row>
    <row r="1350" spans="1:25" x14ac:dyDescent="0.2">
      <c r="F1350" s="36"/>
    </row>
    <row r="1351" spans="1:25" x14ac:dyDescent="0.2">
      <c r="A1351" s="35">
        <v>33</v>
      </c>
      <c r="B1351" s="35" t="s">
        <v>1270</v>
      </c>
      <c r="D1351" s="36">
        <v>37200693</v>
      </c>
      <c r="F1351" s="36">
        <v>32369107.139901541</v>
      </c>
      <c r="H1351" s="36">
        <v>1528269.3188847466</v>
      </c>
      <c r="I1351" s="36">
        <v>3303316.5412137164</v>
      </c>
      <c r="J1351" s="36">
        <v>0</v>
      </c>
      <c r="K1351" s="36">
        <v>0</v>
      </c>
      <c r="L1351" s="36">
        <v>113.74267339517104</v>
      </c>
      <c r="N1351" s="36">
        <v>3303202.7985403216</v>
      </c>
      <c r="O1351" s="36">
        <v>1025178.3248149756</v>
      </c>
      <c r="P1351" s="36">
        <v>2278024.4737253459</v>
      </c>
      <c r="Q1351" s="36">
        <v>0</v>
      </c>
    </row>
    <row r="1352" spans="1:25" x14ac:dyDescent="0.2">
      <c r="F1352" s="36"/>
    </row>
    <row r="1353" spans="1:25" x14ac:dyDescent="0.2">
      <c r="A1353" s="35">
        <v>34</v>
      </c>
      <c r="B1353" s="35" t="s">
        <v>1271</v>
      </c>
      <c r="D1353" s="36">
        <v>61305035</v>
      </c>
      <c r="F1353" s="36">
        <v>53566041.938960657</v>
      </c>
      <c r="H1353" s="36">
        <v>2406998.3462232151</v>
      </c>
      <c r="I1353" s="36">
        <v>5331994.7148161288</v>
      </c>
      <c r="J1353" s="36">
        <v>0</v>
      </c>
      <c r="K1353" s="36">
        <v>0</v>
      </c>
      <c r="L1353" s="36">
        <v>215.96681181113556</v>
      </c>
      <c r="N1353" s="36">
        <v>5331778.7480043173</v>
      </c>
      <c r="O1353" s="36">
        <v>1666235.5289411512</v>
      </c>
      <c r="P1353" s="36">
        <v>3665543.2190631665</v>
      </c>
      <c r="Q1353" s="36">
        <v>0</v>
      </c>
    </row>
    <row r="1354" spans="1:25" x14ac:dyDescent="0.2">
      <c r="F1354" s="36"/>
    </row>
    <row r="1355" spans="1:25" x14ac:dyDescent="0.2">
      <c r="F1355" s="36"/>
    </row>
    <row r="1356" spans="1:25" x14ac:dyDescent="0.2">
      <c r="F1356" s="36"/>
    </row>
    <row r="1357" spans="1:25" x14ac:dyDescent="0.2">
      <c r="F1357" s="36"/>
    </row>
    <row r="1358" spans="1:25" x14ac:dyDescent="0.2">
      <c r="B1358" s="35" t="s">
        <v>1272</v>
      </c>
      <c r="F1358" s="36"/>
    </row>
    <row r="1359" spans="1:25" x14ac:dyDescent="0.2">
      <c r="A1359" s="35">
        <v>1</v>
      </c>
      <c r="B1359" s="35" t="s">
        <v>1273</v>
      </c>
      <c r="C1359" s="35" t="s">
        <v>2271</v>
      </c>
      <c r="D1359" s="36">
        <v>1828692</v>
      </c>
      <c r="F1359" s="36">
        <v>1648654.4511149053</v>
      </c>
      <c r="H1359" s="36">
        <v>180031.75563401839</v>
      </c>
      <c r="I1359" s="36">
        <v>5.7932510762244078</v>
      </c>
      <c r="L1359" s="36">
        <v>5.7932510762244078</v>
      </c>
      <c r="N1359" s="36">
        <v>0</v>
      </c>
      <c r="O1359" s="36">
        <v>0</v>
      </c>
      <c r="P1359" s="36">
        <v>0</v>
      </c>
      <c r="Q1359" s="36">
        <v>0</v>
      </c>
      <c r="T1359" s="36">
        <v>1828692</v>
      </c>
      <c r="U1359" s="35">
        <v>560</v>
      </c>
      <c r="W1359" s="35">
        <v>1828692</v>
      </c>
      <c r="X1359" s="35">
        <v>0</v>
      </c>
      <c r="Y1359" s="35" t="s">
        <v>1871</v>
      </c>
    </row>
    <row r="1360" spans="1:25" x14ac:dyDescent="0.2">
      <c r="A1360" s="35">
        <v>2</v>
      </c>
      <c r="B1360" s="35" t="s">
        <v>1274</v>
      </c>
      <c r="C1360" s="35" t="s">
        <v>2271</v>
      </c>
      <c r="D1360" s="36">
        <v>3400216.9999999995</v>
      </c>
      <c r="F1360" s="36">
        <v>3065460.3901622416</v>
      </c>
      <c r="H1360" s="36">
        <v>334745.83803430822</v>
      </c>
      <c r="I1360" s="36">
        <v>10.771803450032332</v>
      </c>
      <c r="L1360" s="36">
        <v>10.771803450032332</v>
      </c>
      <c r="N1360" s="36">
        <v>0</v>
      </c>
      <c r="O1360" s="36">
        <v>0</v>
      </c>
      <c r="P1360" s="36">
        <v>0</v>
      </c>
      <c r="Q1360" s="36">
        <v>0</v>
      </c>
      <c r="T1360" s="36">
        <v>3400217</v>
      </c>
      <c r="U1360" s="35">
        <v>561</v>
      </c>
      <c r="W1360" s="35">
        <v>3400217</v>
      </c>
      <c r="X1360" s="35">
        <v>0</v>
      </c>
      <c r="Y1360" s="35" t="s">
        <v>1871</v>
      </c>
    </row>
    <row r="1361" spans="1:25" x14ac:dyDescent="0.2">
      <c r="A1361" s="35">
        <v>3</v>
      </c>
      <c r="B1361" s="35" t="s">
        <v>1275</v>
      </c>
      <c r="C1361" s="35" t="s">
        <v>2271</v>
      </c>
      <c r="D1361" s="36">
        <v>560297</v>
      </c>
      <c r="F1361" s="36">
        <v>505134.89586892055</v>
      </c>
      <c r="H1361" s="36">
        <v>55160.329124026139</v>
      </c>
      <c r="I1361" s="36">
        <v>1.775007053268296</v>
      </c>
      <c r="L1361" s="36">
        <v>1.775007053268296</v>
      </c>
      <c r="N1361" s="36">
        <v>0</v>
      </c>
      <c r="O1361" s="36">
        <v>0</v>
      </c>
      <c r="P1361" s="36">
        <v>0</v>
      </c>
      <c r="Q1361" s="36">
        <v>0</v>
      </c>
      <c r="T1361" s="36">
        <v>560297</v>
      </c>
      <c r="U1361" s="35">
        <v>562</v>
      </c>
      <c r="W1361" s="35">
        <v>560297</v>
      </c>
      <c r="X1361" s="35">
        <v>0</v>
      </c>
      <c r="Y1361" s="35" t="s">
        <v>1871</v>
      </c>
    </row>
    <row r="1362" spans="1:25" x14ac:dyDescent="0.2">
      <c r="A1362" s="35">
        <v>4</v>
      </c>
      <c r="B1362" s="35" t="s">
        <v>1276</v>
      </c>
      <c r="C1362" s="35" t="s">
        <v>2271</v>
      </c>
      <c r="D1362" s="36">
        <v>0</v>
      </c>
      <c r="F1362" s="36">
        <v>0</v>
      </c>
      <c r="H1362" s="36">
        <v>0</v>
      </c>
      <c r="I1362" s="36">
        <v>0</v>
      </c>
      <c r="L1362" s="36">
        <v>0</v>
      </c>
      <c r="N1362" s="36">
        <v>0</v>
      </c>
      <c r="O1362" s="36">
        <v>0</v>
      </c>
      <c r="P1362" s="36">
        <v>0</v>
      </c>
      <c r="Q1362" s="36">
        <v>0</v>
      </c>
      <c r="T1362" s="36">
        <v>0</v>
      </c>
      <c r="U1362" s="35">
        <v>563</v>
      </c>
      <c r="W1362" s="35">
        <v>0</v>
      </c>
      <c r="X1362" s="35">
        <v>0</v>
      </c>
      <c r="Y1362" s="35" t="s">
        <v>1871</v>
      </c>
    </row>
    <row r="1363" spans="1:25" x14ac:dyDescent="0.2">
      <c r="A1363" s="35">
        <v>5</v>
      </c>
      <c r="B1363" s="35" t="s">
        <v>1277</v>
      </c>
      <c r="C1363" s="35" t="s">
        <v>2271</v>
      </c>
      <c r="D1363" s="36">
        <v>0</v>
      </c>
      <c r="F1363" s="36">
        <v>0</v>
      </c>
      <c r="H1363" s="36">
        <v>0</v>
      </c>
      <c r="I1363" s="36">
        <v>0</v>
      </c>
      <c r="L1363" s="36">
        <v>0</v>
      </c>
      <c r="N1363" s="36">
        <v>0</v>
      </c>
      <c r="O1363" s="36">
        <v>0</v>
      </c>
      <c r="P1363" s="36">
        <v>0</v>
      </c>
      <c r="Q1363" s="36">
        <v>0</v>
      </c>
      <c r="T1363" s="36">
        <v>0</v>
      </c>
      <c r="U1363" s="35">
        <v>565</v>
      </c>
      <c r="W1363" s="35">
        <v>0</v>
      </c>
      <c r="X1363" s="35">
        <v>0</v>
      </c>
      <c r="Y1363" s="35" t="s">
        <v>1871</v>
      </c>
    </row>
    <row r="1364" spans="1:25" x14ac:dyDescent="0.2">
      <c r="A1364" s="35">
        <v>6</v>
      </c>
      <c r="B1364" s="35" t="s">
        <v>1278</v>
      </c>
      <c r="C1364" s="35" t="s">
        <v>2271</v>
      </c>
      <c r="D1364" s="36">
        <v>130932</v>
      </c>
      <c r="F1364" s="36">
        <v>118041.54258528871</v>
      </c>
      <c r="H1364" s="36">
        <v>12890.042625370099</v>
      </c>
      <c r="I1364" s="36">
        <v>0.41478934118605765</v>
      </c>
      <c r="L1364" s="36">
        <v>0.41478934118605765</v>
      </c>
      <c r="N1364" s="36">
        <v>0</v>
      </c>
      <c r="O1364" s="36">
        <v>0</v>
      </c>
      <c r="P1364" s="36">
        <v>0</v>
      </c>
      <c r="Q1364" s="36">
        <v>0</v>
      </c>
      <c r="T1364" s="36">
        <v>130932</v>
      </c>
      <c r="U1364" s="35">
        <v>566</v>
      </c>
      <c r="W1364" s="35">
        <v>130932</v>
      </c>
      <c r="X1364" s="35">
        <v>0</v>
      </c>
      <c r="Y1364" s="35" t="s">
        <v>1871</v>
      </c>
    </row>
    <row r="1365" spans="1:25" x14ac:dyDescent="0.2">
      <c r="A1365" s="35">
        <v>7</v>
      </c>
      <c r="B1365" s="35" t="s">
        <v>1279</v>
      </c>
      <c r="C1365" s="35" t="s">
        <v>2271</v>
      </c>
      <c r="D1365" s="36">
        <v>0</v>
      </c>
      <c r="F1365" s="36">
        <v>0</v>
      </c>
      <c r="H1365" s="36">
        <v>0</v>
      </c>
      <c r="I1365" s="36">
        <v>0</v>
      </c>
      <c r="L1365" s="36">
        <v>0</v>
      </c>
      <c r="N1365" s="36">
        <v>0</v>
      </c>
      <c r="O1365" s="36">
        <v>0</v>
      </c>
      <c r="P1365" s="36">
        <v>0</v>
      </c>
      <c r="Q1365" s="36">
        <v>0</v>
      </c>
      <c r="T1365" s="36">
        <v>0</v>
      </c>
      <c r="U1365" s="35">
        <v>567</v>
      </c>
      <c r="W1365" s="35">
        <v>0</v>
      </c>
      <c r="X1365" s="35">
        <v>0</v>
      </c>
      <c r="Y1365" s="35" t="s">
        <v>1871</v>
      </c>
    </row>
    <row r="1366" spans="1:25" x14ac:dyDescent="0.2">
      <c r="A1366" s="35">
        <v>8</v>
      </c>
      <c r="B1366" s="35" t="s">
        <v>1280</v>
      </c>
      <c r="C1366" s="35" t="s">
        <v>2271</v>
      </c>
      <c r="D1366" s="36">
        <v>0</v>
      </c>
      <c r="F1366" s="36">
        <v>0</v>
      </c>
      <c r="H1366" s="36">
        <v>0</v>
      </c>
      <c r="I1366" s="36">
        <v>0</v>
      </c>
      <c r="L1366" s="36">
        <v>0</v>
      </c>
      <c r="N1366" s="36">
        <v>0</v>
      </c>
      <c r="O1366" s="36">
        <v>0</v>
      </c>
      <c r="P1366" s="36">
        <v>0</v>
      </c>
      <c r="Q1366" s="36">
        <v>0</v>
      </c>
      <c r="T1366" s="36">
        <v>0</v>
      </c>
      <c r="U1366" s="35">
        <v>569</v>
      </c>
      <c r="W1366" s="35">
        <v>0</v>
      </c>
      <c r="X1366" s="35">
        <v>0</v>
      </c>
      <c r="Y1366" s="35" t="s">
        <v>1871</v>
      </c>
    </row>
    <row r="1367" spans="1:25" x14ac:dyDescent="0.2">
      <c r="A1367" s="35">
        <v>9</v>
      </c>
      <c r="B1367" s="35" t="s">
        <v>1281</v>
      </c>
      <c r="C1367" s="35" t="s">
        <v>2271</v>
      </c>
      <c r="D1367" s="36">
        <v>1040337.9999999999</v>
      </c>
      <c r="F1367" s="36">
        <v>937915.11876465706</v>
      </c>
      <c r="H1367" s="36">
        <v>102419.58547026149</v>
      </c>
      <c r="I1367" s="36">
        <v>3.2957650813462012</v>
      </c>
      <c r="L1367" s="36">
        <v>3.2957650813462012</v>
      </c>
      <c r="N1367" s="36">
        <v>0</v>
      </c>
      <c r="O1367" s="36">
        <v>0</v>
      </c>
      <c r="P1367" s="36">
        <v>0</v>
      </c>
      <c r="Q1367" s="36">
        <v>0</v>
      </c>
      <c r="T1367" s="36">
        <v>1040338</v>
      </c>
      <c r="U1367" s="35">
        <v>570</v>
      </c>
      <c r="W1367" s="35">
        <v>1040338</v>
      </c>
      <c r="X1367" s="35">
        <v>0</v>
      </c>
      <c r="Y1367" s="35" t="s">
        <v>1871</v>
      </c>
    </row>
    <row r="1368" spans="1:25" x14ac:dyDescent="0.2">
      <c r="A1368" s="35">
        <v>10</v>
      </c>
      <c r="B1368" s="35" t="s">
        <v>1282</v>
      </c>
      <c r="C1368" s="35" t="s">
        <v>2271</v>
      </c>
      <c r="D1368" s="36">
        <v>517767.99999999994</v>
      </c>
      <c r="F1368" s="36">
        <v>466792.94153682649</v>
      </c>
      <c r="H1368" s="36">
        <v>50973.418186941504</v>
      </c>
      <c r="I1368" s="36">
        <v>1.6402762319923525</v>
      </c>
      <c r="L1368" s="36">
        <v>1.6402762319923525</v>
      </c>
      <c r="N1368" s="36">
        <v>0</v>
      </c>
      <c r="O1368" s="36">
        <v>0</v>
      </c>
      <c r="P1368" s="36">
        <v>0</v>
      </c>
      <c r="Q1368" s="36">
        <v>0</v>
      </c>
      <c r="T1368" s="36">
        <v>517768</v>
      </c>
      <c r="U1368" s="35">
        <v>571</v>
      </c>
      <c r="W1368" s="35">
        <v>517768</v>
      </c>
      <c r="X1368" s="35">
        <v>0</v>
      </c>
      <c r="Y1368" s="35" t="s">
        <v>1871</v>
      </c>
    </row>
    <row r="1369" spans="1:25" x14ac:dyDescent="0.2">
      <c r="A1369" s="35">
        <v>11</v>
      </c>
      <c r="B1369" s="35" t="s">
        <v>1283</v>
      </c>
      <c r="C1369" s="35" t="s">
        <v>2271</v>
      </c>
      <c r="D1369" s="36">
        <v>0</v>
      </c>
      <c r="F1369" s="36">
        <v>0</v>
      </c>
      <c r="H1369" s="36">
        <v>0</v>
      </c>
      <c r="I1369" s="36">
        <v>0</v>
      </c>
      <c r="L1369" s="36">
        <v>0</v>
      </c>
      <c r="N1369" s="36">
        <v>0</v>
      </c>
      <c r="O1369" s="36">
        <v>0</v>
      </c>
      <c r="P1369" s="36">
        <v>0</v>
      </c>
      <c r="Q1369" s="36">
        <v>0</v>
      </c>
      <c r="T1369" s="36">
        <v>0</v>
      </c>
      <c r="U1369" s="35">
        <v>572</v>
      </c>
      <c r="W1369" s="35">
        <v>0</v>
      </c>
      <c r="X1369" s="35">
        <v>0</v>
      </c>
      <c r="Y1369" s="35" t="s">
        <v>1871</v>
      </c>
    </row>
    <row r="1370" spans="1:25" x14ac:dyDescent="0.2">
      <c r="A1370" s="35">
        <v>12</v>
      </c>
      <c r="B1370" s="35" t="s">
        <v>1284</v>
      </c>
      <c r="C1370" s="35" t="s">
        <v>2271</v>
      </c>
      <c r="D1370" s="36">
        <v>0</v>
      </c>
      <c r="F1370" s="36">
        <v>0</v>
      </c>
      <c r="H1370" s="36">
        <v>0</v>
      </c>
      <c r="I1370" s="36">
        <v>0</v>
      </c>
      <c r="L1370" s="36">
        <v>0</v>
      </c>
      <c r="N1370" s="36">
        <v>0</v>
      </c>
      <c r="O1370" s="36">
        <v>0</v>
      </c>
      <c r="P1370" s="36">
        <v>0</v>
      </c>
      <c r="Q1370" s="36">
        <v>0</v>
      </c>
      <c r="T1370" s="36">
        <v>0</v>
      </c>
      <c r="U1370" s="35">
        <v>573</v>
      </c>
      <c r="W1370" s="35">
        <v>0</v>
      </c>
      <c r="X1370" s="35">
        <v>0</v>
      </c>
      <c r="Y1370" s="35" t="s">
        <v>1871</v>
      </c>
    </row>
    <row r="1371" spans="1:25" x14ac:dyDescent="0.2">
      <c r="F1371" s="36"/>
    </row>
    <row r="1372" spans="1:25" x14ac:dyDescent="0.2">
      <c r="A1372" s="35">
        <v>13</v>
      </c>
      <c r="B1372" s="35" t="s">
        <v>1285</v>
      </c>
      <c r="C1372" s="35" t="s">
        <v>2271</v>
      </c>
      <c r="D1372" s="36">
        <v>7478244</v>
      </c>
      <c r="F1372" s="36">
        <v>6741999.3400328392</v>
      </c>
      <c r="H1372" s="36">
        <v>736220.96907492587</v>
      </c>
      <c r="I1372" s="36">
        <v>23.690892234049645</v>
      </c>
      <c r="J1372" s="36">
        <v>0</v>
      </c>
      <c r="K1372" s="36">
        <v>0</v>
      </c>
      <c r="L1372" s="36">
        <v>23.690892234049645</v>
      </c>
      <c r="N1372" s="36">
        <v>0</v>
      </c>
      <c r="O1372" s="36">
        <v>0</v>
      </c>
      <c r="P1372" s="36">
        <v>0</v>
      </c>
      <c r="Q1372" s="36">
        <v>0</v>
      </c>
    </row>
    <row r="1373" spans="1:25" x14ac:dyDescent="0.2">
      <c r="F1373" s="36"/>
    </row>
    <row r="1374" spans="1:25" x14ac:dyDescent="0.2">
      <c r="B1374" s="35" t="s">
        <v>1286</v>
      </c>
      <c r="F1374" s="36"/>
    </row>
    <row r="1375" spans="1:25" x14ac:dyDescent="0.2">
      <c r="A1375" s="35">
        <v>1</v>
      </c>
      <c r="B1375" s="35" t="s">
        <v>1287</v>
      </c>
      <c r="C1375" s="35" t="s">
        <v>1509</v>
      </c>
      <c r="D1375" s="36">
        <v>1145442.9999999998</v>
      </c>
      <c r="F1375" s="36">
        <v>1081710.9570623545</v>
      </c>
      <c r="H1375" s="36">
        <v>60552.759571967064</v>
      </c>
      <c r="I1375" s="36">
        <v>3179.2833656782227</v>
      </c>
      <c r="L1375" s="36">
        <v>110.18186040012758</v>
      </c>
      <c r="N1375" s="36">
        <v>3069.1015052780949</v>
      </c>
      <c r="O1375" s="36">
        <v>2660.2775361439649</v>
      </c>
      <c r="P1375" s="36">
        <v>408.82396913412987</v>
      </c>
      <c r="Q1375" s="36">
        <v>0</v>
      </c>
      <c r="T1375" s="36">
        <v>1145443</v>
      </c>
      <c r="U1375" s="35">
        <v>580</v>
      </c>
      <c r="W1375" s="35">
        <v>1145443</v>
      </c>
      <c r="X1375" s="35">
        <v>0</v>
      </c>
      <c r="Y1375" s="35" t="s">
        <v>1871</v>
      </c>
    </row>
    <row r="1376" spans="1:25" x14ac:dyDescent="0.2">
      <c r="A1376" s="35">
        <v>2</v>
      </c>
      <c r="B1376" s="35" t="s">
        <v>1288</v>
      </c>
      <c r="C1376" s="35" t="s">
        <v>1509</v>
      </c>
      <c r="D1376" s="36">
        <v>362685.99999999994</v>
      </c>
      <c r="F1376" s="36">
        <v>342506.27938109287</v>
      </c>
      <c r="H1376" s="36">
        <v>19173.051961658894</v>
      </c>
      <c r="I1376" s="36">
        <v>1006.6686572482191</v>
      </c>
      <c r="L1376" s="36">
        <v>34.887304057103378</v>
      </c>
      <c r="N1376" s="36">
        <v>971.78135319111573</v>
      </c>
      <c r="O1376" s="36">
        <v>842.33385552481457</v>
      </c>
      <c r="P1376" s="36">
        <v>129.44749766630119</v>
      </c>
      <c r="Q1376" s="36">
        <v>0</v>
      </c>
      <c r="T1376" s="36">
        <v>362686</v>
      </c>
      <c r="U1376" s="35">
        <v>581</v>
      </c>
      <c r="W1376" s="35">
        <v>362686</v>
      </c>
      <c r="X1376" s="35">
        <v>0</v>
      </c>
      <c r="Y1376" s="35" t="s">
        <v>1871</v>
      </c>
    </row>
    <row r="1377" spans="1:25" x14ac:dyDescent="0.2">
      <c r="A1377" s="35">
        <v>3</v>
      </c>
      <c r="B1377" s="35" t="s">
        <v>1289</v>
      </c>
      <c r="C1377" s="35" t="s">
        <v>1509</v>
      </c>
      <c r="D1377" s="36">
        <v>922281.99999999988</v>
      </c>
      <c r="F1377" s="36">
        <v>870966.55608474847</v>
      </c>
      <c r="H1377" s="36">
        <v>48755.564618713397</v>
      </c>
      <c r="I1377" s="36">
        <v>2559.879296538058</v>
      </c>
      <c r="L1377" s="36">
        <v>88.715672952342857</v>
      </c>
      <c r="N1377" s="36">
        <v>2471.163623585715</v>
      </c>
      <c r="O1377" s="36">
        <v>2141.98880833872</v>
      </c>
      <c r="P1377" s="36">
        <v>329.17481524699491</v>
      </c>
      <c r="Q1377" s="36">
        <v>0</v>
      </c>
      <c r="T1377" s="36">
        <v>922282</v>
      </c>
      <c r="U1377" s="35">
        <v>582</v>
      </c>
      <c r="W1377" s="35">
        <v>922282</v>
      </c>
      <c r="X1377" s="35">
        <v>0</v>
      </c>
      <c r="Y1377" s="35" t="s">
        <v>1871</v>
      </c>
    </row>
    <row r="1378" spans="1:25" x14ac:dyDescent="0.2">
      <c r="A1378" s="35">
        <v>4</v>
      </c>
      <c r="B1378" s="35" t="s">
        <v>1290</v>
      </c>
      <c r="C1378" s="35" t="s">
        <v>1509</v>
      </c>
      <c r="D1378" s="36">
        <v>2298073</v>
      </c>
      <c r="F1378" s="36">
        <v>2170209.0319895069</v>
      </c>
      <c r="H1378" s="36">
        <v>121485.45309354465</v>
      </c>
      <c r="I1378" s="36">
        <v>6378.5149169485085</v>
      </c>
      <c r="L1378" s="36">
        <v>221.05504898567835</v>
      </c>
      <c r="N1378" s="36">
        <v>6157.4598679628298</v>
      </c>
      <c r="O1378" s="36">
        <v>5337.2467930040784</v>
      </c>
      <c r="P1378" s="36">
        <v>820.21307495875158</v>
      </c>
      <c r="Q1378" s="36">
        <v>0</v>
      </c>
      <c r="T1378" s="36">
        <v>2298073</v>
      </c>
      <c r="U1378" s="35">
        <v>583</v>
      </c>
      <c r="W1378" s="35">
        <v>2298073</v>
      </c>
      <c r="X1378" s="35">
        <v>0</v>
      </c>
      <c r="Y1378" s="35" t="s">
        <v>1871</v>
      </c>
    </row>
    <row r="1379" spans="1:25" x14ac:dyDescent="0.2">
      <c r="A1379" s="35">
        <v>5</v>
      </c>
      <c r="B1379" s="35" t="s">
        <v>1291</v>
      </c>
      <c r="C1379" s="35" t="s">
        <v>1509</v>
      </c>
      <c r="D1379" s="36">
        <v>0</v>
      </c>
      <c r="F1379" s="36">
        <v>0</v>
      </c>
      <c r="H1379" s="36">
        <v>0</v>
      </c>
      <c r="I1379" s="36">
        <v>0</v>
      </c>
      <c r="L1379" s="36">
        <v>0</v>
      </c>
      <c r="N1379" s="36">
        <v>0</v>
      </c>
      <c r="O1379" s="36">
        <v>0</v>
      </c>
      <c r="P1379" s="36">
        <v>0</v>
      </c>
      <c r="Q1379" s="36">
        <v>0</v>
      </c>
      <c r="T1379" s="36">
        <v>0</v>
      </c>
      <c r="U1379" s="35">
        <v>584</v>
      </c>
      <c r="W1379" s="35">
        <v>0</v>
      </c>
      <c r="X1379" s="35">
        <v>0</v>
      </c>
      <c r="Y1379" s="35" t="s">
        <v>1871</v>
      </c>
    </row>
    <row r="1380" spans="1:25" x14ac:dyDescent="0.2">
      <c r="A1380" s="35">
        <v>6</v>
      </c>
      <c r="B1380" s="35" t="s">
        <v>1292</v>
      </c>
      <c r="C1380" s="35" t="s">
        <v>1509</v>
      </c>
      <c r="D1380" s="36">
        <v>0</v>
      </c>
      <c r="F1380" s="36">
        <v>0</v>
      </c>
      <c r="H1380" s="36">
        <v>0</v>
      </c>
      <c r="I1380" s="36">
        <v>0</v>
      </c>
      <c r="L1380" s="36">
        <v>0</v>
      </c>
      <c r="N1380" s="36">
        <v>0</v>
      </c>
      <c r="O1380" s="36">
        <v>0</v>
      </c>
      <c r="P1380" s="36">
        <v>0</v>
      </c>
      <c r="Q1380" s="36">
        <v>0</v>
      </c>
      <c r="T1380" s="36">
        <v>0</v>
      </c>
      <c r="U1380" s="35">
        <v>585</v>
      </c>
      <c r="W1380" s="35">
        <v>0</v>
      </c>
      <c r="X1380" s="35">
        <v>0</v>
      </c>
      <c r="Y1380" s="35" t="s">
        <v>1871</v>
      </c>
    </row>
    <row r="1381" spans="1:25" x14ac:dyDescent="0.2">
      <c r="A1381" s="35">
        <v>7</v>
      </c>
      <c r="B1381" s="35" t="s">
        <v>1293</v>
      </c>
      <c r="C1381" s="35" t="s">
        <v>1509</v>
      </c>
      <c r="D1381" s="36">
        <v>6054447</v>
      </c>
      <c r="F1381" s="36">
        <v>5717579.7126991935</v>
      </c>
      <c r="H1381" s="36">
        <v>320062.60768298141</v>
      </c>
      <c r="I1381" s="36">
        <v>16804.679617825084</v>
      </c>
      <c r="L1381" s="36">
        <v>582.3862332337543</v>
      </c>
      <c r="N1381" s="36">
        <v>16222.29338459133</v>
      </c>
      <c r="O1381" s="36">
        <v>14061.38004935577</v>
      </c>
      <c r="P1381" s="36">
        <v>2160.9133352355598</v>
      </c>
      <c r="Q1381" s="36">
        <v>0</v>
      </c>
      <c r="T1381" s="36">
        <v>6054447</v>
      </c>
      <c r="U1381" s="35">
        <v>586</v>
      </c>
      <c r="W1381" s="35">
        <v>6054447</v>
      </c>
      <c r="X1381" s="35">
        <v>0</v>
      </c>
      <c r="Y1381" s="35" t="s">
        <v>1871</v>
      </c>
    </row>
    <row r="1382" spans="1:25" x14ac:dyDescent="0.2">
      <c r="A1382" s="35">
        <v>8</v>
      </c>
      <c r="B1382" s="35" t="s">
        <v>1294</v>
      </c>
      <c r="C1382" s="35" t="s">
        <v>1509</v>
      </c>
      <c r="D1382" s="36">
        <v>0</v>
      </c>
      <c r="F1382" s="36">
        <v>0</v>
      </c>
      <c r="H1382" s="36">
        <v>0</v>
      </c>
      <c r="I1382" s="36">
        <v>0</v>
      </c>
      <c r="L1382" s="36">
        <v>0</v>
      </c>
      <c r="N1382" s="36">
        <v>0</v>
      </c>
      <c r="O1382" s="36">
        <v>0</v>
      </c>
      <c r="P1382" s="36">
        <v>0</v>
      </c>
      <c r="Q1382" s="36">
        <v>0</v>
      </c>
      <c r="T1382" s="36">
        <v>0</v>
      </c>
      <c r="U1382" s="35">
        <v>587</v>
      </c>
      <c r="W1382" s="35">
        <v>0</v>
      </c>
      <c r="X1382" s="35">
        <v>0</v>
      </c>
      <c r="Y1382" s="35" t="s">
        <v>1871</v>
      </c>
    </row>
    <row r="1383" spans="1:25" x14ac:dyDescent="0.2">
      <c r="A1383" s="35">
        <v>9</v>
      </c>
      <c r="B1383" s="35" t="s">
        <v>1295</v>
      </c>
      <c r="C1383" s="35" t="s">
        <v>1509</v>
      </c>
      <c r="D1383" s="36">
        <v>3343041</v>
      </c>
      <c r="F1383" s="36">
        <v>3157035.3824753314</v>
      </c>
      <c r="H1383" s="36">
        <v>176726.69693055731</v>
      </c>
      <c r="I1383" s="36">
        <v>9278.9205941110049</v>
      </c>
      <c r="L1383" s="36">
        <v>321.57207017189234</v>
      </c>
      <c r="N1383" s="36">
        <v>8957.3485239391121</v>
      </c>
      <c r="O1383" s="36">
        <v>7764.1723548952305</v>
      </c>
      <c r="P1383" s="36">
        <v>1193.1761690438814</v>
      </c>
      <c r="Q1383" s="36">
        <v>0</v>
      </c>
      <c r="T1383" s="36">
        <v>3343041</v>
      </c>
      <c r="U1383" s="35">
        <v>588</v>
      </c>
      <c r="W1383" s="35">
        <v>3343041</v>
      </c>
      <c r="X1383" s="35">
        <v>0</v>
      </c>
      <c r="Y1383" s="35" t="s">
        <v>1871</v>
      </c>
    </row>
    <row r="1384" spans="1:25" x14ac:dyDescent="0.2">
      <c r="A1384" s="35">
        <v>10</v>
      </c>
      <c r="B1384" s="35" t="s">
        <v>1296</v>
      </c>
      <c r="C1384" s="35" t="s">
        <v>1509</v>
      </c>
      <c r="D1384" s="36">
        <v>0</v>
      </c>
      <c r="F1384" s="36">
        <v>0</v>
      </c>
      <c r="H1384" s="36">
        <v>0</v>
      </c>
      <c r="I1384" s="36">
        <v>0</v>
      </c>
      <c r="L1384" s="36">
        <v>0</v>
      </c>
      <c r="N1384" s="36">
        <v>0</v>
      </c>
      <c r="O1384" s="36">
        <v>0</v>
      </c>
      <c r="P1384" s="36">
        <v>0</v>
      </c>
      <c r="Q1384" s="36">
        <v>0</v>
      </c>
      <c r="T1384" s="36">
        <v>0</v>
      </c>
      <c r="U1384" s="35">
        <v>589</v>
      </c>
      <c r="W1384" s="35">
        <v>0</v>
      </c>
      <c r="X1384" s="35">
        <v>0</v>
      </c>
      <c r="Y1384" s="35" t="s">
        <v>1871</v>
      </c>
    </row>
    <row r="1385" spans="1:25" x14ac:dyDescent="0.2">
      <c r="A1385" s="35">
        <v>11</v>
      </c>
      <c r="B1385" s="35" t="s">
        <v>1297</v>
      </c>
      <c r="C1385" s="35" t="s">
        <v>1509</v>
      </c>
      <c r="D1385" s="36">
        <v>0</v>
      </c>
      <c r="F1385" s="36">
        <v>0</v>
      </c>
      <c r="H1385" s="36">
        <v>0</v>
      </c>
      <c r="I1385" s="36">
        <v>0</v>
      </c>
      <c r="L1385" s="36">
        <v>0</v>
      </c>
      <c r="N1385" s="36">
        <v>0</v>
      </c>
      <c r="O1385" s="36">
        <v>0</v>
      </c>
      <c r="P1385" s="36">
        <v>0</v>
      </c>
      <c r="Q1385" s="36">
        <v>0</v>
      </c>
      <c r="T1385" s="36">
        <v>0</v>
      </c>
      <c r="U1385" s="35">
        <v>590</v>
      </c>
      <c r="W1385" s="35">
        <v>0</v>
      </c>
      <c r="X1385" s="35">
        <v>0</v>
      </c>
      <c r="Y1385" s="35" t="s">
        <v>1871</v>
      </c>
    </row>
    <row r="1386" spans="1:25" x14ac:dyDescent="0.2">
      <c r="A1386" s="35">
        <v>12</v>
      </c>
      <c r="B1386" s="35" t="s">
        <v>1535</v>
      </c>
      <c r="C1386" s="35" t="s">
        <v>1509</v>
      </c>
      <c r="D1386" s="36">
        <v>0</v>
      </c>
      <c r="F1386" s="36">
        <v>0</v>
      </c>
      <c r="H1386" s="36">
        <v>0</v>
      </c>
      <c r="I1386" s="36">
        <v>0</v>
      </c>
      <c r="L1386" s="36">
        <v>0</v>
      </c>
      <c r="N1386" s="36">
        <v>0</v>
      </c>
      <c r="O1386" s="36">
        <v>0</v>
      </c>
      <c r="P1386" s="36">
        <v>0</v>
      </c>
      <c r="Q1386" s="36">
        <v>0</v>
      </c>
      <c r="T1386" s="36">
        <v>0</v>
      </c>
      <c r="U1386" s="35">
        <v>591</v>
      </c>
      <c r="W1386" s="35">
        <v>0</v>
      </c>
      <c r="X1386" s="35">
        <v>0</v>
      </c>
      <c r="Y1386" s="35" t="s">
        <v>1871</v>
      </c>
    </row>
    <row r="1387" spans="1:25" x14ac:dyDescent="0.2">
      <c r="A1387" s="35">
        <v>13</v>
      </c>
      <c r="B1387" s="35" t="s">
        <v>1298</v>
      </c>
      <c r="C1387" s="35" t="s">
        <v>1509</v>
      </c>
      <c r="D1387" s="36">
        <v>640930</v>
      </c>
      <c r="F1387" s="36">
        <v>605268.88174267509</v>
      </c>
      <c r="H1387" s="36">
        <v>33882.157551672892</v>
      </c>
      <c r="I1387" s="36">
        <v>1778.9607056519994</v>
      </c>
      <c r="L1387" s="36">
        <v>61.652006940767691</v>
      </c>
      <c r="N1387" s="36">
        <v>1717.3086987112317</v>
      </c>
      <c r="O1387" s="36">
        <v>1488.5521856964961</v>
      </c>
      <c r="P1387" s="36">
        <v>228.75651301473567</v>
      </c>
      <c r="Q1387" s="36">
        <v>0</v>
      </c>
      <c r="T1387" s="36">
        <v>640930</v>
      </c>
      <c r="U1387" s="35">
        <v>592</v>
      </c>
      <c r="W1387" s="35">
        <v>640930</v>
      </c>
      <c r="X1387" s="35">
        <v>0</v>
      </c>
      <c r="Y1387" s="35" t="s">
        <v>1871</v>
      </c>
    </row>
    <row r="1388" spans="1:25" x14ac:dyDescent="0.2">
      <c r="A1388" s="35">
        <v>14</v>
      </c>
      <c r="B1388" s="35" t="s">
        <v>1299</v>
      </c>
      <c r="C1388" s="35" t="s">
        <v>1509</v>
      </c>
      <c r="D1388" s="36">
        <v>6521196</v>
      </c>
      <c r="F1388" s="36">
        <v>6158358.9636072675</v>
      </c>
      <c r="H1388" s="36">
        <v>344736.85160210793</v>
      </c>
      <c r="I1388" s="36">
        <v>18100.184790624553</v>
      </c>
      <c r="L1388" s="36">
        <v>627.28351154432858</v>
      </c>
      <c r="N1388" s="36">
        <v>17472.901279080226</v>
      </c>
      <c r="O1388" s="36">
        <v>15145.398965807884</v>
      </c>
      <c r="P1388" s="36">
        <v>2327.5023132723418</v>
      </c>
      <c r="Q1388" s="36">
        <v>0</v>
      </c>
      <c r="T1388" s="36">
        <v>6521196</v>
      </c>
      <c r="U1388" s="35">
        <v>593</v>
      </c>
      <c r="W1388" s="35">
        <v>6521196</v>
      </c>
      <c r="X1388" s="35">
        <v>0</v>
      </c>
      <c r="Y1388" s="35" t="s">
        <v>1871</v>
      </c>
    </row>
    <row r="1389" spans="1:25" x14ac:dyDescent="0.2">
      <c r="A1389" s="35">
        <v>15</v>
      </c>
      <c r="B1389" s="35" t="s">
        <v>1300</v>
      </c>
      <c r="C1389" s="35" t="s">
        <v>1509</v>
      </c>
      <c r="D1389" s="36">
        <v>438181.99999999994</v>
      </c>
      <c r="F1389" s="36">
        <v>413801.70867297339</v>
      </c>
      <c r="H1389" s="36">
        <v>23164.076514295055</v>
      </c>
      <c r="I1389" s="36">
        <v>1216.2148127315063</v>
      </c>
      <c r="L1389" s="36">
        <v>42.149376227231471</v>
      </c>
      <c r="N1389" s="36">
        <v>1174.0654365042749</v>
      </c>
      <c r="O1389" s="36">
        <v>1017.6724039019269</v>
      </c>
      <c r="P1389" s="36">
        <v>156.393032602348</v>
      </c>
      <c r="Q1389" s="36">
        <v>0</v>
      </c>
      <c r="T1389" s="36">
        <v>438182</v>
      </c>
      <c r="U1389" s="35">
        <v>594</v>
      </c>
      <c r="W1389" s="35">
        <v>438182</v>
      </c>
      <c r="X1389" s="35">
        <v>0</v>
      </c>
      <c r="Y1389" s="35" t="s">
        <v>1871</v>
      </c>
    </row>
    <row r="1390" spans="1:25" x14ac:dyDescent="0.2">
      <c r="A1390" s="35">
        <v>16</v>
      </c>
      <c r="B1390" s="35" t="s">
        <v>1301</v>
      </c>
      <c r="C1390" s="35" t="s">
        <v>1509</v>
      </c>
      <c r="D1390" s="36">
        <v>54449.999999999993</v>
      </c>
      <c r="F1390" s="36">
        <v>51420.421279841255</v>
      </c>
      <c r="H1390" s="36">
        <v>2878.4476911497181</v>
      </c>
      <c r="I1390" s="36">
        <v>151.1310290090203</v>
      </c>
      <c r="L1390" s="36">
        <v>5.2376262273958165</v>
      </c>
      <c r="N1390" s="36">
        <v>145.89340278162447</v>
      </c>
      <c r="O1390" s="36">
        <v>126.45946750998426</v>
      </c>
      <c r="P1390" s="36">
        <v>19.433935271640205</v>
      </c>
      <c r="Q1390" s="36">
        <v>0</v>
      </c>
      <c r="T1390" s="36">
        <v>54450</v>
      </c>
      <c r="U1390" s="35">
        <v>595</v>
      </c>
      <c r="W1390" s="35">
        <v>54450</v>
      </c>
      <c r="X1390" s="35">
        <v>0</v>
      </c>
      <c r="Y1390" s="35" t="s">
        <v>1871</v>
      </c>
    </row>
    <row r="1391" spans="1:25" x14ac:dyDescent="0.2">
      <c r="A1391" s="35">
        <v>17</v>
      </c>
      <c r="B1391" s="35" t="s">
        <v>1302</v>
      </c>
      <c r="C1391" s="35" t="s">
        <v>1509</v>
      </c>
      <c r="D1391" s="36">
        <v>0</v>
      </c>
      <c r="F1391" s="36">
        <v>0</v>
      </c>
      <c r="H1391" s="36">
        <v>0</v>
      </c>
      <c r="I1391" s="36">
        <v>0</v>
      </c>
      <c r="L1391" s="36">
        <v>0</v>
      </c>
      <c r="N1391" s="36">
        <v>0</v>
      </c>
      <c r="O1391" s="36">
        <v>0</v>
      </c>
      <c r="P1391" s="36">
        <v>0</v>
      </c>
      <c r="Q1391" s="36">
        <v>0</v>
      </c>
      <c r="T1391" s="36">
        <v>0</v>
      </c>
      <c r="U1391" s="35">
        <v>596</v>
      </c>
      <c r="W1391" s="35">
        <v>0</v>
      </c>
      <c r="X1391" s="35">
        <v>0</v>
      </c>
      <c r="Y1391" s="35" t="s">
        <v>1871</v>
      </c>
    </row>
    <row r="1392" spans="1:25" x14ac:dyDescent="0.2">
      <c r="A1392" s="35">
        <v>18</v>
      </c>
      <c r="B1392" s="35" t="s">
        <v>1303</v>
      </c>
      <c r="C1392" s="35" t="s">
        <v>1509</v>
      </c>
      <c r="D1392" s="36">
        <v>0</v>
      </c>
      <c r="F1392" s="36">
        <v>0</v>
      </c>
      <c r="H1392" s="36">
        <v>0</v>
      </c>
      <c r="I1392" s="36">
        <v>0</v>
      </c>
      <c r="L1392" s="36">
        <v>0</v>
      </c>
      <c r="N1392" s="36">
        <v>0</v>
      </c>
      <c r="O1392" s="36">
        <v>0</v>
      </c>
      <c r="P1392" s="36">
        <v>0</v>
      </c>
      <c r="Q1392" s="36">
        <v>0</v>
      </c>
      <c r="T1392" s="36">
        <v>0</v>
      </c>
      <c r="U1392" s="35">
        <v>597</v>
      </c>
      <c r="W1392" s="35">
        <v>0</v>
      </c>
      <c r="X1392" s="35">
        <v>0</v>
      </c>
      <c r="Y1392" s="35" t="s">
        <v>1871</v>
      </c>
    </row>
    <row r="1393" spans="1:25" x14ac:dyDescent="0.2">
      <c r="A1393" s="35">
        <v>19</v>
      </c>
      <c r="B1393" s="35" t="s">
        <v>916</v>
      </c>
      <c r="C1393" s="35" t="s">
        <v>1509</v>
      </c>
      <c r="D1393" s="36">
        <v>0</v>
      </c>
      <c r="F1393" s="36">
        <v>0</v>
      </c>
      <c r="H1393" s="36">
        <v>0</v>
      </c>
      <c r="I1393" s="36">
        <v>0</v>
      </c>
      <c r="L1393" s="36">
        <v>0</v>
      </c>
      <c r="N1393" s="36">
        <v>0</v>
      </c>
      <c r="O1393" s="36">
        <v>0</v>
      </c>
      <c r="P1393" s="36">
        <v>0</v>
      </c>
      <c r="Q1393" s="36">
        <v>0</v>
      </c>
      <c r="T1393" s="36">
        <v>0</v>
      </c>
      <c r="U1393" s="35">
        <v>598</v>
      </c>
      <c r="W1393" s="35">
        <v>0</v>
      </c>
      <c r="X1393" s="35">
        <v>0</v>
      </c>
      <c r="Y1393" s="35" t="s">
        <v>1871</v>
      </c>
    </row>
    <row r="1394" spans="1:25" x14ac:dyDescent="0.2">
      <c r="F1394" s="36"/>
    </row>
    <row r="1395" spans="1:25" x14ac:dyDescent="0.2">
      <c r="A1395" s="35">
        <v>20</v>
      </c>
      <c r="B1395" s="35" t="s">
        <v>917</v>
      </c>
      <c r="C1395" s="35" t="s">
        <v>1509</v>
      </c>
      <c r="D1395" s="36">
        <v>21780730</v>
      </c>
      <c r="F1395" s="36">
        <v>20568857.894994985</v>
      </c>
      <c r="H1395" s="36">
        <v>1151417.6672186484</v>
      </c>
      <c r="I1395" s="36">
        <v>60454.437786366172</v>
      </c>
      <c r="L1395" s="36">
        <v>2095.1207107406221</v>
      </c>
      <c r="N1395" s="36">
        <v>58359.317075625557</v>
      </c>
      <c r="O1395" s="36">
        <v>50585.482420178872</v>
      </c>
      <c r="P1395" s="36">
        <v>7773.8346554466852</v>
      </c>
      <c r="Q1395" s="36">
        <v>0</v>
      </c>
    </row>
    <row r="1396" spans="1:25" x14ac:dyDescent="0.2">
      <c r="F1396" s="36"/>
    </row>
    <row r="1397" spans="1:25" x14ac:dyDescent="0.2">
      <c r="A1397" s="35">
        <v>21</v>
      </c>
      <c r="B1397" s="35" t="s">
        <v>918</v>
      </c>
      <c r="D1397" s="36">
        <v>90564009</v>
      </c>
      <c r="F1397" s="36">
        <v>80876899.173988476</v>
      </c>
      <c r="H1397" s="36">
        <v>4294636.9825167898</v>
      </c>
      <c r="I1397" s="36">
        <v>5392472.8434947291</v>
      </c>
      <c r="L1397" s="36">
        <v>2334.7784147858074</v>
      </c>
      <c r="N1397" s="36">
        <v>5390138.0650799433</v>
      </c>
      <c r="O1397" s="36">
        <v>1716821.01136133</v>
      </c>
      <c r="P1397" s="36">
        <v>3673317.053718613</v>
      </c>
      <c r="Q1397" s="36">
        <v>0</v>
      </c>
    </row>
    <row r="1398" spans="1:25" x14ac:dyDescent="0.2">
      <c r="F1398" s="36"/>
    </row>
    <row r="1399" spans="1:25" x14ac:dyDescent="0.2">
      <c r="F1399" s="36"/>
    </row>
    <row r="1400" spans="1:25" x14ac:dyDescent="0.2">
      <c r="F1400" s="36"/>
    </row>
    <row r="1401" spans="1:25" x14ac:dyDescent="0.2">
      <c r="F1401" s="36"/>
    </row>
    <row r="1402" spans="1:25" x14ac:dyDescent="0.2">
      <c r="B1402" s="35" t="s">
        <v>919</v>
      </c>
      <c r="F1402" s="36"/>
    </row>
    <row r="1403" spans="1:25" x14ac:dyDescent="0.2">
      <c r="A1403" s="35">
        <v>1</v>
      </c>
      <c r="B1403" s="35" t="s">
        <v>920</v>
      </c>
      <c r="C1403" s="35" t="s">
        <v>2045</v>
      </c>
      <c r="D1403" s="36">
        <v>3435471.9999999995</v>
      </c>
      <c r="F1403" s="36">
        <v>3259517.7695655213</v>
      </c>
      <c r="H1403" s="36">
        <v>171913.94439172093</v>
      </c>
      <c r="I1403" s="36">
        <v>4040.286042757526</v>
      </c>
      <c r="L1403" s="36">
        <v>27.20731341924261</v>
      </c>
      <c r="N1403" s="36">
        <v>4013.0787293382837</v>
      </c>
      <c r="O1403" s="36">
        <v>2081.3594765720591</v>
      </c>
      <c r="P1403" s="36">
        <v>1931.7192527662248</v>
      </c>
      <c r="Q1403" s="36">
        <v>0</v>
      </c>
      <c r="T1403" s="36">
        <v>3435472</v>
      </c>
      <c r="U1403" s="35">
        <v>901</v>
      </c>
      <c r="W1403" s="35">
        <v>3435472</v>
      </c>
      <c r="X1403" s="35">
        <v>0</v>
      </c>
      <c r="Y1403" s="35" t="s">
        <v>1871</v>
      </c>
    </row>
    <row r="1404" spans="1:25" x14ac:dyDescent="0.2">
      <c r="A1404" s="35">
        <v>2</v>
      </c>
      <c r="B1404" s="35" t="s">
        <v>921</v>
      </c>
      <c r="C1404" s="35" t="s">
        <v>2045</v>
      </c>
      <c r="D1404" s="36">
        <v>795102</v>
      </c>
      <c r="F1404" s="36">
        <v>754379.33932137571</v>
      </c>
      <c r="H1404" s="36">
        <v>39787.581157333283</v>
      </c>
      <c r="I1404" s="36">
        <v>935.07952129098851</v>
      </c>
      <c r="L1404" s="36">
        <v>6.2968317932053122</v>
      </c>
      <c r="N1404" s="36">
        <v>928.78268949778317</v>
      </c>
      <c r="O1404" s="36">
        <v>481.70763218020625</v>
      </c>
      <c r="P1404" s="36">
        <v>447.07505731757698</v>
      </c>
      <c r="Q1404" s="36">
        <v>0</v>
      </c>
      <c r="T1404" s="36">
        <v>795102</v>
      </c>
      <c r="U1404" s="35">
        <v>902</v>
      </c>
      <c r="W1404" s="35">
        <v>795102</v>
      </c>
      <c r="X1404" s="35">
        <v>0</v>
      </c>
      <c r="Y1404" s="35" t="s">
        <v>1871</v>
      </c>
    </row>
    <row r="1405" spans="1:25" x14ac:dyDescent="0.2">
      <c r="A1405" s="35">
        <v>3</v>
      </c>
      <c r="B1405" s="35" t="s">
        <v>922</v>
      </c>
      <c r="C1405" s="35" t="s">
        <v>2045</v>
      </c>
      <c r="D1405" s="36">
        <v>12639528</v>
      </c>
      <c r="F1405" s="36">
        <v>11992170.541608535</v>
      </c>
      <c r="H1405" s="36">
        <v>632492.74444082205</v>
      </c>
      <c r="I1405" s="36">
        <v>14864.713950642868</v>
      </c>
      <c r="L1405" s="36">
        <v>100.09908384271294</v>
      </c>
      <c r="N1405" s="36">
        <v>14764.614866800155</v>
      </c>
      <c r="O1405" s="36">
        <v>7657.5799139675382</v>
      </c>
      <c r="P1405" s="36">
        <v>7107.0349528326169</v>
      </c>
      <c r="Q1405" s="36">
        <v>0</v>
      </c>
      <c r="T1405" s="36">
        <v>12639528</v>
      </c>
      <c r="U1405" s="35">
        <v>903</v>
      </c>
      <c r="W1405" s="35">
        <v>12639528</v>
      </c>
      <c r="X1405" s="35">
        <v>0</v>
      </c>
      <c r="Y1405" s="35" t="s">
        <v>1871</v>
      </c>
    </row>
    <row r="1406" spans="1:25" x14ac:dyDescent="0.2">
      <c r="A1406" s="35">
        <v>4</v>
      </c>
      <c r="B1406" s="35" t="s">
        <v>923</v>
      </c>
      <c r="C1406" s="35" t="s">
        <v>2045</v>
      </c>
      <c r="D1406" s="36">
        <v>0</v>
      </c>
      <c r="F1406" s="36">
        <v>0</v>
      </c>
      <c r="H1406" s="36">
        <v>0</v>
      </c>
      <c r="I1406" s="36">
        <v>0</v>
      </c>
      <c r="L1406" s="36">
        <v>0</v>
      </c>
      <c r="N1406" s="36">
        <v>0</v>
      </c>
      <c r="O1406" s="36">
        <v>0</v>
      </c>
      <c r="P1406" s="36">
        <v>0</v>
      </c>
      <c r="Q1406" s="36">
        <v>0</v>
      </c>
      <c r="T1406" s="36">
        <v>0</v>
      </c>
      <c r="U1406" s="35">
        <v>904</v>
      </c>
      <c r="W1406" s="35">
        <v>0</v>
      </c>
      <c r="X1406" s="35">
        <v>0</v>
      </c>
      <c r="Y1406" s="35" t="s">
        <v>1871</v>
      </c>
    </row>
    <row r="1407" spans="1:25" x14ac:dyDescent="0.2">
      <c r="A1407" s="35">
        <v>5</v>
      </c>
      <c r="B1407" s="35" t="s">
        <v>924</v>
      </c>
      <c r="C1407" s="35" t="s">
        <v>2045</v>
      </c>
      <c r="D1407" s="36">
        <v>0</v>
      </c>
      <c r="F1407" s="36">
        <v>0</v>
      </c>
      <c r="H1407" s="36">
        <v>0</v>
      </c>
      <c r="I1407" s="36">
        <v>0</v>
      </c>
      <c r="L1407" s="36">
        <v>0</v>
      </c>
      <c r="N1407" s="36">
        <v>0</v>
      </c>
      <c r="O1407" s="36">
        <v>0</v>
      </c>
      <c r="P1407" s="36">
        <v>0</v>
      </c>
      <c r="Q1407" s="36">
        <v>0</v>
      </c>
      <c r="T1407" s="36">
        <v>0</v>
      </c>
      <c r="U1407" s="35">
        <v>905</v>
      </c>
      <c r="W1407" s="35">
        <v>0</v>
      </c>
      <c r="X1407" s="35">
        <v>0</v>
      </c>
      <c r="Y1407" s="35" t="s">
        <v>1871</v>
      </c>
    </row>
    <row r="1408" spans="1:25" x14ac:dyDescent="0.2">
      <c r="F1408" s="36"/>
    </row>
    <row r="1409" spans="1:25" x14ac:dyDescent="0.2">
      <c r="A1409" s="35">
        <v>6</v>
      </c>
      <c r="B1409" s="35" t="s">
        <v>925</v>
      </c>
      <c r="D1409" s="36">
        <v>16870102</v>
      </c>
      <c r="F1409" s="36">
        <v>16006067.650495432</v>
      </c>
      <c r="H1409" s="36">
        <v>844194.26998987631</v>
      </c>
      <c r="I1409" s="36">
        <v>19840.079514691381</v>
      </c>
      <c r="L1409" s="36">
        <v>133.60322905516085</v>
      </c>
      <c r="N1409" s="36">
        <v>19706.476285636221</v>
      </c>
      <c r="O1409" s="36">
        <v>10220.647022719804</v>
      </c>
      <c r="P1409" s="36">
        <v>9485.8292629164189</v>
      </c>
      <c r="Q1409" s="36">
        <v>0</v>
      </c>
    </row>
    <row r="1410" spans="1:25" x14ac:dyDescent="0.2">
      <c r="F1410" s="36"/>
    </row>
    <row r="1411" spans="1:25" x14ac:dyDescent="0.2">
      <c r="B1411" s="35" t="s">
        <v>926</v>
      </c>
      <c r="F1411" s="36"/>
    </row>
    <row r="1412" spans="1:25" x14ac:dyDescent="0.2">
      <c r="A1412" s="35">
        <v>7</v>
      </c>
      <c r="B1412" s="35" t="s">
        <v>927</v>
      </c>
      <c r="C1412" s="35" t="s">
        <v>2046</v>
      </c>
      <c r="D1412" s="36">
        <v>616001</v>
      </c>
      <c r="F1412" s="36">
        <v>614306.72725874442</v>
      </c>
      <c r="H1412" s="36">
        <v>1694.0331664901039</v>
      </c>
      <c r="I1412" s="36">
        <v>0.23957476544903186</v>
      </c>
      <c r="L1412" s="36">
        <v>0.23957476544903186</v>
      </c>
      <c r="N1412" s="36">
        <v>0</v>
      </c>
      <c r="O1412" s="36">
        <v>0</v>
      </c>
      <c r="P1412" s="36">
        <v>0</v>
      </c>
      <c r="Q1412" s="36">
        <v>0</v>
      </c>
      <c r="T1412" s="36">
        <v>616001</v>
      </c>
      <c r="U1412" s="35">
        <v>907</v>
      </c>
      <c r="W1412" s="35">
        <v>616001</v>
      </c>
      <c r="X1412" s="35">
        <v>0</v>
      </c>
      <c r="Y1412" s="35" t="s">
        <v>1871</v>
      </c>
    </row>
    <row r="1413" spans="1:25" x14ac:dyDescent="0.2">
      <c r="A1413" s="35">
        <v>8</v>
      </c>
      <c r="B1413" s="35" t="s">
        <v>928</v>
      </c>
      <c r="C1413" s="35" t="s">
        <v>2046</v>
      </c>
      <c r="D1413" s="36">
        <v>1590341.9999999998</v>
      </c>
      <c r="F1413" s="36">
        <v>1585967.8624582202</v>
      </c>
      <c r="H1413" s="36">
        <v>4373.5190268558081</v>
      </c>
      <c r="I1413" s="36">
        <v>0.61851492389418883</v>
      </c>
      <c r="L1413" s="36">
        <v>0.61851492389418883</v>
      </c>
      <c r="N1413" s="36">
        <v>0</v>
      </c>
      <c r="O1413" s="36">
        <v>0</v>
      </c>
      <c r="P1413" s="36">
        <v>0</v>
      </c>
      <c r="Q1413" s="36">
        <v>0</v>
      </c>
      <c r="T1413" s="36">
        <v>1590342</v>
      </c>
      <c r="U1413" s="35">
        <v>908</v>
      </c>
      <c r="W1413" s="35">
        <v>1590342</v>
      </c>
      <c r="X1413" s="35">
        <v>0</v>
      </c>
      <c r="Y1413" s="35" t="s">
        <v>1871</v>
      </c>
    </row>
    <row r="1414" spans="1:25" x14ac:dyDescent="0.2">
      <c r="A1414" s="35">
        <v>9</v>
      </c>
      <c r="B1414" s="35" t="s">
        <v>929</v>
      </c>
      <c r="C1414" s="35" t="s">
        <v>2046</v>
      </c>
      <c r="D1414" s="36">
        <v>0</v>
      </c>
      <c r="F1414" s="36">
        <v>0</v>
      </c>
      <c r="H1414" s="36">
        <v>0</v>
      </c>
      <c r="I1414" s="36">
        <v>0</v>
      </c>
      <c r="L1414" s="36">
        <v>0</v>
      </c>
      <c r="N1414" s="36">
        <v>0</v>
      </c>
      <c r="O1414" s="36">
        <v>0</v>
      </c>
      <c r="P1414" s="36">
        <v>0</v>
      </c>
      <c r="Q1414" s="36">
        <v>0</v>
      </c>
      <c r="T1414" s="36">
        <v>0</v>
      </c>
      <c r="U1414" s="35">
        <v>909</v>
      </c>
      <c r="W1414" s="35">
        <v>0</v>
      </c>
      <c r="X1414" s="35">
        <v>0</v>
      </c>
      <c r="Y1414" s="35" t="s">
        <v>1871</v>
      </c>
    </row>
    <row r="1415" spans="1:25" x14ac:dyDescent="0.2">
      <c r="A1415" s="35">
        <v>10</v>
      </c>
      <c r="B1415" s="35" t="s">
        <v>930</v>
      </c>
      <c r="C1415" s="35" t="s">
        <v>2046</v>
      </c>
      <c r="D1415" s="36">
        <v>0</v>
      </c>
      <c r="F1415" s="36">
        <v>0</v>
      </c>
      <c r="H1415" s="36">
        <v>0</v>
      </c>
      <c r="I1415" s="36">
        <v>0</v>
      </c>
      <c r="L1415" s="36">
        <v>0</v>
      </c>
      <c r="N1415" s="36">
        <v>0</v>
      </c>
      <c r="O1415" s="36">
        <v>0</v>
      </c>
      <c r="P1415" s="36">
        <v>0</v>
      </c>
      <c r="Q1415" s="36">
        <v>0</v>
      </c>
      <c r="T1415" s="36">
        <v>0</v>
      </c>
      <c r="U1415" s="35">
        <v>910</v>
      </c>
      <c r="W1415" s="35">
        <v>0</v>
      </c>
      <c r="X1415" s="35">
        <v>0</v>
      </c>
      <c r="Y1415" s="35" t="s">
        <v>1871</v>
      </c>
    </row>
    <row r="1416" spans="1:25" x14ac:dyDescent="0.2">
      <c r="A1416" s="35">
        <v>11</v>
      </c>
      <c r="B1416" s="35" t="s">
        <v>1077</v>
      </c>
      <c r="C1416" s="35" t="s">
        <v>2046</v>
      </c>
      <c r="D1416" s="36">
        <v>0</v>
      </c>
      <c r="F1416" s="36">
        <v>0</v>
      </c>
      <c r="H1416" s="36">
        <v>0</v>
      </c>
      <c r="I1416" s="36">
        <v>0</v>
      </c>
      <c r="L1416" s="36">
        <v>0</v>
      </c>
      <c r="N1416" s="36">
        <v>0</v>
      </c>
      <c r="O1416" s="36">
        <v>0</v>
      </c>
      <c r="P1416" s="36">
        <v>0</v>
      </c>
      <c r="Q1416" s="36">
        <v>0</v>
      </c>
      <c r="T1416" s="36">
        <v>0</v>
      </c>
      <c r="U1416" s="35">
        <v>912</v>
      </c>
      <c r="W1416" s="35">
        <v>0</v>
      </c>
      <c r="X1416" s="35">
        <v>0</v>
      </c>
      <c r="Y1416" s="35" t="s">
        <v>1871</v>
      </c>
    </row>
    <row r="1417" spans="1:25" x14ac:dyDescent="0.2">
      <c r="A1417" s="35">
        <v>12</v>
      </c>
      <c r="B1417" s="35" t="s">
        <v>1078</v>
      </c>
      <c r="C1417" s="35" t="s">
        <v>2046</v>
      </c>
      <c r="D1417" s="36">
        <v>0</v>
      </c>
      <c r="F1417" s="36">
        <v>0</v>
      </c>
      <c r="H1417" s="36">
        <v>0</v>
      </c>
      <c r="I1417" s="36">
        <v>0</v>
      </c>
      <c r="L1417" s="36">
        <v>0</v>
      </c>
      <c r="N1417" s="36">
        <v>0</v>
      </c>
      <c r="O1417" s="36">
        <v>0</v>
      </c>
      <c r="P1417" s="36">
        <v>0</v>
      </c>
      <c r="Q1417" s="36">
        <v>0</v>
      </c>
      <c r="T1417" s="36">
        <v>0</v>
      </c>
      <c r="U1417" s="35">
        <v>913</v>
      </c>
      <c r="W1417" s="35">
        <v>0</v>
      </c>
      <c r="X1417" s="35">
        <v>0</v>
      </c>
      <c r="Y1417" s="35" t="s">
        <v>1871</v>
      </c>
    </row>
    <row r="1418" spans="1:25" x14ac:dyDescent="0.2">
      <c r="A1418" s="35">
        <v>13</v>
      </c>
      <c r="B1418" s="35" t="s">
        <v>1079</v>
      </c>
      <c r="C1418" s="35" t="s">
        <v>2046</v>
      </c>
      <c r="D1418" s="36">
        <v>0</v>
      </c>
      <c r="F1418" s="36">
        <v>0</v>
      </c>
      <c r="H1418" s="36">
        <v>0</v>
      </c>
      <c r="I1418" s="36">
        <v>0</v>
      </c>
      <c r="L1418" s="36">
        <v>0</v>
      </c>
      <c r="N1418" s="36">
        <v>0</v>
      </c>
      <c r="O1418" s="36">
        <v>0</v>
      </c>
      <c r="P1418" s="36">
        <v>0</v>
      </c>
      <c r="Q1418" s="36">
        <v>0</v>
      </c>
      <c r="T1418" s="36">
        <v>0</v>
      </c>
      <c r="U1418" s="35">
        <v>916</v>
      </c>
      <c r="W1418" s="35">
        <v>0</v>
      </c>
      <c r="X1418" s="35">
        <v>0</v>
      </c>
      <c r="Y1418" s="35" t="s">
        <v>1871</v>
      </c>
    </row>
    <row r="1419" spans="1:25" x14ac:dyDescent="0.2">
      <c r="F1419" s="36"/>
    </row>
    <row r="1420" spans="1:25" x14ac:dyDescent="0.2">
      <c r="A1420" s="35">
        <v>14</v>
      </c>
      <c r="B1420" s="35" t="s">
        <v>1393</v>
      </c>
      <c r="D1420" s="36">
        <v>2206342.9999999995</v>
      </c>
      <c r="F1420" s="36">
        <v>2200274.5897169644</v>
      </c>
      <c r="H1420" s="36">
        <v>6067.5521933459122</v>
      </c>
      <c r="I1420" s="36">
        <v>0.85808968934322072</v>
      </c>
      <c r="L1420" s="36">
        <v>0.85808968934322072</v>
      </c>
      <c r="N1420" s="36">
        <v>0</v>
      </c>
      <c r="O1420" s="36">
        <v>0</v>
      </c>
      <c r="P1420" s="36">
        <v>0</v>
      </c>
      <c r="Q1420" s="36">
        <v>0</v>
      </c>
    </row>
    <row r="1421" spans="1:25" x14ac:dyDescent="0.2">
      <c r="F1421" s="36"/>
    </row>
    <row r="1422" spans="1:25" x14ac:dyDescent="0.2">
      <c r="A1422" s="35">
        <v>15</v>
      </c>
      <c r="B1422" s="35" t="s">
        <v>1394</v>
      </c>
      <c r="D1422" s="36">
        <v>109640454</v>
      </c>
      <c r="F1422" s="36">
        <v>99083241.414200872</v>
      </c>
      <c r="H1422" s="36">
        <v>5144898.8047000123</v>
      </c>
      <c r="I1422" s="36">
        <v>5412313.781099109</v>
      </c>
      <c r="L1422" s="36">
        <v>2469.2397335303112</v>
      </c>
      <c r="N1422" s="36">
        <v>5409844.5413655788</v>
      </c>
      <c r="O1422" s="36">
        <v>1727041.6583840498</v>
      </c>
      <c r="P1422" s="36">
        <v>3682802.8829815295</v>
      </c>
    </row>
    <row r="1423" spans="1:25" x14ac:dyDescent="0.2">
      <c r="F1423" s="36"/>
    </row>
    <row r="1424" spans="1:25" x14ac:dyDescent="0.2">
      <c r="B1424" s="35" t="s">
        <v>1395</v>
      </c>
      <c r="F1424" s="36"/>
    </row>
    <row r="1425" spans="1:25" x14ac:dyDescent="0.2">
      <c r="A1425" s="35">
        <v>16</v>
      </c>
      <c r="B1425" s="35" t="s">
        <v>1396</v>
      </c>
      <c r="C1425" s="35" t="s">
        <v>1497</v>
      </c>
      <c r="D1425" s="36">
        <v>37411574</v>
      </c>
      <c r="F1425" s="36">
        <v>33809236.309138604</v>
      </c>
      <c r="H1425" s="36">
        <v>1755545.1052268178</v>
      </c>
      <c r="I1425" s="36">
        <v>1846792.5856345792</v>
      </c>
      <c r="L1425" s="36">
        <v>842.55529455131159</v>
      </c>
      <c r="N1425" s="36">
        <v>1845950.0303400278</v>
      </c>
      <c r="O1425" s="36">
        <v>589302.0727889142</v>
      </c>
      <c r="P1425" s="36">
        <v>1256647.9575511136</v>
      </c>
      <c r="Q1425" s="36">
        <v>0</v>
      </c>
      <c r="T1425" s="36">
        <v>37411574</v>
      </c>
      <c r="U1425" s="35">
        <v>920</v>
      </c>
      <c r="W1425" s="35">
        <v>37411574</v>
      </c>
      <c r="X1425" s="35">
        <v>0</v>
      </c>
      <c r="Y1425" s="35" t="s">
        <v>1871</v>
      </c>
    </row>
    <row r="1426" spans="1:25" x14ac:dyDescent="0.2">
      <c r="A1426" s="35">
        <v>17</v>
      </c>
      <c r="B1426" s="35" t="s">
        <v>1397</v>
      </c>
      <c r="C1426" s="35" t="s">
        <v>1497</v>
      </c>
      <c r="D1426" s="36">
        <v>0</v>
      </c>
      <c r="F1426" s="36">
        <v>0</v>
      </c>
      <c r="H1426" s="36">
        <v>0</v>
      </c>
      <c r="I1426" s="36">
        <v>0</v>
      </c>
      <c r="L1426" s="36">
        <v>0</v>
      </c>
      <c r="N1426" s="36">
        <v>0</v>
      </c>
      <c r="O1426" s="36">
        <v>0</v>
      </c>
      <c r="P1426" s="36">
        <v>0</v>
      </c>
      <c r="Q1426" s="36">
        <v>0</v>
      </c>
      <c r="T1426" s="36">
        <v>0</v>
      </c>
      <c r="U1426" s="35">
        <v>921</v>
      </c>
      <c r="W1426" s="35">
        <v>0</v>
      </c>
      <c r="X1426" s="35">
        <v>0</v>
      </c>
      <c r="Y1426" s="35" t="s">
        <v>1871</v>
      </c>
    </row>
    <row r="1427" spans="1:25" x14ac:dyDescent="0.2">
      <c r="A1427" s="35">
        <v>18</v>
      </c>
      <c r="B1427" s="35" t="s">
        <v>1398</v>
      </c>
      <c r="C1427" s="35" t="s">
        <v>1497</v>
      </c>
      <c r="D1427" s="36">
        <v>-3497982</v>
      </c>
      <c r="F1427" s="36">
        <v>-3161163.4421773665</v>
      </c>
      <c r="H1427" s="36">
        <v>-164143.45940835084</v>
      </c>
      <c r="I1427" s="36">
        <v>-172675.09841428261</v>
      </c>
      <c r="L1427" s="36">
        <v>-78.778916234456901</v>
      </c>
      <c r="N1427" s="36">
        <v>-172596.31949804813</v>
      </c>
      <c r="O1427" s="36">
        <v>-55099.741143698244</v>
      </c>
      <c r="P1427" s="36">
        <v>-117496.5783543499</v>
      </c>
      <c r="Q1427" s="36">
        <v>0</v>
      </c>
      <c r="T1427" s="36">
        <v>-3497982</v>
      </c>
      <c r="U1427" s="35">
        <v>922</v>
      </c>
      <c r="W1427" s="35">
        <v>-3497982</v>
      </c>
      <c r="X1427" s="35">
        <v>0</v>
      </c>
      <c r="Y1427" s="35" t="s">
        <v>1871</v>
      </c>
    </row>
    <row r="1428" spans="1:25" x14ac:dyDescent="0.2">
      <c r="A1428" s="35">
        <v>19</v>
      </c>
      <c r="B1428" s="35" t="s">
        <v>1399</v>
      </c>
      <c r="C1428" s="35" t="s">
        <v>1497</v>
      </c>
      <c r="D1428" s="36">
        <v>0</v>
      </c>
      <c r="F1428" s="36">
        <v>0</v>
      </c>
      <c r="H1428" s="36">
        <v>0</v>
      </c>
      <c r="I1428" s="36">
        <v>0</v>
      </c>
      <c r="L1428" s="36">
        <v>0</v>
      </c>
      <c r="N1428" s="36">
        <v>0</v>
      </c>
      <c r="O1428" s="36">
        <v>0</v>
      </c>
      <c r="P1428" s="36">
        <v>0</v>
      </c>
      <c r="Q1428" s="36">
        <v>0</v>
      </c>
      <c r="T1428" s="36">
        <v>0</v>
      </c>
      <c r="U1428" s="35">
        <v>923</v>
      </c>
      <c r="W1428" s="35">
        <v>0</v>
      </c>
      <c r="X1428" s="35">
        <v>0</v>
      </c>
      <c r="Y1428" s="35" t="s">
        <v>1871</v>
      </c>
    </row>
    <row r="1429" spans="1:25" x14ac:dyDescent="0.2">
      <c r="A1429" s="35">
        <v>20</v>
      </c>
      <c r="B1429" s="35" t="s">
        <v>1400</v>
      </c>
      <c r="C1429" s="35" t="s">
        <v>1497</v>
      </c>
      <c r="D1429" s="36">
        <v>0</v>
      </c>
      <c r="F1429" s="36">
        <v>0</v>
      </c>
      <c r="H1429" s="36">
        <v>0</v>
      </c>
      <c r="I1429" s="36">
        <v>0</v>
      </c>
      <c r="L1429" s="36">
        <v>0</v>
      </c>
      <c r="N1429" s="36">
        <v>0</v>
      </c>
      <c r="O1429" s="36">
        <v>0</v>
      </c>
      <c r="P1429" s="36">
        <v>0</v>
      </c>
      <c r="Q1429" s="36">
        <v>0</v>
      </c>
      <c r="T1429" s="36">
        <v>0</v>
      </c>
      <c r="U1429" s="35">
        <v>924</v>
      </c>
      <c r="W1429" s="35">
        <v>0</v>
      </c>
      <c r="X1429" s="35">
        <v>0</v>
      </c>
      <c r="Y1429" s="35" t="s">
        <v>1871</v>
      </c>
    </row>
    <row r="1430" spans="1:25" x14ac:dyDescent="0.2">
      <c r="A1430" s="35">
        <v>21</v>
      </c>
      <c r="B1430" s="35" t="s">
        <v>1401</v>
      </c>
      <c r="C1430" s="35" t="s">
        <v>1497</v>
      </c>
      <c r="D1430" s="36">
        <v>619974</v>
      </c>
      <c r="F1430" s="36">
        <v>560277.08087133395</v>
      </c>
      <c r="H1430" s="36">
        <v>29092.395873744608</v>
      </c>
      <c r="I1430" s="36">
        <v>30604.523254921391</v>
      </c>
      <c r="L1430" s="36">
        <v>13.962587518615358</v>
      </c>
      <c r="N1430" s="36">
        <v>30590.560667402777</v>
      </c>
      <c r="O1430" s="36">
        <v>9765.7469123120645</v>
      </c>
      <c r="P1430" s="36">
        <v>20824.813755090712</v>
      </c>
      <c r="Q1430" s="36">
        <v>0</v>
      </c>
      <c r="T1430" s="36">
        <v>619974</v>
      </c>
      <c r="U1430" s="35">
        <v>925</v>
      </c>
      <c r="W1430" s="35">
        <v>619974</v>
      </c>
      <c r="X1430" s="35">
        <v>0</v>
      </c>
      <c r="Y1430" s="35" t="s">
        <v>1871</v>
      </c>
    </row>
    <row r="1431" spans="1:25" x14ac:dyDescent="0.2">
      <c r="A1431" s="35">
        <v>22</v>
      </c>
      <c r="B1431" s="35" t="s">
        <v>1402</v>
      </c>
      <c r="C1431" s="35" t="s">
        <v>1497</v>
      </c>
      <c r="D1431" s="36">
        <v>43576961</v>
      </c>
      <c r="F1431" s="36">
        <v>39380961.947313868</v>
      </c>
      <c r="H1431" s="36">
        <v>2044857.043015884</v>
      </c>
      <c r="I1431" s="36">
        <v>2151142.0096702487</v>
      </c>
      <c r="L1431" s="36">
        <v>981.40749734309543</v>
      </c>
      <c r="N1431" s="36">
        <v>2150160.6021729056</v>
      </c>
      <c r="O1431" s="36">
        <v>686418.41808477975</v>
      </c>
      <c r="P1431" s="36">
        <v>1463742.1840881256</v>
      </c>
      <c r="Q1431" s="36">
        <v>0</v>
      </c>
      <c r="T1431" s="36">
        <v>43576961</v>
      </c>
      <c r="U1431" s="35">
        <v>926</v>
      </c>
      <c r="W1431" s="35">
        <v>43576961</v>
      </c>
      <c r="X1431" s="35">
        <v>0</v>
      </c>
      <c r="Y1431" s="35" t="s">
        <v>1871</v>
      </c>
    </row>
    <row r="1432" spans="1:25" x14ac:dyDescent="0.2">
      <c r="A1432" s="35">
        <v>23</v>
      </c>
      <c r="B1432" s="35" t="s">
        <v>1403</v>
      </c>
      <c r="C1432" s="35" t="s">
        <v>1497</v>
      </c>
      <c r="D1432" s="36">
        <v>0</v>
      </c>
      <c r="F1432" s="36">
        <v>0</v>
      </c>
      <c r="H1432" s="36">
        <v>0</v>
      </c>
      <c r="I1432" s="36">
        <v>0</v>
      </c>
      <c r="L1432" s="36">
        <v>0</v>
      </c>
      <c r="N1432" s="36">
        <v>0</v>
      </c>
      <c r="O1432" s="36">
        <v>0</v>
      </c>
      <c r="P1432" s="36">
        <v>0</v>
      </c>
      <c r="Q1432" s="36">
        <v>0</v>
      </c>
      <c r="T1432" s="36">
        <v>0</v>
      </c>
      <c r="U1432" s="35">
        <v>927</v>
      </c>
      <c r="W1432" s="35">
        <v>0</v>
      </c>
      <c r="X1432" s="35">
        <v>0</v>
      </c>
      <c r="Y1432" s="35" t="s">
        <v>1871</v>
      </c>
    </row>
    <row r="1433" spans="1:25" x14ac:dyDescent="0.2">
      <c r="A1433" s="35">
        <v>24</v>
      </c>
      <c r="B1433" s="35" t="s">
        <v>1404</v>
      </c>
      <c r="C1433" s="35" t="s">
        <v>1497</v>
      </c>
      <c r="D1433" s="36">
        <v>0</v>
      </c>
      <c r="F1433" s="36">
        <v>0</v>
      </c>
      <c r="H1433" s="36">
        <v>0</v>
      </c>
      <c r="I1433" s="36">
        <v>0</v>
      </c>
      <c r="L1433" s="36">
        <v>0</v>
      </c>
      <c r="N1433" s="36">
        <v>0</v>
      </c>
      <c r="O1433" s="36">
        <v>0</v>
      </c>
      <c r="P1433" s="36">
        <v>0</v>
      </c>
      <c r="Q1433" s="36">
        <v>0</v>
      </c>
      <c r="T1433" s="36">
        <v>0</v>
      </c>
      <c r="U1433" s="35">
        <v>929</v>
      </c>
      <c r="W1433" s="35">
        <v>0</v>
      </c>
      <c r="X1433" s="35">
        <v>0</v>
      </c>
      <c r="Y1433" s="35" t="s">
        <v>1871</v>
      </c>
    </row>
    <row r="1434" spans="1:25" x14ac:dyDescent="0.2">
      <c r="A1434" s="35">
        <v>25</v>
      </c>
      <c r="B1434" s="35" t="s">
        <v>1405</v>
      </c>
      <c r="C1434" s="35" t="s">
        <v>1497</v>
      </c>
      <c r="D1434" s="36">
        <v>0</v>
      </c>
      <c r="F1434" s="36">
        <v>0</v>
      </c>
      <c r="H1434" s="36">
        <v>0</v>
      </c>
      <c r="I1434" s="36">
        <v>0</v>
      </c>
      <c r="L1434" s="36">
        <v>0</v>
      </c>
      <c r="N1434" s="36">
        <v>0</v>
      </c>
      <c r="O1434" s="36">
        <v>0</v>
      </c>
      <c r="P1434" s="36">
        <v>0</v>
      </c>
      <c r="Q1434" s="36">
        <v>0</v>
      </c>
      <c r="T1434" s="36">
        <v>0</v>
      </c>
      <c r="U1434" s="35">
        <v>930.1</v>
      </c>
      <c r="V1434" s="35">
        <v>930.2</v>
      </c>
      <c r="W1434" s="35">
        <v>0</v>
      </c>
      <c r="X1434" s="35">
        <v>0</v>
      </c>
      <c r="Y1434" s="35" t="s">
        <v>1871</v>
      </c>
    </row>
    <row r="1435" spans="1:25" x14ac:dyDescent="0.2">
      <c r="A1435" s="35">
        <v>26</v>
      </c>
      <c r="B1435" s="35" t="s">
        <v>1406</v>
      </c>
      <c r="C1435" s="35" t="s">
        <v>1497</v>
      </c>
      <c r="D1435" s="36">
        <v>0</v>
      </c>
      <c r="F1435" s="36">
        <v>0</v>
      </c>
      <c r="H1435" s="36">
        <v>0</v>
      </c>
      <c r="I1435" s="36">
        <v>0</v>
      </c>
      <c r="L1435" s="36">
        <v>0</v>
      </c>
      <c r="N1435" s="36">
        <v>0</v>
      </c>
      <c r="O1435" s="36">
        <v>0</v>
      </c>
      <c r="P1435" s="36">
        <v>0</v>
      </c>
      <c r="Q1435" s="36">
        <v>0</v>
      </c>
      <c r="T1435" s="36">
        <v>0</v>
      </c>
      <c r="U1435" s="35">
        <v>931</v>
      </c>
      <c r="W1435" s="35">
        <v>0</v>
      </c>
      <c r="X1435" s="35">
        <v>0</v>
      </c>
      <c r="Y1435" s="35" t="s">
        <v>1871</v>
      </c>
    </row>
    <row r="1436" spans="1:25" x14ac:dyDescent="0.2">
      <c r="A1436" s="35">
        <v>27</v>
      </c>
      <c r="B1436" s="35" t="s">
        <v>1407</v>
      </c>
      <c r="C1436" s="35" t="s">
        <v>1497</v>
      </c>
      <c r="D1436" s="36">
        <v>656236</v>
      </c>
      <c r="F1436" s="36">
        <v>593047.4349612738</v>
      </c>
      <c r="H1436" s="36">
        <v>30793.997004072215</v>
      </c>
      <c r="I1436" s="36">
        <v>32394.568034654025</v>
      </c>
      <c r="L1436" s="36">
        <v>14.779252973295764</v>
      </c>
      <c r="N1436" s="36">
        <v>32379.788781680731</v>
      </c>
      <c r="O1436" s="36">
        <v>10336.941050347305</v>
      </c>
      <c r="P1436" s="36">
        <v>22042.847731333426</v>
      </c>
      <c r="Q1436" s="36">
        <v>0</v>
      </c>
      <c r="T1436" s="36">
        <v>656236</v>
      </c>
      <c r="U1436" s="35">
        <v>935</v>
      </c>
      <c r="W1436" s="35">
        <v>656236</v>
      </c>
      <c r="X1436" s="35">
        <v>0</v>
      </c>
      <c r="Y1436" s="35" t="s">
        <v>1871</v>
      </c>
    </row>
    <row r="1437" spans="1:25" x14ac:dyDescent="0.2">
      <c r="F1437" s="36"/>
    </row>
    <row r="1438" spans="1:25" x14ac:dyDescent="0.2">
      <c r="A1438" s="35">
        <v>28</v>
      </c>
      <c r="B1438" s="35" t="s">
        <v>1408</v>
      </c>
      <c r="D1438" s="36">
        <v>78766763</v>
      </c>
      <c r="F1438" s="36">
        <v>71182359.330107704</v>
      </c>
      <c r="H1438" s="36">
        <v>3696145.0817121677</v>
      </c>
      <c r="I1438" s="36">
        <v>3888258.5881801206</v>
      </c>
      <c r="L1438" s="36">
        <v>1773.9257161518613</v>
      </c>
      <c r="N1438" s="36">
        <v>3886484.6624639686</v>
      </c>
      <c r="O1438" s="36">
        <v>1240723.4376926553</v>
      </c>
      <c r="P1438" s="36">
        <v>2645761.2247713134</v>
      </c>
      <c r="Q1438" s="36">
        <v>0</v>
      </c>
    </row>
    <row r="1439" spans="1:25" x14ac:dyDescent="0.2">
      <c r="F1439" s="36"/>
    </row>
    <row r="1440" spans="1:25" x14ac:dyDescent="0.2">
      <c r="A1440" s="35">
        <v>29</v>
      </c>
      <c r="B1440" s="35" t="s">
        <v>1409</v>
      </c>
      <c r="D1440" s="36">
        <v>188407217</v>
      </c>
      <c r="F1440" s="36">
        <v>170265600.74430859</v>
      </c>
      <c r="H1440" s="36">
        <v>8841043.886412181</v>
      </c>
      <c r="I1440" s="36">
        <v>9300572.36927923</v>
      </c>
      <c r="L1440" s="36">
        <v>4243.1654496821729</v>
      </c>
      <c r="N1440" s="36">
        <v>9296329.2038295474</v>
      </c>
      <c r="O1440" s="36">
        <v>2967765.096076705</v>
      </c>
      <c r="P1440" s="36">
        <v>6328564.1077528428</v>
      </c>
      <c r="Q1440" s="36">
        <v>0</v>
      </c>
      <c r="U1440" s="35" t="s">
        <v>583</v>
      </c>
      <c r="W1440" s="35">
        <v>0</v>
      </c>
    </row>
    <row r="1441" spans="6:6" x14ac:dyDescent="0.2">
      <c r="F1441" s="36"/>
    </row>
    <row r="1442" spans="6:6" x14ac:dyDescent="0.2">
      <c r="F1442" s="36"/>
    </row>
    <row r="1443" spans="6:6" x14ac:dyDescent="0.2">
      <c r="F1443" s="36"/>
    </row>
    <row r="1444" spans="6:6" x14ac:dyDescent="0.2">
      <c r="F1444" s="36"/>
    </row>
    <row r="1451" spans="6:6" x14ac:dyDescent="0.2">
      <c r="F1451" s="35">
        <v>0.86346175527776192</v>
      </c>
    </row>
  </sheetData>
  <phoneticPr fontId="18" type="noConversion"/>
  <pageMargins left="0.75" right="0.75" top="1.5" bottom="1" header="0.75" footer="0.5"/>
  <pageSetup scale="60" orientation="landscape" r:id="rId1"/>
  <headerFooter alignWithMargins="0">
    <oddHeader>&amp;L&amp;"Arial,Bold"KENTUCKY UTILITIES COMPANY
&amp;"Arial,Regular"Electric Cost of Service Study
12 months Ended April 30, 2008
Jurisdictional Separation Study</oddHeader>
    <oddFooter>&amp;R&amp;"Arial,Regular"Seelye Exhibit 16
Page &amp;P of &amp;N</oddFooter>
  </headerFooter>
  <rowBreaks count="31" manualBreakCount="31">
    <brk id="65" max="16" man="1"/>
    <brk id="100" max="16" man="1"/>
    <brk id="148" max="16" man="1"/>
    <brk id="191" max="16" man="1"/>
    <brk id="234" max="16" man="1"/>
    <brk id="254" max="16" man="1"/>
    <brk id="297" max="16" man="1"/>
    <brk id="332" max="16" man="1"/>
    <brk id="379" max="16" man="1"/>
    <brk id="423" max="16" man="1"/>
    <brk id="466" max="16" man="1"/>
    <brk id="496" max="16" man="1"/>
    <brk id="549" max="16" man="1"/>
    <brk id="602" max="16" man="1"/>
    <brk id="636" max="16" man="1"/>
    <brk id="683" max="16" man="1"/>
    <brk id="729" max="16" man="1"/>
    <brk id="784" max="16" man="1"/>
    <brk id="828" max="16" man="1"/>
    <brk id="857" max="16" man="1"/>
    <brk id="918" max="16" man="1"/>
    <brk id="968" max="16" man="1"/>
    <brk id="1033" max="16" man="1"/>
    <brk id="1079" max="16" man="1"/>
    <brk id="1127" max="16" man="1"/>
    <brk id="1173" max="16" man="1"/>
    <brk id="1223" max="16" man="1"/>
    <brk id="1258" max="16" man="1"/>
    <brk id="1297" max="16" man="1"/>
    <brk id="1339" max="16" man="1"/>
    <brk id="138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3.8" x14ac:dyDescent="0.25"/>
  <cols>
    <col min="1" max="1" width="4.5546875" customWidth="1"/>
    <col min="2" max="2" width="45.44140625" bestFit="1" customWidth="1"/>
    <col min="3" max="3" width="19" hidden="1" customWidth="1"/>
    <col min="4" max="4" width="23.6640625" customWidth="1"/>
    <col min="5" max="5" width="24.88671875" bestFit="1" customWidth="1"/>
    <col min="6" max="6" width="23.33203125" bestFit="1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 x14ac:dyDescent="0.3">
      <c r="A1" s="439" t="s">
        <v>1427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</row>
    <row r="2" spans="1:14" ht="15.6" x14ac:dyDescent="0.3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6" x14ac:dyDescent="0.3">
      <c r="A3" s="439" t="s">
        <v>1911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</row>
    <row r="4" spans="1:14" ht="15.6" x14ac:dyDescent="0.3">
      <c r="A4" s="439" t="s">
        <v>2442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</row>
    <row r="5" spans="1:14" ht="15.6" x14ac:dyDescent="0.3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6" x14ac:dyDescent="0.3">
      <c r="A6" s="439" t="s">
        <v>1944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</row>
    <row r="7" spans="1:14" ht="15.6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2" thickBot="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2" thickBot="1" x14ac:dyDescent="0.35">
      <c r="A9" s="279"/>
      <c r="B9" s="280"/>
      <c r="C9" s="281"/>
      <c r="D9" s="279"/>
      <c r="E9" s="437" t="s">
        <v>1907</v>
      </c>
      <c r="F9" s="438"/>
      <c r="G9" s="282" t="s">
        <v>459</v>
      </c>
      <c r="H9" s="437" t="s">
        <v>118</v>
      </c>
      <c r="I9" s="438"/>
      <c r="J9" s="282" t="s">
        <v>1912</v>
      </c>
      <c r="K9" s="281"/>
      <c r="L9" s="283"/>
      <c r="M9" s="28"/>
      <c r="N9" s="28"/>
    </row>
    <row r="10" spans="1:14" ht="15.6" x14ac:dyDescent="0.3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6" x14ac:dyDescent="0.3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2" thickBot="1" x14ac:dyDescent="0.35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6" x14ac:dyDescent="0.3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6" x14ac:dyDescent="0.3">
      <c r="A14" s="362" t="s">
        <v>1166</v>
      </c>
      <c r="B14" s="297" t="s">
        <v>193</v>
      </c>
      <c r="C14" s="298"/>
      <c r="D14" s="299">
        <f>'Allocation ProForma'!L174</f>
        <v>347387075.53153688</v>
      </c>
      <c r="E14" s="300">
        <f>'Allocation ProForma'!L123+'Allocation ProForma'!L124+'Allocation ProForma'!L125</f>
        <v>236236845.74281073</v>
      </c>
      <c r="F14" s="301">
        <f>'Allocation ProForma'!L126</f>
        <v>8511291.2882750928</v>
      </c>
      <c r="G14" s="301">
        <f>'Allocation ProForma'!L135</f>
        <v>59286066.255382665</v>
      </c>
      <c r="H14" s="301">
        <f>'Allocation ProForma'!L145+'Allocation ProForma'!L147+'Allocation ProForma'!L152+'Allocation ProForma'!L141</f>
        <v>36404729.547614038</v>
      </c>
      <c r="I14" s="301">
        <f>'Allocation ProForma'!L146+'Allocation ProForma'!L148+'Allocation ProForma'!L153+'Allocation ProForma'!L157+'Allocation ProForma'!L160+'Allocation ProForma'!L163</f>
        <v>6714283.3131043864</v>
      </c>
      <c r="J14" s="301">
        <f>'Allocation ProForma'!L166+'Allocation ProForma'!L169</f>
        <v>233859.38434995105</v>
      </c>
      <c r="K14" s="302">
        <f>SUM(E14:J14)</f>
        <v>347387075.53153688</v>
      </c>
      <c r="L14" s="303" t="str">
        <f>IF(ABS(K14-D14)&lt;0.01,"ok","err")</f>
        <v>ok</v>
      </c>
      <c r="M14" s="28"/>
      <c r="N14" s="28"/>
    </row>
    <row r="15" spans="1:14" ht="15.6" x14ac:dyDescent="0.3">
      <c r="A15" s="362" t="s">
        <v>1323</v>
      </c>
      <c r="B15" s="297" t="s">
        <v>1888</v>
      </c>
      <c r="C15" s="298"/>
      <c r="D15" s="299">
        <f>'Allocation ProForma'!L773+'Allocation ProForma'!L774+'Allocation ProForma'!L775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6" x14ac:dyDescent="0.3">
      <c r="A16" s="362" t="s">
        <v>1889</v>
      </c>
      <c r="B16" s="297" t="s">
        <v>1890</v>
      </c>
      <c r="C16" s="298"/>
      <c r="D16" s="306">
        <f>D14+D15</f>
        <v>347387075.53153688</v>
      </c>
      <c r="E16" s="306">
        <f t="shared" ref="E16:K16" si="1">E14+E15</f>
        <v>236236845.74281073</v>
      </c>
      <c r="F16" s="307">
        <f t="shared" si="1"/>
        <v>8511291.2882750928</v>
      </c>
      <c r="G16" s="307">
        <f t="shared" si="1"/>
        <v>59286066.255382665</v>
      </c>
      <c r="H16" s="307">
        <f t="shared" si="1"/>
        <v>36404729.547614038</v>
      </c>
      <c r="I16" s="307">
        <f t="shared" si="1"/>
        <v>6714283.3131043864</v>
      </c>
      <c r="J16" s="307">
        <f t="shared" si="1"/>
        <v>233859.38434995105</v>
      </c>
      <c r="K16" s="302">
        <f t="shared" si="1"/>
        <v>347387075.53153688</v>
      </c>
      <c r="L16" s="303" t="str">
        <f>IF(ABS(K16-D16)&lt;0.01,"ok","err")</f>
        <v>ok</v>
      </c>
      <c r="M16" s="28"/>
      <c r="N16" s="28"/>
    </row>
    <row r="17" spans="1:14" ht="15.6" x14ac:dyDescent="0.3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6" x14ac:dyDescent="0.3">
      <c r="A18" s="362" t="s">
        <v>1891</v>
      </c>
      <c r="B18" s="297" t="s">
        <v>441</v>
      </c>
      <c r="C18" s="298"/>
      <c r="D18" s="311">
        <f>'Allocation ProForma'!L825</f>
        <v>0.10973392943697015</v>
      </c>
      <c r="E18" s="311">
        <f t="shared" ref="E18:J18" si="2">D18</f>
        <v>0.10973392943697015</v>
      </c>
      <c r="F18" s="312">
        <f t="shared" si="2"/>
        <v>0.10973392943697015</v>
      </c>
      <c r="G18" s="312">
        <f t="shared" si="2"/>
        <v>0.10973392943697015</v>
      </c>
      <c r="H18" s="312">
        <f t="shared" si="2"/>
        <v>0.10973392943697015</v>
      </c>
      <c r="I18" s="312">
        <f t="shared" si="2"/>
        <v>0.10973392943697015</v>
      </c>
      <c r="J18" s="312">
        <f t="shared" si="2"/>
        <v>0.10973392943697015</v>
      </c>
      <c r="K18" s="302"/>
      <c r="L18" s="303"/>
      <c r="M18" s="28"/>
      <c r="N18" s="28"/>
    </row>
    <row r="19" spans="1:14" ht="15.6" x14ac:dyDescent="0.3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6" x14ac:dyDescent="0.3">
      <c r="A20" s="362" t="s">
        <v>1892</v>
      </c>
      <c r="B20" s="297" t="s">
        <v>1893</v>
      </c>
      <c r="C20" s="298"/>
      <c r="D20" s="306">
        <f>D18*D16</f>
        <v>38120148.833693087</v>
      </c>
      <c r="E20" s="306">
        <f t="shared" ref="E20:J20" si="3">E18*E16</f>
        <v>25923197.361153994</v>
      </c>
      <c r="F20" s="307">
        <f t="shared" si="3"/>
        <v>933977.43764507782</v>
      </c>
      <c r="G20" s="307">
        <f t="shared" si="3"/>
        <v>6505693.0110636987</v>
      </c>
      <c r="H20" s="307">
        <f t="shared" si="3"/>
        <v>3994834.0233498611</v>
      </c>
      <c r="I20" s="307">
        <f t="shared" si="3"/>
        <v>736784.69130002288</v>
      </c>
      <c r="J20" s="307">
        <f t="shared" si="3"/>
        <v>25662.30918043081</v>
      </c>
      <c r="K20" s="302">
        <f>SUM(E20:J20)</f>
        <v>38120148.83369308</v>
      </c>
      <c r="L20" s="303" t="str">
        <f>IF(ABS(K20-D20)&lt;0.01,"ok","err")</f>
        <v>ok</v>
      </c>
      <c r="M20" s="28"/>
      <c r="N20" s="28"/>
    </row>
    <row r="21" spans="1:14" ht="15.6" x14ac:dyDescent="0.3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6" x14ac:dyDescent="0.3">
      <c r="A22" s="362" t="s">
        <v>1324</v>
      </c>
      <c r="B22" s="297" t="s">
        <v>1894</v>
      </c>
      <c r="C22" s="298"/>
      <c r="D22" s="306">
        <f>'Allocation ProForma'!L705</f>
        <v>8266800.717887775</v>
      </c>
      <c r="E22" s="306">
        <f t="shared" ref="E22:J22" si="4">(E14/$D$14)*$D$22</f>
        <v>5621748.9467333928</v>
      </c>
      <c r="F22" s="307">
        <f t="shared" si="4"/>
        <v>202543.94560996527</v>
      </c>
      <c r="G22" s="307">
        <f t="shared" si="4"/>
        <v>1410835.7207326391</v>
      </c>
      <c r="H22" s="307">
        <f t="shared" si="4"/>
        <v>866326.54337597766</v>
      </c>
      <c r="I22" s="307">
        <f t="shared" si="4"/>
        <v>159780.38914644156</v>
      </c>
      <c r="J22" s="307">
        <f t="shared" si="4"/>
        <v>5565.1722893572651</v>
      </c>
      <c r="K22" s="302">
        <f>SUM(E22:J22)</f>
        <v>8266800.7178877741</v>
      </c>
      <c r="L22" s="303" t="str">
        <f>IF(ABS(K22-D22)&lt;0.01,"ok","err")</f>
        <v>ok</v>
      </c>
      <c r="M22" s="28"/>
      <c r="N22" s="28"/>
    </row>
    <row r="23" spans="1:14" ht="15.6" x14ac:dyDescent="0.3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6" x14ac:dyDescent="0.3">
      <c r="A24" s="362" t="s">
        <v>1325</v>
      </c>
      <c r="B24" s="297" t="s">
        <v>209</v>
      </c>
      <c r="C24" s="298"/>
      <c r="D24" s="306">
        <f>D20-D22</f>
        <v>29853348.115805313</v>
      </c>
      <c r="E24" s="306">
        <f t="shared" ref="E24:J24" si="5">E20-E22</f>
        <v>20301448.414420601</v>
      </c>
      <c r="F24" s="307">
        <f t="shared" si="5"/>
        <v>731433.49203511258</v>
      </c>
      <c r="G24" s="307">
        <f t="shared" si="5"/>
        <v>5094857.2903310601</v>
      </c>
      <c r="H24" s="307">
        <f t="shared" si="5"/>
        <v>3128507.4799738834</v>
      </c>
      <c r="I24" s="307">
        <f t="shared" si="5"/>
        <v>577004.30215358129</v>
      </c>
      <c r="J24" s="307">
        <f t="shared" si="5"/>
        <v>20097.136891073544</v>
      </c>
      <c r="K24" s="302">
        <f>SUM(E24:J24)</f>
        <v>29853348.115805313</v>
      </c>
      <c r="L24" s="303" t="str">
        <f>IF(ABS(K24-D24)&lt;0.01,"ok","err")</f>
        <v>ok</v>
      </c>
      <c r="M24" s="28"/>
      <c r="N24" s="28"/>
    </row>
    <row r="25" spans="1:14" ht="15.6" x14ac:dyDescent="0.3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6" x14ac:dyDescent="0.3">
      <c r="A26" s="362" t="s">
        <v>1326</v>
      </c>
      <c r="B26" s="297" t="s">
        <v>553</v>
      </c>
      <c r="C26" s="298"/>
      <c r="D26" s="306">
        <f>'Allocation ProForma'!L740+'Allocation ProForma'!L817</f>
        <v>20921638.314644128</v>
      </c>
      <c r="E26" s="306">
        <f t="shared" ref="E26:J26" si="6">$D$26*(E24/$K$24)</f>
        <v>14227535.194454208</v>
      </c>
      <c r="F26" s="307">
        <f t="shared" si="6"/>
        <v>512598.68448303058</v>
      </c>
      <c r="G26" s="307">
        <f t="shared" si="6"/>
        <v>3570546.294490857</v>
      </c>
      <c r="H26" s="307">
        <f t="shared" si="6"/>
        <v>2192501.2131560273</v>
      </c>
      <c r="I26" s="307">
        <f t="shared" si="6"/>
        <v>404372.57720046578</v>
      </c>
      <c r="J26" s="307">
        <f t="shared" si="6"/>
        <v>14084.350859538084</v>
      </c>
      <c r="K26" s="302">
        <f>SUM(E26:J26)</f>
        <v>20921638.314644124</v>
      </c>
      <c r="L26" s="303" t="str">
        <f>IF(ABS(K26-D26)&lt;0.01,"ok","err")</f>
        <v>ok</v>
      </c>
      <c r="M26" s="28"/>
      <c r="N26" s="28"/>
    </row>
    <row r="27" spans="1:14" ht="15.6" x14ac:dyDescent="0.3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6" x14ac:dyDescent="0.3">
      <c r="A28" s="362" t="s">
        <v>1327</v>
      </c>
      <c r="B28" s="297" t="s">
        <v>795</v>
      </c>
      <c r="C28" s="298"/>
      <c r="D28" s="306">
        <f>'Allocation ProForma'!L671</f>
        <v>99088940.765030891</v>
      </c>
      <c r="E28" s="306">
        <f>'Allocation ProForma'!L180+'Allocation ProForma'!L181+'Allocation ProForma'!L182</f>
        <v>12507024.007553276</v>
      </c>
      <c r="F28" s="307">
        <f>'Allocation ProForma'!L183</f>
        <v>75809703.775081843</v>
      </c>
      <c r="G28" s="307">
        <f>'Allocation ProForma'!L192</f>
        <v>5028261.6436272506</v>
      </c>
      <c r="H28" s="307">
        <f>'Allocation ProForma'!L198+'Allocation ProForma'!L202+'Allocation ProForma'!L204+'Allocation ProForma'!L209</f>
        <v>2473154.0436976724</v>
      </c>
      <c r="I28" s="307">
        <f>'Allocation ProForma'!L203+'Allocation ProForma'!L205+'Allocation ProForma'!L210+'Allocation ProForma'!L214+'Allocation ProForma'!L217</f>
        <v>1328748.7261468687</v>
      </c>
      <c r="J28" s="307">
        <f>'Allocation ProForma'!L223+'Allocation ProForma'!L226</f>
        <v>1942048.568923983</v>
      </c>
      <c r="K28" s="302">
        <f>SUM(E28:J28)</f>
        <v>99088940.765030891</v>
      </c>
      <c r="L28" s="303" t="str">
        <f>IF(ABS(K28-D28)&lt;0.01,"ok","err")</f>
        <v>ok</v>
      </c>
      <c r="M28" s="28"/>
      <c r="N28" s="28"/>
    </row>
    <row r="29" spans="1:14" ht="15.6" x14ac:dyDescent="0.3">
      <c r="A29" s="362" t="s">
        <v>1895</v>
      </c>
      <c r="B29" s="297" t="s">
        <v>843</v>
      </c>
      <c r="C29" s="298"/>
      <c r="D29" s="306">
        <f>'Allocation ProForma'!L672</f>
        <v>22530219.621316772</v>
      </c>
      <c r="E29" s="306">
        <f>'Allocation ProForma'!L300</f>
        <v>17555033.192183394</v>
      </c>
      <c r="F29" s="307">
        <v>0</v>
      </c>
      <c r="G29" s="307">
        <f>'Allocation ProForma'!L306</f>
        <v>2747634.92002352</v>
      </c>
      <c r="H29" s="307">
        <f>'Allocation ProForma'!L312+'Allocation ProForma'!L316+'Allocation ProForma'!L318+'Allocation ProForma'!L323</f>
        <v>1885398.2010307217</v>
      </c>
      <c r="I29" s="307">
        <f>'Allocation ProForma'!L317+'Allocation ProForma'!L319+'Allocation ProForma'!L324+'Allocation ProForma'!L328+'Allocation ProForma'!L331</f>
        <v>342153.3080791363</v>
      </c>
      <c r="J29" s="307">
        <v>0</v>
      </c>
      <c r="K29" s="302">
        <f>SUM(E29:J29)</f>
        <v>22530219.621316768</v>
      </c>
      <c r="L29" s="303" t="str">
        <f>IF(ABS(K29-D29)&lt;0.01,"ok","err")</f>
        <v>ok</v>
      </c>
      <c r="M29" s="28"/>
      <c r="N29" s="28"/>
    </row>
    <row r="30" spans="1:14" ht="15.6" x14ac:dyDescent="0.3">
      <c r="A30" s="362" t="s">
        <v>1896</v>
      </c>
      <c r="B30" s="297" t="s">
        <v>428</v>
      </c>
      <c r="C30" s="298"/>
      <c r="D30" s="306">
        <f>'Allocation ProForma'!L674+'Allocation ProForma'!L675+'Allocation ProForma'!L676+'Allocation ProForma'!L673</f>
        <v>3631533.8929315582</v>
      </c>
      <c r="E30" s="306">
        <f>'Allocation ProForma'!L414+'Allocation ProForma'!L471+'Allocation ProForma'!L357</f>
        <v>2615713.8343029078</v>
      </c>
      <c r="F30" s="307">
        <f>'Allocation ProForma'!L529</f>
        <v>0</v>
      </c>
      <c r="G30" s="307">
        <f>'Allocation ProForma'!L420+'Allocation ProForma'!L477+'Allocation ProForma'!L363</f>
        <v>580045.55812123313</v>
      </c>
      <c r="H30" s="307">
        <f>'Allocation ProForma'!L426+'Allocation ProForma'!L430+'Allocation ProForma'!L432+'Allocation ProForma'!L437+'Allocation ProForma'!L483+'Allocation ProForma'!L487+'Allocation ProForma'!L489+'Allocation ProForma'!L494+'Allocation ProForma'!L369+'Allocation ProForma'!L373+'Allocation ProForma'!L375+'Allocation ProForma'!L380</f>
        <v>368839.26407612645</v>
      </c>
      <c r="I30" s="307">
        <f>'Allocation ProForma'!L431+'Allocation ProForma'!L433+'Allocation ProForma'!L438+'Allocation ProForma'!L442+'Allocation ProForma'!L445+'Allocation ProForma'!L488+'Allocation ProForma'!L490+'Allocation ProForma'!L495+'Allocation ProForma'!L499+'Allocation ProForma'!L502+'Allocation ProForma'!L374+'Allocation ProForma'!L376+'Allocation ProForma'!L381+'Allocation ProForma'!L385+'Allocation ProForma'!L388</f>
        <v>66935.236431290308</v>
      </c>
      <c r="J30" s="307">
        <v>0</v>
      </c>
      <c r="K30" s="302">
        <f>SUM(E30:J30)</f>
        <v>3631533.8929315577</v>
      </c>
      <c r="L30" s="303" t="str">
        <f>IF(ABS(K30-D30)&lt;0.01,"ok","err")</f>
        <v>ok</v>
      </c>
      <c r="M30" s="28"/>
      <c r="N30" s="28"/>
    </row>
    <row r="31" spans="1:14" ht="15.6" x14ac:dyDescent="0.3">
      <c r="A31" s="362" t="s">
        <v>1897</v>
      </c>
      <c r="B31" s="297" t="s">
        <v>1933</v>
      </c>
      <c r="C31" s="298"/>
      <c r="D31" s="306">
        <f>'Allocation ProForma'!L679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6" x14ac:dyDescent="0.3">
      <c r="A32" s="362" t="s">
        <v>1898</v>
      </c>
      <c r="B32" s="297" t="s">
        <v>1915</v>
      </c>
      <c r="C32" s="298"/>
      <c r="D32" s="306">
        <f>'Allocation ProForma'!L745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6" x14ac:dyDescent="0.3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6" x14ac:dyDescent="0.3">
      <c r="A34" s="362" t="s">
        <v>1901</v>
      </c>
      <c r="B34" s="297" t="s">
        <v>1918</v>
      </c>
      <c r="C34" s="298"/>
      <c r="D34" s="306">
        <f>'Allocation ProForma'!L756+'Allocation ProForma'!L759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6" x14ac:dyDescent="0.3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6" x14ac:dyDescent="0.3">
      <c r="A36" s="364" t="s">
        <v>1905</v>
      </c>
      <c r="B36" s="297" t="s">
        <v>1917</v>
      </c>
      <c r="C36" s="298"/>
      <c r="D36" s="306">
        <f>SUM('Allocation ProForma'!L813:L815)-'Allocation ProForma'!L721</f>
        <v>62061.37513397618</v>
      </c>
      <c r="E36" s="306">
        <f t="shared" ref="E36:J36" si="9">(E14/($D$14)*$D$36)</f>
        <v>42204.170899791723</v>
      </c>
      <c r="F36" s="307">
        <f t="shared" si="9"/>
        <v>1520.5587044594304</v>
      </c>
      <c r="G36" s="307">
        <f t="shared" si="9"/>
        <v>10591.570778686166</v>
      </c>
      <c r="H36" s="307">
        <f t="shared" si="9"/>
        <v>6503.7755755548051</v>
      </c>
      <c r="I36" s="307">
        <f t="shared" si="9"/>
        <v>1199.5197426754544</v>
      </c>
      <c r="J36" s="307">
        <f t="shared" si="9"/>
        <v>41.779432808591743</v>
      </c>
      <c r="K36" s="302">
        <f t="shared" si="8"/>
        <v>62061.375133976173</v>
      </c>
      <c r="L36" s="303" t="str">
        <f t="shared" si="7"/>
        <v>ok</v>
      </c>
      <c r="M36" s="28"/>
      <c r="N36" s="28"/>
    </row>
    <row r="37" spans="1:14" ht="15.6" x14ac:dyDescent="0.3">
      <c r="A37" s="364" t="s">
        <v>1919</v>
      </c>
      <c r="B37" s="297" t="s">
        <v>2444</v>
      </c>
      <c r="C37" s="381"/>
      <c r="D37" s="306">
        <f>-'Allocation ProForma'!L802-'Allocation ProForma'!L803</f>
        <v>-992301.14782422723</v>
      </c>
      <c r="E37" s="306">
        <f>-'Allocation ProForma'!L802-'Allocation ProForma'!$L$803*(E14/$D$14)</f>
        <v>-992297.15148403717</v>
      </c>
      <c r="F37" s="383">
        <f>-'Allocation ProForma'!$L$803*(F14/$D$14)</f>
        <v>-0.30601839969008404</v>
      </c>
      <c r="G37" s="383">
        <f>-'Allocation ProForma'!$L$803*(G14/$D$14)</f>
        <v>-2.1315951369664963</v>
      </c>
      <c r="H37" s="383">
        <f>-'Allocation ProForma'!$L$803*(H14/$D$14)</f>
        <v>-1.3089103286428485</v>
      </c>
      <c r="I37" s="383">
        <f>-'Allocation ProForma'!$L$803*(I14/$D$14)</f>
        <v>-0.24140805019474856</v>
      </c>
      <c r="J37" s="383">
        <f>-'Allocation ProForma'!$L$803*(J14/$D$14)</f>
        <v>-8.4082746233660847E-3</v>
      </c>
      <c r="K37" s="302">
        <f t="shared" si="8"/>
        <v>-992301.14782422723</v>
      </c>
      <c r="L37" s="303" t="str">
        <f t="shared" si="7"/>
        <v>ok</v>
      </c>
      <c r="M37" s="28"/>
      <c r="N37" s="28"/>
    </row>
    <row r="38" spans="1:14" ht="15.6" x14ac:dyDescent="0.3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6" x14ac:dyDescent="0.3">
      <c r="A39" s="362" t="s">
        <v>1920</v>
      </c>
      <c r="B39" s="297" t="s">
        <v>1924</v>
      </c>
      <c r="C39" s="298"/>
      <c r="D39" s="306">
        <f t="shared" ref="D39:J39" si="10">SUM(D32:D37)</f>
        <v>-930239.772690251</v>
      </c>
      <c r="E39" s="306">
        <f t="shared" si="10"/>
        <v>-950092.98058424541</v>
      </c>
      <c r="F39" s="307">
        <f t="shared" si="10"/>
        <v>1520.2526860597402</v>
      </c>
      <c r="G39" s="307">
        <f t="shared" si="10"/>
        <v>10589.439183549199</v>
      </c>
      <c r="H39" s="307">
        <f t="shared" si="10"/>
        <v>6502.4666652261621</v>
      </c>
      <c r="I39" s="307">
        <f t="shared" si="10"/>
        <v>1199.2783346252597</v>
      </c>
      <c r="J39" s="307">
        <f t="shared" si="10"/>
        <v>41.771024533968379</v>
      </c>
      <c r="K39" s="302">
        <f t="shared" si="8"/>
        <v>-930239.77269025112</v>
      </c>
      <c r="L39" s="303" t="str">
        <f t="shared" si="7"/>
        <v>ok</v>
      </c>
      <c r="M39" s="28"/>
      <c r="N39" s="28"/>
    </row>
    <row r="40" spans="1:14" ht="15.6" x14ac:dyDescent="0.3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6" x14ac:dyDescent="0.3">
      <c r="A41" s="362" t="s">
        <v>1921</v>
      </c>
      <c r="B41" s="297" t="s">
        <v>1899</v>
      </c>
      <c r="C41" s="313"/>
      <c r="D41" s="306">
        <f>SUM(D28:D31)+D22+D26+D39+D24</f>
        <v>183362241.65492624</v>
      </c>
      <c r="E41" s="306">
        <f t="shared" ref="E41:J41" si="11">SUM(E28:E31)+E22+E26+E39+E24</f>
        <v>71878410.609063536</v>
      </c>
      <c r="F41" s="307">
        <f t="shared" si="11"/>
        <v>77257800.149896011</v>
      </c>
      <c r="G41" s="307">
        <f t="shared" si="11"/>
        <v>18442770.866510108</v>
      </c>
      <c r="H41" s="307">
        <f t="shared" si="11"/>
        <v>10921229.211975634</v>
      </c>
      <c r="I41" s="307">
        <f t="shared" si="11"/>
        <v>2880193.8174924091</v>
      </c>
      <c r="J41" s="307">
        <f t="shared" si="11"/>
        <v>1981836.9999884861</v>
      </c>
      <c r="K41" s="302">
        <f>SUM(E41:J41)</f>
        <v>183362241.65492615</v>
      </c>
      <c r="L41" s="303" t="str">
        <f>IF(ABS(K41-D41)&lt;0.01,"ok","err")</f>
        <v>ok</v>
      </c>
      <c r="M41" s="28"/>
      <c r="N41" s="28"/>
    </row>
    <row r="42" spans="1:14" ht="15.6" x14ac:dyDescent="0.3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6" x14ac:dyDescent="0.3">
      <c r="A43" s="362" t="s">
        <v>1922</v>
      </c>
      <c r="B43" s="297" t="s">
        <v>2432</v>
      </c>
      <c r="C43" s="298"/>
      <c r="D43" s="306">
        <f>-'Allocation ProForma'!L654</f>
        <v>1986750.25159457</v>
      </c>
      <c r="E43" s="306">
        <f>D43</f>
        <v>1986750.25159457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1986750.25159457</v>
      </c>
      <c r="L43" s="303" t="str">
        <f>IF(ABS(K43-D43)&lt;0.01,"ok","err")</f>
        <v>ok</v>
      </c>
      <c r="M43" s="28"/>
      <c r="N43" s="28"/>
    </row>
    <row r="44" spans="1:14" ht="15.6" x14ac:dyDescent="0.3">
      <c r="A44" s="362" t="s">
        <v>1923</v>
      </c>
      <c r="B44" s="297" t="s">
        <v>1925</v>
      </c>
      <c r="C44" s="298"/>
      <c r="D44" s="306">
        <f>-('Allocation ProForma'!L652+'Allocation ProForma'!L653)</f>
        <v>-997111.51906858548</v>
      </c>
      <c r="E44" s="306">
        <v>0</v>
      </c>
      <c r="F44" s="307">
        <f>D44</f>
        <v>-997111.51906858548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-997111.51906858548</v>
      </c>
      <c r="L44" s="303" t="str">
        <f>IF(ABS(K44-D44)&lt;0.01,"ok","err")</f>
        <v>ok</v>
      </c>
      <c r="M44" s="28"/>
      <c r="N44" s="28"/>
    </row>
    <row r="45" spans="1:14" ht="15.6" x14ac:dyDescent="0.3">
      <c r="A45" s="362" t="s">
        <v>1927</v>
      </c>
      <c r="B45" s="297" t="s">
        <v>1926</v>
      </c>
      <c r="C45" s="298"/>
      <c r="D45" s="306">
        <f>-('Allocation ProForma'!L655+'Allocation ProForma'!L656+'Allocation ProForma'!L657+'Allocation ProForma'!L658+'Allocation ProForma'!L661+'Allocation ProForma'!L662+'Allocation ProForma'!L663+'Allocation ProForma'!L664+'Allocation ProForma'!L665)</f>
        <v>-414132.27324339078</v>
      </c>
      <c r="E45" s="306">
        <f t="shared" ref="E45:J45" si="12">(E14/($D$14)*$D$45)</f>
        <v>-281626.19982802682</v>
      </c>
      <c r="F45" s="307">
        <f t="shared" si="12"/>
        <v>-10146.607797819583</v>
      </c>
      <c r="G45" s="307">
        <f t="shared" si="12"/>
        <v>-70676.991515681686</v>
      </c>
      <c r="H45" s="307">
        <f t="shared" si="12"/>
        <v>-43399.350368161751</v>
      </c>
      <c r="I45" s="307">
        <f t="shared" si="12"/>
        <v>-8004.3317886869781</v>
      </c>
      <c r="J45" s="307">
        <f t="shared" si="12"/>
        <v>-278.79194501394983</v>
      </c>
      <c r="K45" s="302">
        <f>SUM(E45:J45)</f>
        <v>-414132.27324339078</v>
      </c>
      <c r="L45" s="303" t="str">
        <f>IF(ABS(K45-D45)&lt;0.01,"ok","err")</f>
        <v>ok</v>
      </c>
      <c r="M45" s="28"/>
      <c r="N45" s="28"/>
    </row>
    <row r="46" spans="1:14" ht="15.6" x14ac:dyDescent="0.3">
      <c r="A46" s="362" t="s">
        <v>1928</v>
      </c>
      <c r="B46" s="297" t="s">
        <v>1929</v>
      </c>
      <c r="C46" s="298"/>
      <c r="D46" s="306">
        <f>SUM(D43:D45)</f>
        <v>575506.4592825938</v>
      </c>
      <c r="E46" s="306">
        <f t="shared" ref="E46:J46" si="13">SUM(E43:E45)</f>
        <v>1705124.0517665432</v>
      </c>
      <c r="F46" s="307">
        <f t="shared" si="13"/>
        <v>-1007258.126866405</v>
      </c>
      <c r="G46" s="307">
        <f t="shared" si="13"/>
        <v>-70676.991515681686</v>
      </c>
      <c r="H46" s="307">
        <f t="shared" si="13"/>
        <v>-43399.350368161751</v>
      </c>
      <c r="I46" s="307">
        <f t="shared" si="13"/>
        <v>-8004.3317886869781</v>
      </c>
      <c r="J46" s="307">
        <f t="shared" si="13"/>
        <v>-278.79194501394983</v>
      </c>
      <c r="K46" s="302">
        <f>SUM(E46:J46)</f>
        <v>575506.45928259369</v>
      </c>
      <c r="L46" s="303" t="str">
        <f>IF(ABS(K46-D46)&lt;0.01,"ok","err")</f>
        <v>ok</v>
      </c>
      <c r="M46" s="28"/>
      <c r="N46" s="28"/>
    </row>
    <row r="47" spans="1:14" ht="15.6" x14ac:dyDescent="0.3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6" x14ac:dyDescent="0.3">
      <c r="A48" s="362" t="s">
        <v>1934</v>
      </c>
      <c r="B48" s="297" t="s">
        <v>1902</v>
      </c>
      <c r="C48" s="315">
        <f>'Allocation ProForma'!L806-SUM('Allocation ProForma'!L652:L665)-'Allocation ProForma'!L721-'Allocation ProForma'!L802-'Allocation ProForma'!L803</f>
        <v>183937748.00000003</v>
      </c>
      <c r="D48" s="306">
        <f>D41+D46</f>
        <v>183937748.11420885</v>
      </c>
      <c r="E48" s="306">
        <f t="shared" ref="E48:J48" si="14">E41+E46</f>
        <v>73583534.660830081</v>
      </c>
      <c r="F48" s="307">
        <f t="shared" si="14"/>
        <v>76250542.023029611</v>
      </c>
      <c r="G48" s="307">
        <f t="shared" si="14"/>
        <v>18372093.874994427</v>
      </c>
      <c r="H48" s="307">
        <f t="shared" si="14"/>
        <v>10877829.861607471</v>
      </c>
      <c r="I48" s="307">
        <f t="shared" si="14"/>
        <v>2872189.4857037221</v>
      </c>
      <c r="J48" s="307">
        <f t="shared" si="14"/>
        <v>1981558.2080434721</v>
      </c>
      <c r="K48" s="302">
        <f>SUM(E48:J48)</f>
        <v>183937748.11420882</v>
      </c>
      <c r="L48" s="303" t="str">
        <f>IF(ABS(K48-D48)&lt;0.01,"ok","err")</f>
        <v>ok</v>
      </c>
      <c r="M48" s="28"/>
      <c r="N48" s="28"/>
    </row>
    <row r="49" spans="1:14" ht="15.6" x14ac:dyDescent="0.3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6" x14ac:dyDescent="0.3">
      <c r="A50" s="362" t="s">
        <v>1935</v>
      </c>
      <c r="B50" s="297" t="s">
        <v>1904</v>
      </c>
      <c r="C50" s="298"/>
      <c r="D50" s="316"/>
      <c r="E50" s="317">
        <v>6098096</v>
      </c>
      <c r="F50" s="318">
        <f>'Billing Det'!C18</f>
        <v>2146594132.2992384</v>
      </c>
      <c r="G50" s="318">
        <f>E50</f>
        <v>6098096</v>
      </c>
      <c r="H50" s="318">
        <f>G50</f>
        <v>6098096</v>
      </c>
      <c r="I50" s="318">
        <f>'Allocation ProForma'!L848</f>
        <v>54034</v>
      </c>
      <c r="J50" s="318">
        <f>I50</f>
        <v>54034</v>
      </c>
      <c r="K50" s="287"/>
      <c r="L50" s="310"/>
      <c r="M50" s="28"/>
      <c r="N50" s="28"/>
    </row>
    <row r="51" spans="1:14" ht="16.2" thickBot="1" x14ac:dyDescent="0.35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2" thickBot="1" x14ac:dyDescent="0.35">
      <c r="A52" s="365" t="s">
        <v>2446</v>
      </c>
      <c r="B52" s="319" t="s">
        <v>1906</v>
      </c>
      <c r="C52" s="320"/>
      <c r="D52" s="321"/>
      <c r="E52" s="384">
        <f t="shared" ref="E52:J52" si="15">E48/E50</f>
        <v>12.066640909036211</v>
      </c>
      <c r="F52" s="323">
        <f t="shared" si="15"/>
        <v>3.5521639081980014E-2</v>
      </c>
      <c r="G52" s="324">
        <f t="shared" si="15"/>
        <v>3.012759043969532</v>
      </c>
      <c r="H52" s="324">
        <f t="shared" si="15"/>
        <v>1.7838075788914232</v>
      </c>
      <c r="I52" s="324">
        <f>I48/I50</f>
        <v>53.155226074392459</v>
      </c>
      <c r="J52" s="324">
        <f t="shared" si="15"/>
        <v>36.672432321195402</v>
      </c>
      <c r="K52" s="325">
        <f>I52+J52</f>
        <v>89.827658395587861</v>
      </c>
      <c r="L52" s="326"/>
      <c r="M52" s="28"/>
      <c r="N52" s="28"/>
    </row>
    <row r="53" spans="1:14" ht="15.6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6" x14ac:dyDescent="0.3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89.827658395587861</v>
      </c>
      <c r="L54" s="28"/>
      <c r="M54" s="28"/>
      <c r="N54" s="28"/>
    </row>
    <row r="55" spans="1:14" ht="15.6" x14ac:dyDescent="0.3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16.863207531897167</v>
      </c>
      <c r="L55" s="28"/>
      <c r="M55" s="28"/>
      <c r="N55" s="28"/>
    </row>
    <row r="56" spans="1:14" ht="15.6" x14ac:dyDescent="0.3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3.5521639081980014E-2</v>
      </c>
      <c r="L56" s="28"/>
      <c r="M56" s="28"/>
      <c r="N56" s="28"/>
    </row>
    <row r="57" spans="1:14" ht="15.6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6" x14ac:dyDescent="0.3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6" x14ac:dyDescent="0.3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6" x14ac:dyDescent="0.3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6" x14ac:dyDescent="0.3">
      <c r="J61" s="373"/>
      <c r="K61" s="34"/>
    </row>
    <row r="62" spans="1:14" ht="15.6" x14ac:dyDescent="0.3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3.8" x14ac:dyDescent="0.25"/>
  <cols>
    <col min="1" max="1" width="4.5546875" customWidth="1"/>
    <col min="2" max="2" width="45.44140625" bestFit="1" customWidth="1"/>
    <col min="3" max="3" width="19" hidden="1" customWidth="1"/>
    <col min="4" max="4" width="23.6640625" customWidth="1"/>
    <col min="5" max="5" width="24.88671875" bestFit="1" customWidth="1"/>
    <col min="6" max="6" width="23.33203125" bestFit="1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 x14ac:dyDescent="0.3">
      <c r="A1" s="439" t="s">
        <v>1427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</row>
    <row r="2" spans="1:14" ht="15.6" x14ac:dyDescent="0.3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6" x14ac:dyDescent="0.3">
      <c r="A3" s="439" t="s">
        <v>1911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</row>
    <row r="4" spans="1:14" ht="15.6" x14ac:dyDescent="0.3">
      <c r="A4" s="439" t="s">
        <v>2442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</row>
    <row r="5" spans="1:14" ht="15.6" x14ac:dyDescent="0.3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6" x14ac:dyDescent="0.3">
      <c r="A6" s="439" t="s">
        <v>2335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</row>
    <row r="7" spans="1:14" ht="15.6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2" thickBot="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2" thickBot="1" x14ac:dyDescent="0.35">
      <c r="A9" s="279"/>
      <c r="B9" s="280"/>
      <c r="C9" s="281"/>
      <c r="D9" s="279"/>
      <c r="E9" s="437" t="s">
        <v>1907</v>
      </c>
      <c r="F9" s="438"/>
      <c r="G9" s="282" t="s">
        <v>459</v>
      </c>
      <c r="H9" s="437" t="s">
        <v>118</v>
      </c>
      <c r="I9" s="438"/>
      <c r="J9" s="282" t="s">
        <v>1912</v>
      </c>
      <c r="K9" s="281"/>
      <c r="L9" s="283"/>
      <c r="M9" s="28"/>
      <c r="N9" s="28"/>
    </row>
    <row r="10" spans="1:14" ht="15.6" x14ac:dyDescent="0.3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6" x14ac:dyDescent="0.3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2" thickBot="1" x14ac:dyDescent="0.35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6" x14ac:dyDescent="0.3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6" x14ac:dyDescent="0.3">
      <c r="A14" s="362" t="s">
        <v>1166</v>
      </c>
      <c r="B14" s="297" t="s">
        <v>193</v>
      </c>
      <c r="C14" s="298"/>
      <c r="D14" s="299">
        <f>'Allocation ProForma'!M174</f>
        <v>25275870.378223237</v>
      </c>
      <c r="E14" s="300">
        <f>'Allocation ProForma'!M123+'Allocation ProForma'!M124+'Allocation ProForma'!M125</f>
        <v>17395281.40324368</v>
      </c>
      <c r="F14" s="301">
        <f>'Allocation ProForma'!M126</f>
        <v>656812.91705090401</v>
      </c>
      <c r="G14" s="301">
        <f>'Allocation ProForma'!M135</f>
        <v>4365524.7874690015</v>
      </c>
      <c r="H14" s="301">
        <f>'Allocation ProForma'!M145+'Allocation ProForma'!M147+'Allocation ProForma'!M152+'Allocation ProForma'!M141</f>
        <v>2103342.357652247</v>
      </c>
      <c r="I14" s="301">
        <f>'Allocation ProForma'!M146+'Allocation ProForma'!M148+'Allocation ProForma'!M153+'Allocation ProForma'!M157+'Allocation ProForma'!M160+'Allocation ProForma'!M163</f>
        <v>745924.30843419663</v>
      </c>
      <c r="J14" s="301">
        <f>'Allocation ProForma'!M166+'Allocation ProForma'!M169</f>
        <v>8984.6043732048711</v>
      </c>
      <c r="K14" s="302">
        <f>SUM(E14:J14)</f>
        <v>25275870.378223237</v>
      </c>
      <c r="L14" s="303" t="str">
        <f>IF(ABS(K14-D14)&lt;0.01,"ok","err")</f>
        <v>ok</v>
      </c>
      <c r="M14" s="28"/>
      <c r="N14" s="28"/>
    </row>
    <row r="15" spans="1:14" ht="15.6" x14ac:dyDescent="0.3">
      <c r="A15" s="362" t="s">
        <v>1323</v>
      </c>
      <c r="B15" s="297" t="s">
        <v>1888</v>
      </c>
      <c r="C15" s="298"/>
      <c r="D15" s="299">
        <f>'Allocation ProForma'!M773+'Allocation ProForma'!M774+'Allocation ProForma'!M775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6" x14ac:dyDescent="0.3">
      <c r="A16" s="362" t="s">
        <v>1889</v>
      </c>
      <c r="B16" s="297" t="s">
        <v>1890</v>
      </c>
      <c r="C16" s="298"/>
      <c r="D16" s="306">
        <f>D14+D15</f>
        <v>25275870.378223237</v>
      </c>
      <c r="E16" s="306">
        <f t="shared" ref="E16:K16" si="1">E14+E15</f>
        <v>17395281.40324368</v>
      </c>
      <c r="F16" s="307">
        <f t="shared" si="1"/>
        <v>656812.91705090401</v>
      </c>
      <c r="G16" s="307">
        <f t="shared" si="1"/>
        <v>4365524.7874690015</v>
      </c>
      <c r="H16" s="307">
        <f t="shared" si="1"/>
        <v>2103342.357652247</v>
      </c>
      <c r="I16" s="307">
        <f t="shared" si="1"/>
        <v>745924.30843419663</v>
      </c>
      <c r="J16" s="307">
        <f t="shared" si="1"/>
        <v>8984.6043732048711</v>
      </c>
      <c r="K16" s="302">
        <f t="shared" si="1"/>
        <v>25275870.378223237</v>
      </c>
      <c r="L16" s="303" t="str">
        <f>IF(ABS(K16-D16)&lt;0.01,"ok","err")</f>
        <v>ok</v>
      </c>
      <c r="M16" s="28"/>
      <c r="N16" s="28"/>
    </row>
    <row r="17" spans="1:14" ht="15.6" x14ac:dyDescent="0.3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6" x14ac:dyDescent="0.3">
      <c r="A18" s="362" t="s">
        <v>1891</v>
      </c>
      <c r="B18" s="297" t="s">
        <v>441</v>
      </c>
      <c r="C18" s="298"/>
      <c r="D18" s="311">
        <f>'Allocation ProForma'!M825</f>
        <v>0.12888131835737809</v>
      </c>
      <c r="E18" s="311">
        <f t="shared" ref="E18:J18" si="2">D18</f>
        <v>0.12888131835737809</v>
      </c>
      <c r="F18" s="312">
        <f t="shared" si="2"/>
        <v>0.12888131835737809</v>
      </c>
      <c r="G18" s="312">
        <f t="shared" si="2"/>
        <v>0.12888131835737809</v>
      </c>
      <c r="H18" s="312">
        <f t="shared" si="2"/>
        <v>0.12888131835737809</v>
      </c>
      <c r="I18" s="312">
        <f t="shared" si="2"/>
        <v>0.12888131835737809</v>
      </c>
      <c r="J18" s="312">
        <f t="shared" si="2"/>
        <v>0.12888131835737809</v>
      </c>
      <c r="K18" s="302"/>
      <c r="L18" s="303"/>
      <c r="M18" s="28"/>
      <c r="N18" s="28"/>
    </row>
    <row r="19" spans="1:14" ht="15.6" x14ac:dyDescent="0.3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6" x14ac:dyDescent="0.3">
      <c r="A20" s="362" t="s">
        <v>1892</v>
      </c>
      <c r="B20" s="297" t="s">
        <v>1893</v>
      </c>
      <c r="C20" s="298"/>
      <c r="D20" s="306">
        <f>D18*D16</f>
        <v>3257587.4969756114</v>
      </c>
      <c r="E20" s="306">
        <f t="shared" ref="E20:J20" si="3">E18*E16</f>
        <v>2241926.8004476274</v>
      </c>
      <c r="F20" s="307">
        <f t="shared" si="3"/>
        <v>84650.914663675736</v>
      </c>
      <c r="G20" s="307">
        <f t="shared" si="3"/>
        <v>562634.58993081772</v>
      </c>
      <c r="H20" s="307">
        <f t="shared" si="3"/>
        <v>271081.53601113748</v>
      </c>
      <c r="I20" s="307">
        <f t="shared" si="3"/>
        <v>96135.708265814785</v>
      </c>
      <c r="J20" s="307">
        <f t="shared" si="3"/>
        <v>1157.9476565381085</v>
      </c>
      <c r="K20" s="302">
        <f>SUM(E20:J20)</f>
        <v>3257587.4969756114</v>
      </c>
      <c r="L20" s="303" t="str">
        <f>IF(ABS(K20-D20)&lt;0.01,"ok","err")</f>
        <v>ok</v>
      </c>
      <c r="M20" s="28"/>
      <c r="N20" s="28"/>
    </row>
    <row r="21" spans="1:14" ht="15.6" x14ac:dyDescent="0.3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6" x14ac:dyDescent="0.3">
      <c r="A22" s="362" t="s">
        <v>1324</v>
      </c>
      <c r="B22" s="297" t="s">
        <v>1894</v>
      </c>
      <c r="C22" s="298"/>
      <c r="D22" s="306">
        <f>'Allocation ProForma'!M705</f>
        <v>600722.80339447141</v>
      </c>
      <c r="E22" s="306">
        <f t="shared" ref="E22:J22" si="4">(E14/$D$14)*$D$22</f>
        <v>413427.59137566132</v>
      </c>
      <c r="F22" s="307">
        <f t="shared" si="4"/>
        <v>15610.243719894213</v>
      </c>
      <c r="G22" s="307">
        <f t="shared" si="4"/>
        <v>103753.90636897145</v>
      </c>
      <c r="H22" s="307">
        <f t="shared" si="4"/>
        <v>49989.404862425712</v>
      </c>
      <c r="I22" s="307">
        <f t="shared" si="4"/>
        <v>17728.123106246585</v>
      </c>
      <c r="J22" s="307">
        <f t="shared" si="4"/>
        <v>213.53396127208882</v>
      </c>
      <c r="K22" s="302">
        <f>SUM(E22:J22)</f>
        <v>600722.80339447141</v>
      </c>
      <c r="L22" s="303" t="str">
        <f>IF(ABS(K22-D22)&lt;0.01,"ok","err")</f>
        <v>ok</v>
      </c>
      <c r="M22" s="28"/>
      <c r="N22" s="28"/>
    </row>
    <row r="23" spans="1:14" ht="15.6" x14ac:dyDescent="0.3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6" x14ac:dyDescent="0.3">
      <c r="A24" s="362" t="s">
        <v>1325</v>
      </c>
      <c r="B24" s="297" t="s">
        <v>209</v>
      </c>
      <c r="C24" s="298"/>
      <c r="D24" s="306">
        <f>D20-D22</f>
        <v>2656864.6935811401</v>
      </c>
      <c r="E24" s="306">
        <f t="shared" ref="E24:J24" si="5">E20-E22</f>
        <v>1828499.2090719661</v>
      </c>
      <c r="F24" s="307">
        <f t="shared" si="5"/>
        <v>69040.67094378153</v>
      </c>
      <c r="G24" s="307">
        <f t="shared" si="5"/>
        <v>458880.68356184626</v>
      </c>
      <c r="H24" s="307">
        <f t="shared" si="5"/>
        <v>221092.13114871178</v>
      </c>
      <c r="I24" s="307">
        <f t="shared" si="5"/>
        <v>78407.585159568203</v>
      </c>
      <c r="J24" s="307">
        <f t="shared" si="5"/>
        <v>944.41369526601966</v>
      </c>
      <c r="K24" s="302">
        <f>SUM(E24:J24)</f>
        <v>2656864.6935811397</v>
      </c>
      <c r="L24" s="303" t="str">
        <f>IF(ABS(K24-D24)&lt;0.01,"ok","err")</f>
        <v>ok</v>
      </c>
      <c r="M24" s="28"/>
      <c r="N24" s="28"/>
    </row>
    <row r="25" spans="1:14" ht="15.6" x14ac:dyDescent="0.3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6" x14ac:dyDescent="0.3">
      <c r="A26" s="362" t="s">
        <v>1326</v>
      </c>
      <c r="B26" s="297" t="s">
        <v>553</v>
      </c>
      <c r="C26" s="298"/>
      <c r="D26" s="306">
        <f>'Allocation ProForma'!M740+'Allocation ProForma'!M817</f>
        <v>1869898.6232092432</v>
      </c>
      <c r="E26" s="306">
        <f t="shared" ref="E26:J26" si="6">$D$26*(E24/$K$24)</f>
        <v>1286895.8520331369</v>
      </c>
      <c r="F26" s="307">
        <f t="shared" si="6"/>
        <v>48590.752797881178</v>
      </c>
      <c r="G26" s="307">
        <f t="shared" si="6"/>
        <v>322959.75044669991</v>
      </c>
      <c r="H26" s="307">
        <f t="shared" si="6"/>
        <v>155604.4132153875</v>
      </c>
      <c r="I26" s="307">
        <f t="shared" si="6"/>
        <v>55183.177334265907</v>
      </c>
      <c r="J26" s="307">
        <f t="shared" si="6"/>
        <v>664.67738187208226</v>
      </c>
      <c r="K26" s="302">
        <f>SUM(E26:J26)</f>
        <v>1869898.6232092436</v>
      </c>
      <c r="L26" s="303" t="str">
        <f>IF(ABS(K26-D26)&lt;0.01,"ok","err")</f>
        <v>ok</v>
      </c>
      <c r="M26" s="28"/>
      <c r="N26" s="28"/>
    </row>
    <row r="27" spans="1:14" ht="15.6" x14ac:dyDescent="0.3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6" x14ac:dyDescent="0.3">
      <c r="A28" s="362" t="s">
        <v>1327</v>
      </c>
      <c r="B28" s="297" t="s">
        <v>795</v>
      </c>
      <c r="C28" s="298"/>
      <c r="D28" s="306">
        <f>'Allocation ProForma'!M671</f>
        <v>7651162.2855686005</v>
      </c>
      <c r="E28" s="306">
        <f>'Allocation ProForma'!M180+'Allocation ProForma'!M181+'Allocation ProForma'!M182</f>
        <v>920953.72101849527</v>
      </c>
      <c r="F28" s="307">
        <f>'Allocation ProForma'!M183</f>
        <v>5850204.2746286383</v>
      </c>
      <c r="G28" s="307">
        <f>'Allocation ProForma'!M192</f>
        <v>370255.64739912929</v>
      </c>
      <c r="H28" s="307">
        <f>'Allocation ProForma'!M198+'Allocation ProForma'!M202+'Allocation ProForma'!M204+'Allocation ProForma'!M209</f>
        <v>180207.37550542879</v>
      </c>
      <c r="I28" s="307">
        <f>'Allocation ProForma'!M203+'Allocation ProForma'!M205+'Allocation ProForma'!M210+'Allocation ProForma'!M214+'Allocation ProForma'!M217</f>
        <v>254930.02952549219</v>
      </c>
      <c r="J28" s="307">
        <f>'Allocation ProForma'!M223+'Allocation ProForma'!M226</f>
        <v>74611.237491416628</v>
      </c>
      <c r="K28" s="302">
        <f>SUM(E28:J28)</f>
        <v>7651162.2855686005</v>
      </c>
      <c r="L28" s="303" t="str">
        <f>IF(ABS(K28-D28)&lt;0.01,"ok","err")</f>
        <v>ok</v>
      </c>
      <c r="M28" s="28"/>
      <c r="N28" s="28"/>
    </row>
    <row r="29" spans="1:14" ht="15.6" x14ac:dyDescent="0.3">
      <c r="A29" s="362" t="s">
        <v>1895</v>
      </c>
      <c r="B29" s="297" t="s">
        <v>843</v>
      </c>
      <c r="C29" s="298"/>
      <c r="D29" s="306">
        <f>'Allocation ProForma'!M672</f>
        <v>1641041.2910282558</v>
      </c>
      <c r="E29" s="306">
        <f>'Allocation ProForma'!M300</f>
        <v>1292663.477033437</v>
      </c>
      <c r="F29" s="307">
        <v>0</v>
      </c>
      <c r="G29" s="307">
        <f>'Allocation ProForma'!M306</f>
        <v>202321.87945492257</v>
      </c>
      <c r="H29" s="307">
        <f>'Allocation ProForma'!M312+'Allocation ProForma'!M316+'Allocation ProForma'!M318+'Allocation ProForma'!M323</f>
        <v>108740.98705731312</v>
      </c>
      <c r="I29" s="307">
        <f>'Allocation ProForma'!M317+'Allocation ProForma'!M319+'Allocation ProForma'!M324+'Allocation ProForma'!M328+'Allocation ProForma'!M331</f>
        <v>37314.947482583069</v>
      </c>
      <c r="J29" s="307">
        <v>0</v>
      </c>
      <c r="K29" s="302">
        <f>SUM(E29:J29)</f>
        <v>1641041.2910282558</v>
      </c>
      <c r="L29" s="303" t="str">
        <f>IF(ABS(K29-D29)&lt;0.01,"ok","err")</f>
        <v>ok</v>
      </c>
      <c r="M29" s="28"/>
      <c r="N29" s="28"/>
    </row>
    <row r="30" spans="1:14" ht="15.6" x14ac:dyDescent="0.3">
      <c r="A30" s="362" t="s">
        <v>1896</v>
      </c>
      <c r="B30" s="297" t="s">
        <v>428</v>
      </c>
      <c r="C30" s="298"/>
      <c r="D30" s="306">
        <f>'Allocation ProForma'!M674+'Allocation ProForma'!M675+'Allocation ProForma'!M676+'Allocation ProForma'!M673</f>
        <v>263892.32004388794</v>
      </c>
      <c r="E30" s="306">
        <f>'Allocation ProForma'!M414+'Allocation ProForma'!M471+'Allocation ProForma'!M357</f>
        <v>192607.88076891814</v>
      </c>
      <c r="F30" s="307">
        <f>'Allocation ProForma'!M529</f>
        <v>0</v>
      </c>
      <c r="G30" s="307">
        <f>'Allocation ProForma'!M420+'Allocation ProForma'!M477+'Allocation ProForma'!M363</f>
        <v>42711.608676003736</v>
      </c>
      <c r="H30" s="307">
        <f>'Allocation ProForma'!M426+'Allocation ProForma'!M430+'Allocation ProForma'!M432+'Allocation ProForma'!M437+'Allocation ProForma'!M483+'Allocation ProForma'!M487+'Allocation ProForma'!M489+'Allocation ProForma'!M494+'Allocation ProForma'!M369+'Allocation ProForma'!M373+'Allocation ProForma'!M375+'Allocation ProForma'!M380</f>
        <v>21272.930895555372</v>
      </c>
      <c r="I30" s="307">
        <f>'Allocation ProForma'!M431+'Allocation ProForma'!M433+'Allocation ProForma'!M438+'Allocation ProForma'!M442+'Allocation ProForma'!M445+'Allocation ProForma'!M488+'Allocation ProForma'!M490+'Allocation ProForma'!M495+'Allocation ProForma'!M499+'Allocation ProForma'!M502+'Allocation ProForma'!M374+'Allocation ProForma'!M376+'Allocation ProForma'!M381+'Allocation ProForma'!M385+'Allocation ProForma'!M388</f>
        <v>7299.8997034107069</v>
      </c>
      <c r="J30" s="307">
        <v>0</v>
      </c>
      <c r="K30" s="302">
        <f>SUM(E30:J30)</f>
        <v>263892.32004388794</v>
      </c>
      <c r="L30" s="303" t="str">
        <f>IF(ABS(K30-D30)&lt;0.01,"ok","err")</f>
        <v>ok</v>
      </c>
      <c r="M30" s="28"/>
      <c r="N30" s="28"/>
    </row>
    <row r="31" spans="1:14" ht="15.6" x14ac:dyDescent="0.3">
      <c r="A31" s="362" t="s">
        <v>1897</v>
      </c>
      <c r="B31" s="297" t="s">
        <v>1933</v>
      </c>
      <c r="C31" s="298"/>
      <c r="D31" s="306">
        <f>'Allocation ProForma'!M679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6" x14ac:dyDescent="0.3">
      <c r="A32" s="362" t="s">
        <v>1898</v>
      </c>
      <c r="B32" s="297" t="s">
        <v>1915</v>
      </c>
      <c r="C32" s="298"/>
      <c r="D32" s="306">
        <f>'Allocation ProForma'!M745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6" x14ac:dyDescent="0.3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6" x14ac:dyDescent="0.3">
      <c r="A34" s="362" t="s">
        <v>1901</v>
      </c>
      <c r="B34" s="297" t="s">
        <v>1918</v>
      </c>
      <c r="C34" s="298"/>
      <c r="D34" s="306">
        <f>'Allocation ProForma'!M756+'Allocation ProForma'!M759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6" x14ac:dyDescent="0.3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6" x14ac:dyDescent="0.3">
      <c r="A36" s="364" t="s">
        <v>1905</v>
      </c>
      <c r="B36" s="297" t="s">
        <v>1917</v>
      </c>
      <c r="C36" s="298"/>
      <c r="D36" s="306">
        <f>SUM('Allocation ProForma'!M813:M815)-'Allocation ProForma'!M721</f>
        <v>4595.7641988562518</v>
      </c>
      <c r="E36" s="306">
        <f t="shared" ref="E36:J36" si="9">(E14/($D$14)*$D$36)</f>
        <v>3162.8826349313217</v>
      </c>
      <c r="F36" s="307">
        <f t="shared" si="9"/>
        <v>119.4244646914143</v>
      </c>
      <c r="G36" s="307">
        <f t="shared" si="9"/>
        <v>793.75792909410802</v>
      </c>
      <c r="H36" s="307">
        <f t="shared" si="9"/>
        <v>382.43848225952172</v>
      </c>
      <c r="I36" s="307">
        <f t="shared" si="9"/>
        <v>135.62706963048868</v>
      </c>
      <c r="J36" s="307">
        <f t="shared" si="9"/>
        <v>1.6336182493971474</v>
      </c>
      <c r="K36" s="302">
        <f t="shared" si="8"/>
        <v>4595.7641988562509</v>
      </c>
      <c r="L36" s="303" t="str">
        <f t="shared" si="7"/>
        <v>ok</v>
      </c>
      <c r="M36" s="28"/>
      <c r="N36" s="28"/>
    </row>
    <row r="37" spans="1:14" ht="15.6" x14ac:dyDescent="0.3">
      <c r="A37" s="364" t="s">
        <v>1919</v>
      </c>
      <c r="B37" s="297" t="s">
        <v>2444</v>
      </c>
      <c r="C37" s="381"/>
      <c r="D37" s="306">
        <f>-'Allocation ProForma'!M802-'Allocation ProForma'!M803</f>
        <v>-73067.575111432307</v>
      </c>
      <c r="E37" s="306">
        <f>-'Allocation ProForma'!M802-'Allocation ProForma'!$M$803*(E14/$D$14)</f>
        <v>-73067.425927679957</v>
      </c>
      <c r="F37" s="383">
        <f>-'Allocation ProForma'!$M$803*(F14/$D$14)</f>
        <v>-1.243381882612821E-2</v>
      </c>
      <c r="G37" s="383">
        <f>-'Allocation ProForma'!$M$803*(G14/$D$14)</f>
        <v>-8.2641712547432494E-2</v>
      </c>
      <c r="H37" s="383">
        <f>-'Allocation ProForma'!$M$803*(H14/$D$14)</f>
        <v>-3.9817392632585116E-2</v>
      </c>
      <c r="I37" s="383">
        <f>-'Allocation ProForma'!$M$803*(I14/$D$14)</f>
        <v>-1.412074499192131E-2</v>
      </c>
      <c r="J37" s="383">
        <f>-'Allocation ProForma'!$M$803*(J14/$D$14)</f>
        <v>-1.7008335265764976E-4</v>
      </c>
      <c r="K37" s="302">
        <f t="shared" si="8"/>
        <v>-73067.575111432321</v>
      </c>
      <c r="L37" s="303" t="str">
        <f t="shared" si="7"/>
        <v>ok</v>
      </c>
      <c r="M37" s="28"/>
      <c r="N37" s="28"/>
    </row>
    <row r="38" spans="1:14" ht="15.6" x14ac:dyDescent="0.3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6" x14ac:dyDescent="0.3">
      <c r="A39" s="362" t="s">
        <v>1920</v>
      </c>
      <c r="B39" s="297" t="s">
        <v>1924</v>
      </c>
      <c r="C39" s="298"/>
      <c r="D39" s="306">
        <f t="shared" ref="D39:J39" si="10">SUM(D32:D37)</f>
        <v>-68471.810912576053</v>
      </c>
      <c r="E39" s="306">
        <f t="shared" si="10"/>
        <v>-69904.54329274864</v>
      </c>
      <c r="F39" s="307">
        <f t="shared" si="10"/>
        <v>119.41203087258818</v>
      </c>
      <c r="G39" s="307">
        <f t="shared" si="10"/>
        <v>793.67528738156057</v>
      </c>
      <c r="H39" s="307">
        <f t="shared" si="10"/>
        <v>382.39866486688913</v>
      </c>
      <c r="I39" s="307">
        <f t="shared" si="10"/>
        <v>135.61294888549676</v>
      </c>
      <c r="J39" s="307">
        <f t="shared" si="10"/>
        <v>1.6334481660444897</v>
      </c>
      <c r="K39" s="302">
        <f t="shared" si="8"/>
        <v>-68471.810912576067</v>
      </c>
      <c r="L39" s="303" t="str">
        <f t="shared" si="7"/>
        <v>ok</v>
      </c>
      <c r="M39" s="28"/>
      <c r="N39" s="28"/>
    </row>
    <row r="40" spans="1:14" ht="15.6" x14ac:dyDescent="0.3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6" x14ac:dyDescent="0.3">
      <c r="A41" s="362" t="s">
        <v>1921</v>
      </c>
      <c r="B41" s="297" t="s">
        <v>1899</v>
      </c>
      <c r="C41" s="313"/>
      <c r="D41" s="306">
        <f>SUM(D28:D31)+D22+D26+D39+D24</f>
        <v>14615110.205913024</v>
      </c>
      <c r="E41" s="306">
        <f t="shared" ref="E41:J41" si="11">SUM(E28:E31)+E22+E26+E39+E24</f>
        <v>5865143.1880088663</v>
      </c>
      <c r="F41" s="307">
        <f t="shared" si="11"/>
        <v>5983565.3541210685</v>
      </c>
      <c r="G41" s="307">
        <f t="shared" si="11"/>
        <v>1501677.1511949548</v>
      </c>
      <c r="H41" s="307">
        <f t="shared" si="11"/>
        <v>737289.6413496891</v>
      </c>
      <c r="I41" s="307">
        <f t="shared" si="11"/>
        <v>450999.37526045216</v>
      </c>
      <c r="J41" s="307">
        <f t="shared" si="11"/>
        <v>76435.495977992861</v>
      </c>
      <c r="K41" s="302">
        <f>SUM(E41:J41)</f>
        <v>14615110.205913022</v>
      </c>
      <c r="L41" s="303" t="str">
        <f>IF(ABS(K41-D41)&lt;0.01,"ok","err")</f>
        <v>ok</v>
      </c>
      <c r="M41" s="28"/>
      <c r="N41" s="28"/>
    </row>
    <row r="42" spans="1:14" ht="15.6" x14ac:dyDescent="0.3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6" x14ac:dyDescent="0.3">
      <c r="A43" s="362" t="s">
        <v>1922</v>
      </c>
      <c r="B43" s="297" t="s">
        <v>2432</v>
      </c>
      <c r="C43" s="298"/>
      <c r="D43" s="306">
        <f>-'Allocation ProForma'!M654</f>
        <v>146294.19723152765</v>
      </c>
      <c r="E43" s="306">
        <f>D43</f>
        <v>146294.19723152765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146294.19723152765</v>
      </c>
      <c r="L43" s="303" t="str">
        <f>IF(ABS(K43-D43)&lt;0.01,"ok","err")</f>
        <v>ok</v>
      </c>
      <c r="M43" s="28"/>
      <c r="N43" s="28"/>
    </row>
    <row r="44" spans="1:14" ht="15.6" x14ac:dyDescent="0.3">
      <c r="A44" s="362" t="s">
        <v>1923</v>
      </c>
      <c r="B44" s="297" t="s">
        <v>1925</v>
      </c>
      <c r="C44" s="298"/>
      <c r="D44" s="306">
        <f>-('Allocation ProForma'!M652+'Allocation ProForma'!M653)</f>
        <v>-76946.693901392908</v>
      </c>
      <c r="E44" s="306">
        <v>0</v>
      </c>
      <c r="F44" s="307">
        <f>D44</f>
        <v>-76946.693901392908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-76946.693901392908</v>
      </c>
      <c r="L44" s="303" t="str">
        <f>IF(ABS(K44-D44)&lt;0.01,"ok","err")</f>
        <v>ok</v>
      </c>
      <c r="M44" s="28"/>
      <c r="N44" s="28"/>
    </row>
    <row r="45" spans="1:14" ht="15.6" x14ac:dyDescent="0.3">
      <c r="A45" s="362" t="s">
        <v>1927</v>
      </c>
      <c r="B45" s="297" t="s">
        <v>1926</v>
      </c>
      <c r="C45" s="298"/>
      <c r="D45" s="306">
        <f>-('Allocation ProForma'!M655+'Allocation ProForma'!M656+'Allocation ProForma'!M657+'Allocation ProForma'!M658+'Allocation ProForma'!M661+'Allocation ProForma'!M662+'Allocation ProForma'!M663+'Allocation ProForma'!M664+'Allocation ProForma'!M665)</f>
        <v>-27955.700833406405</v>
      </c>
      <c r="E45" s="306">
        <f t="shared" ref="E45:J45" si="12">(E14/($D$14)*$D$45)</f>
        <v>-19239.586037795725</v>
      </c>
      <c r="F45" s="307">
        <f t="shared" si="12"/>
        <v>-726.45037095979831</v>
      </c>
      <c r="G45" s="307">
        <f t="shared" si="12"/>
        <v>-4828.3720051219207</v>
      </c>
      <c r="H45" s="307">
        <f t="shared" si="12"/>
        <v>-2326.3455944693478</v>
      </c>
      <c r="I45" s="307">
        <f t="shared" si="12"/>
        <v>-825.00964354200858</v>
      </c>
      <c r="J45" s="307">
        <f t="shared" si="12"/>
        <v>-9.9371815176038361</v>
      </c>
      <c r="K45" s="302">
        <f>SUM(E45:J45)</f>
        <v>-27955.700833406408</v>
      </c>
      <c r="L45" s="303" t="str">
        <f>IF(ABS(K45-D45)&lt;0.01,"ok","err")</f>
        <v>ok</v>
      </c>
      <c r="M45" s="28"/>
      <c r="N45" s="28"/>
    </row>
    <row r="46" spans="1:14" ht="15.6" x14ac:dyDescent="0.3">
      <c r="A46" s="362" t="s">
        <v>1928</v>
      </c>
      <c r="B46" s="297" t="s">
        <v>1929</v>
      </c>
      <c r="C46" s="298"/>
      <c r="D46" s="306">
        <f>SUM(D43:D45)</f>
        <v>41391.802496728342</v>
      </c>
      <c r="E46" s="306">
        <f t="shared" ref="E46:J46" si="13">SUM(E43:E45)</f>
        <v>127054.61119373192</v>
      </c>
      <c r="F46" s="307">
        <f t="shared" si="13"/>
        <v>-77673.1442723527</v>
      </c>
      <c r="G46" s="307">
        <f t="shared" si="13"/>
        <v>-4828.3720051219207</v>
      </c>
      <c r="H46" s="307">
        <f t="shared" si="13"/>
        <v>-2326.3455944693478</v>
      </c>
      <c r="I46" s="307">
        <f t="shared" si="13"/>
        <v>-825.00964354200858</v>
      </c>
      <c r="J46" s="307">
        <f t="shared" si="13"/>
        <v>-9.9371815176038361</v>
      </c>
      <c r="K46" s="302">
        <f>SUM(E46:J46)</f>
        <v>41391.802496728342</v>
      </c>
      <c r="L46" s="303" t="str">
        <f>IF(ABS(K46-D46)&lt;0.01,"ok","err")</f>
        <v>ok</v>
      </c>
      <c r="M46" s="28"/>
      <c r="N46" s="28"/>
    </row>
    <row r="47" spans="1:14" ht="15.6" x14ac:dyDescent="0.3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6" x14ac:dyDescent="0.3">
      <c r="A48" s="362" t="s">
        <v>1934</v>
      </c>
      <c r="B48" s="297" t="s">
        <v>1902</v>
      </c>
      <c r="C48" s="315">
        <f>'Allocation ProForma'!M806-SUM('Allocation ProForma'!M652:M665)-'Allocation ProForma'!M721-'Allocation ProForma'!M802-'Allocation ProForma'!M803</f>
        <v>14656501.999999998</v>
      </c>
      <c r="D48" s="306">
        <f>D41+D46</f>
        <v>14656502.008409752</v>
      </c>
      <c r="E48" s="306">
        <f t="shared" ref="E48:J48" si="14">E41+E46</f>
        <v>5992197.7992025986</v>
      </c>
      <c r="F48" s="307">
        <f t="shared" si="14"/>
        <v>5905892.2098487159</v>
      </c>
      <c r="G48" s="307">
        <f t="shared" si="14"/>
        <v>1496848.7791898327</v>
      </c>
      <c r="H48" s="307">
        <f t="shared" si="14"/>
        <v>734963.29575521976</v>
      </c>
      <c r="I48" s="307">
        <f t="shared" si="14"/>
        <v>450174.36561691016</v>
      </c>
      <c r="J48" s="307">
        <f t="shared" si="14"/>
        <v>76425.558796475263</v>
      </c>
      <c r="K48" s="302">
        <f>SUM(E48:J48)</f>
        <v>14656502.008409753</v>
      </c>
      <c r="L48" s="303" t="str">
        <f>IF(ABS(K48-D48)&lt;0.01,"ok","err")</f>
        <v>ok</v>
      </c>
      <c r="M48" s="28"/>
      <c r="N48" s="28"/>
    </row>
    <row r="49" spans="1:14" ht="15.6" x14ac:dyDescent="0.3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6" x14ac:dyDescent="0.3">
      <c r="A50" s="362" t="s">
        <v>1935</v>
      </c>
      <c r="B50" s="297" t="s">
        <v>1904</v>
      </c>
      <c r="C50" s="298"/>
      <c r="D50" s="316"/>
      <c r="E50" s="317">
        <v>486738</v>
      </c>
      <c r="F50" s="318">
        <f>'Billing Det'!C20</f>
        <v>169814470.8207581</v>
      </c>
      <c r="G50" s="318">
        <f>E50</f>
        <v>486738</v>
      </c>
      <c r="H50" s="318">
        <f>G50</f>
        <v>486738</v>
      </c>
      <c r="I50" s="318">
        <f>'Allocation ProForma'!M848</f>
        <v>2070</v>
      </c>
      <c r="J50" s="318">
        <f>I50</f>
        <v>2070</v>
      </c>
      <c r="K50" s="287"/>
      <c r="L50" s="310"/>
      <c r="M50" s="28"/>
      <c r="N50" s="28"/>
    </row>
    <row r="51" spans="1:14" ht="16.2" thickBot="1" x14ac:dyDescent="0.35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2" thickBot="1" x14ac:dyDescent="0.35">
      <c r="A52" s="365" t="s">
        <v>2446</v>
      </c>
      <c r="B52" s="319" t="s">
        <v>1906</v>
      </c>
      <c r="C52" s="320"/>
      <c r="D52" s="321"/>
      <c r="E52" s="384">
        <f t="shared" ref="E52:J52" si="15">E48/E50</f>
        <v>12.310930724953874</v>
      </c>
      <c r="F52" s="323">
        <f t="shared" si="15"/>
        <v>3.4778497858892601E-2</v>
      </c>
      <c r="G52" s="324">
        <f t="shared" si="15"/>
        <v>3.0752659114140108</v>
      </c>
      <c r="H52" s="324">
        <f t="shared" si="15"/>
        <v>1.5099772274924492</v>
      </c>
      <c r="I52" s="324">
        <f>I48/I50</f>
        <v>217.47553894536722</v>
      </c>
      <c r="J52" s="324">
        <f t="shared" si="15"/>
        <v>36.920559805060513</v>
      </c>
      <c r="K52" s="325">
        <f>I52+J52</f>
        <v>254.39609875042774</v>
      </c>
      <c r="L52" s="326"/>
      <c r="M52" s="28"/>
      <c r="N52" s="28"/>
    </row>
    <row r="53" spans="1:14" ht="15.6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6" x14ac:dyDescent="0.3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254.39609875042774</v>
      </c>
      <c r="L54" s="28"/>
      <c r="M54" s="28"/>
      <c r="N54" s="28"/>
    </row>
    <row r="55" spans="1:14" ht="15.6" x14ac:dyDescent="0.3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16.896173863860334</v>
      </c>
      <c r="L55" s="28"/>
      <c r="M55" s="28"/>
      <c r="N55" s="28"/>
    </row>
    <row r="56" spans="1:14" ht="15.6" x14ac:dyDescent="0.3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3.4778497858892601E-2</v>
      </c>
      <c r="L56" s="28"/>
      <c r="M56" s="28"/>
      <c r="N56" s="28"/>
    </row>
    <row r="57" spans="1:14" ht="15.6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6" x14ac:dyDescent="0.3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6" x14ac:dyDescent="0.3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6" x14ac:dyDescent="0.3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6" x14ac:dyDescent="0.3">
      <c r="J61" s="373"/>
      <c r="K61" s="34"/>
    </row>
    <row r="62" spans="1:14" ht="15.6" x14ac:dyDescent="0.3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3.8" x14ac:dyDescent="0.25"/>
  <cols>
    <col min="1" max="1" width="4.5546875" customWidth="1"/>
    <col min="2" max="2" width="45.44140625" bestFit="1" customWidth="1"/>
    <col min="3" max="3" width="19" hidden="1" customWidth="1"/>
    <col min="4" max="4" width="23.6640625" customWidth="1"/>
    <col min="5" max="5" width="24.88671875" bestFit="1" customWidth="1"/>
    <col min="6" max="6" width="23.33203125" bestFit="1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 x14ac:dyDescent="0.3">
      <c r="A1" s="439" t="s">
        <v>1427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</row>
    <row r="2" spans="1:14" ht="15.6" x14ac:dyDescent="0.3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6" x14ac:dyDescent="0.3">
      <c r="A3" s="439" t="s">
        <v>1911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</row>
    <row r="4" spans="1:14" ht="15.6" x14ac:dyDescent="0.3">
      <c r="A4" s="439" t="s">
        <v>2442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</row>
    <row r="5" spans="1:14" ht="15.6" x14ac:dyDescent="0.3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6" x14ac:dyDescent="0.3">
      <c r="A6" s="439" t="s">
        <v>2443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</row>
    <row r="7" spans="1:14" ht="15.6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2" thickBot="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2" thickBot="1" x14ac:dyDescent="0.35">
      <c r="A9" s="279"/>
      <c r="B9" s="280"/>
      <c r="C9" s="281"/>
      <c r="D9" s="279"/>
      <c r="E9" s="437" t="s">
        <v>1907</v>
      </c>
      <c r="F9" s="438"/>
      <c r="G9" s="282" t="s">
        <v>459</v>
      </c>
      <c r="H9" s="437" t="s">
        <v>118</v>
      </c>
      <c r="I9" s="438"/>
      <c r="J9" s="282" t="s">
        <v>1912</v>
      </c>
      <c r="K9" s="281"/>
      <c r="L9" s="283"/>
      <c r="M9" s="28"/>
      <c r="N9" s="28"/>
    </row>
    <row r="10" spans="1:14" ht="15.6" x14ac:dyDescent="0.3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6" x14ac:dyDescent="0.3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2" thickBot="1" x14ac:dyDescent="0.35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6" x14ac:dyDescent="0.3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6" x14ac:dyDescent="0.3">
      <c r="A14" s="362" t="s">
        <v>1166</v>
      </c>
      <c r="B14" s="297" t="s">
        <v>193</v>
      </c>
      <c r="C14" s="298"/>
      <c r="D14" s="299">
        <f>'Allocation ProForma'!N174</f>
        <v>248673397.50148326</v>
      </c>
      <c r="E14" s="300">
        <f>'Allocation ProForma'!N123+'Allocation ProForma'!N124+'Allocation ProForma'!N125</f>
        <v>172517053.43028069</v>
      </c>
      <c r="F14" s="301">
        <f>'Allocation ProForma'!N126</f>
        <v>6626069.5399611192</v>
      </c>
      <c r="G14" s="301">
        <f>'Allocation ProForma'!N135</f>
        <v>43294928.984050207</v>
      </c>
      <c r="H14" s="301">
        <f>'Allocation ProForma'!N145+'Allocation ProForma'!N147+'Allocation ProForma'!N152+'Allocation ProForma'!N141</f>
        <v>24998823.819233175</v>
      </c>
      <c r="I14" s="301">
        <f>'Allocation ProForma'!N146+'Allocation ProForma'!N148+'Allocation ProForma'!N153+'Allocation ProForma'!N157+'Allocation ProForma'!N160+'Allocation ProForma'!N163</f>
        <v>1076045.2683441597</v>
      </c>
      <c r="J14" s="301">
        <f>'Allocation ProForma'!N166+'Allocation ProForma'!N169</f>
        <v>160476.45961389047</v>
      </c>
      <c r="K14" s="302">
        <f>SUM(E14:J14)</f>
        <v>248673397.50148326</v>
      </c>
      <c r="L14" s="303" t="str">
        <f>IF(ABS(K14-D14)&lt;0.01,"ok","err")</f>
        <v>ok</v>
      </c>
      <c r="M14" s="28"/>
      <c r="N14" s="28"/>
    </row>
    <row r="15" spans="1:14" ht="15.6" x14ac:dyDescent="0.3">
      <c r="A15" s="362" t="s">
        <v>1323</v>
      </c>
      <c r="B15" s="297" t="s">
        <v>1888</v>
      </c>
      <c r="C15" s="298"/>
      <c r="D15" s="299">
        <f>'Allocation ProForma'!N773+'Allocation ProForma'!N774+'Allocation ProForma'!N775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6" x14ac:dyDescent="0.3">
      <c r="A16" s="362" t="s">
        <v>1889</v>
      </c>
      <c r="B16" s="297" t="s">
        <v>1890</v>
      </c>
      <c r="C16" s="298"/>
      <c r="D16" s="306">
        <f>D14+D15</f>
        <v>248673397.50148326</v>
      </c>
      <c r="E16" s="306">
        <f t="shared" ref="E16:K16" si="1">E14+E15</f>
        <v>172517053.43028069</v>
      </c>
      <c r="F16" s="307">
        <f t="shared" si="1"/>
        <v>6626069.5399611192</v>
      </c>
      <c r="G16" s="307">
        <f t="shared" si="1"/>
        <v>43294928.984050207</v>
      </c>
      <c r="H16" s="307">
        <f t="shared" si="1"/>
        <v>24998823.819233175</v>
      </c>
      <c r="I16" s="307">
        <f t="shared" si="1"/>
        <v>1076045.2683441597</v>
      </c>
      <c r="J16" s="307">
        <f t="shared" si="1"/>
        <v>160476.45961389047</v>
      </c>
      <c r="K16" s="302">
        <f t="shared" si="1"/>
        <v>248673397.50148326</v>
      </c>
      <c r="L16" s="303" t="str">
        <f>IF(ABS(K16-D16)&lt;0.01,"ok","err")</f>
        <v>ok</v>
      </c>
      <c r="M16" s="28"/>
      <c r="N16" s="28"/>
    </row>
    <row r="17" spans="1:14" ht="15.6" x14ac:dyDescent="0.3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6" x14ac:dyDescent="0.3">
      <c r="A18" s="362" t="s">
        <v>1891</v>
      </c>
      <c r="B18" s="297" t="s">
        <v>441</v>
      </c>
      <c r="C18" s="298"/>
      <c r="D18" s="311">
        <f>'Allocation ProForma'!N825</f>
        <v>8.1346155900467745E-2</v>
      </c>
      <c r="E18" s="311">
        <f t="shared" ref="E18:J18" si="2">D18</f>
        <v>8.1346155900467745E-2</v>
      </c>
      <c r="F18" s="312">
        <f t="shared" si="2"/>
        <v>8.1346155900467745E-2</v>
      </c>
      <c r="G18" s="312">
        <f t="shared" si="2"/>
        <v>8.1346155900467745E-2</v>
      </c>
      <c r="H18" s="312">
        <f t="shared" si="2"/>
        <v>8.1346155900467745E-2</v>
      </c>
      <c r="I18" s="312">
        <f t="shared" si="2"/>
        <v>8.1346155900467745E-2</v>
      </c>
      <c r="J18" s="312">
        <f t="shared" si="2"/>
        <v>8.1346155900467745E-2</v>
      </c>
      <c r="K18" s="302"/>
      <c r="L18" s="303"/>
      <c r="M18" s="28"/>
      <c r="N18" s="28"/>
    </row>
    <row r="19" spans="1:14" ht="15.6" x14ac:dyDescent="0.3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6" x14ac:dyDescent="0.3">
      <c r="A20" s="362" t="s">
        <v>1892</v>
      </c>
      <c r="B20" s="297" t="s">
        <v>1893</v>
      </c>
      <c r="C20" s="298"/>
      <c r="D20" s="306">
        <f>D18*D16</f>
        <v>20228624.961454645</v>
      </c>
      <c r="E20" s="306">
        <f t="shared" ref="E20:J20" si="3">E18*E16</f>
        <v>14033599.123828936</v>
      </c>
      <c r="F20" s="307">
        <f t="shared" si="3"/>
        <v>539005.2858050178</v>
      </c>
      <c r="G20" s="307">
        <f t="shared" si="3"/>
        <v>3521876.0428362279</v>
      </c>
      <c r="H20" s="307">
        <f t="shared" si="3"/>
        <v>2033558.2197276684</v>
      </c>
      <c r="I20" s="307">
        <f t="shared" si="3"/>
        <v>87532.146154684669</v>
      </c>
      <c r="J20" s="307">
        <f t="shared" si="3"/>
        <v>13054.143102106651</v>
      </c>
      <c r="K20" s="302">
        <f>SUM(E20:J20)</f>
        <v>20228624.961454641</v>
      </c>
      <c r="L20" s="303" t="str">
        <f>IF(ABS(K20-D20)&lt;0.01,"ok","err")</f>
        <v>ok</v>
      </c>
      <c r="M20" s="28"/>
      <c r="N20" s="28"/>
    </row>
    <row r="21" spans="1:14" ht="15.6" x14ac:dyDescent="0.3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6" x14ac:dyDescent="0.3">
      <c r="A22" s="362" t="s">
        <v>1324</v>
      </c>
      <c r="B22" s="297" t="s">
        <v>1894</v>
      </c>
      <c r="C22" s="298"/>
      <c r="D22" s="306">
        <f>'Allocation ProForma'!N705</f>
        <v>5913421.431592077</v>
      </c>
      <c r="E22" s="306">
        <f t="shared" ref="E22:J22" si="4">(E14/$D$14)*$D$22</f>
        <v>4102433.3576479657</v>
      </c>
      <c r="F22" s="307">
        <f t="shared" si="4"/>
        <v>157567.08203816542</v>
      </c>
      <c r="G22" s="307">
        <f t="shared" si="4"/>
        <v>1029547.846717349</v>
      </c>
      <c r="H22" s="307">
        <f t="shared" si="4"/>
        <v>594468.81742292596</v>
      </c>
      <c r="I22" s="307">
        <f t="shared" si="4"/>
        <v>25588.218181446802</v>
      </c>
      <c r="J22" s="307">
        <f t="shared" si="4"/>
        <v>3816.109584223379</v>
      </c>
      <c r="K22" s="302">
        <f>SUM(E22:J22)</f>
        <v>5913421.4315920761</v>
      </c>
      <c r="L22" s="303" t="str">
        <f>IF(ABS(K22-D22)&lt;0.01,"ok","err")</f>
        <v>ok</v>
      </c>
      <c r="M22" s="28"/>
      <c r="N22" s="28"/>
    </row>
    <row r="23" spans="1:14" ht="15.6" x14ac:dyDescent="0.3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6" x14ac:dyDescent="0.3">
      <c r="A24" s="362" t="s">
        <v>1325</v>
      </c>
      <c r="B24" s="297" t="s">
        <v>209</v>
      </c>
      <c r="C24" s="298"/>
      <c r="D24" s="306">
        <f>D20-D22</f>
        <v>14315203.529862568</v>
      </c>
      <c r="E24" s="306">
        <f t="shared" ref="E24:J24" si="5">E20-E22</f>
        <v>9931165.7661809698</v>
      </c>
      <c r="F24" s="307">
        <f t="shared" si="5"/>
        <v>381438.20376685238</v>
      </c>
      <c r="G24" s="307">
        <f t="shared" si="5"/>
        <v>2492328.1961188791</v>
      </c>
      <c r="H24" s="307">
        <f t="shared" si="5"/>
        <v>1439089.4023047425</v>
      </c>
      <c r="I24" s="307">
        <f t="shared" si="5"/>
        <v>61943.927973237864</v>
      </c>
      <c r="J24" s="307">
        <f t="shared" si="5"/>
        <v>9238.033517883272</v>
      </c>
      <c r="K24" s="302">
        <f>SUM(E24:J24)</f>
        <v>14315203.529862568</v>
      </c>
      <c r="L24" s="303" t="str">
        <f>IF(ABS(K24-D24)&lt;0.01,"ok","err")</f>
        <v>ok</v>
      </c>
      <c r="M24" s="28"/>
      <c r="N24" s="28"/>
    </row>
    <row r="25" spans="1:14" ht="15.6" x14ac:dyDescent="0.3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6" x14ac:dyDescent="0.3">
      <c r="A26" s="362" t="s">
        <v>1326</v>
      </c>
      <c r="B26" s="297" t="s">
        <v>553</v>
      </c>
      <c r="C26" s="298"/>
      <c r="D26" s="306">
        <f>'Allocation ProForma'!N740+'Allocation ProForma'!N817</f>
        <v>9896227.3951710649</v>
      </c>
      <c r="E26" s="306">
        <f t="shared" ref="E26:J26" si="6">$D$26*(E24/$K$24)</f>
        <v>6865503.1356168706</v>
      </c>
      <c r="F26" s="307">
        <f t="shared" si="6"/>
        <v>263691.61945953884</v>
      </c>
      <c r="G26" s="307">
        <f t="shared" si="6"/>
        <v>1722968.6270779641</v>
      </c>
      <c r="H26" s="307">
        <f t="shared" si="6"/>
        <v>994855.29056430189</v>
      </c>
      <c r="I26" s="307">
        <f t="shared" si="6"/>
        <v>42822.387798711577</v>
      </c>
      <c r="J26" s="307">
        <f t="shared" si="6"/>
        <v>6386.3346536759054</v>
      </c>
      <c r="K26" s="302">
        <f>SUM(E26:J26)</f>
        <v>9896227.395171063</v>
      </c>
      <c r="L26" s="303" t="str">
        <f>IF(ABS(K26-D26)&lt;0.01,"ok","err")</f>
        <v>ok</v>
      </c>
      <c r="M26" s="28"/>
      <c r="N26" s="28"/>
    </row>
    <row r="27" spans="1:14" ht="15.6" x14ac:dyDescent="0.3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6" x14ac:dyDescent="0.3">
      <c r="A28" s="362" t="s">
        <v>1327</v>
      </c>
      <c r="B28" s="297" t="s">
        <v>795</v>
      </c>
      <c r="C28" s="298"/>
      <c r="D28" s="306">
        <f>'Allocation ProForma'!N671</f>
        <v>75124152.589057371</v>
      </c>
      <c r="E28" s="306">
        <f>'Allocation ProForma'!N180+'Allocation ProForma'!N181+'Allocation ProForma'!N182</f>
        <v>9133524.1214400437</v>
      </c>
      <c r="F28" s="307">
        <f>'Allocation ProForma'!N183</f>
        <v>59018115.113687538</v>
      </c>
      <c r="G28" s="307">
        <f>'Allocation ProForma'!N192</f>
        <v>3671996.5503580743</v>
      </c>
      <c r="H28" s="307">
        <f>'Allocation ProForma'!N198+'Allocation ProForma'!N202+'Allocation ProForma'!N204+'Allocation ProForma'!N209</f>
        <v>1731140.7627557232</v>
      </c>
      <c r="I28" s="307">
        <f>'Allocation ProForma'!N203+'Allocation ProForma'!N205+'Allocation ProForma'!N210+'Allocation ProForma'!N214+'Allocation ProForma'!N217</f>
        <v>236724.45787681555</v>
      </c>
      <c r="J28" s="307">
        <f>'Allocation ProForma'!N223+'Allocation ProForma'!N226</f>
        <v>1332651.5829391754</v>
      </c>
      <c r="K28" s="302">
        <f>SUM(E28:J28)</f>
        <v>75124152.589057371</v>
      </c>
      <c r="L28" s="303" t="str">
        <f>IF(ABS(K28-D28)&lt;0.01,"ok","err")</f>
        <v>ok</v>
      </c>
      <c r="M28" s="28"/>
      <c r="N28" s="28"/>
    </row>
    <row r="29" spans="1:14" ht="15.6" x14ac:dyDescent="0.3">
      <c r="A29" s="362" t="s">
        <v>1895</v>
      </c>
      <c r="B29" s="297" t="s">
        <v>843</v>
      </c>
      <c r="C29" s="298"/>
      <c r="D29" s="306">
        <f>'Allocation ProForma'!N672</f>
        <v>16175658.255553182</v>
      </c>
      <c r="E29" s="306">
        <f>'Allocation ProForma'!N300</f>
        <v>12819941.739670051</v>
      </c>
      <c r="F29" s="307">
        <v>0</v>
      </c>
      <c r="G29" s="307">
        <f>'Allocation ProForma'!N306</f>
        <v>2006519.6807641857</v>
      </c>
      <c r="H29" s="307">
        <f>'Allocation ProForma'!N312+'Allocation ProForma'!N316+'Allocation ProForma'!N318+'Allocation ProForma'!N323</f>
        <v>1294519.1226848233</v>
      </c>
      <c r="I29" s="307">
        <f>'Allocation ProForma'!N317+'Allocation ProForma'!N319+'Allocation ProForma'!N324+'Allocation ProForma'!N328+'Allocation ProForma'!N331</f>
        <v>54677.712434123212</v>
      </c>
      <c r="J29" s="307">
        <v>0</v>
      </c>
      <c r="K29" s="302">
        <f>SUM(E29:J29)</f>
        <v>16175658.255553182</v>
      </c>
      <c r="L29" s="303" t="str">
        <f>IF(ABS(K29-D29)&lt;0.01,"ok","err")</f>
        <v>ok</v>
      </c>
      <c r="M29" s="28"/>
      <c r="N29" s="28"/>
    </row>
    <row r="30" spans="1:14" ht="15.6" x14ac:dyDescent="0.3">
      <c r="A30" s="362" t="s">
        <v>1896</v>
      </c>
      <c r="B30" s="297" t="s">
        <v>428</v>
      </c>
      <c r="C30" s="298"/>
      <c r="D30" s="306">
        <f>'Allocation ProForma'!N674+'Allocation ProForma'!N675+'Allocation ProForma'!N676+'Allocation ProForma'!N673</f>
        <v>2597714.7732068999</v>
      </c>
      <c r="E30" s="306">
        <f>'Allocation ProForma'!N414+'Allocation ProForma'!N471+'Allocation ProForma'!N357</f>
        <v>1910181.4617099883</v>
      </c>
      <c r="F30" s="307">
        <f>'Allocation ProForma'!N529</f>
        <v>0</v>
      </c>
      <c r="G30" s="307">
        <f>'Allocation ProForma'!N420+'Allocation ProForma'!N477+'Allocation ProForma'!N363</f>
        <v>423590.78334181954</v>
      </c>
      <c r="H30" s="307">
        <f>'Allocation ProForma'!N426+'Allocation ProForma'!N430+'Allocation ProForma'!N432+'Allocation ProForma'!N437+'Allocation ProForma'!N483+'Allocation ProForma'!N487+'Allocation ProForma'!N489+'Allocation ProForma'!N494+'Allocation ProForma'!N369+'Allocation ProForma'!N373+'Allocation ProForma'!N375+'Allocation ProForma'!N380</f>
        <v>253245.96166609105</v>
      </c>
      <c r="I30" s="307">
        <f>'Allocation ProForma'!N431+'Allocation ProForma'!N433+'Allocation ProForma'!N438+'Allocation ProForma'!N442+'Allocation ProForma'!N445+'Allocation ProForma'!N488+'Allocation ProForma'!N490+'Allocation ProForma'!N495+'Allocation ProForma'!N499+'Allocation ProForma'!N502+'Allocation ProForma'!N374+'Allocation ProForma'!N376+'Allocation ProForma'!N381+'Allocation ProForma'!N385+'Allocation ProForma'!N388</f>
        <v>10696.566489001041</v>
      </c>
      <c r="J30" s="307">
        <v>0</v>
      </c>
      <c r="K30" s="302">
        <f>SUM(E30:J30)</f>
        <v>2597714.7732068999</v>
      </c>
      <c r="L30" s="303" t="str">
        <f>IF(ABS(K30-D30)&lt;0.01,"ok","err")</f>
        <v>ok</v>
      </c>
      <c r="M30" s="28"/>
      <c r="N30" s="28"/>
    </row>
    <row r="31" spans="1:14" ht="15.6" x14ac:dyDescent="0.3">
      <c r="A31" s="362" t="s">
        <v>1897</v>
      </c>
      <c r="B31" s="297" t="s">
        <v>1933</v>
      </c>
      <c r="C31" s="298"/>
      <c r="D31" s="306">
        <f>'Allocation ProForma'!N679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6" x14ac:dyDescent="0.3">
      <c r="A32" s="362" t="s">
        <v>1898</v>
      </c>
      <c r="B32" s="297" t="s">
        <v>1915</v>
      </c>
      <c r="C32" s="298"/>
      <c r="D32" s="306">
        <f>'Allocation ProForma'!N745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6" x14ac:dyDescent="0.3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6" x14ac:dyDescent="0.3">
      <c r="A34" s="362" t="s">
        <v>1901</v>
      </c>
      <c r="B34" s="297" t="s">
        <v>1918</v>
      </c>
      <c r="C34" s="298"/>
      <c r="D34" s="306">
        <f>'Allocation ProForma'!N756+'Allocation ProForma'!N759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6" x14ac:dyDescent="0.3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6" x14ac:dyDescent="0.3">
      <c r="A36" s="364" t="s">
        <v>1905</v>
      </c>
      <c r="B36" s="297" t="s">
        <v>1917</v>
      </c>
      <c r="C36" s="298"/>
      <c r="D36" s="306">
        <f>SUM('Allocation ProForma'!N813:N815)-'Allocation ProForma'!N721</f>
        <v>41452.223904555045</v>
      </c>
      <c r="E36" s="306">
        <f t="shared" ref="E36:J36" si="9">(E14/($D$14)*$D$36)</f>
        <v>28757.460982948229</v>
      </c>
      <c r="F36" s="307">
        <f t="shared" si="9"/>
        <v>1104.5223209932701</v>
      </c>
      <c r="G36" s="307">
        <f t="shared" si="9"/>
        <v>7216.9806187972099</v>
      </c>
      <c r="H36" s="307">
        <f t="shared" si="9"/>
        <v>4167.1399221510874</v>
      </c>
      <c r="I36" s="307">
        <f t="shared" si="9"/>
        <v>179.36968667737398</v>
      </c>
      <c r="J36" s="307">
        <f t="shared" si="9"/>
        <v>26.750372987868939</v>
      </c>
      <c r="K36" s="302">
        <f t="shared" si="8"/>
        <v>41452.223904555038</v>
      </c>
      <c r="L36" s="303" t="str">
        <f t="shared" si="7"/>
        <v>ok</v>
      </c>
      <c r="M36" s="28"/>
      <c r="N36" s="28"/>
    </row>
    <row r="37" spans="1:14" ht="15.6" x14ac:dyDescent="0.3">
      <c r="A37" s="364" t="s">
        <v>1919</v>
      </c>
      <c r="B37" s="297" t="s">
        <v>2444</v>
      </c>
      <c r="C37" s="381"/>
      <c r="D37" s="306">
        <f>-'Allocation ProForma'!N802-'Allocation ProForma'!N803</f>
        <v>-724649.38510380452</v>
      </c>
      <c r="E37" s="306">
        <f>-'Allocation ProForma'!N802-'Allocation ProForma'!$N$803*(E14/$D$14)</f>
        <v>-724646.57246909465</v>
      </c>
      <c r="F37" s="383">
        <f>-'Allocation ProForma'!$N$803*(F14/$D$14)</f>
        <v>-0.24471648955201686</v>
      </c>
      <c r="G37" s="383">
        <f>-'Allocation ProForma'!$N$803*(G14/$D$14)</f>
        <v>-1.5989845824109485</v>
      </c>
      <c r="H37" s="383">
        <f>-'Allocation ProForma'!$N$803*(H14/$D$14)</f>
        <v>-0.9232659529268965</v>
      </c>
      <c r="I37" s="383">
        <f>-'Allocation ProForma'!$N$803*(I14/$D$14)</f>
        <v>-3.9740908102480599E-2</v>
      </c>
      <c r="J37" s="383">
        <f>-'Allocation ProForma'!$N$803*(J14/$D$14)</f>
        <v>-5.9267768947498436E-3</v>
      </c>
      <c r="K37" s="302">
        <f t="shared" si="8"/>
        <v>-724649.38510380464</v>
      </c>
      <c r="L37" s="303" t="str">
        <f t="shared" si="7"/>
        <v>ok</v>
      </c>
      <c r="M37" s="28"/>
      <c r="N37" s="28"/>
    </row>
    <row r="38" spans="1:14" ht="15.6" x14ac:dyDescent="0.3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6" x14ac:dyDescent="0.3">
      <c r="A39" s="362" t="s">
        <v>1920</v>
      </c>
      <c r="B39" s="297" t="s">
        <v>1924</v>
      </c>
      <c r="C39" s="298"/>
      <c r="D39" s="306">
        <f t="shared" ref="D39:J39" si="10">SUM(D32:D37)</f>
        <v>-683197.16119924944</v>
      </c>
      <c r="E39" s="306">
        <f t="shared" si="10"/>
        <v>-695889.11148614646</v>
      </c>
      <c r="F39" s="307">
        <f t="shared" si="10"/>
        <v>1104.2776045037181</v>
      </c>
      <c r="G39" s="307">
        <f t="shared" si="10"/>
        <v>7215.3816342147993</v>
      </c>
      <c r="H39" s="307">
        <f t="shared" si="10"/>
        <v>4166.2166561981603</v>
      </c>
      <c r="I39" s="307">
        <f t="shared" si="10"/>
        <v>179.32994576927149</v>
      </c>
      <c r="J39" s="307">
        <f t="shared" si="10"/>
        <v>26.744446210974189</v>
      </c>
      <c r="K39" s="302">
        <f t="shared" si="8"/>
        <v>-683197.16119924956</v>
      </c>
      <c r="L39" s="303" t="str">
        <f t="shared" si="7"/>
        <v>ok</v>
      </c>
      <c r="M39" s="28"/>
      <c r="N39" s="28"/>
    </row>
    <row r="40" spans="1:14" ht="15.6" x14ac:dyDescent="0.3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6" x14ac:dyDescent="0.3">
      <c r="A41" s="362" t="s">
        <v>1921</v>
      </c>
      <c r="B41" s="297" t="s">
        <v>1899</v>
      </c>
      <c r="C41" s="313"/>
      <c r="D41" s="306">
        <f>SUM(D28:D31)+D22+D26+D39+D24</f>
        <v>123339180.81324391</v>
      </c>
      <c r="E41" s="306">
        <f t="shared" ref="E41:J41" si="11">SUM(E28:E31)+E22+E26+E39+E24</f>
        <v>44066860.470779747</v>
      </c>
      <c r="F41" s="307">
        <f t="shared" si="11"/>
        <v>59821916.296556599</v>
      </c>
      <c r="G41" s="307">
        <f t="shared" si="11"/>
        <v>11354167.066012487</v>
      </c>
      <c r="H41" s="307">
        <f t="shared" si="11"/>
        <v>6311485.5740548056</v>
      </c>
      <c r="I41" s="307">
        <f t="shared" si="11"/>
        <v>432632.6006991053</v>
      </c>
      <c r="J41" s="307">
        <f t="shared" si="11"/>
        <v>1352118.8051411691</v>
      </c>
      <c r="K41" s="302">
        <f>SUM(E41:J41)</f>
        <v>123339180.81324391</v>
      </c>
      <c r="L41" s="303" t="str">
        <f>IF(ABS(K41-D41)&lt;0.01,"ok","err")</f>
        <v>ok</v>
      </c>
      <c r="M41" s="28"/>
      <c r="N41" s="28"/>
    </row>
    <row r="42" spans="1:14" ht="15.6" x14ac:dyDescent="0.3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6" x14ac:dyDescent="0.3">
      <c r="A43" s="362" t="s">
        <v>1922</v>
      </c>
      <c r="B43" s="297" t="s">
        <v>2432</v>
      </c>
      <c r="C43" s="298"/>
      <c r="D43" s="306">
        <f>-'Allocation ProForma'!N654</f>
        <v>1450867.2355036079</v>
      </c>
      <c r="E43" s="306">
        <f>D43</f>
        <v>1450867.2355036079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1450867.2355036079</v>
      </c>
      <c r="L43" s="303" t="str">
        <f>IF(ABS(K43-D43)&lt;0.01,"ok","err")</f>
        <v>ok</v>
      </c>
      <c r="M43" s="28"/>
      <c r="N43" s="28"/>
    </row>
    <row r="44" spans="1:14" ht="15.6" x14ac:dyDescent="0.3">
      <c r="A44" s="362" t="s">
        <v>1923</v>
      </c>
      <c r="B44" s="297" t="s">
        <v>1925</v>
      </c>
      <c r="C44" s="298"/>
      <c r="D44" s="306">
        <f>-('Allocation ProForma'!N652+'Allocation ProForma'!N653)</f>
        <v>-776254.74686152849</v>
      </c>
      <c r="E44" s="306">
        <v>0</v>
      </c>
      <c r="F44" s="307">
        <f>D44</f>
        <v>-776254.74686152849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-776254.74686152849</v>
      </c>
      <c r="L44" s="303" t="str">
        <f>IF(ABS(K44-D44)&lt;0.01,"ok","err")</f>
        <v>ok</v>
      </c>
      <c r="M44" s="28"/>
      <c r="N44" s="28"/>
    </row>
    <row r="45" spans="1:14" ht="15.6" x14ac:dyDescent="0.3">
      <c r="A45" s="362" t="s">
        <v>1927</v>
      </c>
      <c r="B45" s="297" t="s">
        <v>1926</v>
      </c>
      <c r="C45" s="298"/>
      <c r="D45" s="306">
        <f>-('Allocation ProForma'!N655+'Allocation ProForma'!N656+'Allocation ProForma'!N657+'Allocation ProForma'!N658+'Allocation ProForma'!N661+'Allocation ProForma'!N662+'Allocation ProForma'!N663+'Allocation ProForma'!N664+'Allocation ProForma'!N665)</f>
        <v>-267899.21848258667</v>
      </c>
      <c r="E45" s="306">
        <f t="shared" ref="E45:J45" si="12">(E14/($D$14)*$D$45)</f>
        <v>-185854.95776087255</v>
      </c>
      <c r="F45" s="307">
        <f t="shared" si="12"/>
        <v>-7138.3544408133494</v>
      </c>
      <c r="G45" s="307">
        <f t="shared" si="12"/>
        <v>-46642.213262948477</v>
      </c>
      <c r="H45" s="307">
        <f t="shared" si="12"/>
        <v>-26931.571416345381</v>
      </c>
      <c r="I45" s="307">
        <f t="shared" si="12"/>
        <v>-1159.238138609363</v>
      </c>
      <c r="J45" s="307">
        <f t="shared" si="12"/>
        <v>-172.88346299751348</v>
      </c>
      <c r="K45" s="302">
        <f>SUM(E45:J45)</f>
        <v>-267899.21848258667</v>
      </c>
      <c r="L45" s="303" t="str">
        <f>IF(ABS(K45-D45)&lt;0.01,"ok","err")</f>
        <v>ok</v>
      </c>
      <c r="M45" s="28"/>
      <c r="N45" s="28"/>
    </row>
    <row r="46" spans="1:14" ht="15.6" x14ac:dyDescent="0.3">
      <c r="A46" s="362" t="s">
        <v>1928</v>
      </c>
      <c r="B46" s="297" t="s">
        <v>1929</v>
      </c>
      <c r="C46" s="298"/>
      <c r="D46" s="306">
        <f>SUM(D43:D45)</f>
        <v>406713.27015949273</v>
      </c>
      <c r="E46" s="306">
        <f t="shared" ref="E46:J46" si="13">SUM(E43:E45)</f>
        <v>1265012.2777427353</v>
      </c>
      <c r="F46" s="307">
        <f t="shared" si="13"/>
        <v>-783393.10130234179</v>
      </c>
      <c r="G46" s="307">
        <f t="shared" si="13"/>
        <v>-46642.213262948477</v>
      </c>
      <c r="H46" s="307">
        <f t="shared" si="13"/>
        <v>-26931.571416345381</v>
      </c>
      <c r="I46" s="307">
        <f t="shared" si="13"/>
        <v>-1159.238138609363</v>
      </c>
      <c r="J46" s="307">
        <f t="shared" si="13"/>
        <v>-172.88346299751348</v>
      </c>
      <c r="K46" s="302">
        <f>SUM(E46:J46)</f>
        <v>406713.27015949279</v>
      </c>
      <c r="L46" s="303" t="str">
        <f>IF(ABS(K46-D46)&lt;0.01,"ok","err")</f>
        <v>ok</v>
      </c>
      <c r="M46" s="28"/>
      <c r="N46" s="28"/>
    </row>
    <row r="47" spans="1:14" ht="15.6" x14ac:dyDescent="0.3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6" x14ac:dyDescent="0.3">
      <c r="A48" s="362" t="s">
        <v>1934</v>
      </c>
      <c r="B48" s="297" t="s">
        <v>1902</v>
      </c>
      <c r="C48" s="315">
        <f>'Allocation ProForma'!N806-SUM('Allocation ProForma'!N652:N665)-'Allocation ProForma'!N721-'Allocation ProForma'!N802-'Allocation ProForma'!N803</f>
        <v>123745894.00000001</v>
      </c>
      <c r="D48" s="306">
        <f>D41+D46</f>
        <v>123745894.08340341</v>
      </c>
      <c r="E48" s="306">
        <f t="shared" ref="E48:J48" si="14">E41+E46</f>
        <v>45331872.748522483</v>
      </c>
      <c r="F48" s="307">
        <f t="shared" si="14"/>
        <v>59038523.195254259</v>
      </c>
      <c r="G48" s="307">
        <f t="shared" si="14"/>
        <v>11307524.852749538</v>
      </c>
      <c r="H48" s="307">
        <f t="shared" si="14"/>
        <v>6284554.0026384601</v>
      </c>
      <c r="I48" s="307">
        <f t="shared" si="14"/>
        <v>431473.36256049591</v>
      </c>
      <c r="J48" s="307">
        <f t="shared" si="14"/>
        <v>1351945.9216781715</v>
      </c>
      <c r="K48" s="302">
        <f>SUM(E48:J48)</f>
        <v>123745894.08340341</v>
      </c>
      <c r="L48" s="303" t="str">
        <f>IF(ABS(K48-D48)&lt;0.01,"ok","err")</f>
        <v>ok</v>
      </c>
      <c r="M48" s="28"/>
      <c r="N48" s="28"/>
    </row>
    <row r="49" spans="1:14" ht="15.6" x14ac:dyDescent="0.3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6" x14ac:dyDescent="0.3">
      <c r="A50" s="362" t="s">
        <v>1935</v>
      </c>
      <c r="B50" s="297" t="s">
        <v>1904</v>
      </c>
      <c r="C50" s="298"/>
      <c r="D50" s="316"/>
      <c r="E50" s="317">
        <v>3908916</v>
      </c>
      <c r="F50" s="318">
        <f>'Billing Det'!C22</f>
        <v>1671130914.5630004</v>
      </c>
      <c r="G50" s="318">
        <v>5210823</v>
      </c>
      <c r="H50" s="318">
        <f>G50</f>
        <v>5210823</v>
      </c>
      <c r="I50" s="318">
        <f>'Allocation ProForma'!N848</f>
        <v>7419</v>
      </c>
      <c r="J50" s="318">
        <f>I50</f>
        <v>7419</v>
      </c>
      <c r="K50" s="287"/>
      <c r="L50" s="310"/>
      <c r="M50" s="28"/>
      <c r="N50" s="28"/>
    </row>
    <row r="51" spans="1:14" ht="16.2" thickBot="1" x14ac:dyDescent="0.35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2" thickBot="1" x14ac:dyDescent="0.35">
      <c r="A52" s="365" t="s">
        <v>2446</v>
      </c>
      <c r="B52" s="319" t="s">
        <v>1906</v>
      </c>
      <c r="C52" s="320"/>
      <c r="D52" s="321"/>
      <c r="E52" s="384">
        <f t="shared" ref="E52:J52" si="15">E48/E50</f>
        <v>11.597044487147455</v>
      </c>
      <c r="F52" s="323">
        <f t="shared" si="15"/>
        <v>3.5328484848652801E-2</v>
      </c>
      <c r="G52" s="324">
        <f t="shared" si="15"/>
        <v>2.1700074734354895</v>
      </c>
      <c r="H52" s="324">
        <f t="shared" si="15"/>
        <v>1.206057853555659</v>
      </c>
      <c r="I52" s="324">
        <f>I48/I50</f>
        <v>58.157886852742408</v>
      </c>
      <c r="J52" s="324">
        <f t="shared" si="15"/>
        <v>182.22751336813204</v>
      </c>
      <c r="K52" s="325">
        <f>I52+J52</f>
        <v>240.38540022087443</v>
      </c>
      <c r="L52" s="326"/>
      <c r="M52" s="28"/>
      <c r="N52" s="28"/>
    </row>
    <row r="53" spans="1:14" ht="15.6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6" x14ac:dyDescent="0.3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240.38540022087443</v>
      </c>
      <c r="L54" s="28"/>
      <c r="M54" s="28"/>
      <c r="N54" s="28"/>
    </row>
    <row r="55" spans="1:14" ht="15.6" x14ac:dyDescent="0.3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14.973109814138605</v>
      </c>
      <c r="L55" s="28"/>
      <c r="M55" s="28"/>
      <c r="N55" s="28"/>
    </row>
    <row r="56" spans="1:14" ht="15.6" x14ac:dyDescent="0.3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3.5328484848652801E-2</v>
      </c>
      <c r="L56" s="28"/>
      <c r="M56" s="28"/>
      <c r="N56" s="28"/>
    </row>
    <row r="57" spans="1:14" ht="15.6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6" x14ac:dyDescent="0.3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6" x14ac:dyDescent="0.3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6" x14ac:dyDescent="0.3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6" x14ac:dyDescent="0.3">
      <c r="J61" s="373"/>
      <c r="K61" s="34"/>
    </row>
    <row r="62" spans="1:14" ht="15.6" x14ac:dyDescent="0.3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3.8" x14ac:dyDescent="0.25"/>
  <cols>
    <col min="1" max="1" width="4.5546875" customWidth="1"/>
    <col min="2" max="2" width="45.44140625" bestFit="1" customWidth="1"/>
    <col min="3" max="3" width="19" hidden="1" customWidth="1"/>
    <col min="4" max="4" width="23.6640625" customWidth="1"/>
    <col min="5" max="5" width="24.88671875" bestFit="1" customWidth="1"/>
    <col min="6" max="6" width="23.33203125" bestFit="1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 x14ac:dyDescent="0.3">
      <c r="A1" s="439" t="s">
        <v>1427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</row>
    <row r="2" spans="1:14" ht="15.6" x14ac:dyDescent="0.3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6" x14ac:dyDescent="0.3">
      <c r="A3" s="439" t="s">
        <v>1911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</row>
    <row r="4" spans="1:14" ht="15.6" x14ac:dyDescent="0.3">
      <c r="A4" s="439" t="s">
        <v>2442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</row>
    <row r="5" spans="1:14" ht="15.6" x14ac:dyDescent="0.3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6" x14ac:dyDescent="0.3">
      <c r="A6" s="439" t="s">
        <v>2447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</row>
    <row r="7" spans="1:14" ht="15.6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2" thickBot="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2" thickBot="1" x14ac:dyDescent="0.35">
      <c r="A9" s="279"/>
      <c r="B9" s="280"/>
      <c r="C9" s="281"/>
      <c r="D9" s="279"/>
      <c r="E9" s="437" t="s">
        <v>1907</v>
      </c>
      <c r="F9" s="438"/>
      <c r="G9" s="282" t="s">
        <v>459</v>
      </c>
      <c r="H9" s="437" t="s">
        <v>118</v>
      </c>
      <c r="I9" s="438"/>
      <c r="J9" s="282" t="s">
        <v>1912</v>
      </c>
      <c r="K9" s="281"/>
      <c r="L9" s="283"/>
      <c r="M9" s="28"/>
      <c r="N9" s="28"/>
    </row>
    <row r="10" spans="1:14" ht="15.6" x14ac:dyDescent="0.3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6" x14ac:dyDescent="0.3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2" thickBot="1" x14ac:dyDescent="0.35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6" x14ac:dyDescent="0.3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6" x14ac:dyDescent="0.3">
      <c r="A14" s="362" t="s">
        <v>1166</v>
      </c>
      <c r="B14" s="297" t="s">
        <v>193</v>
      </c>
      <c r="C14" s="298"/>
      <c r="D14" s="299">
        <f>'Allocation ProForma'!O174</f>
        <v>533415050.36546725</v>
      </c>
      <c r="E14" s="300">
        <f>'Allocation ProForma'!O123+'Allocation ProForma'!O124+'Allocation ProForma'!O125</f>
        <v>377307284.07387853</v>
      </c>
      <c r="F14" s="301">
        <f>'Allocation ProForma'!O126</f>
        <v>15927713.238484414</v>
      </c>
      <c r="G14" s="301">
        <f>'Allocation ProForma'!O135</f>
        <v>94689143.735839963</v>
      </c>
      <c r="H14" s="301">
        <f>'Allocation ProForma'!O145+'Allocation ProForma'!O147+'Allocation ProForma'!O152+'Allocation ProForma'!O141</f>
        <v>43809007.132623091</v>
      </c>
      <c r="I14" s="301">
        <f>'Allocation ProForma'!O146+'Allocation ProForma'!O148+'Allocation ProForma'!O153+'Allocation ProForma'!O157+'Allocation ProForma'!O160+'Allocation ProForma'!O163</f>
        <v>1609973.4155262471</v>
      </c>
      <c r="J14" s="301">
        <f>'Allocation ProForma'!O166+'Allocation ProForma'!O169</f>
        <v>71928.769114963856</v>
      </c>
      <c r="K14" s="302">
        <f>SUM(E14:J14)</f>
        <v>533415050.36546725</v>
      </c>
      <c r="L14" s="303" t="str">
        <f>IF(ABS(K14-D14)&lt;0.01,"ok","err")</f>
        <v>ok</v>
      </c>
      <c r="M14" s="28"/>
      <c r="N14" s="28"/>
    </row>
    <row r="15" spans="1:14" ht="15.6" x14ac:dyDescent="0.3">
      <c r="A15" s="362" t="s">
        <v>1323</v>
      </c>
      <c r="B15" s="297" t="s">
        <v>1888</v>
      </c>
      <c r="C15" s="298"/>
      <c r="D15" s="299">
        <f>'Allocation ProForma'!O773+'Allocation ProForma'!O774+'Allocation ProForma'!O775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6" x14ac:dyDescent="0.3">
      <c r="A16" s="362" t="s">
        <v>1889</v>
      </c>
      <c r="B16" s="297" t="s">
        <v>1890</v>
      </c>
      <c r="C16" s="298"/>
      <c r="D16" s="306">
        <f>D14+D15</f>
        <v>533415050.36546725</v>
      </c>
      <c r="E16" s="306">
        <f t="shared" ref="E16:K16" si="1">E14+E15</f>
        <v>377307284.07387853</v>
      </c>
      <c r="F16" s="307">
        <f t="shared" si="1"/>
        <v>15927713.238484414</v>
      </c>
      <c r="G16" s="307">
        <f t="shared" si="1"/>
        <v>94689143.735839963</v>
      </c>
      <c r="H16" s="307">
        <f t="shared" si="1"/>
        <v>43809007.132623091</v>
      </c>
      <c r="I16" s="307">
        <f t="shared" si="1"/>
        <v>1609973.4155262471</v>
      </c>
      <c r="J16" s="307">
        <f t="shared" si="1"/>
        <v>71928.769114963856</v>
      </c>
      <c r="K16" s="302">
        <f t="shared" si="1"/>
        <v>533415050.36546725</v>
      </c>
      <c r="L16" s="303" t="str">
        <f>IF(ABS(K16-D16)&lt;0.01,"ok","err")</f>
        <v>ok</v>
      </c>
      <c r="M16" s="28"/>
      <c r="N16" s="28"/>
    </row>
    <row r="17" spans="1:14" ht="15.6" x14ac:dyDescent="0.3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6" x14ac:dyDescent="0.3">
      <c r="A18" s="362" t="s">
        <v>1891</v>
      </c>
      <c r="B18" s="297" t="s">
        <v>441</v>
      </c>
      <c r="C18" s="298"/>
      <c r="D18" s="311">
        <f>'Allocation ProForma'!O825</f>
        <v>7.0510376134038419E-2</v>
      </c>
      <c r="E18" s="311">
        <f t="shared" ref="E18:J18" si="2">D18</f>
        <v>7.0510376134038419E-2</v>
      </c>
      <c r="F18" s="312">
        <f t="shared" si="2"/>
        <v>7.0510376134038419E-2</v>
      </c>
      <c r="G18" s="312">
        <f t="shared" si="2"/>
        <v>7.0510376134038419E-2</v>
      </c>
      <c r="H18" s="312">
        <f t="shared" si="2"/>
        <v>7.0510376134038419E-2</v>
      </c>
      <c r="I18" s="312">
        <f t="shared" si="2"/>
        <v>7.0510376134038419E-2</v>
      </c>
      <c r="J18" s="312">
        <f t="shared" si="2"/>
        <v>7.0510376134038419E-2</v>
      </c>
      <c r="K18" s="302"/>
      <c r="L18" s="303"/>
      <c r="M18" s="28"/>
      <c r="N18" s="28"/>
    </row>
    <row r="19" spans="1:14" ht="15.6" x14ac:dyDescent="0.3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6" x14ac:dyDescent="0.3">
      <c r="A20" s="362" t="s">
        <v>1892</v>
      </c>
      <c r="B20" s="297" t="s">
        <v>1893</v>
      </c>
      <c r="C20" s="298"/>
      <c r="D20" s="306">
        <f>D18*D16</f>
        <v>37611295.836826146</v>
      </c>
      <c r="E20" s="306">
        <f t="shared" ref="E20:J20" si="3">E18*E16</f>
        <v>26604078.518161658</v>
      </c>
      <c r="F20" s="307">
        <f t="shared" si="3"/>
        <v>1123069.0514006391</v>
      </c>
      <c r="G20" s="307">
        <f t="shared" si="3"/>
        <v>6676567.1406241031</v>
      </c>
      <c r="H20" s="307">
        <f t="shared" si="3"/>
        <v>3088989.5709800259</v>
      </c>
      <c r="I20" s="307">
        <f t="shared" si="3"/>
        <v>113519.83109455822</v>
      </c>
      <c r="J20" s="307">
        <f t="shared" si="3"/>
        <v>5071.7245651545072</v>
      </c>
      <c r="K20" s="302">
        <f>SUM(E20:J20)</f>
        <v>37611295.836826138</v>
      </c>
      <c r="L20" s="303" t="str">
        <f>IF(ABS(K20-D20)&lt;0.01,"ok","err")</f>
        <v>ok</v>
      </c>
      <c r="M20" s="28"/>
      <c r="N20" s="28"/>
    </row>
    <row r="21" spans="1:14" ht="15.6" x14ac:dyDescent="0.3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6" x14ac:dyDescent="0.3">
      <c r="A22" s="362" t="s">
        <v>1324</v>
      </c>
      <c r="B22" s="297" t="s">
        <v>1894</v>
      </c>
      <c r="C22" s="298"/>
      <c r="D22" s="306">
        <f>'Allocation ProForma'!O705</f>
        <v>12663457.890034882</v>
      </c>
      <c r="E22" s="306">
        <f t="shared" ref="E22:J22" si="4">(E14/$D$14)*$D$22</f>
        <v>8957405.4954005349</v>
      </c>
      <c r="F22" s="307">
        <f t="shared" si="4"/>
        <v>378129.4242483495</v>
      </c>
      <c r="G22" s="307">
        <f t="shared" si="4"/>
        <v>2247953.0405464121</v>
      </c>
      <c r="H22" s="307">
        <f t="shared" si="4"/>
        <v>1040040.9899347785</v>
      </c>
      <c r="I22" s="307">
        <f t="shared" si="4"/>
        <v>38221.326034245976</v>
      </c>
      <c r="J22" s="307">
        <f t="shared" si="4"/>
        <v>1707.6138705597252</v>
      </c>
      <c r="K22" s="302">
        <f>SUM(E22:J22)</f>
        <v>12663457.890034879</v>
      </c>
      <c r="L22" s="303" t="str">
        <f>IF(ABS(K22-D22)&lt;0.01,"ok","err")</f>
        <v>ok</v>
      </c>
      <c r="M22" s="28"/>
      <c r="N22" s="28"/>
    </row>
    <row r="23" spans="1:14" ht="15.6" x14ac:dyDescent="0.3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6" x14ac:dyDescent="0.3">
      <c r="A24" s="362" t="s">
        <v>1325</v>
      </c>
      <c r="B24" s="297" t="s">
        <v>209</v>
      </c>
      <c r="C24" s="298"/>
      <c r="D24" s="306">
        <f>D20-D22</f>
        <v>24947837.946791261</v>
      </c>
      <c r="E24" s="306">
        <f t="shared" ref="E24:J24" si="5">E20-E22</f>
        <v>17646673.022761121</v>
      </c>
      <c r="F24" s="307">
        <f t="shared" si="5"/>
        <v>744939.62715228961</v>
      </c>
      <c r="G24" s="307">
        <f t="shared" si="5"/>
        <v>4428614.1000776906</v>
      </c>
      <c r="H24" s="307">
        <f t="shared" si="5"/>
        <v>2048948.5810452474</v>
      </c>
      <c r="I24" s="307">
        <f t="shared" si="5"/>
        <v>75298.505060312251</v>
      </c>
      <c r="J24" s="307">
        <f t="shared" si="5"/>
        <v>3364.1106945947822</v>
      </c>
      <c r="K24" s="302">
        <f>SUM(E24:J24)</f>
        <v>24947837.946791258</v>
      </c>
      <c r="L24" s="303" t="str">
        <f>IF(ABS(K24-D24)&lt;0.01,"ok","err")</f>
        <v>ok</v>
      </c>
      <c r="M24" s="28"/>
      <c r="N24" s="28"/>
    </row>
    <row r="25" spans="1:14" ht="15.6" x14ac:dyDescent="0.3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6" x14ac:dyDescent="0.3">
      <c r="A26" s="362" t="s">
        <v>1326</v>
      </c>
      <c r="B26" s="297" t="s">
        <v>553</v>
      </c>
      <c r="C26" s="298"/>
      <c r="D26" s="306">
        <f>'Allocation ProForma'!O740+'Allocation ProForma'!O817</f>
        <v>16933662.200466342</v>
      </c>
      <c r="E26" s="306">
        <f t="shared" ref="E26:J26" si="6">$D$26*(E24/$K$24)</f>
        <v>11977903.679142389</v>
      </c>
      <c r="F26" s="307">
        <f t="shared" si="6"/>
        <v>505637.24330912117</v>
      </c>
      <c r="G26" s="307">
        <f t="shared" si="6"/>
        <v>3005978.1271179561</v>
      </c>
      <c r="H26" s="307">
        <f t="shared" si="6"/>
        <v>1390749.9003138109</v>
      </c>
      <c r="I26" s="307">
        <f t="shared" si="6"/>
        <v>51109.817676823222</v>
      </c>
      <c r="J26" s="307">
        <f t="shared" si="6"/>
        <v>2283.4329062399247</v>
      </c>
      <c r="K26" s="302">
        <f>SUM(E26:J26)</f>
        <v>16933662.200466342</v>
      </c>
      <c r="L26" s="303" t="str">
        <f>IF(ABS(K26-D26)&lt;0.01,"ok","err")</f>
        <v>ok</v>
      </c>
      <c r="M26" s="28"/>
      <c r="N26" s="28"/>
    </row>
    <row r="27" spans="1:14" ht="15.6" x14ac:dyDescent="0.3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6" x14ac:dyDescent="0.3">
      <c r="A28" s="362" t="s">
        <v>1327</v>
      </c>
      <c r="B28" s="297" t="s">
        <v>795</v>
      </c>
      <c r="C28" s="298"/>
      <c r="D28" s="306">
        <f>'Allocation ProForma'!O671</f>
        <v>174786954.93278927</v>
      </c>
      <c r="E28" s="306">
        <f>'Allocation ProForma'!O180+'Allocation ProForma'!O181+'Allocation ProForma'!O182</f>
        <v>19975678.414171912</v>
      </c>
      <c r="F28" s="307">
        <f>'Allocation ProForma'!O183</f>
        <v>141867453.65974441</v>
      </c>
      <c r="G28" s="307">
        <f>'Allocation ProForma'!O192</f>
        <v>8030922.2653409531</v>
      </c>
      <c r="H28" s="307">
        <f>'Allocation ProForma'!O198+'Allocation ProForma'!O202+'Allocation ProForma'!O204+'Allocation ProForma'!O209</f>
        <v>3753409.9810934709</v>
      </c>
      <c r="I28" s="307">
        <f>'Allocation ProForma'!O203+'Allocation ProForma'!O205+'Allocation ProForma'!O210+'Allocation ProForma'!O214+'Allocation ProForma'!O217</f>
        <v>562169.4336777475</v>
      </c>
      <c r="J28" s="307">
        <f>'Allocation ProForma'!O223+'Allocation ProForma'!O226</f>
        <v>597321.17876076314</v>
      </c>
      <c r="K28" s="302">
        <f>SUM(E28:J28)</f>
        <v>174786954.93278924</v>
      </c>
      <c r="L28" s="303" t="str">
        <f>IF(ABS(K28-D28)&lt;0.01,"ok","err")</f>
        <v>ok</v>
      </c>
      <c r="M28" s="28"/>
      <c r="N28" s="28"/>
    </row>
    <row r="29" spans="1:14" ht="15.6" x14ac:dyDescent="0.3">
      <c r="A29" s="362" t="s">
        <v>1895</v>
      </c>
      <c r="B29" s="297" t="s">
        <v>843</v>
      </c>
      <c r="C29" s="298"/>
      <c r="D29" s="306">
        <f>'Allocation ProForma'!O672</f>
        <v>34771889.749682277</v>
      </c>
      <c r="E29" s="306">
        <f>'Allocation ProForma'!O300</f>
        <v>28038140.598865837</v>
      </c>
      <c r="F29" s="307">
        <v>0</v>
      </c>
      <c r="G29" s="307">
        <f>'Allocation ProForma'!O306</f>
        <v>4388403.7904454311</v>
      </c>
      <c r="H29" s="307">
        <f>'Allocation ProForma'!O312+'Allocation ProForma'!O316+'Allocation ProForma'!O318+'Allocation ProForma'!O323</f>
        <v>2264887.9105538023</v>
      </c>
      <c r="I29" s="307">
        <f>'Allocation ProForma'!O317+'Allocation ProForma'!O319+'Allocation ProForma'!O324+'Allocation ProForma'!O328+'Allocation ProForma'!O331</f>
        <v>80457.449817205779</v>
      </c>
      <c r="J29" s="307">
        <v>0</v>
      </c>
      <c r="K29" s="302">
        <f>SUM(E29:J29)</f>
        <v>34771889.749682277</v>
      </c>
      <c r="L29" s="303" t="str">
        <f>IF(ABS(K29-D29)&lt;0.01,"ok","err")</f>
        <v>ok</v>
      </c>
      <c r="M29" s="28"/>
      <c r="N29" s="28"/>
    </row>
    <row r="30" spans="1:14" ht="15.6" x14ac:dyDescent="0.3">
      <c r="A30" s="362" t="s">
        <v>1896</v>
      </c>
      <c r="B30" s="297" t="s">
        <v>428</v>
      </c>
      <c r="C30" s="298"/>
      <c r="D30" s="306">
        <f>'Allocation ProForma'!O674+'Allocation ProForma'!O675+'Allocation ProForma'!O676+'Allocation ProForma'!O673</f>
        <v>5562947.2753425036</v>
      </c>
      <c r="E30" s="306">
        <f>'Allocation ProForma'!O414+'Allocation ProForma'!O471+'Allocation ProForma'!O357</f>
        <v>4177705.1316108517</v>
      </c>
      <c r="F30" s="307">
        <f>'Allocation ProForma'!O529</f>
        <v>0</v>
      </c>
      <c r="G30" s="307">
        <f>'Allocation ProForma'!O420+'Allocation ProForma'!O477+'Allocation ProForma'!O363</f>
        <v>926423.70619909919</v>
      </c>
      <c r="H30" s="307">
        <f>'Allocation ProForma'!O426+'Allocation ProForma'!O430+'Allocation ProForma'!O432+'Allocation ProForma'!O437+'Allocation ProForma'!O483+'Allocation ProForma'!O487+'Allocation ProForma'!O489+'Allocation ProForma'!O494+'Allocation ProForma'!O369+'Allocation ProForma'!O373+'Allocation ProForma'!O375+'Allocation ProForma'!O380</f>
        <v>443078.59723579313</v>
      </c>
      <c r="I30" s="307">
        <f>'Allocation ProForma'!O431+'Allocation ProForma'!O433+'Allocation ProForma'!O438+'Allocation ProForma'!O442+'Allocation ProForma'!O445+'Allocation ProForma'!O488+'Allocation ProForma'!O490+'Allocation ProForma'!O495+'Allocation ProForma'!O499+'Allocation ProForma'!O502+'Allocation ProForma'!O374+'Allocation ProForma'!O376+'Allocation ProForma'!O381+'Allocation ProForma'!O385+'Allocation ProForma'!O388</f>
        <v>15739.840296758877</v>
      </c>
      <c r="J30" s="307">
        <v>0</v>
      </c>
      <c r="K30" s="302">
        <f>SUM(E30:J30)</f>
        <v>5562947.2753425036</v>
      </c>
      <c r="L30" s="303" t="str">
        <f>IF(ABS(K30-D30)&lt;0.01,"ok","err")</f>
        <v>ok</v>
      </c>
      <c r="M30" s="28"/>
      <c r="N30" s="28"/>
    </row>
    <row r="31" spans="1:14" ht="15.6" x14ac:dyDescent="0.3">
      <c r="A31" s="362" t="s">
        <v>1897</v>
      </c>
      <c r="B31" s="297" t="s">
        <v>1933</v>
      </c>
      <c r="C31" s="298"/>
      <c r="D31" s="306">
        <f>'Allocation ProForma'!O679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6" x14ac:dyDescent="0.3">
      <c r="A32" s="362" t="s">
        <v>1898</v>
      </c>
      <c r="B32" s="297" t="s">
        <v>1915</v>
      </c>
      <c r="C32" s="298"/>
      <c r="D32" s="306">
        <f>'Allocation ProForma'!O745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6" x14ac:dyDescent="0.3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6" x14ac:dyDescent="0.3">
      <c r="A34" s="362" t="s">
        <v>1901</v>
      </c>
      <c r="B34" s="297" t="s">
        <v>1918</v>
      </c>
      <c r="C34" s="298"/>
      <c r="D34" s="306">
        <f>'Allocation ProForma'!O756+'Allocation ProForma'!O759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6" x14ac:dyDescent="0.3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6" x14ac:dyDescent="0.3">
      <c r="A36" s="364" t="s">
        <v>1905</v>
      </c>
      <c r="B36" s="297" t="s">
        <v>1917</v>
      </c>
      <c r="C36" s="298"/>
      <c r="D36" s="306">
        <f>SUM('Allocation ProForma'!O813:O815)-'Allocation ProForma'!O721</f>
        <v>81973.624015912676</v>
      </c>
      <c r="E36" s="306">
        <f t="shared" ref="E36:J36" si="9">(E14/($D$14)*$D$36)</f>
        <v>57983.451014264079</v>
      </c>
      <c r="F36" s="307">
        <f t="shared" si="9"/>
        <v>2447.7231670726828</v>
      </c>
      <c r="G36" s="307">
        <f t="shared" si="9"/>
        <v>14551.543421342058</v>
      </c>
      <c r="H36" s="307">
        <f t="shared" si="9"/>
        <v>6732.4367333460068</v>
      </c>
      <c r="I36" s="307">
        <f t="shared" si="9"/>
        <v>247.41588252813813</v>
      </c>
      <c r="J36" s="307">
        <f t="shared" si="9"/>
        <v>11.053797359706364</v>
      </c>
      <c r="K36" s="302">
        <f t="shared" si="8"/>
        <v>81973.624015912676</v>
      </c>
      <c r="L36" s="303" t="str">
        <f t="shared" si="7"/>
        <v>ok</v>
      </c>
      <c r="M36" s="28"/>
      <c r="N36" s="28"/>
    </row>
    <row r="37" spans="1:14" ht="15.6" x14ac:dyDescent="0.3">
      <c r="A37" s="364" t="s">
        <v>1919</v>
      </c>
      <c r="B37" s="297" t="s">
        <v>2444</v>
      </c>
      <c r="C37" s="381"/>
      <c r="D37" s="306">
        <f>-'Allocation ProForma'!O802-'Allocation ProForma'!O803</f>
        <v>-1584844.6824982287</v>
      </c>
      <c r="E37" s="306">
        <f>-'Allocation ProForma'!O802-'Allocation ProForma'!$O$803*(E14/$D$14)</f>
        <v>-1584843.4804363416</v>
      </c>
      <c r="F37" s="383">
        <f>-'Allocation ProForma'!$O$803*(F14/$D$14)</f>
        <v>-0.12264666575687337</v>
      </c>
      <c r="G37" s="383">
        <f>-'Allocation ProForma'!$O$803*(G14/$D$14)</f>
        <v>-0.7291258694006445</v>
      </c>
      <c r="H37" s="383">
        <f>-'Allocation ProForma'!$O$803*(H14/$D$14)</f>
        <v>-0.3373383595300446</v>
      </c>
      <c r="I37" s="383">
        <f>-'Allocation ProForma'!$O$803*(I14/$D$14)</f>
        <v>-1.2397126217365799E-2</v>
      </c>
      <c r="J37" s="383">
        <f>-'Allocation ProForma'!$O$803*(J14/$D$14)</f>
        <v>-5.5386630659767701E-4</v>
      </c>
      <c r="K37" s="302">
        <f t="shared" si="8"/>
        <v>-1584844.682498229</v>
      </c>
      <c r="L37" s="303" t="str">
        <f t="shared" si="7"/>
        <v>ok</v>
      </c>
      <c r="M37" s="28"/>
      <c r="N37" s="28"/>
    </row>
    <row r="38" spans="1:14" ht="15.6" x14ac:dyDescent="0.3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6" x14ac:dyDescent="0.3">
      <c r="A39" s="362" t="s">
        <v>1920</v>
      </c>
      <c r="B39" s="297" t="s">
        <v>1924</v>
      </c>
      <c r="C39" s="298"/>
      <c r="D39" s="306">
        <f t="shared" ref="D39:J39" si="10">SUM(D32:D37)</f>
        <v>-1502871.0584823161</v>
      </c>
      <c r="E39" s="306">
        <f t="shared" si="10"/>
        <v>-1526860.0294220776</v>
      </c>
      <c r="F39" s="307">
        <f t="shared" si="10"/>
        <v>2447.6005204069261</v>
      </c>
      <c r="G39" s="307">
        <f t="shared" si="10"/>
        <v>14550.814295472657</v>
      </c>
      <c r="H39" s="307">
        <f t="shared" si="10"/>
        <v>6732.0993949864769</v>
      </c>
      <c r="I39" s="307">
        <f t="shared" si="10"/>
        <v>247.40348540192076</v>
      </c>
      <c r="J39" s="307">
        <f t="shared" si="10"/>
        <v>11.053243493399766</v>
      </c>
      <c r="K39" s="302">
        <f t="shared" si="8"/>
        <v>-1502871.0584823163</v>
      </c>
      <c r="L39" s="303" t="str">
        <f t="shared" si="7"/>
        <v>ok</v>
      </c>
      <c r="M39" s="28"/>
      <c r="N39" s="28"/>
    </row>
    <row r="40" spans="1:14" ht="15.6" x14ac:dyDescent="0.3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6" x14ac:dyDescent="0.3">
      <c r="A41" s="362" t="s">
        <v>1921</v>
      </c>
      <c r="B41" s="297" t="s">
        <v>1899</v>
      </c>
      <c r="C41" s="313"/>
      <c r="D41" s="306">
        <f>SUM(D28:D31)+D22+D26+D39+D24</f>
        <v>268163878.9366242</v>
      </c>
      <c r="E41" s="306">
        <f t="shared" ref="E41:J41" si="11">SUM(E28:E31)+E22+E26+E39+E24</f>
        <v>89246646.312530562</v>
      </c>
      <c r="F41" s="307">
        <f t="shared" si="11"/>
        <v>143498607.55497456</v>
      </c>
      <c r="G41" s="307">
        <f t="shared" si="11"/>
        <v>23042845.844023019</v>
      </c>
      <c r="H41" s="307">
        <f t="shared" si="11"/>
        <v>10947848.05957189</v>
      </c>
      <c r="I41" s="307">
        <f t="shared" si="11"/>
        <v>823243.77604849555</v>
      </c>
      <c r="J41" s="307">
        <f t="shared" si="11"/>
        <v>604687.38947565097</v>
      </c>
      <c r="K41" s="302">
        <f>SUM(E41:J41)</f>
        <v>268163878.93662417</v>
      </c>
      <c r="L41" s="303" t="str">
        <f>IF(ABS(K41-D41)&lt;0.01,"ok","err")</f>
        <v>ok</v>
      </c>
      <c r="M41" s="28"/>
      <c r="N41" s="28"/>
    </row>
    <row r="42" spans="1:14" ht="15.6" x14ac:dyDescent="0.3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6" x14ac:dyDescent="0.3">
      <c r="A43" s="362" t="s">
        <v>1922</v>
      </c>
      <c r="B43" s="297" t="s">
        <v>2432</v>
      </c>
      <c r="C43" s="298"/>
      <c r="D43" s="306">
        <f>-'Allocation ProForma'!O654</f>
        <v>3173151.6699064914</v>
      </c>
      <c r="E43" s="306">
        <f>D43</f>
        <v>3173151.6699064914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3173151.6699064914</v>
      </c>
      <c r="L43" s="303" t="str">
        <f>IF(ABS(K43-D43)&lt;0.01,"ok","err")</f>
        <v>ok</v>
      </c>
      <c r="M43" s="28"/>
      <c r="N43" s="28"/>
    </row>
    <row r="44" spans="1:14" ht="15.6" x14ac:dyDescent="0.3">
      <c r="A44" s="362" t="s">
        <v>1923</v>
      </c>
      <c r="B44" s="297" t="s">
        <v>1925</v>
      </c>
      <c r="C44" s="298"/>
      <c r="D44" s="306">
        <f>-('Allocation ProForma'!O652+'Allocation ProForma'!O653)</f>
        <v>-1865957.3271087771</v>
      </c>
      <c r="E44" s="306">
        <v>0</v>
      </c>
      <c r="F44" s="307">
        <f>D44</f>
        <v>-1865957.3271087771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-1865957.3271087771</v>
      </c>
      <c r="L44" s="303" t="str">
        <f>IF(ABS(K44-D44)&lt;0.01,"ok","err")</f>
        <v>ok</v>
      </c>
      <c r="M44" s="28"/>
      <c r="N44" s="28"/>
    </row>
    <row r="45" spans="1:14" ht="15.6" x14ac:dyDescent="0.3">
      <c r="A45" s="362" t="s">
        <v>1927</v>
      </c>
      <c r="B45" s="297" t="s">
        <v>1926</v>
      </c>
      <c r="C45" s="298"/>
      <c r="D45" s="306">
        <f>-('Allocation ProForma'!O655+'Allocation ProForma'!O656+'Allocation ProForma'!O657+'Allocation ProForma'!O658+'Allocation ProForma'!O661+'Allocation ProForma'!O662+'Allocation ProForma'!O663+'Allocation ProForma'!O664+'Allocation ProForma'!O665)</f>
        <v>-573625.09701262123</v>
      </c>
      <c r="E45" s="306">
        <f t="shared" ref="E45:J45" si="12">(E14/($D$14)*$D$45)</f>
        <v>-405749.57021208724</v>
      </c>
      <c r="F45" s="307">
        <f t="shared" si="12"/>
        <v>-17128.380695960812</v>
      </c>
      <c r="G45" s="307">
        <f t="shared" si="12"/>
        <v>-101827.02798561606</v>
      </c>
      <c r="H45" s="307">
        <f t="shared" si="12"/>
        <v>-47111.430300400883</v>
      </c>
      <c r="I45" s="307">
        <f t="shared" si="12"/>
        <v>-1731.3368942931731</v>
      </c>
      <c r="J45" s="307">
        <f t="shared" si="12"/>
        <v>-77.350924263011223</v>
      </c>
      <c r="K45" s="302">
        <f>SUM(E45:J45)</f>
        <v>-573625.09701262123</v>
      </c>
      <c r="L45" s="303" t="str">
        <f>IF(ABS(K45-D45)&lt;0.01,"ok","err")</f>
        <v>ok</v>
      </c>
      <c r="M45" s="28"/>
      <c r="N45" s="28"/>
    </row>
    <row r="46" spans="1:14" ht="15.6" x14ac:dyDescent="0.3">
      <c r="A46" s="362" t="s">
        <v>1928</v>
      </c>
      <c r="B46" s="297" t="s">
        <v>1929</v>
      </c>
      <c r="C46" s="298"/>
      <c r="D46" s="306">
        <f>SUM(D43:D45)</f>
        <v>733569.24578509305</v>
      </c>
      <c r="E46" s="306">
        <f t="shared" ref="E46:J46" si="13">SUM(E43:E45)</f>
        <v>2767402.0996944043</v>
      </c>
      <c r="F46" s="307">
        <f t="shared" si="13"/>
        <v>-1883085.7078047378</v>
      </c>
      <c r="G46" s="307">
        <f t="shared" si="13"/>
        <v>-101827.02798561606</v>
      </c>
      <c r="H46" s="307">
        <f t="shared" si="13"/>
        <v>-47111.430300400883</v>
      </c>
      <c r="I46" s="307">
        <f t="shared" si="13"/>
        <v>-1731.3368942931731</v>
      </c>
      <c r="J46" s="307">
        <f t="shared" si="13"/>
        <v>-77.350924263011223</v>
      </c>
      <c r="K46" s="302">
        <f>SUM(E46:J46)</f>
        <v>733569.24578509328</v>
      </c>
      <c r="L46" s="303" t="str">
        <f>IF(ABS(K46-D46)&lt;0.01,"ok","err")</f>
        <v>ok</v>
      </c>
      <c r="M46" s="28"/>
      <c r="N46" s="28"/>
    </row>
    <row r="47" spans="1:14" ht="15.6" x14ac:dyDescent="0.3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6" x14ac:dyDescent="0.3">
      <c r="A48" s="362" t="s">
        <v>1934</v>
      </c>
      <c r="B48" s="297" t="s">
        <v>1902</v>
      </c>
      <c r="C48" s="315">
        <f>'Allocation ProForma'!O806-SUM('Allocation ProForma'!O652:O665)-'Allocation ProForma'!O721-'Allocation ProForma'!O802-'Allocation ProForma'!O803</f>
        <v>268897448</v>
      </c>
      <c r="D48" s="306">
        <f>D41+D46</f>
        <v>268897448.18240929</v>
      </c>
      <c r="E48" s="306">
        <f t="shared" ref="E48:J48" si="14">E41+E46</f>
        <v>92014048.412224963</v>
      </c>
      <c r="F48" s="307">
        <f t="shared" si="14"/>
        <v>141615521.84716982</v>
      </c>
      <c r="G48" s="307">
        <f t="shared" si="14"/>
        <v>22941018.816037402</v>
      </c>
      <c r="H48" s="307">
        <f t="shared" si="14"/>
        <v>10900736.629271489</v>
      </c>
      <c r="I48" s="307">
        <f t="shared" si="14"/>
        <v>821512.43915420235</v>
      </c>
      <c r="J48" s="307">
        <f t="shared" si="14"/>
        <v>604610.03855138796</v>
      </c>
      <c r="K48" s="302">
        <f>SUM(E48:J48)</f>
        <v>268897448.18240923</v>
      </c>
      <c r="L48" s="303" t="str">
        <f>IF(ABS(K48-D48)&lt;0.01,"ok","err")</f>
        <v>ok</v>
      </c>
      <c r="M48" s="28"/>
      <c r="N48" s="28"/>
    </row>
    <row r="49" spans="1:14" ht="15.6" x14ac:dyDescent="0.3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6" x14ac:dyDescent="0.3">
      <c r="A50" s="362" t="s">
        <v>1935</v>
      </c>
      <c r="B50" s="297" t="s">
        <v>1904</v>
      </c>
      <c r="C50" s="298"/>
      <c r="D50" s="316"/>
      <c r="E50" s="317">
        <v>8969583</v>
      </c>
      <c r="F50" s="318">
        <f>'Billing Det'!C24</f>
        <v>4118000917.4033823</v>
      </c>
      <c r="G50" s="318">
        <v>10909236</v>
      </c>
      <c r="H50" s="318">
        <f>G50</f>
        <v>10909236</v>
      </c>
      <c r="I50" s="318">
        <f>'Allocation ProForma'!O848</f>
        <v>3318</v>
      </c>
      <c r="J50" s="318">
        <f>I50</f>
        <v>3318</v>
      </c>
      <c r="K50" s="287"/>
      <c r="L50" s="310"/>
      <c r="M50" s="28"/>
      <c r="N50" s="28"/>
    </row>
    <row r="51" spans="1:14" ht="16.2" thickBot="1" x14ac:dyDescent="0.35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2" thickBot="1" x14ac:dyDescent="0.35">
      <c r="A52" s="365" t="s">
        <v>2446</v>
      </c>
      <c r="B52" s="319" t="s">
        <v>1906</v>
      </c>
      <c r="C52" s="320"/>
      <c r="D52" s="321"/>
      <c r="E52" s="384">
        <f t="shared" ref="E52:J52" si="15">E48/E50</f>
        <v>10.25845330961595</v>
      </c>
      <c r="F52" s="323">
        <f t="shared" si="15"/>
        <v>3.4389385696510698E-2</v>
      </c>
      <c r="G52" s="385">
        <f t="shared" si="15"/>
        <v>2.1028987562499704</v>
      </c>
      <c r="H52" s="385">
        <f t="shared" si="15"/>
        <v>0.99922090137856479</v>
      </c>
      <c r="I52" s="324">
        <f>I48/I50</f>
        <v>247.59265797293622</v>
      </c>
      <c r="J52" s="324">
        <f t="shared" si="15"/>
        <v>182.22122921982759</v>
      </c>
      <c r="K52" s="325">
        <f>I52+J52</f>
        <v>429.81388719276379</v>
      </c>
      <c r="L52" s="326"/>
      <c r="M52" s="28"/>
      <c r="N52" s="28"/>
    </row>
    <row r="53" spans="1:14" ht="15.6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6" x14ac:dyDescent="0.3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429.81388719276379</v>
      </c>
      <c r="L54" s="28"/>
      <c r="M54" s="28"/>
      <c r="N54" s="28"/>
    </row>
    <row r="55" spans="1:14" ht="15.6" x14ac:dyDescent="0.3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13.360572967244485</v>
      </c>
      <c r="L55" s="28"/>
      <c r="M55" s="28"/>
      <c r="N55" s="28"/>
    </row>
    <row r="56" spans="1:14" ht="15.6" x14ac:dyDescent="0.3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110</v>
      </c>
      <c r="K56" s="369">
        <f>F52</f>
        <v>3.4389385696510698E-2</v>
      </c>
      <c r="L56" s="28"/>
      <c r="M56" s="28"/>
      <c r="N56" s="28"/>
    </row>
    <row r="57" spans="1:14" ht="15.6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6" x14ac:dyDescent="0.3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6" x14ac:dyDescent="0.3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6" x14ac:dyDescent="0.3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6" x14ac:dyDescent="0.3">
      <c r="J61" s="373"/>
      <c r="K61" s="34"/>
    </row>
    <row r="62" spans="1:14" ht="15.6" x14ac:dyDescent="0.3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3.8" x14ac:dyDescent="0.25"/>
  <cols>
    <col min="1" max="1" width="4.5546875" customWidth="1"/>
    <col min="2" max="2" width="45.44140625" bestFit="1" customWidth="1"/>
    <col min="3" max="3" width="19" hidden="1" customWidth="1"/>
    <col min="4" max="4" width="23.6640625" customWidth="1"/>
    <col min="5" max="5" width="24.88671875" bestFit="1" customWidth="1"/>
    <col min="6" max="6" width="23.33203125" bestFit="1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 x14ac:dyDescent="0.3">
      <c r="A1" s="439" t="s">
        <v>1427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</row>
    <row r="2" spans="1:14" ht="15.6" x14ac:dyDescent="0.3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6" x14ac:dyDescent="0.3">
      <c r="A3" s="439" t="s">
        <v>1911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</row>
    <row r="4" spans="1:14" ht="15.6" x14ac:dyDescent="0.3">
      <c r="A4" s="439" t="s">
        <v>2442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</row>
    <row r="5" spans="1:14" ht="15.6" x14ac:dyDescent="0.3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6" x14ac:dyDescent="0.3">
      <c r="A6" s="439" t="s">
        <v>2448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</row>
    <row r="7" spans="1:14" ht="15.6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2" thickBot="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2" thickBot="1" x14ac:dyDescent="0.35">
      <c r="A9" s="279"/>
      <c r="B9" s="280"/>
      <c r="C9" s="281"/>
      <c r="D9" s="279"/>
      <c r="E9" s="437" t="s">
        <v>1907</v>
      </c>
      <c r="F9" s="438"/>
      <c r="G9" s="282" t="s">
        <v>459</v>
      </c>
      <c r="H9" s="437" t="s">
        <v>118</v>
      </c>
      <c r="I9" s="438"/>
      <c r="J9" s="282" t="s">
        <v>1912</v>
      </c>
      <c r="K9" s="281"/>
      <c r="L9" s="283"/>
      <c r="M9" s="28"/>
      <c r="N9" s="28"/>
    </row>
    <row r="10" spans="1:14" ht="15.6" x14ac:dyDescent="0.3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6" x14ac:dyDescent="0.3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2" thickBot="1" x14ac:dyDescent="0.35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6" x14ac:dyDescent="0.3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6" x14ac:dyDescent="0.3">
      <c r="A14" s="362" t="s">
        <v>1166</v>
      </c>
      <c r="B14" s="297" t="s">
        <v>193</v>
      </c>
      <c r="C14" s="298"/>
      <c r="D14" s="299">
        <f>'Allocation ProForma'!P174</f>
        <v>170797076.92138174</v>
      </c>
      <c r="E14" s="300">
        <f>'Allocation ProForma'!P123+'Allocation ProForma'!P124+'Allocation ProForma'!P125</f>
        <v>131182245.08954269</v>
      </c>
      <c r="F14" s="301">
        <f>'Allocation ProForma'!P126</f>
        <v>5672395.0788841015</v>
      </c>
      <c r="G14" s="301">
        <f>'Allocation ProForma'!P135</f>
        <v>32921533.681395072</v>
      </c>
      <c r="H14" s="301">
        <f>'Allocation ProForma'!P145+'Allocation ProForma'!P147+'Allocation ProForma'!P152+'Allocation ProForma'!P141</f>
        <v>0</v>
      </c>
      <c r="I14" s="301">
        <f>'Allocation ProForma'!P146+'Allocation ProForma'!P148+'Allocation ProForma'!P153+'Allocation ProForma'!P157+'Allocation ProForma'!P160+'Allocation ProForma'!P163</f>
        <v>1014670.9760409056</v>
      </c>
      <c r="J14" s="301">
        <f>'Allocation ProForma'!P166+'Allocation ProForma'!P169</f>
        <v>6232.0955189860379</v>
      </c>
      <c r="K14" s="302">
        <f>SUM(E14:J14)</f>
        <v>170797076.92138174</v>
      </c>
      <c r="L14" s="303" t="str">
        <f>IF(ABS(K14-D14)&lt;0.01,"ok","err")</f>
        <v>ok</v>
      </c>
      <c r="M14" s="28"/>
      <c r="N14" s="28"/>
    </row>
    <row r="15" spans="1:14" ht="15.6" x14ac:dyDescent="0.3">
      <c r="A15" s="362" t="s">
        <v>1323</v>
      </c>
      <c r="B15" s="297" t="s">
        <v>1888</v>
      </c>
      <c r="C15" s="298"/>
      <c r="D15" s="299">
        <f>'Allocation ProForma'!P773+'Allocation ProForma'!P774+'Allocation ProForma'!P775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6" x14ac:dyDescent="0.3">
      <c r="A16" s="362" t="s">
        <v>1889</v>
      </c>
      <c r="B16" s="297" t="s">
        <v>1890</v>
      </c>
      <c r="C16" s="298"/>
      <c r="D16" s="306">
        <f>D14+D15</f>
        <v>170797076.92138174</v>
      </c>
      <c r="E16" s="306">
        <f t="shared" ref="E16:K16" si="1">E14+E15</f>
        <v>131182245.08954269</v>
      </c>
      <c r="F16" s="307">
        <f t="shared" si="1"/>
        <v>5672395.0788841015</v>
      </c>
      <c r="G16" s="307">
        <f t="shared" si="1"/>
        <v>32921533.681395072</v>
      </c>
      <c r="H16" s="307">
        <f t="shared" si="1"/>
        <v>0</v>
      </c>
      <c r="I16" s="307">
        <f t="shared" si="1"/>
        <v>1014670.9760409056</v>
      </c>
      <c r="J16" s="307">
        <f t="shared" si="1"/>
        <v>6232.0955189860379</v>
      </c>
      <c r="K16" s="302">
        <f t="shared" si="1"/>
        <v>170797076.92138174</v>
      </c>
      <c r="L16" s="303" t="str">
        <f>IF(ABS(K16-D16)&lt;0.01,"ok","err")</f>
        <v>ok</v>
      </c>
      <c r="M16" s="28"/>
      <c r="N16" s="28"/>
    </row>
    <row r="17" spans="1:14" ht="15.6" x14ac:dyDescent="0.3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6" x14ac:dyDescent="0.3">
      <c r="A18" s="362" t="s">
        <v>1891</v>
      </c>
      <c r="B18" s="297" t="s">
        <v>441</v>
      </c>
      <c r="C18" s="298"/>
      <c r="D18" s="311">
        <f>'Allocation ProForma'!P825</f>
        <v>7.6513645788368292E-2</v>
      </c>
      <c r="E18" s="311">
        <f t="shared" ref="E18:J18" si="2">D18</f>
        <v>7.6513645788368292E-2</v>
      </c>
      <c r="F18" s="312">
        <f t="shared" si="2"/>
        <v>7.6513645788368292E-2</v>
      </c>
      <c r="G18" s="312">
        <f t="shared" si="2"/>
        <v>7.6513645788368292E-2</v>
      </c>
      <c r="H18" s="312">
        <f t="shared" si="2"/>
        <v>7.6513645788368292E-2</v>
      </c>
      <c r="I18" s="312">
        <f t="shared" si="2"/>
        <v>7.6513645788368292E-2</v>
      </c>
      <c r="J18" s="312">
        <f t="shared" si="2"/>
        <v>7.6513645788368292E-2</v>
      </c>
      <c r="K18" s="302"/>
      <c r="L18" s="303"/>
      <c r="M18" s="28"/>
      <c r="N18" s="28"/>
    </row>
    <row r="19" spans="1:14" ht="15.6" x14ac:dyDescent="0.3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6" x14ac:dyDescent="0.3">
      <c r="A20" s="362" t="s">
        <v>1892</v>
      </c>
      <c r="B20" s="297" t="s">
        <v>1893</v>
      </c>
      <c r="C20" s="298"/>
      <c r="D20" s="306">
        <f>D18*D16</f>
        <v>13068307.045251295</v>
      </c>
      <c r="E20" s="306">
        <f t="shared" ref="E20:J20" si="3">E18*E16</f>
        <v>10037231.834504185</v>
      </c>
      <c r="F20" s="307">
        <f t="shared" si="3"/>
        <v>434015.62783742155</v>
      </c>
      <c r="G20" s="307">
        <f t="shared" si="3"/>
        <v>2518946.5669080988</v>
      </c>
      <c r="H20" s="307">
        <f t="shared" si="3"/>
        <v>0</v>
      </c>
      <c r="I20" s="307">
        <f t="shared" si="3"/>
        <v>77636.175652531776</v>
      </c>
      <c r="J20" s="307">
        <f t="shared" si="3"/>
        <v>476.84034905897494</v>
      </c>
      <c r="K20" s="302">
        <f>SUM(E20:J20)</f>
        <v>13068307.045251297</v>
      </c>
      <c r="L20" s="303" t="str">
        <f>IF(ABS(K20-D20)&lt;0.01,"ok","err")</f>
        <v>ok</v>
      </c>
      <c r="M20" s="28"/>
      <c r="N20" s="28"/>
    </row>
    <row r="21" spans="1:14" ht="15.6" x14ac:dyDescent="0.3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6" x14ac:dyDescent="0.3">
      <c r="A22" s="362" t="s">
        <v>1324</v>
      </c>
      <c r="B22" s="297" t="s">
        <v>1894</v>
      </c>
      <c r="C22" s="298"/>
      <c r="D22" s="306">
        <f>'Allocation ProForma'!P705</f>
        <v>4062213.4008213338</v>
      </c>
      <c r="E22" s="306">
        <f t="shared" ref="E22:J22" si="4">(E14/$D$14)*$D$22</f>
        <v>3120019.871287724</v>
      </c>
      <c r="F22" s="307">
        <f t="shared" si="4"/>
        <v>134911.4382958819</v>
      </c>
      <c r="G22" s="307">
        <f t="shared" si="4"/>
        <v>783001.07769240183</v>
      </c>
      <c r="H22" s="307">
        <f t="shared" si="4"/>
        <v>0</v>
      </c>
      <c r="I22" s="307">
        <f t="shared" si="4"/>
        <v>24132.790271317739</v>
      </c>
      <c r="J22" s="307">
        <f t="shared" si="4"/>
        <v>148.22327400882116</v>
      </c>
      <c r="K22" s="302">
        <f>SUM(E22:J22)</f>
        <v>4062213.4008213342</v>
      </c>
      <c r="L22" s="303" t="str">
        <f>IF(ABS(K22-D22)&lt;0.01,"ok","err")</f>
        <v>ok</v>
      </c>
      <c r="M22" s="28"/>
      <c r="N22" s="28"/>
    </row>
    <row r="23" spans="1:14" ht="15.6" x14ac:dyDescent="0.3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6" x14ac:dyDescent="0.3">
      <c r="A24" s="362" t="s">
        <v>1325</v>
      </c>
      <c r="B24" s="297" t="s">
        <v>209</v>
      </c>
      <c r="C24" s="298"/>
      <c r="D24" s="306">
        <f>D20-D22</f>
        <v>9006093.6444299612</v>
      </c>
      <c r="E24" s="306">
        <f t="shared" ref="E24:J24" si="5">E20-E22</f>
        <v>6917211.9632164612</v>
      </c>
      <c r="F24" s="307">
        <f t="shared" si="5"/>
        <v>299104.18954153964</v>
      </c>
      <c r="G24" s="307">
        <f t="shared" si="5"/>
        <v>1735945.4892156969</v>
      </c>
      <c r="H24" s="307">
        <f t="shared" si="5"/>
        <v>0</v>
      </c>
      <c r="I24" s="307">
        <f t="shared" si="5"/>
        <v>53503.385381214037</v>
      </c>
      <c r="J24" s="307">
        <f t="shared" si="5"/>
        <v>328.61707505015374</v>
      </c>
      <c r="K24" s="302">
        <f>SUM(E24:J24)</f>
        <v>9006093.6444299612</v>
      </c>
      <c r="L24" s="303" t="str">
        <f>IF(ABS(K24-D24)&lt;0.01,"ok","err")</f>
        <v>ok</v>
      </c>
      <c r="M24" s="28"/>
      <c r="N24" s="28"/>
    </row>
    <row r="25" spans="1:14" ht="15.6" x14ac:dyDescent="0.3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6" x14ac:dyDescent="0.3">
      <c r="A26" s="362" t="s">
        <v>1326</v>
      </c>
      <c r="B26" s="297" t="s">
        <v>553</v>
      </c>
      <c r="C26" s="298"/>
      <c r="D26" s="306">
        <f>'Allocation ProForma'!P740+'Allocation ProForma'!P817</f>
        <v>6123272.2457495611</v>
      </c>
      <c r="E26" s="306">
        <f t="shared" ref="E26:J26" si="6">$D$26*(E24/$K$24)</f>
        <v>4703034.8233749801</v>
      </c>
      <c r="F26" s="307">
        <f t="shared" si="6"/>
        <v>203361.90747248774</v>
      </c>
      <c r="G26" s="307">
        <f t="shared" si="6"/>
        <v>1180274.9620333782</v>
      </c>
      <c r="H26" s="307">
        <f t="shared" si="6"/>
        <v>0</v>
      </c>
      <c r="I26" s="307">
        <f t="shared" si="6"/>
        <v>36377.125054773634</v>
      </c>
      <c r="J26" s="307">
        <f t="shared" si="6"/>
        <v>223.42781394223107</v>
      </c>
      <c r="K26" s="302">
        <f>SUM(E26:J26)</f>
        <v>6123272.245749562</v>
      </c>
      <c r="L26" s="303" t="str">
        <f>IF(ABS(K26-D26)&lt;0.01,"ok","err")</f>
        <v>ok</v>
      </c>
      <c r="M26" s="28"/>
      <c r="N26" s="28"/>
    </row>
    <row r="27" spans="1:14" ht="15.6" x14ac:dyDescent="0.3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6" x14ac:dyDescent="0.3">
      <c r="A28" s="362" t="s">
        <v>1327</v>
      </c>
      <c r="B28" s="297" t="s">
        <v>795</v>
      </c>
      <c r="C28" s="298"/>
      <c r="D28" s="306">
        <f>'Allocation ProForma'!P671</f>
        <v>60688793.139909752</v>
      </c>
      <c r="E28" s="306">
        <f>'Allocation ProForma'!P180+'Allocation ProForma'!P181+'Allocation ProForma'!P182</f>
        <v>6945146.4420832358</v>
      </c>
      <c r="F28" s="307">
        <f>'Allocation ProForma'!P183</f>
        <v>50523777.892294951</v>
      </c>
      <c r="G28" s="307">
        <f>'Allocation ProForma'!P192</f>
        <v>2792192.0868634465</v>
      </c>
      <c r="H28" s="307">
        <f>'Allocation ProForma'!P198+'Allocation ProForma'!P202+'Allocation ProForma'!P204+'Allocation ProForma'!P209</f>
        <v>0</v>
      </c>
      <c r="I28" s="307">
        <f>'Allocation ProForma'!P203+'Allocation ProForma'!P205+'Allocation ProForma'!P210+'Allocation ProForma'!P214+'Allocation ProForma'!P217</f>
        <v>375923.25913650187</v>
      </c>
      <c r="J28" s="307">
        <f>'Allocation ProForma'!P223+'Allocation ProForma'!P226</f>
        <v>51753.459531618471</v>
      </c>
      <c r="K28" s="302">
        <f>SUM(E28:J28)</f>
        <v>60688793.139909752</v>
      </c>
      <c r="L28" s="303" t="str">
        <f>IF(ABS(K28-D28)&lt;0.01,"ok","err")</f>
        <v>ok</v>
      </c>
      <c r="M28" s="28"/>
      <c r="N28" s="28"/>
    </row>
    <row r="29" spans="1:14" ht="15.6" x14ac:dyDescent="0.3">
      <c r="A29" s="362" t="s">
        <v>1895</v>
      </c>
      <c r="B29" s="297" t="s">
        <v>843</v>
      </c>
      <c r="C29" s="298"/>
      <c r="D29" s="306">
        <f>'Allocation ProForma'!P672</f>
        <v>11324624.823166879</v>
      </c>
      <c r="E29" s="306">
        <f>'Allocation ProForma'!P300</f>
        <v>9748304.3321667872</v>
      </c>
      <c r="F29" s="307">
        <v>0</v>
      </c>
      <c r="G29" s="307">
        <f>'Allocation ProForma'!P306</f>
        <v>1525760.7946878902</v>
      </c>
      <c r="H29" s="307">
        <f>'Allocation ProForma'!P312+'Allocation ProForma'!P316+'Allocation ProForma'!P318+'Allocation ProForma'!P323</f>
        <v>0</v>
      </c>
      <c r="I29" s="307">
        <f>'Allocation ProForma'!P317+'Allocation ProForma'!P319+'Allocation ProForma'!P324+'Allocation ProForma'!P328+'Allocation ProForma'!P331</f>
        <v>50559.696312202308</v>
      </c>
      <c r="J29" s="307">
        <v>0</v>
      </c>
      <c r="K29" s="302">
        <f>SUM(E29:J29)</f>
        <v>11324624.823166879</v>
      </c>
      <c r="L29" s="303" t="str">
        <f>IF(ABS(K29-D29)&lt;0.01,"ok","err")</f>
        <v>ok</v>
      </c>
      <c r="M29" s="28"/>
      <c r="N29" s="28"/>
    </row>
    <row r="30" spans="1:14" ht="15.6" x14ac:dyDescent="0.3">
      <c r="A30" s="362" t="s">
        <v>1896</v>
      </c>
      <c r="B30" s="297" t="s">
        <v>428</v>
      </c>
      <c r="C30" s="298"/>
      <c r="D30" s="306">
        <f>'Allocation ProForma'!P674+'Allocation ProForma'!P675+'Allocation ProForma'!P676+'Allocation ProForma'!P673</f>
        <v>1784495.1328611076</v>
      </c>
      <c r="E30" s="306">
        <f>'Allocation ProForma'!P414+'Allocation ProForma'!P471+'Allocation ProForma'!P357</f>
        <v>1452505.0578655298</v>
      </c>
      <c r="F30" s="307">
        <f>'Allocation ProForma'!P529</f>
        <v>0</v>
      </c>
      <c r="G30" s="307">
        <f>'Allocation ProForma'!P420+'Allocation ProForma'!P477+'Allocation ProForma'!P363</f>
        <v>322099.11341010971</v>
      </c>
      <c r="H30" s="307">
        <f>'Allocation ProForma'!P426+'Allocation ProForma'!P430+'Allocation ProForma'!P432+'Allocation ProForma'!P437+'Allocation ProForma'!P483+'Allocation ProForma'!P487+'Allocation ProForma'!P489+'Allocation ProForma'!P494+'Allocation ProForma'!P369+'Allocation ProForma'!P373+'Allocation ProForma'!P375+'Allocation ProForma'!P380</f>
        <v>0</v>
      </c>
      <c r="I30" s="307">
        <f>'Allocation ProForma'!P431+'Allocation ProForma'!P433+'Allocation ProForma'!P438+'Allocation ProForma'!P442+'Allocation ProForma'!P445+'Allocation ProForma'!P488+'Allocation ProForma'!P490+'Allocation ProForma'!P495+'Allocation ProForma'!P499+'Allocation ProForma'!P502+'Allocation ProForma'!P374+'Allocation ProForma'!P376+'Allocation ProForma'!P381+'Allocation ProForma'!P385+'Allocation ProForma'!P388</f>
        <v>9890.9615854678923</v>
      </c>
      <c r="J30" s="307">
        <v>0</v>
      </c>
      <c r="K30" s="302">
        <f>SUM(E30:J30)</f>
        <v>1784495.1328611074</v>
      </c>
      <c r="L30" s="303" t="str">
        <f>IF(ABS(K30-D30)&lt;0.01,"ok","err")</f>
        <v>ok</v>
      </c>
      <c r="M30" s="28"/>
      <c r="N30" s="28"/>
    </row>
    <row r="31" spans="1:14" ht="15.6" x14ac:dyDescent="0.3">
      <c r="A31" s="362" t="s">
        <v>1897</v>
      </c>
      <c r="B31" s="297" t="s">
        <v>1933</v>
      </c>
      <c r="C31" s="298"/>
      <c r="D31" s="306">
        <f>'Allocation ProForma'!P679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6" x14ac:dyDescent="0.3">
      <c r="A32" s="362" t="s">
        <v>1898</v>
      </c>
      <c r="B32" s="297" t="s">
        <v>1915</v>
      </c>
      <c r="C32" s="298"/>
      <c r="D32" s="306">
        <f>'Allocation ProForma'!P745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6" x14ac:dyDescent="0.3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6" x14ac:dyDescent="0.3">
      <c r="A34" s="362" t="s">
        <v>1901</v>
      </c>
      <c r="B34" s="297" t="s">
        <v>1918</v>
      </c>
      <c r="C34" s="298"/>
      <c r="D34" s="306">
        <f>'Allocation ProForma'!P756+'Allocation ProForma'!P759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6" x14ac:dyDescent="0.3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6" x14ac:dyDescent="0.3">
      <c r="A36" s="364" t="s">
        <v>1905</v>
      </c>
      <c r="B36" s="297" t="s">
        <v>1917</v>
      </c>
      <c r="C36" s="298"/>
      <c r="D36" s="306">
        <f>SUM('Allocation ProForma'!P813:P815)-'Allocation ProForma'!P721</f>
        <v>23832.906901367765</v>
      </c>
      <c r="E36" s="306">
        <f t="shared" ref="E36:J36" si="9">(E14/($D$14)*$D$36)</f>
        <v>18305.080453868617</v>
      </c>
      <c r="F36" s="307">
        <f t="shared" si="9"/>
        <v>791.52211653510653</v>
      </c>
      <c r="G36" s="307">
        <f t="shared" si="9"/>
        <v>4593.8482169697336</v>
      </c>
      <c r="H36" s="307">
        <f t="shared" si="9"/>
        <v>0</v>
      </c>
      <c r="I36" s="307">
        <f t="shared" si="9"/>
        <v>141.5864916624665</v>
      </c>
      <c r="J36" s="307">
        <f t="shared" si="9"/>
        <v>0.86962233184349913</v>
      </c>
      <c r="K36" s="302">
        <f t="shared" si="8"/>
        <v>23832.906901367769</v>
      </c>
      <c r="L36" s="303" t="str">
        <f t="shared" si="7"/>
        <v>ok</v>
      </c>
      <c r="M36" s="28"/>
      <c r="N36" s="28"/>
    </row>
    <row r="37" spans="1:14" ht="15.6" x14ac:dyDescent="0.3">
      <c r="A37" s="364" t="s">
        <v>1919</v>
      </c>
      <c r="B37" s="297" t="s">
        <v>2444</v>
      </c>
      <c r="C37" s="381"/>
      <c r="D37" s="306">
        <f>-'Allocation ProForma'!P802-'Allocation ProForma'!P803</f>
        <v>-551018.020780814</v>
      </c>
      <c r="E37" s="306">
        <f>-'Allocation ProForma'!P802-'Allocation ProForma'!$P$803*(E14/$D$14)</f>
        <v>-551017.91741639096</v>
      </c>
      <c r="F37" s="383">
        <f>-'Allocation ProForma'!$P$803*(F14/$D$14)</f>
        <v>-1.4800614263009384E-2</v>
      </c>
      <c r="G37" s="383">
        <f>-'Allocation ProForma'!$P$803*(G14/$D$14)</f>
        <v>-8.5900032382944552E-2</v>
      </c>
      <c r="H37" s="383">
        <f>-'Allocation ProForma'!$P$803*(H14/$D$14)</f>
        <v>0</v>
      </c>
      <c r="I37" s="383">
        <f>-'Allocation ProForma'!$P$803*(I14/$D$14)</f>
        <v>-2.6475154694632157E-3</v>
      </c>
      <c r="J37" s="383">
        <f>-'Allocation ProForma'!$P$803*(J14/$D$14)</f>
        <v>-1.6261004486465926E-5</v>
      </c>
      <c r="K37" s="302">
        <f t="shared" si="8"/>
        <v>-551018.02078081411</v>
      </c>
      <c r="L37" s="303" t="str">
        <f t="shared" si="7"/>
        <v>ok</v>
      </c>
      <c r="M37" s="28"/>
      <c r="N37" s="28"/>
    </row>
    <row r="38" spans="1:14" ht="15.6" x14ac:dyDescent="0.3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6" x14ac:dyDescent="0.3">
      <c r="A39" s="362" t="s">
        <v>1920</v>
      </c>
      <c r="B39" s="297" t="s">
        <v>1924</v>
      </c>
      <c r="C39" s="298"/>
      <c r="D39" s="306">
        <f t="shared" ref="D39:J39" si="10">SUM(D32:D37)</f>
        <v>-527185.11387944617</v>
      </c>
      <c r="E39" s="306">
        <f t="shared" si="10"/>
        <v>-532712.83696252236</v>
      </c>
      <c r="F39" s="307">
        <f t="shared" si="10"/>
        <v>791.50731592084355</v>
      </c>
      <c r="G39" s="307">
        <f t="shared" si="10"/>
        <v>4593.762316937351</v>
      </c>
      <c r="H39" s="307">
        <f t="shared" si="10"/>
        <v>0</v>
      </c>
      <c r="I39" s="307">
        <f t="shared" si="10"/>
        <v>141.58384414699702</v>
      </c>
      <c r="J39" s="307">
        <f t="shared" si="10"/>
        <v>0.86960607083901265</v>
      </c>
      <c r="K39" s="302">
        <f t="shared" si="8"/>
        <v>-527185.11387944629</v>
      </c>
      <c r="L39" s="303" t="str">
        <f t="shared" si="7"/>
        <v>ok</v>
      </c>
      <c r="M39" s="28"/>
      <c r="N39" s="28"/>
    </row>
    <row r="40" spans="1:14" ht="15.6" x14ac:dyDescent="0.3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6" x14ac:dyDescent="0.3">
      <c r="A41" s="362" t="s">
        <v>1921</v>
      </c>
      <c r="B41" s="297" t="s">
        <v>1899</v>
      </c>
      <c r="C41" s="313"/>
      <c r="D41" s="306">
        <f>SUM(D28:D31)+D22+D26+D39+D24</f>
        <v>92462307.27305916</v>
      </c>
      <c r="E41" s="306">
        <f t="shared" ref="E41:J41" si="11">SUM(E28:E31)+E22+E26+E39+E24</f>
        <v>32353509.653032199</v>
      </c>
      <c r="F41" s="307">
        <f t="shared" si="11"/>
        <v>51161946.93492078</v>
      </c>
      <c r="G41" s="307">
        <f t="shared" si="11"/>
        <v>8343867.2862198604</v>
      </c>
      <c r="H41" s="307">
        <f t="shared" si="11"/>
        <v>0</v>
      </c>
      <c r="I41" s="307">
        <f t="shared" si="11"/>
        <v>550528.80158562458</v>
      </c>
      <c r="J41" s="307">
        <f t="shared" si="11"/>
        <v>52454.597300690519</v>
      </c>
      <c r="K41" s="302">
        <f>SUM(E41:J41)</f>
        <v>92462307.27305916</v>
      </c>
      <c r="L41" s="303" t="str">
        <f>IF(ABS(K41-D41)&lt;0.01,"ok","err")</f>
        <v>ok</v>
      </c>
      <c r="M41" s="28"/>
      <c r="N41" s="28"/>
    </row>
    <row r="42" spans="1:14" ht="15.6" x14ac:dyDescent="0.3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6" x14ac:dyDescent="0.3">
      <c r="A43" s="362" t="s">
        <v>1922</v>
      </c>
      <c r="B43" s="297" t="s">
        <v>2432</v>
      </c>
      <c r="C43" s="298"/>
      <c r="D43" s="306">
        <f>-'Allocation ProForma'!P654</f>
        <v>1103241.7810053704</v>
      </c>
      <c r="E43" s="306">
        <f>D43</f>
        <v>1103241.7810053704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1103241.7810053704</v>
      </c>
      <c r="L43" s="303" t="str">
        <f>IF(ABS(K43-D43)&lt;0.01,"ok","err")</f>
        <v>ok</v>
      </c>
      <c r="M43" s="28"/>
      <c r="N43" s="28"/>
    </row>
    <row r="44" spans="1:14" ht="15.6" x14ac:dyDescent="0.3">
      <c r="A44" s="362" t="s">
        <v>1923</v>
      </c>
      <c r="B44" s="297" t="s">
        <v>1925</v>
      </c>
      <c r="C44" s="298"/>
      <c r="D44" s="306">
        <f>-('Allocation ProForma'!P652+'Allocation ProForma'!P653)</f>
        <v>-664530.24368404015</v>
      </c>
      <c r="E44" s="306">
        <v>0</v>
      </c>
      <c r="F44" s="307">
        <f>D44</f>
        <v>-664530.24368404015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-664530.24368404015</v>
      </c>
      <c r="L44" s="303" t="str">
        <f>IF(ABS(K44-D44)&lt;0.01,"ok","err")</f>
        <v>ok</v>
      </c>
      <c r="M44" s="28"/>
      <c r="N44" s="28"/>
    </row>
    <row r="45" spans="1:14" ht="15.6" x14ac:dyDescent="0.3">
      <c r="A45" s="362" t="s">
        <v>1927</v>
      </c>
      <c r="B45" s="297" t="s">
        <v>1926</v>
      </c>
      <c r="C45" s="298"/>
      <c r="D45" s="306">
        <f>-('Allocation ProForma'!P655+'Allocation ProForma'!P656+'Allocation ProForma'!P657+'Allocation ProForma'!P658+'Allocation ProForma'!P661+'Allocation ProForma'!P662+'Allocation ProForma'!P663+'Allocation ProForma'!P664+'Allocation ProForma'!P665)</f>
        <v>-166735.7469603775</v>
      </c>
      <c r="E45" s="306">
        <f t="shared" ref="E45:J45" si="12">(E14/($D$14)*$D$45)</f>
        <v>-128062.90375222461</v>
      </c>
      <c r="F45" s="307">
        <f t="shared" si="12"/>
        <v>-5537.512980783973</v>
      </c>
      <c r="G45" s="307">
        <f t="shared" si="12"/>
        <v>-32138.702888781419</v>
      </c>
      <c r="H45" s="307">
        <f t="shared" si="12"/>
        <v>0</v>
      </c>
      <c r="I45" s="307">
        <f t="shared" si="12"/>
        <v>-990.54343410730905</v>
      </c>
      <c r="J45" s="307">
        <f t="shared" si="12"/>
        <v>-6.0839044801970736</v>
      </c>
      <c r="K45" s="302">
        <f>SUM(E45:J45)</f>
        <v>-166735.74696037747</v>
      </c>
      <c r="L45" s="303" t="str">
        <f>IF(ABS(K45-D45)&lt;0.01,"ok","err")</f>
        <v>ok</v>
      </c>
      <c r="M45" s="28"/>
      <c r="N45" s="28"/>
    </row>
    <row r="46" spans="1:14" ht="15.6" x14ac:dyDescent="0.3">
      <c r="A46" s="362" t="s">
        <v>1928</v>
      </c>
      <c r="B46" s="297" t="s">
        <v>1929</v>
      </c>
      <c r="C46" s="298"/>
      <c r="D46" s="306">
        <f>SUM(D43:D45)</f>
        <v>271975.79036095279</v>
      </c>
      <c r="E46" s="306">
        <f t="shared" ref="E46:J46" si="13">SUM(E43:E45)</f>
        <v>975178.87725314579</v>
      </c>
      <c r="F46" s="307">
        <f t="shared" si="13"/>
        <v>-670067.75666482409</v>
      </c>
      <c r="G46" s="307">
        <f t="shared" si="13"/>
        <v>-32138.702888781419</v>
      </c>
      <c r="H46" s="307">
        <f t="shared" si="13"/>
        <v>0</v>
      </c>
      <c r="I46" s="307">
        <f t="shared" si="13"/>
        <v>-990.54343410730905</v>
      </c>
      <c r="J46" s="307">
        <f t="shared" si="13"/>
        <v>-6.0839044801970736</v>
      </c>
      <c r="K46" s="302">
        <f>SUM(E46:J46)</f>
        <v>271975.79036095273</v>
      </c>
      <c r="L46" s="303" t="str">
        <f>IF(ABS(K46-D46)&lt;0.01,"ok","err")</f>
        <v>ok</v>
      </c>
      <c r="M46" s="28"/>
      <c r="N46" s="28"/>
    </row>
    <row r="47" spans="1:14" ht="15.6" x14ac:dyDescent="0.3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6" x14ac:dyDescent="0.3">
      <c r="A48" s="362" t="s">
        <v>1934</v>
      </c>
      <c r="B48" s="297" t="s">
        <v>1902</v>
      </c>
      <c r="C48" s="315">
        <f>'Allocation ProForma'!P806-SUM('Allocation ProForma'!P652:P665)-'Allocation ProForma'!P721-'Allocation ProForma'!P802-'Allocation ProForma'!P803</f>
        <v>92734283</v>
      </c>
      <c r="D48" s="306">
        <f>D41+D46</f>
        <v>92734283.063420117</v>
      </c>
      <c r="E48" s="306">
        <f t="shared" ref="E48:J48" si="14">E41+E46</f>
        <v>33328688.530285344</v>
      </c>
      <c r="F48" s="307">
        <f t="shared" si="14"/>
        <v>50491879.178255953</v>
      </c>
      <c r="G48" s="307">
        <f t="shared" si="14"/>
        <v>8311728.5833310792</v>
      </c>
      <c r="H48" s="307">
        <f t="shared" si="14"/>
        <v>0</v>
      </c>
      <c r="I48" s="307">
        <f t="shared" si="14"/>
        <v>549538.25815151725</v>
      </c>
      <c r="J48" s="307">
        <f t="shared" si="14"/>
        <v>52448.513396210321</v>
      </c>
      <c r="K48" s="302">
        <f>SUM(E48:J48)</f>
        <v>92734283.063420102</v>
      </c>
      <c r="L48" s="303" t="str">
        <f>IF(ABS(K48-D48)&lt;0.01,"ok","err")</f>
        <v>ok</v>
      </c>
      <c r="M48" s="28"/>
      <c r="N48" s="28"/>
    </row>
    <row r="49" spans="1:14" ht="15.6" x14ac:dyDescent="0.3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6" x14ac:dyDescent="0.3">
      <c r="A50" s="362" t="s">
        <v>1935</v>
      </c>
      <c r="B50" s="297" t="s">
        <v>1904</v>
      </c>
      <c r="C50" s="298"/>
      <c r="D50" s="316"/>
      <c r="E50" s="317">
        <v>3234177</v>
      </c>
      <c r="F50" s="318">
        <f>'Billing Det'!C28</f>
        <v>1497714279.3066747</v>
      </c>
      <c r="G50" s="318">
        <v>3609636</v>
      </c>
      <c r="H50" s="318">
        <f>G50</f>
        <v>3609636</v>
      </c>
      <c r="I50" s="318">
        <f>'Allocation ProForma'!P848</f>
        <v>360</v>
      </c>
      <c r="J50" s="318">
        <f>I50</f>
        <v>360</v>
      </c>
      <c r="K50" s="287"/>
      <c r="L50" s="310"/>
      <c r="M50" s="28"/>
      <c r="N50" s="28"/>
    </row>
    <row r="51" spans="1:14" ht="16.2" thickBot="1" x14ac:dyDescent="0.35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2" thickBot="1" x14ac:dyDescent="0.35">
      <c r="A52" s="365" t="s">
        <v>2446</v>
      </c>
      <c r="B52" s="319" t="s">
        <v>1906</v>
      </c>
      <c r="C52" s="320"/>
      <c r="D52" s="321"/>
      <c r="E52" s="384">
        <f t="shared" ref="E52:J52" si="15">E48/E50</f>
        <v>10.305152912251044</v>
      </c>
      <c r="F52" s="323">
        <f t="shared" si="15"/>
        <v>3.3712624547874222E-2</v>
      </c>
      <c r="G52" s="324">
        <f t="shared" si="15"/>
        <v>2.3026500686858951</v>
      </c>
      <c r="H52" s="324">
        <f t="shared" si="15"/>
        <v>0</v>
      </c>
      <c r="I52" s="324">
        <f>I48/I50</f>
        <v>1526.4951615319924</v>
      </c>
      <c r="J52" s="324">
        <f t="shared" si="15"/>
        <v>145.69031498947311</v>
      </c>
      <c r="K52" s="325">
        <f>I52+J52</f>
        <v>1672.1854765214655</v>
      </c>
      <c r="L52" s="326"/>
      <c r="M52" s="28"/>
      <c r="N52" s="28"/>
    </row>
    <row r="53" spans="1:14" ht="15.6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6" x14ac:dyDescent="0.3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1672.1854765214655</v>
      </c>
      <c r="L54" s="28"/>
      <c r="M54" s="28"/>
      <c r="N54" s="28"/>
    </row>
    <row r="55" spans="1:14" ht="15.6" x14ac:dyDescent="0.3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12.607802980936938</v>
      </c>
      <c r="L55" s="28"/>
      <c r="M55" s="28"/>
      <c r="N55" s="28"/>
    </row>
    <row r="56" spans="1:14" ht="15.6" x14ac:dyDescent="0.3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3.3712624547874222E-2</v>
      </c>
      <c r="L56" s="28"/>
      <c r="M56" s="28"/>
      <c r="N56" s="28"/>
    </row>
    <row r="57" spans="1:14" ht="15.6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6" x14ac:dyDescent="0.3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6" x14ac:dyDescent="0.3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6" x14ac:dyDescent="0.3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6" x14ac:dyDescent="0.3">
      <c r="J61" s="373"/>
      <c r="K61" s="34"/>
    </row>
    <row r="62" spans="1:14" ht="15.6" x14ac:dyDescent="0.3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3.8" x14ac:dyDescent="0.25"/>
  <cols>
    <col min="1" max="1" width="4.5546875" customWidth="1"/>
    <col min="2" max="2" width="45.44140625" bestFit="1" customWidth="1"/>
    <col min="3" max="3" width="19" hidden="1" customWidth="1"/>
    <col min="4" max="4" width="23.6640625" customWidth="1"/>
    <col min="5" max="5" width="24.88671875" bestFit="1" customWidth="1"/>
    <col min="6" max="6" width="23.33203125" bestFit="1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 x14ac:dyDescent="0.3">
      <c r="A1" s="439" t="s">
        <v>1427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</row>
    <row r="2" spans="1:14" ht="15.6" x14ac:dyDescent="0.3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6" x14ac:dyDescent="0.3">
      <c r="A3" s="439" t="s">
        <v>1911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</row>
    <row r="4" spans="1:14" ht="15.6" x14ac:dyDescent="0.3">
      <c r="A4" s="439" t="s">
        <v>2442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</row>
    <row r="5" spans="1:14" ht="15.6" x14ac:dyDescent="0.3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6" x14ac:dyDescent="0.3">
      <c r="A6" s="439" t="s">
        <v>2449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</row>
    <row r="7" spans="1:14" ht="15.6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2" thickBot="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2" thickBot="1" x14ac:dyDescent="0.35">
      <c r="A9" s="279"/>
      <c r="B9" s="280"/>
      <c r="C9" s="281"/>
      <c r="D9" s="279"/>
      <c r="E9" s="437" t="s">
        <v>1907</v>
      </c>
      <c r="F9" s="438"/>
      <c r="G9" s="282" t="s">
        <v>459</v>
      </c>
      <c r="H9" s="437" t="s">
        <v>118</v>
      </c>
      <c r="I9" s="438"/>
      <c r="J9" s="282" t="s">
        <v>1912</v>
      </c>
      <c r="K9" s="281"/>
      <c r="L9" s="283"/>
      <c r="M9" s="28"/>
      <c r="N9" s="28"/>
    </row>
    <row r="10" spans="1:14" ht="15.6" x14ac:dyDescent="0.3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6" x14ac:dyDescent="0.3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2" thickBot="1" x14ac:dyDescent="0.35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6" x14ac:dyDescent="0.3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6" x14ac:dyDescent="0.3">
      <c r="A14" s="362" t="s">
        <v>1166</v>
      </c>
      <c r="B14" s="297" t="s">
        <v>193</v>
      </c>
      <c r="C14" s="298"/>
      <c r="D14" s="299">
        <f>'Allocation ProForma'!Q174</f>
        <v>45005985.731704071</v>
      </c>
      <c r="E14" s="300">
        <f>'Allocation ProForma'!Q123+'Allocation ProForma'!Q124+'Allocation ProForma'!Q125</f>
        <v>34268408.965770498</v>
      </c>
      <c r="F14" s="301">
        <f>'Allocation ProForma'!Q126</f>
        <v>2094102.3950426062</v>
      </c>
      <c r="G14" s="301">
        <f>'Allocation ProForma'!Q135</f>
        <v>8600009.6979920305</v>
      </c>
      <c r="H14" s="301">
        <f>'Allocation ProForma'!Q145+'Allocation ProForma'!Q147+'Allocation ProForma'!Q152+'Allocation ProForma'!Q141</f>
        <v>0</v>
      </c>
      <c r="I14" s="301">
        <f>'Allocation ProForma'!Q146+'Allocation ProForma'!Q148+'Allocation ProForma'!Q153+'Allocation ProForma'!Q157+'Allocation ProForma'!Q160+'Allocation ProForma'!Q163</f>
        <v>42945.331605681378</v>
      </c>
      <c r="J14" s="301">
        <f>'Allocation ProForma'!Q166+'Allocation ProForma'!Q169</f>
        <v>519.34129324883634</v>
      </c>
      <c r="K14" s="302">
        <f>SUM(E14:J14)</f>
        <v>45005985.731704064</v>
      </c>
      <c r="L14" s="303" t="str">
        <f>IF(ABS(K14-D14)&lt;0.01,"ok","err")</f>
        <v>ok</v>
      </c>
      <c r="M14" s="28"/>
      <c r="N14" s="28"/>
    </row>
    <row r="15" spans="1:14" ht="15.6" x14ac:dyDescent="0.3">
      <c r="A15" s="362" t="s">
        <v>1323</v>
      </c>
      <c r="B15" s="297" t="s">
        <v>1888</v>
      </c>
      <c r="C15" s="298"/>
      <c r="D15" s="299">
        <f>'Allocation ProForma'!Q773+'Allocation ProForma'!Q774+'Allocation ProForma'!Q775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6" x14ac:dyDescent="0.3">
      <c r="A16" s="362" t="s">
        <v>1889</v>
      </c>
      <c r="B16" s="297" t="s">
        <v>1890</v>
      </c>
      <c r="C16" s="298"/>
      <c r="D16" s="306">
        <f>D14+D15</f>
        <v>45005985.731704071</v>
      </c>
      <c r="E16" s="306">
        <f t="shared" ref="E16:K16" si="1">E14+E15</f>
        <v>34268408.965770498</v>
      </c>
      <c r="F16" s="307">
        <f t="shared" si="1"/>
        <v>2094102.3950426062</v>
      </c>
      <c r="G16" s="307">
        <f t="shared" si="1"/>
        <v>8600009.6979920305</v>
      </c>
      <c r="H16" s="307">
        <f t="shared" si="1"/>
        <v>0</v>
      </c>
      <c r="I16" s="307">
        <f t="shared" si="1"/>
        <v>42945.331605681378</v>
      </c>
      <c r="J16" s="307">
        <f t="shared" si="1"/>
        <v>519.34129324883634</v>
      </c>
      <c r="K16" s="302">
        <f t="shared" si="1"/>
        <v>45005985.731704064</v>
      </c>
      <c r="L16" s="303" t="str">
        <f>IF(ABS(K16-D16)&lt;0.01,"ok","err")</f>
        <v>ok</v>
      </c>
      <c r="M16" s="28"/>
      <c r="N16" s="28"/>
    </row>
    <row r="17" spans="1:14" ht="15.6" x14ac:dyDescent="0.3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6" x14ac:dyDescent="0.3">
      <c r="A18" s="362" t="s">
        <v>1891</v>
      </c>
      <c r="B18" s="297" t="s">
        <v>441</v>
      </c>
      <c r="C18" s="298"/>
      <c r="D18" s="311">
        <f>'Allocation ProForma'!Q825</f>
        <v>0.11013239236156214</v>
      </c>
      <c r="E18" s="311">
        <f t="shared" ref="E18:J18" si="2">D18</f>
        <v>0.11013239236156214</v>
      </c>
      <c r="F18" s="312">
        <f t="shared" si="2"/>
        <v>0.11013239236156214</v>
      </c>
      <c r="G18" s="312">
        <f t="shared" si="2"/>
        <v>0.11013239236156214</v>
      </c>
      <c r="H18" s="312">
        <f t="shared" si="2"/>
        <v>0.11013239236156214</v>
      </c>
      <c r="I18" s="312">
        <f t="shared" si="2"/>
        <v>0.11013239236156214</v>
      </c>
      <c r="J18" s="312">
        <f t="shared" si="2"/>
        <v>0.11013239236156214</v>
      </c>
      <c r="K18" s="302"/>
      <c r="L18" s="303"/>
      <c r="M18" s="28"/>
      <c r="N18" s="28"/>
    </row>
    <row r="19" spans="1:14" ht="15.6" x14ac:dyDescent="0.3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6" x14ac:dyDescent="0.3">
      <c r="A20" s="362" t="s">
        <v>1892</v>
      </c>
      <c r="B20" s="297" t="s">
        <v>1893</v>
      </c>
      <c r="C20" s="298"/>
      <c r="D20" s="306">
        <f>D18*D16</f>
        <v>4956616.8792228997</v>
      </c>
      <c r="E20" s="306">
        <f t="shared" ref="E20:J20" si="3">E18*E16</f>
        <v>3774061.8618247104</v>
      </c>
      <c r="F20" s="307">
        <f t="shared" si="3"/>
        <v>230628.5066161193</v>
      </c>
      <c r="G20" s="307">
        <f t="shared" si="3"/>
        <v>947139.64237249782</v>
      </c>
      <c r="H20" s="307">
        <f t="shared" si="3"/>
        <v>0</v>
      </c>
      <c r="I20" s="307">
        <f t="shared" si="3"/>
        <v>4729.6721104942972</v>
      </c>
      <c r="J20" s="307">
        <f t="shared" si="3"/>
        <v>57.196299077641946</v>
      </c>
      <c r="K20" s="302">
        <f>SUM(E20:J20)</f>
        <v>4956616.8792228997</v>
      </c>
      <c r="L20" s="303" t="str">
        <f>IF(ABS(K20-D20)&lt;0.01,"ok","err")</f>
        <v>ok</v>
      </c>
      <c r="M20" s="28"/>
      <c r="N20" s="28"/>
    </row>
    <row r="21" spans="1:14" ht="15.6" x14ac:dyDescent="0.3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6" x14ac:dyDescent="0.3">
      <c r="A22" s="362" t="s">
        <v>1324</v>
      </c>
      <c r="B22" s="297" t="s">
        <v>1894</v>
      </c>
      <c r="C22" s="298"/>
      <c r="D22" s="306">
        <f>'Allocation ProForma'!Q705</f>
        <v>1056233.0599140152</v>
      </c>
      <c r="E22" s="306">
        <f t="shared" ref="E22:J22" si="4">(E14/$D$14)*$D$22</f>
        <v>804235.83378606231</v>
      </c>
      <c r="F22" s="307">
        <f t="shared" si="4"/>
        <v>49145.911250000558</v>
      </c>
      <c r="G22" s="307">
        <f t="shared" si="4"/>
        <v>201831.25446359141</v>
      </c>
      <c r="H22" s="307">
        <f t="shared" si="4"/>
        <v>0</v>
      </c>
      <c r="I22" s="307">
        <f t="shared" si="4"/>
        <v>1007.8721368597257</v>
      </c>
      <c r="J22" s="307">
        <f t="shared" si="4"/>
        <v>12.188277501085869</v>
      </c>
      <c r="K22" s="302">
        <f>SUM(E22:J22)</f>
        <v>1056233.0599140152</v>
      </c>
      <c r="L22" s="303" t="str">
        <f>IF(ABS(K22-D22)&lt;0.01,"ok","err")</f>
        <v>ok</v>
      </c>
      <c r="M22" s="28"/>
      <c r="N22" s="28"/>
    </row>
    <row r="23" spans="1:14" ht="15.6" x14ac:dyDescent="0.3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6" x14ac:dyDescent="0.3">
      <c r="A24" s="362" t="s">
        <v>1325</v>
      </c>
      <c r="B24" s="297" t="s">
        <v>209</v>
      </c>
      <c r="C24" s="298"/>
      <c r="D24" s="306">
        <f>D20-D22</f>
        <v>3900383.8193088844</v>
      </c>
      <c r="E24" s="306">
        <f t="shared" ref="E24:J24" si="5">E20-E22</f>
        <v>2969826.028038648</v>
      </c>
      <c r="F24" s="307">
        <f t="shared" si="5"/>
        <v>181482.59536611874</v>
      </c>
      <c r="G24" s="307">
        <f t="shared" si="5"/>
        <v>745308.38790890644</v>
      </c>
      <c r="H24" s="307">
        <f t="shared" si="5"/>
        <v>0</v>
      </c>
      <c r="I24" s="307">
        <f t="shared" si="5"/>
        <v>3721.7999736345714</v>
      </c>
      <c r="J24" s="307">
        <f t="shared" si="5"/>
        <v>45.008021576556075</v>
      </c>
      <c r="K24" s="302">
        <f>SUM(E24:J24)</f>
        <v>3900383.819308884</v>
      </c>
      <c r="L24" s="303" t="str">
        <f>IF(ABS(K24-D24)&lt;0.01,"ok","err")</f>
        <v>ok</v>
      </c>
      <c r="M24" s="28"/>
      <c r="N24" s="28"/>
    </row>
    <row r="25" spans="1:14" ht="15.6" x14ac:dyDescent="0.3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6" x14ac:dyDescent="0.3">
      <c r="A26" s="362" t="s">
        <v>1326</v>
      </c>
      <c r="B26" s="297" t="s">
        <v>553</v>
      </c>
      <c r="C26" s="298"/>
      <c r="D26" s="306">
        <f>'Allocation ProForma'!Q740+'Allocation ProForma'!Q817</f>
        <v>2675993.6830323283</v>
      </c>
      <c r="E26" s="306">
        <f t="shared" ref="E26:J26" si="6">$D$26*(E24/$K$24)</f>
        <v>2037552.2150906157</v>
      </c>
      <c r="F26" s="307">
        <f t="shared" si="6"/>
        <v>124512.43294976502</v>
      </c>
      <c r="G26" s="307">
        <f t="shared" si="6"/>
        <v>511344.68563882005</v>
      </c>
      <c r="H26" s="307">
        <f t="shared" si="6"/>
        <v>0</v>
      </c>
      <c r="I26" s="307">
        <f t="shared" si="6"/>
        <v>2553.4700379104597</v>
      </c>
      <c r="J26" s="307">
        <f t="shared" si="6"/>
        <v>30.879315217236233</v>
      </c>
      <c r="K26" s="302">
        <f>SUM(E26:J26)</f>
        <v>2675993.6830323287</v>
      </c>
      <c r="L26" s="303" t="str">
        <f>IF(ABS(K26-D26)&lt;0.01,"ok","err")</f>
        <v>ok</v>
      </c>
      <c r="M26" s="28"/>
      <c r="N26" s="28"/>
    </row>
    <row r="27" spans="1:14" ht="15.6" x14ac:dyDescent="0.3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6" x14ac:dyDescent="0.3">
      <c r="A28" s="362" t="s">
        <v>1327</v>
      </c>
      <c r="B28" s="297" t="s">
        <v>795</v>
      </c>
      <c r="C28" s="298"/>
      <c r="D28" s="306">
        <f>'Allocation ProForma'!Q671</f>
        <v>21215963.597676735</v>
      </c>
      <c r="E28" s="306">
        <f>'Allocation ProForma'!Q180+'Allocation ProForma'!Q181+'Allocation ProForma'!Q182</f>
        <v>1814263.191196494</v>
      </c>
      <c r="F28" s="307">
        <f>'Allocation ProForma'!Q183</f>
        <v>18652079.557136446</v>
      </c>
      <c r="G28" s="307">
        <f>'Allocation ProForma'!Q192</f>
        <v>729397.33786620735</v>
      </c>
      <c r="H28" s="307">
        <f>'Allocation ProForma'!Q198+'Allocation ProForma'!Q202+'Allocation ProForma'!Q204+'Allocation ProForma'!Q209</f>
        <v>0</v>
      </c>
      <c r="I28" s="307">
        <f>'Allocation ProForma'!Q203+'Allocation ProForma'!Q205+'Allocation ProForma'!Q210+'Allocation ProForma'!Q214+'Allocation ProForma'!Q217</f>
        <v>15910.723183290036</v>
      </c>
      <c r="J28" s="307">
        <f>'Allocation ProForma'!Q223+'Allocation ProForma'!Q226</f>
        <v>4312.7882943015384</v>
      </c>
      <c r="K28" s="302">
        <f>SUM(E28:J28)</f>
        <v>21215963.597676735</v>
      </c>
      <c r="L28" s="303" t="str">
        <f>IF(ABS(K28-D28)&lt;0.01,"ok","err")</f>
        <v>ok</v>
      </c>
      <c r="M28" s="28"/>
      <c r="N28" s="28"/>
    </row>
    <row r="29" spans="1:14" ht="15.6" x14ac:dyDescent="0.3">
      <c r="A29" s="362" t="s">
        <v>1895</v>
      </c>
      <c r="B29" s="297" t="s">
        <v>843</v>
      </c>
      <c r="C29" s="298"/>
      <c r="D29" s="306">
        <f>'Allocation ProForma'!Q672</f>
        <v>2947235.6735119577</v>
      </c>
      <c r="E29" s="306">
        <f>'Allocation ProForma'!Q300</f>
        <v>2546525.0983428522</v>
      </c>
      <c r="F29" s="307">
        <v>0</v>
      </c>
      <c r="G29" s="307">
        <f>'Allocation ProForma'!Q306</f>
        <v>398570.66678966006</v>
      </c>
      <c r="H29" s="307">
        <f>'Allocation ProForma'!Q312+'Allocation ProForma'!Q316+'Allocation ProForma'!Q318+'Allocation ProForma'!Q323</f>
        <v>0</v>
      </c>
      <c r="I29" s="307">
        <f>'Allocation ProForma'!Q317+'Allocation ProForma'!Q319+'Allocation ProForma'!Q324+'Allocation ProForma'!Q328+'Allocation ProForma'!Q331</f>
        <v>2139.9083794454964</v>
      </c>
      <c r="J29" s="307">
        <v>0</v>
      </c>
      <c r="K29" s="302">
        <f>SUM(E29:J29)</f>
        <v>2947235.6735119577</v>
      </c>
      <c r="L29" s="303" t="str">
        <f>IF(ABS(K29-D29)&lt;0.01,"ok","err")</f>
        <v>ok</v>
      </c>
      <c r="M29" s="28"/>
      <c r="N29" s="28"/>
    </row>
    <row r="30" spans="1:14" ht="15.6" x14ac:dyDescent="0.3">
      <c r="A30" s="362" t="s">
        <v>1896</v>
      </c>
      <c r="B30" s="297" t="s">
        <v>428</v>
      </c>
      <c r="C30" s="298"/>
      <c r="D30" s="306">
        <f>'Allocation ProForma'!Q674+'Allocation ProForma'!Q675+'Allocation ProForma'!Q676+'Allocation ProForma'!Q673</f>
        <v>463994.02704999701</v>
      </c>
      <c r="E30" s="306">
        <f>'Allocation ProForma'!Q414+'Allocation ProForma'!Q471+'Allocation ProForma'!Q357</f>
        <v>379434.25433686218</v>
      </c>
      <c r="F30" s="307">
        <f>'Allocation ProForma'!Q529</f>
        <v>0</v>
      </c>
      <c r="G30" s="307">
        <f>'Allocation ProForma'!Q420+'Allocation ProForma'!Q477+'Allocation ProForma'!Q363</f>
        <v>84141.143782952568</v>
      </c>
      <c r="H30" s="307">
        <f>'Allocation ProForma'!Q426+'Allocation ProForma'!Q430+'Allocation ProForma'!Q432+'Allocation ProForma'!Q437+'Allocation ProForma'!Q483+'Allocation ProForma'!Q487+'Allocation ProForma'!Q489+'Allocation ProForma'!Q494+'Allocation ProForma'!Q369+'Allocation ProForma'!Q373+'Allocation ProForma'!Q375+'Allocation ProForma'!Q380</f>
        <v>0</v>
      </c>
      <c r="I30" s="307">
        <f>'Allocation ProForma'!Q431+'Allocation ProForma'!Q433+'Allocation ProForma'!Q438+'Allocation ProForma'!Q442+'Allocation ProForma'!Q445+'Allocation ProForma'!Q488+'Allocation ProForma'!Q490+'Allocation ProForma'!Q495+'Allocation ProForma'!Q499+'Allocation ProForma'!Q502+'Allocation ProForma'!Q374+'Allocation ProForma'!Q376+'Allocation ProForma'!Q381+'Allocation ProForma'!Q385+'Allocation ProForma'!Q388</f>
        <v>418.62893018224111</v>
      </c>
      <c r="J30" s="307">
        <v>0</v>
      </c>
      <c r="K30" s="302">
        <f>SUM(E30:J30)</f>
        <v>463994.02704999701</v>
      </c>
      <c r="L30" s="303" t="str">
        <f>IF(ABS(K30-D30)&lt;0.01,"ok","err")</f>
        <v>ok</v>
      </c>
      <c r="M30" s="28"/>
      <c r="N30" s="28"/>
    </row>
    <row r="31" spans="1:14" ht="15.6" x14ac:dyDescent="0.3">
      <c r="A31" s="362" t="s">
        <v>1897</v>
      </c>
      <c r="B31" s="297" t="s">
        <v>1933</v>
      </c>
      <c r="C31" s="298"/>
      <c r="D31" s="306">
        <f>'Allocation ProForma'!Q679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6" x14ac:dyDescent="0.3">
      <c r="A32" s="362" t="s">
        <v>1898</v>
      </c>
      <c r="B32" s="297" t="s">
        <v>1915</v>
      </c>
      <c r="C32" s="298"/>
      <c r="D32" s="306">
        <f>'Allocation ProForma'!Q745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6" x14ac:dyDescent="0.3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6" x14ac:dyDescent="0.3">
      <c r="A34" s="362" t="s">
        <v>1901</v>
      </c>
      <c r="B34" s="297" t="s">
        <v>1918</v>
      </c>
      <c r="C34" s="298"/>
      <c r="D34" s="306">
        <f>'Allocation ProForma'!Q756+'Allocation ProForma'!Q759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6" x14ac:dyDescent="0.3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6" x14ac:dyDescent="0.3">
      <c r="A36" s="364" t="s">
        <v>1905</v>
      </c>
      <c r="B36" s="297" t="s">
        <v>1917</v>
      </c>
      <c r="C36" s="298"/>
      <c r="D36" s="306">
        <f>SUM('Allocation ProForma'!Q813:Q815)-'Allocation ProForma'!Q721</f>
        <v>7255.8592069669648</v>
      </c>
      <c r="E36" s="306">
        <f t="shared" ref="E36:J36" si="9">(E14/($D$14)*$D$36)</f>
        <v>5524.7484675630185</v>
      </c>
      <c r="F36" s="307">
        <f t="shared" si="9"/>
        <v>337.61091766728765</v>
      </c>
      <c r="G36" s="307">
        <f t="shared" si="9"/>
        <v>1386.4924527855237</v>
      </c>
      <c r="H36" s="307">
        <f t="shared" si="9"/>
        <v>0</v>
      </c>
      <c r="I36" s="307">
        <f t="shared" si="9"/>
        <v>6.9236408149110931</v>
      </c>
      <c r="J36" s="307">
        <f t="shared" si="9"/>
        <v>8.3728136222626426E-2</v>
      </c>
      <c r="K36" s="302">
        <f t="shared" si="8"/>
        <v>7255.8592069669639</v>
      </c>
      <c r="L36" s="303" t="str">
        <f t="shared" si="7"/>
        <v>ok</v>
      </c>
      <c r="M36" s="28"/>
      <c r="N36" s="28"/>
    </row>
    <row r="37" spans="1:14" ht="15.6" x14ac:dyDescent="0.3">
      <c r="A37" s="364" t="s">
        <v>1919</v>
      </c>
      <c r="B37" s="297" t="s">
        <v>2444</v>
      </c>
      <c r="C37" s="381"/>
      <c r="D37" s="306">
        <f>-'Allocation ProForma'!Q802-'Allocation ProForma'!Q803</f>
        <v>-143940.93956105405</v>
      </c>
      <c r="E37" s="306">
        <f>-'Allocation ProForma'!Q802-'Allocation ProForma'!$Q$803*(E14/$D$14)</f>
        <v>-143940.93956105405</v>
      </c>
      <c r="F37" s="383">
        <f>-'Allocation ProForma'!$Q$803*(F14/$D$14)</f>
        <v>0</v>
      </c>
      <c r="G37" s="383">
        <f>-'Allocation ProForma'!$Q$803*(G14/$D$14)</f>
        <v>0</v>
      </c>
      <c r="H37" s="383">
        <f>-'Allocation ProForma'!$Q$803*(H14/$D$14)</f>
        <v>0</v>
      </c>
      <c r="I37" s="383">
        <f>-'Allocation ProForma'!$Q$803*(I14/$D$14)</f>
        <v>0</v>
      </c>
      <c r="J37" s="383">
        <f>-'Allocation ProForma'!$Q$803*(J14/$D$14)</f>
        <v>0</v>
      </c>
      <c r="K37" s="302">
        <f t="shared" si="8"/>
        <v>-143940.93956105405</v>
      </c>
      <c r="L37" s="303" t="str">
        <f t="shared" si="7"/>
        <v>ok</v>
      </c>
      <c r="M37" s="28"/>
      <c r="N37" s="28"/>
    </row>
    <row r="38" spans="1:14" ht="15.6" x14ac:dyDescent="0.3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6" x14ac:dyDescent="0.3">
      <c r="A39" s="362" t="s">
        <v>1920</v>
      </c>
      <c r="B39" s="297" t="s">
        <v>1924</v>
      </c>
      <c r="C39" s="298"/>
      <c r="D39" s="306">
        <f t="shared" ref="D39:J39" si="10">SUM(D32:D37)</f>
        <v>-136685.08035408708</v>
      </c>
      <c r="E39" s="306">
        <f t="shared" si="10"/>
        <v>-138416.19109349104</v>
      </c>
      <c r="F39" s="307">
        <f t="shared" si="10"/>
        <v>337.61091766728765</v>
      </c>
      <c r="G39" s="307">
        <f t="shared" si="10"/>
        <v>1386.4924527855237</v>
      </c>
      <c r="H39" s="307">
        <f t="shared" si="10"/>
        <v>0</v>
      </c>
      <c r="I39" s="307">
        <f t="shared" si="10"/>
        <v>6.9236408149110931</v>
      </c>
      <c r="J39" s="307">
        <f t="shared" si="10"/>
        <v>8.3728136222626426E-2</v>
      </c>
      <c r="K39" s="302">
        <f t="shared" si="8"/>
        <v>-136685.08035408711</v>
      </c>
      <c r="L39" s="303" t="str">
        <f t="shared" si="7"/>
        <v>ok</v>
      </c>
      <c r="M39" s="28"/>
      <c r="N39" s="28"/>
    </row>
    <row r="40" spans="1:14" ht="15.6" x14ac:dyDescent="0.3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6" x14ac:dyDescent="0.3">
      <c r="A41" s="362" t="s">
        <v>1921</v>
      </c>
      <c r="B41" s="297" t="s">
        <v>1899</v>
      </c>
      <c r="C41" s="313"/>
      <c r="D41" s="306">
        <f>SUM(D28:D31)+D22+D26+D39+D24</f>
        <v>32123118.780139826</v>
      </c>
      <c r="E41" s="306">
        <f t="shared" ref="E41:J41" si="11">SUM(E28:E31)+E22+E26+E39+E24</f>
        <v>10413420.429698043</v>
      </c>
      <c r="F41" s="307">
        <f t="shared" si="11"/>
        <v>19007558.107620001</v>
      </c>
      <c r="G41" s="307">
        <f t="shared" si="11"/>
        <v>2671979.9689029232</v>
      </c>
      <c r="H41" s="307">
        <f t="shared" si="11"/>
        <v>0</v>
      </c>
      <c r="I41" s="307">
        <f t="shared" si="11"/>
        <v>25759.326282137437</v>
      </c>
      <c r="J41" s="307">
        <f t="shared" si="11"/>
        <v>4400.9476367326406</v>
      </c>
      <c r="K41" s="302">
        <f>SUM(E41:J41)</f>
        <v>32123118.780139834</v>
      </c>
      <c r="L41" s="303" t="str">
        <f>IF(ABS(K41-D41)&lt;0.01,"ok","err")</f>
        <v>ok</v>
      </c>
      <c r="M41" s="28"/>
      <c r="N41" s="28"/>
    </row>
    <row r="42" spans="1:14" ht="15.6" x14ac:dyDescent="0.3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6" x14ac:dyDescent="0.3">
      <c r="A43" s="362" t="s">
        <v>1922</v>
      </c>
      <c r="B43" s="297" t="s">
        <v>2432</v>
      </c>
      <c r="C43" s="298"/>
      <c r="D43" s="306">
        <f>-'Allocation ProForma'!Q654</f>
        <v>288197.08424574614</v>
      </c>
      <c r="E43" s="306">
        <f>D43</f>
        <v>288197.08424574614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288197.08424574614</v>
      </c>
      <c r="L43" s="303" t="str">
        <f>IF(ABS(K43-D43)&lt;0.01,"ok","err")</f>
        <v>ok</v>
      </c>
      <c r="M43" s="28"/>
      <c r="N43" s="28"/>
    </row>
    <row r="44" spans="1:14" ht="15.6" x14ac:dyDescent="0.3">
      <c r="A44" s="362" t="s">
        <v>1923</v>
      </c>
      <c r="B44" s="297" t="s">
        <v>1925</v>
      </c>
      <c r="C44" s="298"/>
      <c r="D44" s="306">
        <f>-('Allocation ProForma'!Q652+'Allocation ProForma'!Q653)</f>
        <v>-245327.47728685281</v>
      </c>
      <c r="E44" s="306">
        <v>0</v>
      </c>
      <c r="F44" s="307">
        <f>D44</f>
        <v>-245327.47728685281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-245327.47728685281</v>
      </c>
      <c r="L44" s="303" t="str">
        <f>IF(ABS(K44-D44)&lt;0.01,"ok","err")</f>
        <v>ok</v>
      </c>
      <c r="M44" s="28"/>
      <c r="N44" s="28"/>
    </row>
    <row r="45" spans="1:14" ht="15.6" x14ac:dyDescent="0.3">
      <c r="A45" s="362" t="s">
        <v>1927</v>
      </c>
      <c r="B45" s="297" t="s">
        <v>1926</v>
      </c>
      <c r="C45" s="298"/>
      <c r="D45" s="306">
        <f>-('Allocation ProForma'!Q655+'Allocation ProForma'!Q656+'Allocation ProForma'!Q657+'Allocation ProForma'!Q658+'Allocation ProForma'!Q661+'Allocation ProForma'!Q662+'Allocation ProForma'!Q663+'Allocation ProForma'!Q664+'Allocation ProForma'!Q665)</f>
        <v>-38866.370531641274</v>
      </c>
      <c r="E45" s="306">
        <f t="shared" ref="E45:J45" si="12">(E14/($D$14)*$D$45)</f>
        <v>-29593.589802327489</v>
      </c>
      <c r="F45" s="307">
        <f t="shared" si="12"/>
        <v>-1808.429663158978</v>
      </c>
      <c r="G45" s="307">
        <f t="shared" si="12"/>
        <v>-7426.8157460310076</v>
      </c>
      <c r="H45" s="307">
        <f t="shared" si="12"/>
        <v>0</v>
      </c>
      <c r="I45" s="307">
        <f t="shared" si="12"/>
        <v>-37.086826199982859</v>
      </c>
      <c r="J45" s="307">
        <f t="shared" si="12"/>
        <v>-0.44849392381093789</v>
      </c>
      <c r="K45" s="302">
        <f>SUM(E45:J45)</f>
        <v>-38866.370531641274</v>
      </c>
      <c r="L45" s="303" t="str">
        <f>IF(ABS(K45-D45)&lt;0.01,"ok","err")</f>
        <v>ok</v>
      </c>
      <c r="M45" s="28"/>
      <c r="N45" s="28"/>
    </row>
    <row r="46" spans="1:14" ht="15.6" x14ac:dyDescent="0.3">
      <c r="A46" s="362" t="s">
        <v>1928</v>
      </c>
      <c r="B46" s="297" t="s">
        <v>1929</v>
      </c>
      <c r="C46" s="298"/>
      <c r="D46" s="306">
        <f>SUM(D43:D45)</f>
        <v>4003.2364272520572</v>
      </c>
      <c r="E46" s="306">
        <f t="shared" ref="E46:J46" si="13">SUM(E43:E45)</f>
        <v>258603.49444341866</v>
      </c>
      <c r="F46" s="307">
        <f t="shared" si="13"/>
        <v>-247135.90695001179</v>
      </c>
      <c r="G46" s="307">
        <f t="shared" si="13"/>
        <v>-7426.8157460310076</v>
      </c>
      <c r="H46" s="307">
        <f t="shared" si="13"/>
        <v>0</v>
      </c>
      <c r="I46" s="307">
        <f t="shared" si="13"/>
        <v>-37.086826199982859</v>
      </c>
      <c r="J46" s="307">
        <f t="shared" si="13"/>
        <v>-0.44849392381093789</v>
      </c>
      <c r="K46" s="302">
        <f>SUM(E46:J46)</f>
        <v>4003.236427252069</v>
      </c>
      <c r="L46" s="303" t="str">
        <f>IF(ABS(K46-D46)&lt;0.01,"ok","err")</f>
        <v>ok</v>
      </c>
      <c r="M46" s="28"/>
      <c r="N46" s="28"/>
    </row>
    <row r="47" spans="1:14" ht="15.6" x14ac:dyDescent="0.3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6" x14ac:dyDescent="0.3">
      <c r="A48" s="362" t="s">
        <v>1934</v>
      </c>
      <c r="B48" s="297" t="s">
        <v>1902</v>
      </c>
      <c r="C48" s="315">
        <f>'Allocation ProForma'!Q806-SUM('Allocation ProForma'!Q652:Q665)-'Allocation ProForma'!Q721-'Allocation ProForma'!Q802-'Allocation ProForma'!Q803</f>
        <v>32127122</v>
      </c>
      <c r="D48" s="306">
        <f>D41+D46</f>
        <v>32127122.016567077</v>
      </c>
      <c r="E48" s="306">
        <f t="shared" ref="E48:J48" si="14">E41+E46</f>
        <v>10672023.924141461</v>
      </c>
      <c r="F48" s="307">
        <f t="shared" si="14"/>
        <v>18760422.200669989</v>
      </c>
      <c r="G48" s="307">
        <f t="shared" si="14"/>
        <v>2664553.1531568919</v>
      </c>
      <c r="H48" s="307">
        <f t="shared" si="14"/>
        <v>0</v>
      </c>
      <c r="I48" s="307">
        <f t="shared" si="14"/>
        <v>25722.239455937455</v>
      </c>
      <c r="J48" s="307">
        <f t="shared" si="14"/>
        <v>4400.4991428088297</v>
      </c>
      <c r="K48" s="302">
        <f>SUM(E48:J48)</f>
        <v>32127122.016567085</v>
      </c>
      <c r="L48" s="303" t="str">
        <f>IF(ABS(K48-D48)&lt;0.01,"ok","err")</f>
        <v>ok</v>
      </c>
      <c r="M48" s="28"/>
      <c r="N48" s="28"/>
    </row>
    <row r="49" spans="1:14" ht="15.6" x14ac:dyDescent="0.3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6" x14ac:dyDescent="0.3">
      <c r="A50" s="362" t="s">
        <v>1935</v>
      </c>
      <c r="B50" s="297" t="s">
        <v>1904</v>
      </c>
      <c r="C50" s="298"/>
      <c r="D50" s="316"/>
      <c r="E50" s="317">
        <v>1625189</v>
      </c>
      <c r="F50" s="318">
        <f>'Billing Det'!C30</f>
        <v>552917597.55256987</v>
      </c>
      <c r="G50" s="318">
        <v>2344641</v>
      </c>
      <c r="H50" s="318">
        <f>G50</f>
        <v>2344641</v>
      </c>
      <c r="I50" s="318">
        <f>'Allocation ProForma'!Q848</f>
        <v>12</v>
      </c>
      <c r="J50" s="318">
        <f>I50</f>
        <v>12</v>
      </c>
      <c r="K50" s="287"/>
      <c r="L50" s="310"/>
      <c r="M50" s="28"/>
      <c r="N50" s="28"/>
    </row>
    <row r="51" spans="1:14" ht="16.2" thickBot="1" x14ac:dyDescent="0.35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2" thickBot="1" x14ac:dyDescent="0.35">
      <c r="A52" s="365" t="s">
        <v>2446</v>
      </c>
      <c r="B52" s="319" t="s">
        <v>1906</v>
      </c>
      <c r="C52" s="320"/>
      <c r="D52" s="321"/>
      <c r="E52" s="384">
        <f t="shared" ref="E52:J52" si="15">E48/E50</f>
        <v>6.5666355877017759</v>
      </c>
      <c r="F52" s="323">
        <f t="shared" si="15"/>
        <v>3.3929869990955208E-2</v>
      </c>
      <c r="G52" s="324">
        <f t="shared" si="15"/>
        <v>1.1364439814696117</v>
      </c>
      <c r="H52" s="324">
        <f t="shared" si="15"/>
        <v>0</v>
      </c>
      <c r="I52" s="324">
        <f>I48/I50</f>
        <v>2143.5199546614544</v>
      </c>
      <c r="J52" s="324">
        <f t="shared" si="15"/>
        <v>366.70826190073581</v>
      </c>
      <c r="K52" s="325">
        <f>I52+J52</f>
        <v>2510.22821656219</v>
      </c>
      <c r="L52" s="326"/>
      <c r="M52" s="28"/>
      <c r="N52" s="28"/>
    </row>
    <row r="53" spans="1:14" ht="15.6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6" x14ac:dyDescent="0.3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2510.22821656219</v>
      </c>
      <c r="L54" s="28"/>
      <c r="M54" s="28"/>
      <c r="N54" s="28"/>
    </row>
    <row r="55" spans="1:14" ht="15.6" x14ac:dyDescent="0.3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7.703079569171388</v>
      </c>
      <c r="L55" s="28"/>
      <c r="M55" s="28"/>
      <c r="N55" s="28"/>
    </row>
    <row r="56" spans="1:14" ht="15.6" x14ac:dyDescent="0.3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3.3929869990955208E-2</v>
      </c>
      <c r="L56" s="28"/>
      <c r="M56" s="28"/>
      <c r="N56" s="28"/>
    </row>
    <row r="57" spans="1:14" ht="15.6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6" x14ac:dyDescent="0.3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6" x14ac:dyDescent="0.3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6" x14ac:dyDescent="0.3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6" x14ac:dyDescent="0.3">
      <c r="J61" s="373"/>
      <c r="K61" s="34"/>
    </row>
    <row r="62" spans="1:14" ht="15.6" x14ac:dyDescent="0.3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109"/>
  <sheetViews>
    <sheetView zoomScale="75" zoomScaleNormal="75" workbookViewId="0"/>
  </sheetViews>
  <sheetFormatPr defaultRowHeight="13.8" x14ac:dyDescent="0.25"/>
  <cols>
    <col min="1" max="1" width="48.44140625" bestFit="1" customWidth="1"/>
    <col min="2" max="2" width="2.6640625" customWidth="1"/>
    <col min="3" max="3" width="19.5546875" customWidth="1"/>
    <col min="4" max="4" width="15.6640625" style="45" bestFit="1" customWidth="1"/>
    <col min="5" max="5" width="15.5546875" style="132" bestFit="1" customWidth="1"/>
    <col min="6" max="6" width="12" customWidth="1"/>
    <col min="7" max="8" width="16" bestFit="1" customWidth="1"/>
    <col min="9" max="10" width="16" customWidth="1"/>
    <col min="11" max="11" width="12.6640625" customWidth="1"/>
    <col min="12" max="12" width="20.33203125" customWidth="1"/>
    <col min="13" max="13" width="11.88671875" customWidth="1"/>
    <col min="14" max="14" width="15.5546875" customWidth="1"/>
    <col min="15" max="15" width="13" customWidth="1"/>
    <col min="16" max="16" width="2.6640625" customWidth="1"/>
    <col min="17" max="17" width="12.5546875" customWidth="1"/>
    <col min="18" max="18" width="13.6640625" customWidth="1"/>
  </cols>
  <sheetData>
    <row r="1" spans="1:19" ht="17.399999999999999" x14ac:dyDescent="0.3">
      <c r="A1" s="4" t="s">
        <v>1427</v>
      </c>
    </row>
    <row r="2" spans="1:19" ht="15.6" x14ac:dyDescent="0.3">
      <c r="A2" s="28" t="s">
        <v>931</v>
      </c>
    </row>
    <row r="3" spans="1:19" ht="15.6" x14ac:dyDescent="0.3">
      <c r="A3" s="28" t="s">
        <v>2208</v>
      </c>
    </row>
    <row r="4" spans="1:19" ht="15.6" x14ac:dyDescent="0.3">
      <c r="A4" s="37"/>
    </row>
    <row r="5" spans="1:19" x14ac:dyDescent="0.25">
      <c r="D5" s="46"/>
    </row>
    <row r="6" spans="1:19" x14ac:dyDescent="0.25">
      <c r="C6" s="67" t="s">
        <v>2205</v>
      </c>
      <c r="D6" s="67" t="s">
        <v>2316</v>
      </c>
      <c r="E6" s="66" t="s">
        <v>68</v>
      </c>
      <c r="F6" s="131"/>
    </row>
    <row r="7" spans="1:19" x14ac:dyDescent="0.25">
      <c r="C7" s="51" t="s">
        <v>2206</v>
      </c>
      <c r="D7" s="51" t="s">
        <v>850</v>
      </c>
      <c r="E7" s="66" t="s">
        <v>2205</v>
      </c>
      <c r="F7" s="66" t="s">
        <v>104</v>
      </c>
      <c r="G7" s="124"/>
      <c r="H7" s="124"/>
      <c r="I7" s="124"/>
      <c r="J7" s="47"/>
      <c r="K7" s="27"/>
      <c r="L7" s="133"/>
      <c r="M7" s="134"/>
      <c r="N7" s="134"/>
      <c r="O7" s="134"/>
      <c r="P7" s="134"/>
      <c r="Q7" s="134"/>
      <c r="R7" s="134"/>
      <c r="S7" s="50"/>
    </row>
    <row r="8" spans="1:19" ht="14.4" thickBot="1" x14ac:dyDescent="0.3">
      <c r="A8" s="20" t="s">
        <v>1429</v>
      </c>
      <c r="B8" s="20"/>
      <c r="C8" s="52" t="s">
        <v>530</v>
      </c>
      <c r="D8" s="52" t="s">
        <v>529</v>
      </c>
      <c r="E8" s="78" t="s">
        <v>530</v>
      </c>
      <c r="F8" s="78" t="s">
        <v>2207</v>
      </c>
      <c r="G8" s="124"/>
      <c r="H8" s="124"/>
      <c r="I8" s="124"/>
      <c r="J8" s="47"/>
      <c r="K8" s="27"/>
      <c r="L8" s="134"/>
      <c r="M8" s="134"/>
      <c r="N8" s="440"/>
      <c r="O8" s="440"/>
      <c r="P8" s="134"/>
      <c r="Q8" s="135"/>
      <c r="R8" s="134"/>
      <c r="S8" s="50"/>
    </row>
    <row r="9" spans="1:19" x14ac:dyDescent="0.25">
      <c r="G9" s="27"/>
      <c r="H9" s="27"/>
      <c r="I9" s="27"/>
      <c r="J9" s="27"/>
      <c r="K9" s="27"/>
      <c r="L9" s="134"/>
      <c r="M9" s="134"/>
      <c r="N9" s="57"/>
      <c r="O9" s="57"/>
      <c r="P9" s="133"/>
      <c r="Q9" s="57"/>
      <c r="R9" s="133"/>
      <c r="S9" s="50"/>
    </row>
    <row r="10" spans="1:19" x14ac:dyDescent="0.25">
      <c r="A10" s="7" t="s">
        <v>1550</v>
      </c>
      <c r="C10" s="148">
        <v>64.615170020000008</v>
      </c>
      <c r="D10" s="149">
        <f>'Billing Det'!B8</f>
        <v>430654.16666666669</v>
      </c>
      <c r="E10" s="148">
        <f>C10*D10</f>
        <v>27826792.198988087</v>
      </c>
      <c r="F10" s="59">
        <f>E10/$E$38</f>
        <v>0.62144936543786311</v>
      </c>
      <c r="G10" s="27"/>
      <c r="H10" s="27"/>
      <c r="I10" s="27"/>
      <c r="J10" s="126"/>
      <c r="K10" s="144"/>
      <c r="L10" s="134"/>
      <c r="M10" s="134"/>
      <c r="N10" s="57"/>
      <c r="O10" s="57"/>
      <c r="P10" s="133"/>
      <c r="Q10" s="136"/>
      <c r="R10" s="57"/>
      <c r="S10" s="50"/>
    </row>
    <row r="11" spans="1:19" x14ac:dyDescent="0.25">
      <c r="C11" s="148"/>
      <c r="D11" s="149"/>
      <c r="E11" s="148"/>
      <c r="F11" s="149"/>
      <c r="G11" s="27"/>
      <c r="H11" s="27"/>
      <c r="I11" s="27"/>
      <c r="J11" s="27"/>
      <c r="K11" s="27"/>
      <c r="L11" s="137"/>
      <c r="M11" s="134"/>
      <c r="N11" s="79"/>
      <c r="O11" s="138"/>
      <c r="P11" s="134"/>
      <c r="Q11" s="139"/>
      <c r="R11" s="140"/>
      <c r="S11" s="50"/>
    </row>
    <row r="12" spans="1:19" x14ac:dyDescent="0.25">
      <c r="A12" s="7" t="s">
        <v>2311</v>
      </c>
      <c r="C12" s="148">
        <v>74.863008603212378</v>
      </c>
      <c r="D12" s="149">
        <f>'Billing Det'!B10</f>
        <v>63656.5</v>
      </c>
      <c r="E12" s="148">
        <f>C12*D12</f>
        <v>4765517.1071503889</v>
      </c>
      <c r="F12" s="59">
        <f>E12/$E$38</f>
        <v>0.10642720012584077</v>
      </c>
      <c r="G12" s="27"/>
      <c r="H12" s="27"/>
      <c r="I12" s="27"/>
      <c r="J12" s="27"/>
      <c r="K12" s="27"/>
      <c r="L12" s="137"/>
      <c r="M12" s="134"/>
      <c r="N12" s="79"/>
      <c r="O12" s="138"/>
      <c r="P12" s="134"/>
      <c r="Q12" s="139"/>
      <c r="R12" s="140"/>
      <c r="S12" s="50"/>
    </row>
    <row r="13" spans="1:19" x14ac:dyDescent="0.25">
      <c r="A13" s="7"/>
      <c r="C13" s="148"/>
      <c r="D13" s="149"/>
      <c r="E13" s="148"/>
      <c r="F13" s="149"/>
      <c r="G13" s="27"/>
      <c r="H13" s="27"/>
      <c r="I13" s="27"/>
      <c r="J13" s="27"/>
      <c r="K13" s="27"/>
      <c r="L13" s="137"/>
      <c r="M13" s="134"/>
      <c r="N13" s="79"/>
      <c r="O13" s="138"/>
      <c r="P13" s="134"/>
      <c r="Q13" s="139"/>
      <c r="R13" s="140"/>
      <c r="S13" s="50"/>
    </row>
    <row r="14" spans="1:19" x14ac:dyDescent="0.25">
      <c r="A14" s="7" t="s">
        <v>2312</v>
      </c>
      <c r="C14" s="148">
        <v>284.96870416553941</v>
      </c>
      <c r="D14" s="149">
        <f>'Billing Det'!B12</f>
        <v>19672.5</v>
      </c>
      <c r="E14" s="148">
        <f>C14*D14</f>
        <v>5606046.8326965738</v>
      </c>
      <c r="F14" s="59">
        <f>E14/$E$38</f>
        <v>0.12519855763040189</v>
      </c>
      <c r="G14" s="27"/>
      <c r="H14" s="27"/>
      <c r="I14" s="27"/>
      <c r="J14" s="126"/>
      <c r="K14" s="144"/>
      <c r="L14" s="137"/>
      <c r="M14" s="134"/>
      <c r="N14" s="79"/>
      <c r="O14" s="138"/>
      <c r="P14" s="134"/>
      <c r="Q14" s="139"/>
      <c r="R14" s="140"/>
      <c r="S14" s="50"/>
    </row>
    <row r="15" spans="1:19" x14ac:dyDescent="0.25">
      <c r="C15" s="148"/>
      <c r="D15" s="149"/>
      <c r="E15" s="148"/>
      <c r="F15" s="149"/>
      <c r="G15" s="27"/>
      <c r="H15" s="27"/>
      <c r="I15" s="27"/>
      <c r="J15" s="27"/>
      <c r="K15" s="27"/>
      <c r="L15" s="137"/>
      <c r="M15" s="134"/>
      <c r="N15" s="79"/>
      <c r="O15" s="138"/>
      <c r="P15" s="134"/>
      <c r="Q15" s="139"/>
      <c r="R15" s="140"/>
      <c r="S15" s="50"/>
    </row>
    <row r="16" spans="1:19" x14ac:dyDescent="0.25">
      <c r="A16" s="7" t="s">
        <v>2313</v>
      </c>
      <c r="C16" s="148">
        <v>130.85112881554832</v>
      </c>
      <c r="D16" s="149">
        <f>'Billing Det'!B14</f>
        <v>338.16666666666669</v>
      </c>
      <c r="E16" s="148">
        <f>C16*D16</f>
        <v>44249.49006112459</v>
      </c>
      <c r="F16" s="59">
        <f>E16/$E$38</f>
        <v>9.8821370867299935E-4</v>
      </c>
      <c r="G16" s="27"/>
      <c r="H16" s="27"/>
      <c r="I16" s="27"/>
      <c r="J16" s="126"/>
      <c r="K16" s="144"/>
      <c r="L16" s="137"/>
      <c r="M16" s="134"/>
      <c r="N16" s="79"/>
      <c r="O16" s="138"/>
      <c r="P16" s="134"/>
      <c r="Q16" s="139"/>
      <c r="R16" s="140"/>
      <c r="S16" s="50"/>
    </row>
    <row r="17" spans="1:19" x14ac:dyDescent="0.25">
      <c r="A17" s="7"/>
      <c r="C17" s="132"/>
      <c r="D17" s="149"/>
      <c r="E17" s="148"/>
      <c r="F17" s="149"/>
      <c r="G17" s="27"/>
      <c r="H17" s="27"/>
      <c r="I17" s="27"/>
      <c r="J17" s="27"/>
      <c r="K17" s="27"/>
      <c r="L17" s="137"/>
      <c r="M17" s="134"/>
      <c r="N17" s="79"/>
      <c r="O17" s="138"/>
      <c r="P17" s="134"/>
      <c r="Q17" s="139"/>
      <c r="R17" s="140"/>
      <c r="S17" s="50"/>
    </row>
    <row r="18" spans="1:19" x14ac:dyDescent="0.25">
      <c r="A18" s="7" t="s">
        <v>2314</v>
      </c>
      <c r="C18" s="336">
        <v>689.2078980766637</v>
      </c>
      <c r="D18" s="149">
        <f>'Billing Det'!B16</f>
        <v>255</v>
      </c>
      <c r="E18" s="148">
        <f>C18*D18</f>
        <v>175748.01400954925</v>
      </c>
      <c r="F18" s="59">
        <f>E18/$E$38</f>
        <v>3.9249400722218622E-3</v>
      </c>
      <c r="G18" s="27"/>
      <c r="H18" s="27"/>
      <c r="I18" s="27"/>
      <c r="J18" s="27"/>
      <c r="K18" s="27"/>
      <c r="L18" s="137"/>
      <c r="M18" s="134"/>
      <c r="N18" s="79"/>
      <c r="O18" s="138"/>
      <c r="P18" s="134"/>
      <c r="Q18" s="139"/>
      <c r="R18" s="140"/>
      <c r="S18" s="50"/>
    </row>
    <row r="19" spans="1:19" x14ac:dyDescent="0.25">
      <c r="C19" s="132"/>
      <c r="D19" s="149"/>
      <c r="E19" s="148"/>
      <c r="F19" s="149"/>
      <c r="G19" s="27"/>
      <c r="H19" s="27"/>
      <c r="I19" s="27"/>
      <c r="J19" s="27"/>
      <c r="K19" s="27"/>
      <c r="L19" s="137"/>
      <c r="M19" s="134"/>
      <c r="N19" s="79"/>
      <c r="O19" s="138"/>
      <c r="P19" s="134"/>
      <c r="Q19" s="139"/>
      <c r="R19" s="140"/>
      <c r="S19" s="50"/>
    </row>
    <row r="20" spans="1:19" x14ac:dyDescent="0.25">
      <c r="A20" s="7" t="s">
        <v>2202</v>
      </c>
      <c r="C20" s="148">
        <v>624.31984907026822</v>
      </c>
      <c r="D20" s="149">
        <f>'Billing Det'!B18</f>
        <v>4502.833333333333</v>
      </c>
      <c r="E20" s="148">
        <f>C20*D20</f>
        <v>2811208.227055239</v>
      </c>
      <c r="F20" s="59">
        <f>E20/$E$38</f>
        <v>6.2782068314748418E-2</v>
      </c>
      <c r="G20" s="27"/>
      <c r="H20" s="27"/>
      <c r="I20" s="27"/>
      <c r="J20" s="126"/>
      <c r="K20" s="144"/>
      <c r="L20" s="137"/>
      <c r="M20" s="134"/>
      <c r="N20" s="79"/>
      <c r="O20" s="138"/>
      <c r="P20" s="134"/>
      <c r="Q20" s="139"/>
      <c r="R20" s="140"/>
      <c r="S20" s="50"/>
    </row>
    <row r="21" spans="1:19" x14ac:dyDescent="0.25">
      <c r="C21" s="150"/>
      <c r="D21" s="149"/>
      <c r="E21" s="150"/>
      <c r="F21" s="149"/>
      <c r="G21" s="27"/>
      <c r="H21" s="145"/>
      <c r="I21" s="145"/>
      <c r="J21" s="145"/>
      <c r="K21" s="27"/>
      <c r="L21" s="137"/>
      <c r="M21" s="134"/>
      <c r="N21" s="79"/>
      <c r="O21" s="138"/>
      <c r="P21" s="134"/>
      <c r="Q21" s="139"/>
      <c r="R21" s="140"/>
      <c r="S21" s="50"/>
    </row>
    <row r="22" spans="1:19" x14ac:dyDescent="0.25">
      <c r="A22" s="3" t="s">
        <v>2203</v>
      </c>
      <c r="C22" s="148">
        <v>3593.1145861549589</v>
      </c>
      <c r="D22" s="149">
        <f>'Billing Det'!B20</f>
        <v>172.5</v>
      </c>
      <c r="E22" s="148">
        <f>C22*D22</f>
        <v>619812.26611173037</v>
      </c>
      <c r="F22" s="59">
        <f>E22/$E$38</f>
        <v>1.3842125125717716E-2</v>
      </c>
      <c r="G22" s="146"/>
      <c r="H22" s="27"/>
      <c r="I22" s="27"/>
      <c r="J22" s="126"/>
      <c r="K22" s="144"/>
      <c r="L22" s="133"/>
      <c r="M22" s="134"/>
      <c r="N22" s="79"/>
      <c r="O22" s="138"/>
      <c r="P22" s="134"/>
      <c r="Q22" s="139"/>
      <c r="R22" s="140"/>
      <c r="S22" s="50"/>
    </row>
    <row r="23" spans="1:19" x14ac:dyDescent="0.25">
      <c r="C23" s="132"/>
      <c r="D23" s="149"/>
      <c r="F23" s="149"/>
      <c r="G23" s="27"/>
      <c r="H23" s="27"/>
      <c r="I23" s="27"/>
      <c r="J23" s="27"/>
      <c r="K23" s="27"/>
      <c r="L23" s="133"/>
      <c r="M23" s="134"/>
      <c r="N23" s="79"/>
      <c r="O23" s="138"/>
      <c r="P23" s="134"/>
      <c r="Q23" s="139"/>
      <c r="R23" s="140"/>
      <c r="S23" s="50"/>
    </row>
    <row r="24" spans="1:19" x14ac:dyDescent="0.25">
      <c r="A24" s="7" t="s">
        <v>2204</v>
      </c>
      <c r="C24" s="148">
        <v>843.261651095258</v>
      </c>
      <c r="D24" s="149">
        <f>'Billing Det'!B22</f>
        <v>618.25</v>
      </c>
      <c r="E24" s="148">
        <f>C24*D24</f>
        <v>521346.51578964328</v>
      </c>
      <c r="F24" s="59">
        <f>E24/$E$38</f>
        <v>1.1643112116332852E-2</v>
      </c>
      <c r="G24" s="27"/>
      <c r="H24" s="27"/>
      <c r="I24" s="27"/>
      <c r="J24" s="126"/>
      <c r="K24" s="144"/>
      <c r="L24" s="137"/>
      <c r="M24" s="134"/>
      <c r="N24" s="79"/>
      <c r="O24" s="138"/>
      <c r="P24" s="134"/>
      <c r="Q24" s="139"/>
      <c r="R24" s="140"/>
      <c r="S24" s="50"/>
    </row>
    <row r="25" spans="1:19" x14ac:dyDescent="0.25">
      <c r="C25" s="132"/>
      <c r="D25" s="149"/>
      <c r="E25" s="148"/>
      <c r="F25" s="149"/>
      <c r="G25" s="27"/>
      <c r="H25" s="27"/>
      <c r="I25" s="27"/>
      <c r="J25" s="27"/>
      <c r="K25" s="27"/>
      <c r="L25" s="137"/>
      <c r="M25" s="134"/>
      <c r="N25" s="79"/>
      <c r="O25" s="138"/>
      <c r="P25" s="134"/>
      <c r="Q25" s="139"/>
      <c r="R25" s="140"/>
      <c r="S25" s="50"/>
    </row>
    <row r="26" spans="1:19" x14ac:dyDescent="0.25">
      <c r="A26" s="7" t="s">
        <v>2315</v>
      </c>
      <c r="C26" s="148">
        <v>4980.6354922085629</v>
      </c>
      <c r="D26" s="149">
        <f>'Billing Det'!B24</f>
        <v>276.5</v>
      </c>
      <c r="E26" s="148">
        <f>C26*D26</f>
        <v>1377145.7135956676</v>
      </c>
      <c r="F26" s="59">
        <f>E26/$E$38</f>
        <v>3.075547924135584E-2</v>
      </c>
      <c r="G26" s="27"/>
      <c r="H26" s="27"/>
      <c r="I26" s="27"/>
      <c r="J26" s="126"/>
      <c r="K26" s="144"/>
      <c r="L26" s="133"/>
      <c r="M26" s="134"/>
      <c r="N26" s="79"/>
      <c r="O26" s="138"/>
      <c r="P26" s="134"/>
      <c r="Q26" s="139"/>
      <c r="R26" s="140"/>
      <c r="S26" s="50"/>
    </row>
    <row r="27" spans="1:19" x14ac:dyDescent="0.25">
      <c r="C27" s="150"/>
      <c r="D27" s="149"/>
      <c r="E27" s="150"/>
      <c r="F27" s="149"/>
      <c r="G27" s="27"/>
      <c r="H27" s="27"/>
      <c r="I27" s="27"/>
      <c r="J27" s="27"/>
      <c r="K27" s="27"/>
      <c r="L27" s="133"/>
      <c r="M27" s="134"/>
      <c r="N27" s="79"/>
      <c r="O27" s="138"/>
      <c r="P27" s="134"/>
      <c r="Q27" s="139"/>
      <c r="R27" s="140"/>
      <c r="S27" s="50"/>
    </row>
    <row r="28" spans="1:19" x14ac:dyDescent="0.25">
      <c r="A28" s="7" t="s">
        <v>1884</v>
      </c>
      <c r="C28" s="148">
        <v>31307.641454630324</v>
      </c>
      <c r="D28" s="149">
        <f>'Billing Det'!B28</f>
        <v>30</v>
      </c>
      <c r="E28" s="148">
        <f>C28*D28</f>
        <v>939229.24363890977</v>
      </c>
      <c r="F28" s="59">
        <f>E28/$E$38</f>
        <v>2.0975591195930589E-2</v>
      </c>
      <c r="G28" s="27"/>
      <c r="H28" s="27"/>
      <c r="I28" s="27"/>
      <c r="J28" s="126"/>
      <c r="K28" s="144"/>
      <c r="L28" s="137"/>
      <c r="M28" s="134"/>
      <c r="N28" s="79"/>
      <c r="O28" s="138"/>
      <c r="P28" s="134"/>
      <c r="Q28" s="139"/>
      <c r="R28" s="140"/>
      <c r="S28" s="50"/>
    </row>
    <row r="29" spans="1:19" x14ac:dyDescent="0.25">
      <c r="A29" s="7"/>
      <c r="C29" s="132"/>
      <c r="D29" s="149"/>
      <c r="F29" s="149"/>
      <c r="G29" s="27"/>
      <c r="H29" s="27"/>
      <c r="I29" s="27"/>
      <c r="J29" s="27"/>
      <c r="K29" s="27"/>
      <c r="L29" s="133"/>
      <c r="M29" s="134"/>
      <c r="N29" s="79"/>
      <c r="O29" s="138"/>
      <c r="P29" s="134"/>
      <c r="Q29" s="139"/>
      <c r="R29" s="140"/>
      <c r="S29" s="50"/>
    </row>
    <row r="30" spans="1:19" x14ac:dyDescent="0.25">
      <c r="A30" s="7" t="s">
        <v>2201</v>
      </c>
      <c r="C30" s="148">
        <v>39752.30619014</v>
      </c>
      <c r="D30" s="149">
        <f>'Billing Det'!B30</f>
        <v>1</v>
      </c>
      <c r="E30" s="148">
        <f>C30*D30</f>
        <v>39752.30619014</v>
      </c>
      <c r="F30" s="59">
        <f>E30/$E$38</f>
        <v>8.877791331425005E-4</v>
      </c>
      <c r="G30" s="27"/>
      <c r="H30" s="27"/>
      <c r="I30" s="27"/>
      <c r="J30" s="126"/>
      <c r="K30" s="27"/>
      <c r="L30" s="137"/>
      <c r="M30" s="134"/>
      <c r="N30" s="79"/>
      <c r="O30" s="138"/>
      <c r="P30" s="134"/>
      <c r="Q30" s="139"/>
      <c r="R30" s="140"/>
      <c r="S30" s="50"/>
    </row>
    <row r="31" spans="1:19" x14ac:dyDescent="0.25">
      <c r="A31" s="7"/>
      <c r="C31" s="148"/>
      <c r="D31" s="149"/>
      <c r="E31" s="148"/>
      <c r="F31" s="149"/>
      <c r="G31" s="27"/>
      <c r="H31" s="27"/>
      <c r="I31" s="27"/>
      <c r="J31" s="126"/>
      <c r="K31" s="27"/>
      <c r="L31" s="137"/>
      <c r="M31" s="134"/>
      <c r="N31" s="79"/>
      <c r="O31" s="138"/>
      <c r="P31" s="134"/>
      <c r="Q31" s="139"/>
      <c r="R31" s="140"/>
      <c r="S31" s="50"/>
    </row>
    <row r="32" spans="1:19" x14ac:dyDescent="0.25">
      <c r="A32" s="7" t="s">
        <v>2220</v>
      </c>
      <c r="C32" s="148">
        <v>0</v>
      </c>
      <c r="D32" s="149">
        <f>'Billing Det'!B32</f>
        <v>168484.08333333334</v>
      </c>
      <c r="E32" s="148">
        <f>C32*D32</f>
        <v>0</v>
      </c>
      <c r="F32" s="59">
        <f>E32/$E$38</f>
        <v>0</v>
      </c>
      <c r="G32" s="27"/>
      <c r="H32" s="27"/>
      <c r="I32" s="27"/>
      <c r="J32" s="126"/>
      <c r="K32" s="27"/>
      <c r="L32" s="137"/>
      <c r="M32" s="134"/>
      <c r="N32" s="79"/>
      <c r="O32" s="138"/>
      <c r="P32" s="134"/>
      <c r="Q32" s="139"/>
      <c r="R32" s="140"/>
      <c r="S32" s="50"/>
    </row>
    <row r="33" spans="1:19" x14ac:dyDescent="0.25">
      <c r="A33" s="7"/>
      <c r="C33" s="148"/>
      <c r="D33" s="149"/>
      <c r="E33" s="148"/>
      <c r="F33" s="149"/>
      <c r="G33" s="27"/>
      <c r="H33" s="27"/>
      <c r="I33" s="27"/>
      <c r="J33" s="126"/>
      <c r="K33" s="27"/>
      <c r="L33" s="137"/>
      <c r="M33" s="134"/>
      <c r="N33" s="79"/>
      <c r="O33" s="138"/>
      <c r="P33" s="134"/>
      <c r="Q33" s="139"/>
      <c r="R33" s="140"/>
      <c r="S33" s="50"/>
    </row>
    <row r="34" spans="1:19" x14ac:dyDescent="0.25">
      <c r="A34" s="7" t="s">
        <v>2221</v>
      </c>
      <c r="C34" s="148">
        <f>C10</f>
        <v>64.615170020000008</v>
      </c>
      <c r="D34" s="149">
        <f>'Billing Det'!B34</f>
        <v>4</v>
      </c>
      <c r="E34" s="148">
        <f>C34*D34</f>
        <v>258.46068008000003</v>
      </c>
      <c r="F34" s="59">
        <f>E34/$E$38</f>
        <v>5.772143065494824E-6</v>
      </c>
      <c r="G34" s="27"/>
      <c r="H34" s="27"/>
      <c r="I34" s="27"/>
      <c r="J34" s="126"/>
      <c r="K34" s="27"/>
      <c r="L34" s="137"/>
      <c r="M34" s="134"/>
      <c r="N34" s="79"/>
      <c r="O34" s="138"/>
      <c r="P34" s="134"/>
      <c r="Q34" s="139"/>
      <c r="R34" s="140"/>
      <c r="S34" s="50"/>
    </row>
    <row r="35" spans="1:19" x14ac:dyDescent="0.25">
      <c r="A35" s="7"/>
      <c r="C35" s="148"/>
      <c r="D35" s="149"/>
      <c r="E35" s="148"/>
      <c r="F35" s="59"/>
      <c r="G35" s="27"/>
      <c r="H35" s="27"/>
      <c r="I35" s="27"/>
      <c r="J35" s="126"/>
      <c r="K35" s="27"/>
      <c r="L35" s="137"/>
      <c r="M35" s="134"/>
      <c r="N35" s="79"/>
      <c r="O35" s="138"/>
      <c r="P35" s="134"/>
      <c r="Q35" s="139"/>
      <c r="R35" s="140"/>
      <c r="S35" s="50"/>
    </row>
    <row r="36" spans="1:19" x14ac:dyDescent="0.25">
      <c r="A36" s="7" t="s">
        <v>2222</v>
      </c>
      <c r="C36" s="148">
        <f>C10</f>
        <v>64.615170020000008</v>
      </c>
      <c r="D36" s="149">
        <f>'Billing Det'!B36</f>
        <v>776</v>
      </c>
      <c r="E36" s="148">
        <f>C36*D36</f>
        <v>50141.371935520008</v>
      </c>
      <c r="F36" s="59">
        <f>E36/$E$38</f>
        <v>1.1197957547059959E-3</v>
      </c>
      <c r="G36" s="27"/>
      <c r="H36" s="27"/>
      <c r="I36" s="27"/>
      <c r="J36" s="126"/>
      <c r="K36" s="27"/>
      <c r="L36" s="137"/>
      <c r="M36" s="134"/>
      <c r="N36" s="79"/>
      <c r="O36" s="138"/>
      <c r="P36" s="134"/>
      <c r="Q36" s="139"/>
      <c r="R36" s="140"/>
      <c r="S36" s="50"/>
    </row>
    <row r="37" spans="1:19" x14ac:dyDescent="0.25">
      <c r="A37" s="21"/>
      <c r="B37" s="152"/>
      <c r="C37" s="153"/>
      <c r="D37" s="154"/>
      <c r="E37" s="153"/>
      <c r="F37" s="195"/>
      <c r="G37" s="27"/>
      <c r="H37" s="27"/>
      <c r="I37" s="27"/>
      <c r="J37" s="126"/>
      <c r="K37" s="27"/>
      <c r="L37" s="137"/>
      <c r="M37" s="134"/>
      <c r="N37" s="79"/>
      <c r="O37" s="138"/>
      <c r="P37" s="134"/>
      <c r="Q37" s="139"/>
      <c r="R37" s="140"/>
      <c r="S37" s="50"/>
    </row>
    <row r="38" spans="1:19" x14ac:dyDescent="0.25">
      <c r="A38" s="3" t="s">
        <v>68</v>
      </c>
      <c r="C38" s="148"/>
      <c r="D38" s="155">
        <f>SUM(D4:D37)</f>
        <v>689441.5</v>
      </c>
      <c r="E38" s="102">
        <f>SUM(E4:E37)</f>
        <v>44777247.747902654</v>
      </c>
      <c r="F38" s="59">
        <f>SUM(F10:F37)</f>
        <v>1</v>
      </c>
      <c r="G38" s="5"/>
      <c r="H38" s="5"/>
      <c r="I38" s="5"/>
      <c r="J38" s="147"/>
      <c r="K38" s="27"/>
      <c r="L38" s="133"/>
      <c r="M38" s="134"/>
      <c r="N38" s="79"/>
      <c r="O38" s="138"/>
      <c r="P38" s="134"/>
      <c r="Q38" s="139"/>
      <c r="R38" s="140"/>
      <c r="S38" s="50"/>
    </row>
    <row r="39" spans="1:19" x14ac:dyDescent="0.25">
      <c r="F39" s="193"/>
      <c r="L39" s="137"/>
      <c r="M39" s="134"/>
      <c r="N39" s="79"/>
      <c r="O39" s="138"/>
      <c r="P39" s="134"/>
      <c r="Q39" s="139"/>
      <c r="R39" s="140"/>
      <c r="S39" s="50"/>
    </row>
    <row r="40" spans="1:19" x14ac:dyDescent="0.25">
      <c r="F40" s="194"/>
      <c r="L40" s="137"/>
      <c r="M40" s="134"/>
      <c r="N40" s="79"/>
      <c r="O40" s="138"/>
      <c r="P40" s="134"/>
      <c r="Q40" s="139"/>
      <c r="R40" s="140"/>
      <c r="S40" s="50"/>
    </row>
    <row r="41" spans="1:19" x14ac:dyDescent="0.25">
      <c r="C41" s="123"/>
      <c r="E41" s="148"/>
      <c r="F41" s="2"/>
      <c r="L41" s="137"/>
      <c r="M41" s="134"/>
      <c r="N41" s="79"/>
      <c r="O41" s="138"/>
      <c r="P41" s="134"/>
      <c r="Q41" s="139"/>
      <c r="R41" s="140"/>
      <c r="S41" s="50"/>
    </row>
    <row r="42" spans="1:19" x14ac:dyDescent="0.25">
      <c r="C42" s="58" t="s">
        <v>2209</v>
      </c>
      <c r="D42" s="58"/>
      <c r="E42" s="65">
        <f>'Functional Assignment'!F41</f>
        <v>82987729.264615372</v>
      </c>
      <c r="L42" s="137"/>
      <c r="M42" s="134"/>
      <c r="N42" s="79"/>
      <c r="O42" s="138"/>
      <c r="P42" s="134"/>
      <c r="Q42" s="139"/>
      <c r="R42" s="140"/>
      <c r="S42" s="50"/>
    </row>
    <row r="43" spans="1:19" x14ac:dyDescent="0.25">
      <c r="C43" s="123"/>
      <c r="E43" s="148"/>
      <c r="F43" s="2"/>
      <c r="L43" s="134"/>
      <c r="M43" s="134"/>
      <c r="N43" s="79"/>
      <c r="O43" s="141"/>
      <c r="P43" s="134"/>
      <c r="Q43" s="139"/>
      <c r="R43" s="141"/>
      <c r="S43" s="50"/>
    </row>
    <row r="44" spans="1:19" x14ac:dyDescent="0.25">
      <c r="C44" s="123"/>
      <c r="E44" s="151"/>
      <c r="F44" s="2"/>
      <c r="L44" s="134"/>
      <c r="M44" s="134"/>
      <c r="N44" s="134"/>
      <c r="O44" s="134"/>
      <c r="P44" s="134"/>
      <c r="Q44" s="142"/>
      <c r="R44" s="134"/>
      <c r="S44" s="50"/>
    </row>
    <row r="45" spans="1:19" x14ac:dyDescent="0.25">
      <c r="A45" s="7"/>
      <c r="C45" s="123"/>
      <c r="E45" s="148"/>
      <c r="F45" s="2"/>
      <c r="L45" s="134"/>
      <c r="M45" s="134"/>
      <c r="N45" s="134"/>
      <c r="O45" s="134"/>
      <c r="P45" s="134"/>
      <c r="Q45" s="135"/>
      <c r="R45" s="134"/>
      <c r="S45" s="50"/>
    </row>
    <row r="46" spans="1:19" x14ac:dyDescent="0.25">
      <c r="C46" s="123"/>
      <c r="F46" s="2"/>
      <c r="L46" s="134"/>
      <c r="M46" s="134"/>
      <c r="N46" s="134"/>
      <c r="O46" s="134"/>
      <c r="P46" s="134"/>
      <c r="Q46" s="79"/>
      <c r="R46" s="134"/>
      <c r="S46" s="50"/>
    </row>
    <row r="47" spans="1:19" x14ac:dyDescent="0.25">
      <c r="A47" s="7"/>
      <c r="C47" s="123"/>
      <c r="E47" s="148"/>
      <c r="F47" s="2"/>
      <c r="L47" s="143"/>
      <c r="M47" s="143"/>
      <c r="N47" s="143"/>
      <c r="O47" s="143"/>
      <c r="P47" s="143"/>
      <c r="Q47" s="143"/>
      <c r="R47" s="143"/>
    </row>
    <row r="48" spans="1:19" x14ac:dyDescent="0.25">
      <c r="A48" s="7"/>
      <c r="C48" s="127"/>
      <c r="F48" s="2"/>
      <c r="L48" s="143"/>
      <c r="M48" s="143"/>
      <c r="N48" s="143"/>
      <c r="O48" s="143"/>
      <c r="P48" s="143"/>
      <c r="Q48" s="143"/>
      <c r="R48" s="143"/>
    </row>
    <row r="49" spans="1:18" x14ac:dyDescent="0.25">
      <c r="A49" s="7"/>
      <c r="D49" s="48"/>
      <c r="E49" s="148"/>
      <c r="F49" s="2"/>
      <c r="L49" s="143"/>
      <c r="M49" s="143"/>
      <c r="N49" s="143"/>
      <c r="O49" s="143"/>
      <c r="P49" s="143"/>
      <c r="Q49" s="143"/>
      <c r="R49" s="143"/>
    </row>
    <row r="50" spans="1:18" x14ac:dyDescent="0.25">
      <c r="A50" s="7"/>
      <c r="C50" s="127"/>
      <c r="F50" s="2"/>
    </row>
    <row r="51" spans="1:18" x14ac:dyDescent="0.25">
      <c r="A51" s="7"/>
      <c r="C51" s="123"/>
      <c r="D51" s="48"/>
      <c r="E51" s="148"/>
      <c r="F51" s="2"/>
    </row>
    <row r="52" spans="1:18" x14ac:dyDescent="0.25">
      <c r="A52" s="125"/>
      <c r="B52" s="27"/>
      <c r="C52" s="128"/>
      <c r="F52" s="2"/>
    </row>
    <row r="53" spans="1:18" x14ac:dyDescent="0.25">
      <c r="C53" s="127"/>
      <c r="D53" s="126"/>
      <c r="E53" s="148"/>
      <c r="F53" s="2"/>
    </row>
    <row r="54" spans="1:18" x14ac:dyDescent="0.25">
      <c r="C54" s="127"/>
      <c r="D54" s="48"/>
      <c r="F54" s="2"/>
    </row>
    <row r="55" spans="1:18" x14ac:dyDescent="0.25">
      <c r="C55" s="127"/>
      <c r="E55" s="148"/>
      <c r="F55" s="2"/>
    </row>
    <row r="56" spans="1:18" x14ac:dyDescent="0.25">
      <c r="C56" s="127"/>
      <c r="F56" s="2"/>
    </row>
    <row r="57" spans="1:18" x14ac:dyDescent="0.25">
      <c r="C57" s="127"/>
      <c r="E57" s="148"/>
      <c r="F57" s="2"/>
    </row>
    <row r="58" spans="1:18" x14ac:dyDescent="0.25">
      <c r="C58" s="127"/>
      <c r="F58" s="2"/>
    </row>
    <row r="59" spans="1:18" x14ac:dyDescent="0.25">
      <c r="C59" s="127"/>
      <c r="E59" s="148"/>
      <c r="F59" s="2"/>
    </row>
    <row r="60" spans="1:18" x14ac:dyDescent="0.25">
      <c r="C60" s="127"/>
      <c r="F60" s="2"/>
    </row>
    <row r="61" spans="1:18" x14ac:dyDescent="0.25">
      <c r="E61" s="148">
        <f>SUM(E10:E60)</f>
        <v>172542224.76042068</v>
      </c>
      <c r="F61" s="2">
        <f>SUM(F10:F60)</f>
        <v>2</v>
      </c>
    </row>
    <row r="62" spans="1:18" x14ac:dyDescent="0.25">
      <c r="C62" s="1"/>
    </row>
    <row r="74" spans="4:11" x14ac:dyDescent="0.25">
      <c r="D74" s="50"/>
      <c r="E74" s="58"/>
      <c r="F74" s="50"/>
      <c r="G74" s="50"/>
      <c r="H74" s="50"/>
      <c r="I74" s="50"/>
      <c r="J74" s="50"/>
      <c r="K74" s="58"/>
    </row>
    <row r="103" spans="12:19" x14ac:dyDescent="0.25">
      <c r="L103" s="50"/>
      <c r="M103" s="50"/>
      <c r="N103" s="50"/>
      <c r="O103" s="50"/>
      <c r="P103" s="50"/>
      <c r="Q103" s="58"/>
      <c r="R103" s="50"/>
      <c r="S103" s="50"/>
    </row>
    <row r="104" spans="12:19" x14ac:dyDescent="0.25">
      <c r="N104" s="50"/>
    </row>
    <row r="105" spans="12:19" x14ac:dyDescent="0.25">
      <c r="N105" s="50"/>
    </row>
    <row r="106" spans="12:19" x14ac:dyDescent="0.25">
      <c r="N106" s="50"/>
    </row>
    <row r="107" spans="12:19" x14ac:dyDescent="0.25">
      <c r="N107" s="50"/>
    </row>
    <row r="108" spans="12:19" x14ac:dyDescent="0.25">
      <c r="N108" s="50"/>
    </row>
    <row r="109" spans="12:19" x14ac:dyDescent="0.25">
      <c r="N109" s="50"/>
    </row>
  </sheetData>
  <mergeCells count="1">
    <mergeCell ref="N8:O8"/>
  </mergeCells>
  <phoneticPr fontId="0" type="noConversion"/>
  <pageMargins left="1" right="0.25" top="0.75" bottom="0.62" header="0.5" footer="0.2"/>
  <pageSetup scale="79" orientation="portrait" horizontalDpi="200" verticalDpi="200" r:id="rId1"/>
  <headerFooter alignWithMargins="0">
    <oddFooter>&amp;C&amp;12Meters&amp;R&amp;12Exhibit G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V322"/>
  <sheetViews>
    <sheetView zoomScale="75" zoomScaleNormal="75" workbookViewId="0"/>
  </sheetViews>
  <sheetFormatPr defaultColWidth="9.109375" defaultRowHeight="13.2" x14ac:dyDescent="0.25"/>
  <cols>
    <col min="1" max="1" width="53.44140625" style="50" customWidth="1"/>
    <col min="2" max="2" width="2.6640625" style="50" customWidth="1"/>
    <col min="3" max="3" width="19.6640625" style="50" customWidth="1"/>
    <col min="4" max="4" width="18.5546875" style="50" customWidth="1"/>
    <col min="5" max="5" width="17.33203125" style="50" bestFit="1" customWidth="1"/>
    <col min="6" max="6" width="10.33203125" style="58" customWidth="1"/>
    <col min="7" max="8" width="15.109375" style="50" customWidth="1"/>
    <col min="9" max="9" width="32.109375" style="50" hidden="1" customWidth="1"/>
    <col min="10" max="10" width="21.33203125" style="44" hidden="1" customWidth="1"/>
    <col min="11" max="13" width="13.109375" style="69" hidden="1" customWidth="1"/>
    <col min="14" max="14" width="16.33203125" style="50" customWidth="1"/>
    <col min="15" max="15" width="4.44140625" style="50" customWidth="1"/>
    <col min="16" max="16" width="16.109375" style="50" customWidth="1"/>
    <col min="17" max="17" width="13.6640625" style="50" customWidth="1"/>
    <col min="18" max="18" width="3.33203125" style="50" customWidth="1"/>
    <col min="19" max="19" width="19.44140625" style="50" customWidth="1"/>
    <col min="20" max="20" width="13.44140625" style="50" customWidth="1"/>
    <col min="21" max="21" width="9.109375" style="50"/>
    <col min="22" max="22" width="20.5546875" style="50" customWidth="1"/>
    <col min="23" max="16384" width="9.109375" style="50"/>
  </cols>
  <sheetData>
    <row r="1" spans="1:22" ht="17.399999999999999" x14ac:dyDescent="0.3">
      <c r="A1" s="4" t="s">
        <v>1427</v>
      </c>
      <c r="B1"/>
      <c r="C1"/>
      <c r="D1" s="45"/>
      <c r="E1" s="132"/>
      <c r="F1"/>
    </row>
    <row r="2" spans="1:22" ht="15.6" x14ac:dyDescent="0.3">
      <c r="A2" s="28" t="s">
        <v>1428</v>
      </c>
      <c r="B2"/>
      <c r="C2"/>
      <c r="D2" s="45"/>
      <c r="E2" s="132"/>
      <c r="F2"/>
    </row>
    <row r="3" spans="1:22" ht="15.6" x14ac:dyDescent="0.3">
      <c r="A3" s="28" t="s">
        <v>2210</v>
      </c>
      <c r="B3"/>
      <c r="C3"/>
      <c r="D3" s="45"/>
      <c r="E3" s="132"/>
      <c r="F3"/>
    </row>
    <row r="4" spans="1:22" ht="15.6" x14ac:dyDescent="0.3">
      <c r="A4" s="37"/>
      <c r="B4"/>
      <c r="C4"/>
      <c r="D4" s="45"/>
      <c r="E4" s="132"/>
      <c r="F4"/>
      <c r="N4" s="133"/>
      <c r="O4" s="134"/>
      <c r="P4" s="134"/>
      <c r="Q4" s="134"/>
      <c r="R4" s="134"/>
      <c r="S4" s="134"/>
      <c r="T4" s="134"/>
    </row>
    <row r="5" spans="1:22" ht="13.8" x14ac:dyDescent="0.25">
      <c r="A5"/>
      <c r="B5"/>
      <c r="C5"/>
      <c r="D5" s="46"/>
      <c r="E5" s="132"/>
      <c r="F5"/>
      <c r="N5" s="134"/>
      <c r="O5" s="134"/>
      <c r="P5" s="134"/>
      <c r="Q5" s="134"/>
      <c r="R5" s="134"/>
      <c r="S5" s="134"/>
      <c r="T5" s="134"/>
    </row>
    <row r="6" spans="1:22" ht="13.8" x14ac:dyDescent="0.25">
      <c r="A6"/>
      <c r="B6"/>
      <c r="C6" s="67" t="s">
        <v>2211</v>
      </c>
      <c r="D6" s="67" t="s">
        <v>2316</v>
      </c>
      <c r="E6" s="66" t="s">
        <v>68</v>
      </c>
      <c r="F6" s="131"/>
      <c r="J6" s="49" t="s">
        <v>679</v>
      </c>
      <c r="N6" s="57"/>
      <c r="O6" s="135"/>
      <c r="P6" s="440"/>
      <c r="Q6" s="440"/>
      <c r="R6" s="134"/>
      <c r="S6" s="135"/>
      <c r="T6" s="134"/>
    </row>
    <row r="7" spans="1:22" ht="13.8" x14ac:dyDescent="0.25">
      <c r="A7"/>
      <c r="B7"/>
      <c r="C7" s="51" t="s">
        <v>2206</v>
      </c>
      <c r="D7" s="51" t="s">
        <v>850</v>
      </c>
      <c r="E7" s="66" t="s">
        <v>2211</v>
      </c>
      <c r="F7" s="66" t="s">
        <v>404</v>
      </c>
      <c r="J7" s="75" t="s">
        <v>680</v>
      </c>
      <c r="K7" s="70" t="s">
        <v>408</v>
      </c>
      <c r="L7" s="70"/>
      <c r="M7" s="70"/>
      <c r="N7" s="57"/>
      <c r="O7" s="134"/>
      <c r="P7" s="57"/>
      <c r="Q7" s="57"/>
      <c r="R7" s="134"/>
      <c r="S7" s="57"/>
      <c r="T7" s="133"/>
    </row>
    <row r="8" spans="1:22" ht="14.4" thickBot="1" x14ac:dyDescent="0.3">
      <c r="A8" s="20" t="s">
        <v>1429</v>
      </c>
      <c r="B8" s="20"/>
      <c r="C8" s="52" t="s">
        <v>530</v>
      </c>
      <c r="D8" s="52" t="s">
        <v>529</v>
      </c>
      <c r="E8" s="78" t="s">
        <v>530</v>
      </c>
      <c r="F8" s="78" t="s">
        <v>2207</v>
      </c>
      <c r="J8" s="71" t="s">
        <v>681</v>
      </c>
      <c r="K8" s="72" t="s">
        <v>875</v>
      </c>
      <c r="L8" s="70"/>
      <c r="M8" s="70"/>
      <c r="N8" s="57"/>
      <c r="O8" s="134"/>
      <c r="P8" s="57"/>
      <c r="Q8" s="57"/>
      <c r="R8" s="134"/>
      <c r="S8" s="136"/>
      <c r="T8" s="134"/>
    </row>
    <row r="9" spans="1:22" ht="13.8" x14ac:dyDescent="0.25">
      <c r="A9"/>
      <c r="B9"/>
      <c r="C9"/>
      <c r="D9" s="45"/>
      <c r="E9" s="132"/>
      <c r="F9"/>
      <c r="J9" s="73"/>
      <c r="N9" s="57"/>
      <c r="O9" s="157"/>
      <c r="P9" s="134"/>
      <c r="Q9" s="134"/>
      <c r="R9" s="134"/>
      <c r="S9" s="157"/>
      <c r="T9" s="134"/>
    </row>
    <row r="10" spans="1:22" ht="13.8" x14ac:dyDescent="0.25">
      <c r="A10" s="7" t="s">
        <v>1550</v>
      </c>
      <c r="B10"/>
      <c r="C10" s="162">
        <v>437.26180915600003</v>
      </c>
      <c r="D10" s="149">
        <f>Meters!D10</f>
        <v>430654.16666666669</v>
      </c>
      <c r="E10" s="148">
        <f>C10*D10</f>
        <v>188308620.03723624</v>
      </c>
      <c r="F10" s="59">
        <f>E10/$E$38</f>
        <v>0.7013044355841298</v>
      </c>
      <c r="G10" s="68"/>
      <c r="H10" s="68"/>
      <c r="I10" s="7" t="s">
        <v>216</v>
      </c>
      <c r="J10" s="55">
        <v>225746</v>
      </c>
      <c r="K10" s="74">
        <f>J10/$J$65</f>
        <v>0.47763688797391624</v>
      </c>
      <c r="L10" s="74"/>
      <c r="M10" s="74"/>
      <c r="N10" s="57"/>
      <c r="O10" s="139"/>
      <c r="P10" s="158"/>
      <c r="Q10" s="159"/>
      <c r="R10" s="133"/>
      <c r="S10" s="160"/>
      <c r="T10" s="161"/>
      <c r="V10" s="68"/>
    </row>
    <row r="11" spans="1:22" ht="13.8" x14ac:dyDescent="0.25">
      <c r="A11"/>
      <c r="B11"/>
      <c r="C11" s="148"/>
      <c r="D11" s="149"/>
      <c r="E11" s="148"/>
      <c r="F11" s="149"/>
      <c r="G11" s="68"/>
      <c r="H11" s="68"/>
      <c r="I11" s="7"/>
      <c r="J11" s="55"/>
      <c r="N11" s="57"/>
      <c r="O11" s="139"/>
      <c r="P11" s="158"/>
      <c r="Q11" s="159"/>
      <c r="R11" s="133"/>
      <c r="S11" s="160"/>
      <c r="T11" s="161"/>
    </row>
    <row r="12" spans="1:22" ht="13.8" x14ac:dyDescent="0.25">
      <c r="A12" s="7" t="s">
        <v>2311</v>
      </c>
      <c r="B12"/>
      <c r="C12" s="162">
        <v>766.90722222222223</v>
      </c>
      <c r="D12" s="149">
        <f>Meters!D12</f>
        <v>63656.5</v>
      </c>
      <c r="E12" s="148">
        <f>C12*D12</f>
        <v>48818629.591388889</v>
      </c>
      <c r="F12" s="59">
        <f>E12/$E$38</f>
        <v>0.18181175914734915</v>
      </c>
      <c r="G12" s="68"/>
      <c r="H12" s="68"/>
      <c r="I12" s="7"/>
      <c r="J12" s="55"/>
      <c r="N12" s="57"/>
      <c r="O12" s="139"/>
      <c r="P12" s="158"/>
      <c r="Q12" s="159"/>
      <c r="R12" s="133"/>
      <c r="S12" s="160"/>
      <c r="T12" s="161"/>
    </row>
    <row r="13" spans="1:22" ht="13.8" x14ac:dyDescent="0.25">
      <c r="A13" s="7"/>
      <c r="B13"/>
      <c r="C13" s="148"/>
      <c r="D13" s="149"/>
      <c r="E13" s="148"/>
      <c r="F13" s="149"/>
      <c r="G13" s="68"/>
      <c r="H13" s="68"/>
      <c r="I13" s="7"/>
      <c r="J13" s="55"/>
      <c r="N13" s="57"/>
      <c r="O13" s="139"/>
      <c r="P13" s="158"/>
      <c r="Q13" s="159"/>
      <c r="R13" s="133"/>
      <c r="S13" s="160"/>
      <c r="T13" s="161"/>
    </row>
    <row r="14" spans="1:22" ht="13.8" x14ac:dyDescent="0.25">
      <c r="A14" s="7" t="s">
        <v>2312</v>
      </c>
      <c r="B14"/>
      <c r="C14" s="163">
        <v>1268.0802559444444</v>
      </c>
      <c r="D14" s="149">
        <f>Meters!D14</f>
        <v>19672.5</v>
      </c>
      <c r="E14" s="148">
        <f>C14*D14</f>
        <v>24946308.835067082</v>
      </c>
      <c r="F14" s="59">
        <f>E14/$E$38</f>
        <v>9.2905768381843862E-2</v>
      </c>
      <c r="G14" s="68"/>
      <c r="H14" s="68"/>
      <c r="I14" s="7" t="s">
        <v>217</v>
      </c>
      <c r="J14" s="55">
        <v>165290</v>
      </c>
      <c r="K14" s="74">
        <f>J14/$J$65</f>
        <v>0.34972314554060147</v>
      </c>
      <c r="L14" s="74"/>
      <c r="M14" s="74"/>
      <c r="N14" s="57"/>
      <c r="O14" s="139"/>
      <c r="P14" s="158"/>
      <c r="Q14" s="159"/>
      <c r="R14" s="133"/>
      <c r="S14" s="160"/>
      <c r="T14" s="161"/>
    </row>
    <row r="15" spans="1:22" ht="13.8" x14ac:dyDescent="0.25">
      <c r="A15"/>
      <c r="B15"/>
      <c r="C15" s="163"/>
      <c r="D15" s="149"/>
      <c r="E15" s="148"/>
      <c r="F15" s="149"/>
      <c r="G15" s="68"/>
      <c r="H15" s="68"/>
      <c r="I15" s="7"/>
      <c r="J15" s="55"/>
      <c r="N15" s="57"/>
      <c r="O15" s="139"/>
      <c r="P15" s="79"/>
      <c r="Q15" s="138"/>
      <c r="R15" s="134"/>
      <c r="S15" s="139"/>
      <c r="T15" s="140"/>
    </row>
    <row r="16" spans="1:22" ht="13.8" x14ac:dyDescent="0.25">
      <c r="A16" s="7" t="s">
        <v>2313</v>
      </c>
      <c r="B16"/>
      <c r="C16" s="163">
        <v>1177.7252303999999</v>
      </c>
      <c r="D16" s="149">
        <f>Meters!D16</f>
        <v>338.16666666666669</v>
      </c>
      <c r="E16" s="148">
        <f>C16*D16</f>
        <v>398267.41541359999</v>
      </c>
      <c r="F16" s="59">
        <f>E16/$E$38</f>
        <v>1.4832390833885069E-3</v>
      </c>
      <c r="G16" s="68"/>
      <c r="H16" s="68"/>
      <c r="I16" s="7"/>
      <c r="J16" s="55"/>
      <c r="N16" s="57"/>
      <c r="O16" s="139"/>
      <c r="P16" s="79"/>
      <c r="Q16" s="138"/>
      <c r="R16" s="134"/>
      <c r="S16" s="139"/>
      <c r="T16" s="140"/>
    </row>
    <row r="17" spans="1:20" ht="13.8" x14ac:dyDescent="0.25">
      <c r="A17" s="7"/>
      <c r="B17"/>
      <c r="C17" s="163"/>
      <c r="D17" s="149"/>
      <c r="E17" s="148"/>
      <c r="F17" s="149"/>
      <c r="G17" s="68"/>
      <c r="H17" s="68"/>
      <c r="I17" s="7"/>
      <c r="J17" s="55"/>
      <c r="N17" s="57"/>
      <c r="O17" s="139"/>
      <c r="P17" s="79"/>
      <c r="Q17" s="138"/>
      <c r="R17" s="134"/>
      <c r="S17" s="139"/>
      <c r="T17" s="140"/>
    </row>
    <row r="18" spans="1:20" ht="13.8" x14ac:dyDescent="0.25">
      <c r="A18" s="7" t="s">
        <v>2314</v>
      </c>
      <c r="B18"/>
      <c r="C18" s="163">
        <v>1177.7252303999999</v>
      </c>
      <c r="D18" s="149">
        <f>Meters!D18</f>
        <v>255</v>
      </c>
      <c r="E18" s="148">
        <f>C18*D18</f>
        <v>300319.93375199998</v>
      </c>
      <c r="F18" s="59">
        <f>E18/$E$38</f>
        <v>1.1184602255221367E-3</v>
      </c>
      <c r="G18" s="68"/>
      <c r="H18" s="68"/>
      <c r="I18" s="7" t="s">
        <v>214</v>
      </c>
      <c r="J18" s="55">
        <v>68565</v>
      </c>
      <c r="K18" s="74">
        <f>J18/$J$65</f>
        <v>0.14507089039864079</v>
      </c>
      <c r="L18" s="74"/>
      <c r="M18" s="74"/>
      <c r="N18" s="57"/>
      <c r="O18" s="139"/>
      <c r="P18" s="158"/>
      <c r="Q18" s="159"/>
      <c r="R18" s="133"/>
      <c r="S18" s="160"/>
      <c r="T18" s="161"/>
    </row>
    <row r="19" spans="1:20" ht="13.8" x14ac:dyDescent="0.25">
      <c r="A19"/>
      <c r="B19"/>
      <c r="C19" s="163"/>
      <c r="D19" s="149"/>
      <c r="E19" s="148"/>
      <c r="F19" s="149"/>
      <c r="G19" s="68"/>
      <c r="H19" s="68"/>
      <c r="I19" s="7"/>
      <c r="J19" s="55"/>
      <c r="N19" s="57"/>
      <c r="O19" s="139"/>
      <c r="P19" s="79"/>
      <c r="Q19" s="138"/>
      <c r="R19" s="134"/>
      <c r="S19" s="139"/>
      <c r="T19" s="140"/>
    </row>
    <row r="20" spans="1:20" ht="13.8" x14ac:dyDescent="0.25">
      <c r="A20" s="7" t="s">
        <v>2202</v>
      </c>
      <c r="B20"/>
      <c r="C20" s="163">
        <v>1113.0044232800001</v>
      </c>
      <c r="D20" s="149">
        <f>Meters!D20</f>
        <v>4502.833333333333</v>
      </c>
      <c r="E20" s="148">
        <f>C20*D20</f>
        <v>5011673.4172926266</v>
      </c>
      <c r="F20" s="59">
        <f>E20/$E$38</f>
        <v>1.8664619795691735E-2</v>
      </c>
      <c r="G20" s="68"/>
      <c r="H20" s="68"/>
      <c r="I20" s="7" t="s">
        <v>215</v>
      </c>
      <c r="J20" s="55">
        <v>0</v>
      </c>
      <c r="K20" s="74">
        <f>J20/$J$65</f>
        <v>0</v>
      </c>
      <c r="L20" s="74"/>
      <c r="M20" s="74"/>
      <c r="N20" s="57"/>
      <c r="O20" s="139"/>
      <c r="P20" s="79"/>
      <c r="Q20" s="138"/>
      <c r="R20" s="134"/>
      <c r="S20" s="139"/>
      <c r="T20" s="140"/>
    </row>
    <row r="21" spans="1:20" ht="13.8" x14ac:dyDescent="0.25">
      <c r="A21"/>
      <c r="B21"/>
      <c r="C21" s="163"/>
      <c r="D21" s="149"/>
      <c r="E21" s="150"/>
      <c r="F21" s="149"/>
      <c r="G21" s="68"/>
      <c r="H21" s="68"/>
      <c r="I21" s="7"/>
      <c r="J21" s="55"/>
      <c r="N21" s="57"/>
      <c r="O21" s="139"/>
      <c r="P21" s="79"/>
      <c r="Q21" s="138"/>
      <c r="R21" s="134"/>
      <c r="S21" s="139"/>
      <c r="T21" s="140"/>
    </row>
    <row r="22" spans="1:20" ht="13.8" x14ac:dyDescent="0.25">
      <c r="A22" s="3" t="s">
        <v>2203</v>
      </c>
      <c r="B22"/>
      <c r="C22" s="163">
        <v>0</v>
      </c>
      <c r="D22" s="149">
        <f>Meters!D22</f>
        <v>172.5</v>
      </c>
      <c r="E22" s="148">
        <f>C22*D22</f>
        <v>0</v>
      </c>
      <c r="F22" s="59">
        <f>E22/$E$38</f>
        <v>0</v>
      </c>
      <c r="G22" s="68"/>
      <c r="H22" s="68"/>
      <c r="I22" s="7" t="s">
        <v>212</v>
      </c>
      <c r="J22" s="76">
        <v>12893</v>
      </c>
      <c r="K22" s="74">
        <f>J22/$J$65</f>
        <v>2.7279209362060467E-2</v>
      </c>
      <c r="L22" s="74"/>
      <c r="M22" s="74"/>
      <c r="N22" s="57"/>
      <c r="O22" s="139"/>
      <c r="P22" s="79"/>
      <c r="Q22" s="138"/>
      <c r="R22" s="134"/>
      <c r="S22" s="139"/>
      <c r="T22" s="140"/>
    </row>
    <row r="23" spans="1:20" ht="13.8" x14ac:dyDescent="0.25">
      <c r="A23"/>
      <c r="B23"/>
      <c r="C23" s="163"/>
      <c r="D23" s="149"/>
      <c r="E23" s="132"/>
      <c r="F23" s="149"/>
      <c r="G23" s="68"/>
      <c r="H23" s="68"/>
      <c r="I23" s="7"/>
      <c r="J23" s="55"/>
      <c r="N23" s="57"/>
      <c r="O23" s="139"/>
      <c r="P23" s="158"/>
      <c r="Q23" s="159"/>
      <c r="R23" s="133"/>
      <c r="S23" s="160"/>
      <c r="T23" s="161"/>
    </row>
    <row r="24" spans="1:20" ht="13.8" x14ac:dyDescent="0.25">
      <c r="A24" s="7" t="s">
        <v>2204</v>
      </c>
      <c r="B24"/>
      <c r="C24" s="163">
        <v>1177.7252303999999</v>
      </c>
      <c r="D24" s="149">
        <f>Meters!D24</f>
        <v>618.25</v>
      </c>
      <c r="E24" s="148">
        <f>C24*D24</f>
        <v>728128.62369479996</v>
      </c>
      <c r="F24" s="59">
        <f>E24/$E$38</f>
        <v>2.7117177820747494E-3</v>
      </c>
      <c r="G24" s="68"/>
      <c r="H24" s="68"/>
      <c r="I24" s="7" t="s">
        <v>213</v>
      </c>
      <c r="J24" s="55">
        <v>0</v>
      </c>
      <c r="K24" s="74">
        <f>J24/$J$65</f>
        <v>0</v>
      </c>
      <c r="L24" s="74"/>
      <c r="M24" s="74"/>
      <c r="N24" s="57"/>
      <c r="O24" s="139"/>
      <c r="P24" s="79"/>
      <c r="Q24" s="138"/>
      <c r="R24" s="134"/>
      <c r="S24" s="139"/>
      <c r="T24" s="140"/>
    </row>
    <row r="25" spans="1:20" ht="13.8" x14ac:dyDescent="0.25">
      <c r="A25"/>
      <c r="B25"/>
      <c r="C25" s="163"/>
      <c r="D25" s="149"/>
      <c r="E25" s="150"/>
      <c r="F25" s="149"/>
      <c r="G25" s="68"/>
      <c r="H25" s="68"/>
      <c r="I25" s="7"/>
      <c r="J25" s="55"/>
      <c r="N25" s="57"/>
      <c r="O25" s="139"/>
      <c r="P25" s="79"/>
      <c r="Q25" s="138"/>
      <c r="R25" s="134"/>
      <c r="S25" s="139"/>
      <c r="T25" s="140"/>
    </row>
    <row r="26" spans="1:20" ht="13.8" x14ac:dyDescent="0.25">
      <c r="A26" s="7" t="s">
        <v>2315</v>
      </c>
      <c r="B26"/>
      <c r="C26" s="163">
        <v>0</v>
      </c>
      <c r="D26" s="149">
        <f>Meters!D26</f>
        <v>276.5</v>
      </c>
      <c r="E26" s="148">
        <f>C26*D26</f>
        <v>0</v>
      </c>
      <c r="F26" s="59">
        <f>E26/$E$38</f>
        <v>0</v>
      </c>
      <c r="G26" s="68"/>
      <c r="H26" s="68"/>
      <c r="I26" s="7" t="s">
        <v>219</v>
      </c>
      <c r="J26" s="55">
        <v>0</v>
      </c>
      <c r="K26" s="74">
        <f>J26/$J$65</f>
        <v>0</v>
      </c>
      <c r="L26" s="74"/>
      <c r="M26" s="74"/>
      <c r="N26" s="57"/>
      <c r="O26" s="139"/>
      <c r="P26" s="79"/>
      <c r="Q26" s="138"/>
      <c r="R26" s="134"/>
      <c r="S26" s="139"/>
      <c r="T26" s="140"/>
    </row>
    <row r="27" spans="1:20" ht="13.8" x14ac:dyDescent="0.25">
      <c r="A27"/>
      <c r="B27"/>
      <c r="C27" s="163"/>
      <c r="D27" s="149"/>
      <c r="E27" s="150"/>
      <c r="F27" s="149"/>
      <c r="G27" s="68"/>
      <c r="H27" s="68"/>
      <c r="I27"/>
      <c r="J27" s="77"/>
      <c r="N27" s="57"/>
      <c r="O27" s="139"/>
      <c r="P27" s="79"/>
      <c r="Q27" s="138"/>
      <c r="R27" s="134"/>
      <c r="S27" s="139"/>
      <c r="T27" s="140"/>
    </row>
    <row r="28" spans="1:20" ht="13.8" x14ac:dyDescent="0.25">
      <c r="A28" s="7" t="s">
        <v>1884</v>
      </c>
      <c r="B28"/>
      <c r="C28" s="163">
        <v>0</v>
      </c>
      <c r="D28" s="149">
        <f>Meters!D28</f>
        <v>30</v>
      </c>
      <c r="E28" s="148">
        <f>C28*D28</f>
        <v>0</v>
      </c>
      <c r="F28" s="59">
        <f>E28/$E$38</f>
        <v>0</v>
      </c>
      <c r="G28" s="68"/>
      <c r="H28" s="68"/>
      <c r="I28" s="7" t="s">
        <v>210</v>
      </c>
      <c r="J28" s="55">
        <v>41</v>
      </c>
      <c r="K28" s="74">
        <f>J28/$J$65</f>
        <v>8.6748435883384715E-5</v>
      </c>
      <c r="L28" s="74"/>
      <c r="M28" s="74"/>
      <c r="N28" s="57"/>
      <c r="O28" s="139"/>
      <c r="P28" s="158"/>
      <c r="Q28" s="159"/>
      <c r="R28" s="133"/>
      <c r="S28" s="160"/>
      <c r="T28" s="161"/>
    </row>
    <row r="29" spans="1:20" ht="13.8" x14ac:dyDescent="0.25">
      <c r="A29" s="7"/>
      <c r="B29"/>
      <c r="C29" s="163"/>
      <c r="D29" s="149"/>
      <c r="E29" s="132"/>
      <c r="F29" s="149"/>
      <c r="G29" s="68"/>
      <c r="H29" s="68"/>
      <c r="I29" s="7"/>
      <c r="J29" s="55"/>
      <c r="N29" s="57"/>
      <c r="O29" s="139"/>
      <c r="P29" s="79"/>
      <c r="Q29" s="138"/>
      <c r="R29" s="134"/>
      <c r="S29" s="139"/>
      <c r="T29" s="140"/>
    </row>
    <row r="30" spans="1:20" ht="13.8" x14ac:dyDescent="0.25">
      <c r="A30" s="7" t="s">
        <v>2201</v>
      </c>
      <c r="B30"/>
      <c r="C30" s="163">
        <v>0</v>
      </c>
      <c r="D30" s="149">
        <f>Meters!D30</f>
        <v>1</v>
      </c>
      <c r="E30" s="148">
        <f>C30*D30</f>
        <v>0</v>
      </c>
      <c r="F30" s="59">
        <f>E30/$E$38</f>
        <v>0</v>
      </c>
      <c r="G30" s="68"/>
      <c r="H30" s="68"/>
      <c r="I30" s="7" t="s">
        <v>211</v>
      </c>
      <c r="J30" s="55">
        <v>0</v>
      </c>
      <c r="K30" s="74">
        <f>J30/$J$65</f>
        <v>0</v>
      </c>
      <c r="L30" s="74"/>
      <c r="M30" s="74"/>
      <c r="N30" s="57"/>
      <c r="O30" s="139"/>
      <c r="P30" s="158"/>
      <c r="Q30" s="159"/>
      <c r="R30" s="133"/>
      <c r="S30" s="160"/>
      <c r="T30" s="161"/>
    </row>
    <row r="31" spans="1:20" ht="13.8" x14ac:dyDescent="0.25">
      <c r="A31" s="7"/>
      <c r="B31"/>
      <c r="C31" s="163"/>
      <c r="D31" s="149"/>
      <c r="E31" s="148"/>
      <c r="F31" s="149"/>
      <c r="G31" s="68"/>
      <c r="H31" s="68"/>
      <c r="I31" s="7"/>
      <c r="J31" s="55"/>
      <c r="N31" s="57"/>
      <c r="O31" s="139"/>
      <c r="P31" s="79"/>
      <c r="Q31" s="138"/>
      <c r="R31" s="134"/>
      <c r="S31" s="139"/>
      <c r="T31" s="140"/>
    </row>
    <row r="32" spans="1:20" ht="13.8" x14ac:dyDescent="0.25">
      <c r="A32" s="7" t="s">
        <v>2220</v>
      </c>
      <c r="B32"/>
      <c r="C32" s="163">
        <v>0</v>
      </c>
      <c r="D32" s="149">
        <f>Meters!D32</f>
        <v>168484.08333333334</v>
      </c>
      <c r="E32" s="148">
        <f>C32*D32</f>
        <v>0</v>
      </c>
      <c r="F32" s="59">
        <f>E32/$E$38</f>
        <v>0</v>
      </c>
      <c r="G32" s="68"/>
      <c r="H32" s="68"/>
      <c r="I32" s="3" t="s">
        <v>222</v>
      </c>
      <c r="J32" s="55">
        <v>0</v>
      </c>
      <c r="K32" s="74">
        <f>J32/$J$65</f>
        <v>0</v>
      </c>
      <c r="L32" s="74"/>
      <c r="M32" s="74"/>
      <c r="N32" s="57"/>
      <c r="O32" s="139"/>
      <c r="P32" s="79"/>
      <c r="Q32" s="138"/>
      <c r="R32" s="134"/>
      <c r="S32" s="139"/>
      <c r="T32" s="140"/>
    </row>
    <row r="33" spans="1:20" ht="13.8" x14ac:dyDescent="0.25">
      <c r="A33" s="7"/>
      <c r="B33"/>
      <c r="C33" s="163"/>
      <c r="D33" s="149"/>
      <c r="E33" s="148"/>
      <c r="F33" s="59"/>
      <c r="G33" s="68"/>
      <c r="H33" s="68"/>
      <c r="I33" s="3"/>
      <c r="J33" s="55"/>
      <c r="K33" s="74"/>
      <c r="L33" s="74"/>
      <c r="M33" s="74"/>
      <c r="N33" s="57"/>
      <c r="O33" s="139"/>
      <c r="P33" s="79"/>
      <c r="Q33" s="138"/>
      <c r="R33" s="134"/>
      <c r="S33" s="139"/>
      <c r="T33" s="140"/>
    </row>
    <row r="34" spans="1:20" ht="13.8" x14ac:dyDescent="0.25">
      <c r="A34" s="7" t="s">
        <v>2221</v>
      </c>
      <c r="B34"/>
      <c r="C34" s="163">
        <v>0</v>
      </c>
      <c r="D34" s="149">
        <f>Meters!D34</f>
        <v>4</v>
      </c>
      <c r="E34" s="148">
        <f>C34*D34</f>
        <v>0</v>
      </c>
      <c r="F34" s="59">
        <f>E34/$E$38</f>
        <v>0</v>
      </c>
      <c r="G34" s="68"/>
      <c r="H34" s="68"/>
      <c r="I34" s="3"/>
      <c r="J34" s="55"/>
      <c r="K34" s="74"/>
      <c r="L34" s="74"/>
      <c r="M34" s="74"/>
      <c r="N34" s="57"/>
      <c r="O34" s="139"/>
      <c r="P34" s="79"/>
      <c r="Q34" s="138"/>
      <c r="R34" s="134"/>
      <c r="S34" s="139"/>
      <c r="T34" s="140"/>
    </row>
    <row r="35" spans="1:20" ht="13.8" x14ac:dyDescent="0.25">
      <c r="A35" s="7"/>
      <c r="B35"/>
      <c r="C35" s="163"/>
      <c r="D35" s="149"/>
      <c r="E35" s="148"/>
      <c r="F35" s="59"/>
      <c r="G35" s="68"/>
      <c r="H35" s="68"/>
      <c r="I35" s="3"/>
      <c r="J35" s="55"/>
      <c r="K35" s="74"/>
      <c r="L35" s="74"/>
      <c r="M35" s="74"/>
      <c r="N35" s="57"/>
      <c r="O35" s="139"/>
      <c r="P35" s="79"/>
      <c r="Q35" s="138"/>
      <c r="R35" s="134"/>
      <c r="S35" s="139"/>
      <c r="T35" s="140"/>
    </row>
    <row r="36" spans="1:20" ht="13.8" x14ac:dyDescent="0.25">
      <c r="A36" s="7" t="s">
        <v>2222</v>
      </c>
      <c r="B36"/>
      <c r="C36" s="163">
        <v>0</v>
      </c>
      <c r="D36" s="149">
        <f>Meters!D36</f>
        <v>776</v>
      </c>
      <c r="E36" s="148">
        <f>C36*D36</f>
        <v>0</v>
      </c>
      <c r="F36" s="59">
        <f>E36/$E$38</f>
        <v>0</v>
      </c>
      <c r="G36" s="68"/>
      <c r="H36" s="68"/>
      <c r="I36" s="3"/>
      <c r="J36" s="55"/>
      <c r="K36" s="74"/>
      <c r="L36" s="74"/>
      <c r="M36" s="74"/>
      <c r="N36" s="57"/>
      <c r="O36" s="139"/>
      <c r="P36" s="79"/>
      <c r="Q36" s="138"/>
      <c r="R36" s="134"/>
      <c r="S36" s="139"/>
      <c r="T36" s="140"/>
    </row>
    <row r="37" spans="1:20" ht="13.8" x14ac:dyDescent="0.25">
      <c r="A37" s="152"/>
      <c r="B37" s="152"/>
      <c r="C37" s="164"/>
      <c r="D37" s="154"/>
      <c r="E37" s="153"/>
      <c r="F37" s="154"/>
      <c r="G37" s="68"/>
      <c r="H37" s="68"/>
      <c r="I37" s="7"/>
      <c r="J37" s="55"/>
      <c r="N37" s="57"/>
      <c r="O37" s="139"/>
      <c r="P37" s="79"/>
      <c r="Q37" s="138"/>
      <c r="R37" s="134"/>
      <c r="S37" s="139"/>
      <c r="T37" s="140"/>
    </row>
    <row r="38" spans="1:20" ht="13.8" x14ac:dyDescent="0.25">
      <c r="A38" s="3" t="s">
        <v>68</v>
      </c>
      <c r="B38"/>
      <c r="C38" s="148"/>
      <c r="D38" s="155">
        <f>SUM(D4:D37)</f>
        <v>689441.5</v>
      </c>
      <c r="E38" s="102">
        <f>SUM(E4:E37)</f>
        <v>268511947.85384524</v>
      </c>
      <c r="F38" s="59">
        <f>SUM(F10:F37)</f>
        <v>1</v>
      </c>
      <c r="I38" s="3" t="s">
        <v>223</v>
      </c>
      <c r="J38" s="55">
        <v>0</v>
      </c>
      <c r="K38" s="74">
        <f>J38/$J$65</f>
        <v>0</v>
      </c>
      <c r="L38" s="74"/>
      <c r="M38" s="74"/>
      <c r="N38" s="57"/>
      <c r="O38" s="139"/>
      <c r="P38" s="79"/>
      <c r="Q38" s="138"/>
      <c r="R38" s="134"/>
      <c r="S38" s="139"/>
      <c r="T38" s="140"/>
    </row>
    <row r="39" spans="1:20" ht="13.8" x14ac:dyDescent="0.25">
      <c r="A39" s="53"/>
      <c r="D39" s="61"/>
      <c r="I39" s="7"/>
      <c r="J39" s="55"/>
      <c r="N39" s="57"/>
      <c r="O39" s="139"/>
      <c r="P39" s="79"/>
      <c r="Q39" s="138"/>
      <c r="R39" s="134"/>
      <c r="S39" s="139"/>
      <c r="T39" s="140"/>
    </row>
    <row r="40" spans="1:20" ht="13.8" x14ac:dyDescent="0.25">
      <c r="A40" s="133"/>
      <c r="B40" s="134"/>
      <c r="C40" s="79"/>
      <c r="D40" s="138"/>
      <c r="E40" s="79"/>
      <c r="F40" s="79"/>
      <c r="I40" s="3" t="s">
        <v>220</v>
      </c>
      <c r="J40" s="55">
        <v>0</v>
      </c>
      <c r="K40" s="74">
        <f>J40/$J$65</f>
        <v>0</v>
      </c>
      <c r="L40" s="74"/>
      <c r="M40" s="74"/>
      <c r="N40" s="57"/>
      <c r="O40" s="139"/>
      <c r="P40" s="79"/>
      <c r="Q40" s="138"/>
      <c r="R40" s="134"/>
      <c r="S40" s="139"/>
      <c r="T40" s="138"/>
    </row>
    <row r="41" spans="1:20" ht="13.8" x14ac:dyDescent="0.25">
      <c r="A41" s="137"/>
      <c r="B41" s="134"/>
      <c r="C41" s="79"/>
      <c r="D41" s="138"/>
      <c r="E41" s="79"/>
      <c r="F41" s="79"/>
      <c r="I41" s="7"/>
      <c r="J41" s="55"/>
      <c r="N41" s="62"/>
      <c r="O41" s="142"/>
      <c r="P41" s="134"/>
      <c r="Q41" s="134"/>
      <c r="R41" s="134"/>
      <c r="S41" s="142"/>
      <c r="T41" s="134"/>
    </row>
    <row r="42" spans="1:20" ht="13.8" x14ac:dyDescent="0.25">
      <c r="A42" s="133"/>
      <c r="B42" s="134"/>
      <c r="C42" s="58" t="s">
        <v>2209</v>
      </c>
      <c r="D42" s="58"/>
      <c r="E42" s="65">
        <f>'Functional Assignment'!F40</f>
        <v>97262576.699999869</v>
      </c>
      <c r="F42" s="79"/>
      <c r="I42" s="3" t="s">
        <v>221</v>
      </c>
      <c r="J42" s="55">
        <v>0</v>
      </c>
      <c r="K42" s="74">
        <f>J42/$J$65</f>
        <v>0</v>
      </c>
      <c r="L42" s="74"/>
      <c r="M42" s="74"/>
      <c r="N42" s="62"/>
      <c r="O42" s="135"/>
      <c r="P42" s="134"/>
      <c r="Q42" s="134"/>
      <c r="R42" s="134"/>
      <c r="S42" s="135"/>
      <c r="T42" s="134"/>
    </row>
    <row r="43" spans="1:20" ht="13.8" x14ac:dyDescent="0.25">
      <c r="A43" s="137"/>
      <c r="B43" s="134"/>
      <c r="C43" s="134"/>
      <c r="D43" s="138"/>
      <c r="E43" s="134"/>
      <c r="F43" s="134"/>
      <c r="I43" s="7"/>
      <c r="J43" s="55"/>
      <c r="N43" s="62"/>
      <c r="O43" s="79"/>
      <c r="P43" s="134"/>
      <c r="Q43" s="134"/>
      <c r="R43" s="134"/>
      <c r="S43" s="79"/>
      <c r="T43" s="134"/>
    </row>
    <row r="44" spans="1:20" ht="13.8" x14ac:dyDescent="0.25">
      <c r="A44" s="133"/>
      <c r="B44" s="134"/>
      <c r="C44" s="79"/>
      <c r="D44" s="138"/>
      <c r="E44" s="79"/>
      <c r="F44" s="79"/>
      <c r="I44" s="7" t="s">
        <v>677</v>
      </c>
      <c r="J44" s="55">
        <v>0</v>
      </c>
      <c r="K44" s="74">
        <f>J44/$J$65</f>
        <v>0</v>
      </c>
      <c r="L44" s="74"/>
      <c r="M44" s="74"/>
      <c r="N44" s="134"/>
      <c r="O44" s="134"/>
      <c r="P44" s="134"/>
      <c r="Q44" s="134"/>
      <c r="R44" s="134"/>
      <c r="S44" s="134"/>
      <c r="T44" s="134"/>
    </row>
    <row r="45" spans="1:20" ht="13.8" x14ac:dyDescent="0.25">
      <c r="A45" s="137"/>
      <c r="B45" s="134"/>
      <c r="C45" s="134"/>
      <c r="D45" s="138"/>
      <c r="E45" s="134"/>
      <c r="F45" s="134"/>
      <c r="I45" s="7"/>
      <c r="J45" s="55"/>
    </row>
    <row r="46" spans="1:20" ht="13.8" x14ac:dyDescent="0.25">
      <c r="A46" s="133"/>
      <c r="B46" s="134"/>
      <c r="C46" s="79"/>
      <c r="D46" s="138"/>
      <c r="E46" s="79"/>
      <c r="F46" s="79"/>
      <c r="I46" s="7" t="s">
        <v>391</v>
      </c>
      <c r="J46" s="55">
        <v>0</v>
      </c>
      <c r="K46" s="74">
        <f>J46/$J$65</f>
        <v>0</v>
      </c>
      <c r="L46" s="74"/>
      <c r="M46" s="74"/>
      <c r="N46" s="58"/>
      <c r="O46" s="58"/>
      <c r="S46" s="58"/>
    </row>
    <row r="47" spans="1:20" ht="13.8" x14ac:dyDescent="0.25">
      <c r="A47" s="137"/>
      <c r="B47" s="134"/>
      <c r="C47" s="134"/>
      <c r="D47" s="138"/>
      <c r="E47" s="134"/>
      <c r="F47" s="134"/>
      <c r="I47" s="7"/>
      <c r="J47" s="55"/>
    </row>
    <row r="48" spans="1:20" ht="13.8" x14ac:dyDescent="0.25">
      <c r="A48" s="137"/>
      <c r="B48" s="134"/>
      <c r="C48" s="79"/>
      <c r="D48" s="138"/>
      <c r="E48" s="79"/>
      <c r="F48" s="79"/>
      <c r="I48" s="7" t="s">
        <v>678</v>
      </c>
      <c r="J48" s="55">
        <v>0</v>
      </c>
      <c r="K48" s="74">
        <f>J48/$J$65</f>
        <v>0</v>
      </c>
      <c r="L48" s="74"/>
      <c r="M48" s="74"/>
    </row>
    <row r="49" spans="1:19" x14ac:dyDescent="0.25">
      <c r="A49" s="137"/>
      <c r="B49" s="134"/>
      <c r="C49" s="134"/>
      <c r="D49" s="138"/>
      <c r="E49" s="134"/>
      <c r="F49" s="134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1:19" x14ac:dyDescent="0.25">
      <c r="A50" s="133"/>
      <c r="B50" s="134"/>
      <c r="C50" s="79"/>
      <c r="D50" s="138"/>
      <c r="E50" s="79"/>
      <c r="F50" s="79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</row>
    <row r="51" spans="1:19" ht="13.8" x14ac:dyDescent="0.25">
      <c r="A51" s="137"/>
      <c r="B51" s="134"/>
      <c r="C51" s="134"/>
      <c r="D51" s="138"/>
      <c r="E51" s="134"/>
      <c r="F51" s="134"/>
      <c r="I51" s="7"/>
      <c r="J51" s="55"/>
    </row>
    <row r="52" spans="1:19" ht="13.8" x14ac:dyDescent="0.25">
      <c r="A52" s="137"/>
      <c r="B52" s="134"/>
      <c r="C52" s="79"/>
      <c r="D52" s="138"/>
      <c r="E52" s="79"/>
      <c r="F52" s="79"/>
      <c r="I52" s="7" t="s">
        <v>851</v>
      </c>
      <c r="J52" s="55">
        <v>0</v>
      </c>
      <c r="K52" s="74">
        <f>J52/$J$65</f>
        <v>0</v>
      </c>
      <c r="L52" s="74"/>
      <c r="M52" s="74"/>
    </row>
    <row r="53" spans="1:19" ht="13.8" x14ac:dyDescent="0.25">
      <c r="A53" s="137"/>
      <c r="B53" s="134"/>
      <c r="C53" s="134"/>
      <c r="D53" s="138"/>
      <c r="E53" s="134"/>
      <c r="F53" s="134"/>
      <c r="I53"/>
      <c r="J53" s="55"/>
    </row>
    <row r="54" spans="1:19" ht="13.8" x14ac:dyDescent="0.25">
      <c r="A54" s="137"/>
      <c r="B54" s="134"/>
      <c r="C54" s="79"/>
      <c r="D54" s="138"/>
      <c r="E54" s="79"/>
      <c r="F54" s="79"/>
      <c r="I54" s="3" t="s">
        <v>852</v>
      </c>
      <c r="J54" s="55">
        <v>96</v>
      </c>
      <c r="K54" s="74">
        <f>J54/$J$65</f>
        <v>2.0311828889768127E-4</v>
      </c>
      <c r="L54" s="74"/>
      <c r="M54" s="74"/>
    </row>
    <row r="55" spans="1:19" ht="13.8" x14ac:dyDescent="0.25">
      <c r="A55" s="137"/>
      <c r="B55" s="134"/>
      <c r="C55" s="134"/>
      <c r="D55" s="138"/>
      <c r="E55" s="134"/>
      <c r="F55" s="134"/>
      <c r="I55"/>
      <c r="J55" s="55"/>
    </row>
    <row r="56" spans="1:19" ht="13.8" x14ac:dyDescent="0.25">
      <c r="A56" s="137"/>
      <c r="B56" s="134"/>
      <c r="C56" s="79"/>
      <c r="D56" s="138"/>
      <c r="E56" s="79"/>
      <c r="F56" s="79"/>
      <c r="I56" s="3" t="s">
        <v>282</v>
      </c>
      <c r="J56" s="55">
        <v>0</v>
      </c>
      <c r="K56" s="74">
        <f>J56/$J$65</f>
        <v>0</v>
      </c>
      <c r="L56" s="74"/>
      <c r="M56" s="74"/>
    </row>
    <row r="57" spans="1:19" ht="13.8" x14ac:dyDescent="0.25">
      <c r="A57" s="137"/>
      <c r="B57" s="134"/>
      <c r="C57" s="134"/>
      <c r="D57" s="138"/>
      <c r="E57" s="134"/>
      <c r="F57" s="134"/>
      <c r="I57" s="7"/>
      <c r="J57" s="55"/>
    </row>
    <row r="58" spans="1:19" ht="13.8" x14ac:dyDescent="0.25">
      <c r="A58" s="137"/>
      <c r="B58" s="134"/>
      <c r="C58" s="79"/>
      <c r="D58" s="138"/>
      <c r="E58" s="79"/>
      <c r="F58" s="79"/>
      <c r="I58" s="7" t="s">
        <v>405</v>
      </c>
      <c r="J58" s="55">
        <v>0</v>
      </c>
      <c r="K58" s="74">
        <f>J58/$J$65</f>
        <v>0</v>
      </c>
      <c r="L58" s="74"/>
      <c r="M58" s="74"/>
    </row>
    <row r="59" spans="1:19" ht="13.8" x14ac:dyDescent="0.25">
      <c r="A59" s="134"/>
      <c r="B59" s="134"/>
      <c r="C59" s="79"/>
      <c r="D59" s="156"/>
      <c r="E59" s="79"/>
      <c r="F59" s="79"/>
      <c r="G59" s="68"/>
      <c r="H59" s="68"/>
      <c r="I59" s="7"/>
      <c r="J59" s="55"/>
    </row>
    <row r="60" spans="1:19" ht="13.8" x14ac:dyDescent="0.25">
      <c r="A60" s="134"/>
      <c r="B60" s="134"/>
      <c r="C60" s="134"/>
      <c r="D60" s="134"/>
      <c r="E60" s="134"/>
      <c r="F60" s="134"/>
      <c r="I60" s="7" t="s">
        <v>392</v>
      </c>
      <c r="J60" s="55">
        <v>0</v>
      </c>
      <c r="K60" s="74">
        <f>J60/$J$65</f>
        <v>0</v>
      </c>
      <c r="L60" s="74"/>
      <c r="M60" s="74"/>
    </row>
    <row r="61" spans="1:19" ht="13.8" x14ac:dyDescent="0.25">
      <c r="C61" s="54"/>
      <c r="E61" s="54"/>
      <c r="F61" s="65"/>
      <c r="I61" s="7"/>
      <c r="J61" s="55"/>
    </row>
    <row r="62" spans="1:19" ht="13.8" x14ac:dyDescent="0.25">
      <c r="I62" s="7" t="s">
        <v>854</v>
      </c>
      <c r="J62" s="55">
        <v>0</v>
      </c>
      <c r="K62" s="74">
        <f>J62/$J$65</f>
        <v>0</v>
      </c>
      <c r="L62" s="74"/>
      <c r="M62" s="74"/>
    </row>
    <row r="63" spans="1:19" ht="13.8" x14ac:dyDescent="0.25">
      <c r="I63" s="7"/>
      <c r="J63" s="77"/>
    </row>
    <row r="64" spans="1:19" ht="13.8" x14ac:dyDescent="0.25">
      <c r="I64" s="21" t="s">
        <v>853</v>
      </c>
      <c r="J64" s="56">
        <v>0</v>
      </c>
      <c r="K64" s="74">
        <f>J64/$J$65</f>
        <v>0</v>
      </c>
      <c r="L64" s="74"/>
      <c r="M64" s="74"/>
    </row>
    <row r="65" spans="10:14" x14ac:dyDescent="0.25">
      <c r="J65" s="55">
        <f>SUM(J10:J64)</f>
        <v>472631</v>
      </c>
      <c r="K65" s="74">
        <f>SUM(K10:K64)</f>
        <v>1.0000000000000002</v>
      </c>
      <c r="L65" s="74"/>
      <c r="M65" s="74"/>
    </row>
    <row r="67" spans="10:14" x14ac:dyDescent="0.25">
      <c r="N67" s="64"/>
    </row>
    <row r="68" spans="10:14" x14ac:dyDescent="0.25">
      <c r="N68" s="58"/>
    </row>
    <row r="69" spans="10:14" x14ac:dyDescent="0.25">
      <c r="N69" s="58"/>
    </row>
    <row r="70" spans="10:14" x14ac:dyDescent="0.25">
      <c r="N70" s="58"/>
    </row>
    <row r="71" spans="10:14" x14ac:dyDescent="0.25">
      <c r="N71" s="58"/>
    </row>
    <row r="72" spans="10:14" x14ac:dyDescent="0.25">
      <c r="N72" s="59"/>
    </row>
    <row r="73" spans="10:14" x14ac:dyDescent="0.25">
      <c r="N73" s="60"/>
    </row>
    <row r="74" spans="10:14" x14ac:dyDescent="0.25">
      <c r="N74" s="60"/>
    </row>
    <row r="75" spans="10:14" x14ac:dyDescent="0.25">
      <c r="N75" s="60"/>
    </row>
    <row r="76" spans="10:14" x14ac:dyDescent="0.25">
      <c r="N76" s="60"/>
    </row>
    <row r="77" spans="10:14" x14ac:dyDescent="0.25">
      <c r="N77" s="60"/>
    </row>
    <row r="78" spans="10:14" x14ac:dyDescent="0.25">
      <c r="N78" s="60"/>
    </row>
    <row r="79" spans="10:14" x14ac:dyDescent="0.25">
      <c r="N79" s="60"/>
    </row>
    <row r="80" spans="10:14" x14ac:dyDescent="0.25">
      <c r="N80" s="60"/>
    </row>
    <row r="81" spans="14:14" x14ac:dyDescent="0.25">
      <c r="N81" s="60"/>
    </row>
    <row r="82" spans="14:14" x14ac:dyDescent="0.25">
      <c r="N82" s="60"/>
    </row>
    <row r="83" spans="14:14" x14ac:dyDescent="0.25">
      <c r="N83" s="60"/>
    </row>
    <row r="84" spans="14:14" x14ac:dyDescent="0.25">
      <c r="N84" s="60"/>
    </row>
    <row r="85" spans="14:14" x14ac:dyDescent="0.25">
      <c r="N85" s="60"/>
    </row>
    <row r="86" spans="14:14" x14ac:dyDescent="0.25">
      <c r="N86" s="60"/>
    </row>
    <row r="87" spans="14:14" x14ac:dyDescent="0.25">
      <c r="N87" s="60"/>
    </row>
    <row r="88" spans="14:14" x14ac:dyDescent="0.25">
      <c r="N88" s="60"/>
    </row>
    <row r="89" spans="14:14" x14ac:dyDescent="0.25">
      <c r="N89" s="60"/>
    </row>
    <row r="90" spans="14:14" x14ac:dyDescent="0.25">
      <c r="N90" s="60"/>
    </row>
    <row r="91" spans="14:14" x14ac:dyDescent="0.25">
      <c r="N91" s="60"/>
    </row>
    <row r="92" spans="14:14" x14ac:dyDescent="0.25">
      <c r="N92" s="60"/>
    </row>
    <row r="93" spans="14:14" x14ac:dyDescent="0.25">
      <c r="N93" s="60"/>
    </row>
    <row r="94" spans="14:14" x14ac:dyDescent="0.25">
      <c r="N94" s="60"/>
    </row>
    <row r="95" spans="14:14" x14ac:dyDescent="0.25">
      <c r="N95" s="60"/>
    </row>
    <row r="96" spans="14:14" x14ac:dyDescent="0.25">
      <c r="N96" s="60"/>
    </row>
    <row r="97" spans="14:14" x14ac:dyDescent="0.25">
      <c r="N97" s="60"/>
    </row>
    <row r="98" spans="14:14" x14ac:dyDescent="0.25">
      <c r="N98" s="60"/>
    </row>
    <row r="99" spans="14:14" x14ac:dyDescent="0.25">
      <c r="N99" s="60"/>
    </row>
    <row r="100" spans="14:14" x14ac:dyDescent="0.25">
      <c r="N100" s="63"/>
    </row>
    <row r="101" spans="14:14" x14ac:dyDescent="0.25">
      <c r="N101" s="64"/>
    </row>
    <row r="102" spans="14:14" x14ac:dyDescent="0.25">
      <c r="N102" s="65"/>
    </row>
    <row r="103" spans="14:14" x14ac:dyDescent="0.25">
      <c r="N103" s="58"/>
    </row>
    <row r="104" spans="14:14" x14ac:dyDescent="0.25">
      <c r="N104" s="58"/>
    </row>
    <row r="105" spans="14:14" x14ac:dyDescent="0.25">
      <c r="N105" s="58"/>
    </row>
    <row r="106" spans="14:14" x14ac:dyDescent="0.25">
      <c r="N106" s="58"/>
    </row>
    <row r="107" spans="14:14" x14ac:dyDescent="0.25">
      <c r="N107" s="58"/>
    </row>
    <row r="108" spans="14:14" x14ac:dyDescent="0.25">
      <c r="N108" s="58"/>
    </row>
    <row r="109" spans="14:14" x14ac:dyDescent="0.25">
      <c r="N109" s="58"/>
    </row>
    <row r="110" spans="14:14" x14ac:dyDescent="0.25">
      <c r="N110" s="58"/>
    </row>
    <row r="111" spans="14:14" x14ac:dyDescent="0.25">
      <c r="N111" s="58"/>
    </row>
    <row r="112" spans="14:14" x14ac:dyDescent="0.25">
      <c r="N112" s="58"/>
    </row>
    <row r="113" spans="14:14" x14ac:dyDescent="0.25">
      <c r="N113" s="58"/>
    </row>
    <row r="114" spans="14:14" x14ac:dyDescent="0.25">
      <c r="N114" s="58"/>
    </row>
    <row r="115" spans="14:14" x14ac:dyDescent="0.25">
      <c r="N115" s="58"/>
    </row>
    <row r="116" spans="14:14" x14ac:dyDescent="0.25">
      <c r="N116" s="58"/>
    </row>
    <row r="117" spans="14:14" x14ac:dyDescent="0.25">
      <c r="N117" s="58"/>
    </row>
    <row r="118" spans="14:14" x14ac:dyDescent="0.25">
      <c r="N118" s="58"/>
    </row>
    <row r="119" spans="14:14" x14ac:dyDescent="0.25">
      <c r="N119" s="58"/>
    </row>
    <row r="120" spans="14:14" x14ac:dyDescent="0.25">
      <c r="N120" s="58"/>
    </row>
    <row r="121" spans="14:14" x14ac:dyDescent="0.25">
      <c r="N121" s="58"/>
    </row>
    <row r="122" spans="14:14" x14ac:dyDescent="0.25">
      <c r="N122" s="58"/>
    </row>
    <row r="123" spans="14:14" x14ac:dyDescent="0.25">
      <c r="N123" s="58"/>
    </row>
    <row r="124" spans="14:14" x14ac:dyDescent="0.25">
      <c r="N124" s="58"/>
    </row>
    <row r="125" spans="14:14" x14ac:dyDescent="0.25">
      <c r="N125" s="58"/>
    </row>
    <row r="126" spans="14:14" x14ac:dyDescent="0.25">
      <c r="N126" s="58"/>
    </row>
    <row r="127" spans="14:14" x14ac:dyDescent="0.25">
      <c r="N127" s="58"/>
    </row>
    <row r="128" spans="14:14" x14ac:dyDescent="0.25">
      <c r="N128" s="58"/>
    </row>
    <row r="129" spans="14:14" x14ac:dyDescent="0.25">
      <c r="N129" s="58"/>
    </row>
    <row r="130" spans="14:14" x14ac:dyDescent="0.25">
      <c r="N130" s="58"/>
    </row>
    <row r="131" spans="14:14" x14ac:dyDescent="0.25">
      <c r="N131" s="58"/>
    </row>
    <row r="132" spans="14:14" x14ac:dyDescent="0.25">
      <c r="N132" s="58"/>
    </row>
    <row r="133" spans="14:14" x14ac:dyDescent="0.25">
      <c r="N133" s="58"/>
    </row>
    <row r="134" spans="14:14" x14ac:dyDescent="0.25">
      <c r="N134" s="58"/>
    </row>
    <row r="135" spans="14:14" x14ac:dyDescent="0.25">
      <c r="N135" s="58"/>
    </row>
    <row r="136" spans="14:14" x14ac:dyDescent="0.25">
      <c r="N136" s="58"/>
    </row>
    <row r="137" spans="14:14" x14ac:dyDescent="0.25">
      <c r="N137" s="58"/>
    </row>
    <row r="138" spans="14:14" x14ac:dyDescent="0.25">
      <c r="N138" s="58"/>
    </row>
    <row r="139" spans="14:14" x14ac:dyDescent="0.25">
      <c r="N139" s="58"/>
    </row>
    <row r="140" spans="14:14" x14ac:dyDescent="0.25">
      <c r="N140" s="58"/>
    </row>
    <row r="141" spans="14:14" x14ac:dyDescent="0.25">
      <c r="N141" s="58"/>
    </row>
    <row r="142" spans="14:14" x14ac:dyDescent="0.25">
      <c r="N142" s="58"/>
    </row>
    <row r="143" spans="14:14" x14ac:dyDescent="0.25">
      <c r="N143" s="58"/>
    </row>
    <row r="144" spans="14:14" x14ac:dyDescent="0.25">
      <c r="N144" s="58"/>
    </row>
    <row r="145" spans="14:14" x14ac:dyDescent="0.25">
      <c r="N145" s="58"/>
    </row>
    <row r="146" spans="14:14" x14ac:dyDescent="0.25">
      <c r="N146" s="58"/>
    </row>
    <row r="147" spans="14:14" x14ac:dyDescent="0.25">
      <c r="N147" s="58"/>
    </row>
    <row r="148" spans="14:14" x14ac:dyDescent="0.25">
      <c r="N148" s="58"/>
    </row>
    <row r="149" spans="14:14" x14ac:dyDescent="0.25">
      <c r="N149" s="58"/>
    </row>
    <row r="150" spans="14:14" x14ac:dyDescent="0.25">
      <c r="N150" s="58"/>
    </row>
    <row r="151" spans="14:14" x14ac:dyDescent="0.25">
      <c r="N151" s="58"/>
    </row>
    <row r="152" spans="14:14" x14ac:dyDescent="0.25">
      <c r="N152" s="58"/>
    </row>
    <row r="153" spans="14:14" x14ac:dyDescent="0.25">
      <c r="N153" s="58"/>
    </row>
    <row r="154" spans="14:14" x14ac:dyDescent="0.25">
      <c r="N154" s="58"/>
    </row>
    <row r="155" spans="14:14" x14ac:dyDescent="0.25">
      <c r="N155" s="58"/>
    </row>
    <row r="156" spans="14:14" x14ac:dyDescent="0.25">
      <c r="N156" s="58"/>
    </row>
    <row r="157" spans="14:14" x14ac:dyDescent="0.25">
      <c r="N157" s="58"/>
    </row>
    <row r="158" spans="14:14" x14ac:dyDescent="0.25">
      <c r="N158" s="58"/>
    </row>
    <row r="159" spans="14:14" x14ac:dyDescent="0.25">
      <c r="N159" s="58"/>
    </row>
    <row r="160" spans="14:14" x14ac:dyDescent="0.25">
      <c r="N160" s="58"/>
    </row>
    <row r="161" spans="14:14" x14ac:dyDescent="0.25">
      <c r="N161" s="58"/>
    </row>
    <row r="162" spans="14:14" x14ac:dyDescent="0.25">
      <c r="N162" s="58"/>
    </row>
    <row r="163" spans="14:14" x14ac:dyDescent="0.25">
      <c r="N163" s="58"/>
    </row>
    <row r="164" spans="14:14" x14ac:dyDescent="0.25">
      <c r="N164" s="58"/>
    </row>
    <row r="165" spans="14:14" x14ac:dyDescent="0.25">
      <c r="N165" s="58"/>
    </row>
    <row r="166" spans="14:14" x14ac:dyDescent="0.25">
      <c r="N166" s="58"/>
    </row>
    <row r="167" spans="14:14" x14ac:dyDescent="0.25">
      <c r="N167" s="58"/>
    </row>
    <row r="168" spans="14:14" x14ac:dyDescent="0.25">
      <c r="N168" s="58"/>
    </row>
    <row r="169" spans="14:14" x14ac:dyDescent="0.25">
      <c r="N169" s="58"/>
    </row>
    <row r="170" spans="14:14" x14ac:dyDescent="0.25">
      <c r="N170" s="58"/>
    </row>
    <row r="171" spans="14:14" x14ac:dyDescent="0.25">
      <c r="N171" s="58"/>
    </row>
    <row r="172" spans="14:14" x14ac:dyDescent="0.25">
      <c r="N172" s="58"/>
    </row>
    <row r="173" spans="14:14" x14ac:dyDescent="0.25">
      <c r="N173" s="58"/>
    </row>
    <row r="174" spans="14:14" x14ac:dyDescent="0.25">
      <c r="N174" s="58"/>
    </row>
    <row r="175" spans="14:14" x14ac:dyDescent="0.25">
      <c r="N175" s="58"/>
    </row>
    <row r="176" spans="14:14" x14ac:dyDescent="0.25">
      <c r="N176" s="58"/>
    </row>
    <row r="177" spans="14:14" x14ac:dyDescent="0.25">
      <c r="N177" s="58"/>
    </row>
    <row r="178" spans="14:14" x14ac:dyDescent="0.25">
      <c r="N178" s="58"/>
    </row>
    <row r="179" spans="14:14" x14ac:dyDescent="0.25">
      <c r="N179" s="58"/>
    </row>
    <row r="180" spans="14:14" x14ac:dyDescent="0.25">
      <c r="N180" s="58"/>
    </row>
    <row r="181" spans="14:14" x14ac:dyDescent="0.25">
      <c r="N181" s="58"/>
    </row>
    <row r="182" spans="14:14" x14ac:dyDescent="0.25">
      <c r="N182" s="58"/>
    </row>
    <row r="183" spans="14:14" x14ac:dyDescent="0.25">
      <c r="N183" s="58"/>
    </row>
    <row r="184" spans="14:14" x14ac:dyDescent="0.25">
      <c r="N184" s="58"/>
    </row>
    <row r="185" spans="14:14" x14ac:dyDescent="0.25">
      <c r="N185" s="58"/>
    </row>
    <row r="186" spans="14:14" x14ac:dyDescent="0.25">
      <c r="N186" s="58"/>
    </row>
    <row r="187" spans="14:14" x14ac:dyDescent="0.25">
      <c r="N187" s="58"/>
    </row>
    <row r="188" spans="14:14" x14ac:dyDescent="0.25">
      <c r="N188" s="58"/>
    </row>
    <row r="189" spans="14:14" x14ac:dyDescent="0.25">
      <c r="N189" s="58"/>
    </row>
    <row r="190" spans="14:14" x14ac:dyDescent="0.25">
      <c r="N190" s="58"/>
    </row>
    <row r="191" spans="14:14" x14ac:dyDescent="0.25">
      <c r="N191" s="58"/>
    </row>
    <row r="192" spans="14:14" x14ac:dyDescent="0.25">
      <c r="N192" s="58"/>
    </row>
    <row r="193" spans="14:14" x14ac:dyDescent="0.25">
      <c r="N193" s="58"/>
    </row>
    <row r="194" spans="14:14" x14ac:dyDescent="0.25">
      <c r="N194" s="58"/>
    </row>
    <row r="195" spans="14:14" x14ac:dyDescent="0.25">
      <c r="N195" s="58"/>
    </row>
    <row r="196" spans="14:14" x14ac:dyDescent="0.25">
      <c r="N196" s="58"/>
    </row>
    <row r="197" spans="14:14" x14ac:dyDescent="0.25">
      <c r="N197" s="58"/>
    </row>
    <row r="198" spans="14:14" x14ac:dyDescent="0.25">
      <c r="N198" s="58"/>
    </row>
    <row r="199" spans="14:14" x14ac:dyDescent="0.25">
      <c r="N199" s="58"/>
    </row>
    <row r="200" spans="14:14" x14ac:dyDescent="0.25">
      <c r="N200" s="58"/>
    </row>
    <row r="201" spans="14:14" x14ac:dyDescent="0.25">
      <c r="N201" s="58"/>
    </row>
    <row r="202" spans="14:14" x14ac:dyDescent="0.25">
      <c r="N202" s="58"/>
    </row>
    <row r="203" spans="14:14" x14ac:dyDescent="0.25">
      <c r="N203" s="58"/>
    </row>
    <row r="204" spans="14:14" x14ac:dyDescent="0.25">
      <c r="N204" s="58"/>
    </row>
    <row r="205" spans="14:14" x14ac:dyDescent="0.25">
      <c r="N205" s="58"/>
    </row>
    <row r="206" spans="14:14" x14ac:dyDescent="0.25">
      <c r="N206" s="58"/>
    </row>
    <row r="207" spans="14:14" x14ac:dyDescent="0.25">
      <c r="N207" s="58"/>
    </row>
    <row r="208" spans="14:14" x14ac:dyDescent="0.25">
      <c r="N208" s="58"/>
    </row>
    <row r="209" spans="14:14" x14ac:dyDescent="0.25">
      <c r="N209" s="58"/>
    </row>
    <row r="210" spans="14:14" x14ac:dyDescent="0.25">
      <c r="N210" s="58"/>
    </row>
    <row r="211" spans="14:14" x14ac:dyDescent="0.25">
      <c r="N211" s="58"/>
    </row>
    <row r="212" spans="14:14" x14ac:dyDescent="0.25">
      <c r="N212" s="58"/>
    </row>
    <row r="213" spans="14:14" x14ac:dyDescent="0.25">
      <c r="N213" s="58"/>
    </row>
    <row r="214" spans="14:14" x14ac:dyDescent="0.25">
      <c r="N214" s="58"/>
    </row>
    <row r="215" spans="14:14" x14ac:dyDescent="0.25">
      <c r="N215" s="58"/>
    </row>
    <row r="216" spans="14:14" x14ac:dyDescent="0.25">
      <c r="N216" s="58"/>
    </row>
    <row r="217" spans="14:14" x14ac:dyDescent="0.25">
      <c r="N217" s="58"/>
    </row>
    <row r="218" spans="14:14" x14ac:dyDescent="0.25">
      <c r="N218" s="58"/>
    </row>
    <row r="219" spans="14:14" x14ac:dyDescent="0.25">
      <c r="N219" s="58"/>
    </row>
    <row r="220" spans="14:14" x14ac:dyDescent="0.25">
      <c r="N220" s="58"/>
    </row>
    <row r="221" spans="14:14" x14ac:dyDescent="0.25">
      <c r="N221" s="58"/>
    </row>
    <row r="222" spans="14:14" x14ac:dyDescent="0.25">
      <c r="N222" s="58"/>
    </row>
    <row r="223" spans="14:14" x14ac:dyDescent="0.25">
      <c r="N223" s="58"/>
    </row>
    <row r="224" spans="14:14" x14ac:dyDescent="0.25">
      <c r="N224" s="58"/>
    </row>
    <row r="225" spans="14:14" x14ac:dyDescent="0.25">
      <c r="N225" s="58"/>
    </row>
    <row r="226" spans="14:14" x14ac:dyDescent="0.25">
      <c r="N226" s="58"/>
    </row>
    <row r="227" spans="14:14" x14ac:dyDescent="0.25">
      <c r="N227" s="58"/>
    </row>
    <row r="228" spans="14:14" x14ac:dyDescent="0.25">
      <c r="N228" s="58"/>
    </row>
    <row r="229" spans="14:14" x14ac:dyDescent="0.25">
      <c r="N229" s="58"/>
    </row>
    <row r="230" spans="14:14" x14ac:dyDescent="0.25">
      <c r="N230" s="58"/>
    </row>
    <row r="231" spans="14:14" x14ac:dyDescent="0.25">
      <c r="N231" s="58"/>
    </row>
    <row r="232" spans="14:14" x14ac:dyDescent="0.25">
      <c r="N232" s="58"/>
    </row>
    <row r="233" spans="14:14" x14ac:dyDescent="0.25">
      <c r="N233" s="58"/>
    </row>
    <row r="234" spans="14:14" x14ac:dyDescent="0.25">
      <c r="N234" s="58"/>
    </row>
    <row r="235" spans="14:14" x14ac:dyDescent="0.25">
      <c r="N235" s="58"/>
    </row>
    <row r="236" spans="14:14" x14ac:dyDescent="0.25">
      <c r="N236" s="58"/>
    </row>
    <row r="237" spans="14:14" x14ac:dyDescent="0.25">
      <c r="N237" s="58"/>
    </row>
    <row r="238" spans="14:14" x14ac:dyDescent="0.25">
      <c r="N238" s="58"/>
    </row>
    <row r="239" spans="14:14" x14ac:dyDescent="0.25">
      <c r="N239" s="58"/>
    </row>
    <row r="240" spans="14:14" x14ac:dyDescent="0.25">
      <c r="N240" s="58"/>
    </row>
    <row r="241" spans="14:14" x14ac:dyDescent="0.25">
      <c r="N241" s="58"/>
    </row>
    <row r="242" spans="14:14" x14ac:dyDescent="0.25">
      <c r="N242" s="58"/>
    </row>
    <row r="243" spans="14:14" x14ac:dyDescent="0.25">
      <c r="N243" s="58"/>
    </row>
    <row r="244" spans="14:14" x14ac:dyDescent="0.25">
      <c r="N244" s="58"/>
    </row>
    <row r="245" spans="14:14" x14ac:dyDescent="0.25">
      <c r="N245" s="58"/>
    </row>
    <row r="246" spans="14:14" x14ac:dyDescent="0.25">
      <c r="N246" s="58"/>
    </row>
    <row r="247" spans="14:14" x14ac:dyDescent="0.25">
      <c r="N247" s="58"/>
    </row>
    <row r="248" spans="14:14" x14ac:dyDescent="0.25">
      <c r="N248" s="58"/>
    </row>
    <row r="249" spans="14:14" x14ac:dyDescent="0.25">
      <c r="N249" s="58"/>
    </row>
    <row r="250" spans="14:14" x14ac:dyDescent="0.25">
      <c r="N250" s="58"/>
    </row>
    <row r="251" spans="14:14" x14ac:dyDescent="0.25">
      <c r="N251" s="58"/>
    </row>
    <row r="252" spans="14:14" x14ac:dyDescent="0.25">
      <c r="N252" s="58"/>
    </row>
    <row r="253" spans="14:14" x14ac:dyDescent="0.25">
      <c r="N253" s="58"/>
    </row>
    <row r="254" spans="14:14" x14ac:dyDescent="0.25">
      <c r="N254" s="58"/>
    </row>
    <row r="255" spans="14:14" x14ac:dyDescent="0.25">
      <c r="N255" s="58"/>
    </row>
    <row r="256" spans="14:14" x14ac:dyDescent="0.25">
      <c r="N256" s="58"/>
    </row>
    <row r="257" spans="14:14" x14ac:dyDescent="0.25">
      <c r="N257" s="58"/>
    </row>
    <row r="258" spans="14:14" x14ac:dyDescent="0.25">
      <c r="N258" s="58"/>
    </row>
    <row r="259" spans="14:14" x14ac:dyDescent="0.25">
      <c r="N259" s="58"/>
    </row>
    <row r="260" spans="14:14" x14ac:dyDescent="0.25">
      <c r="N260" s="58"/>
    </row>
    <row r="261" spans="14:14" x14ac:dyDescent="0.25">
      <c r="N261" s="58"/>
    </row>
    <row r="262" spans="14:14" x14ac:dyDescent="0.25">
      <c r="N262" s="58"/>
    </row>
    <row r="263" spans="14:14" x14ac:dyDescent="0.25">
      <c r="N263" s="58"/>
    </row>
    <row r="264" spans="14:14" x14ac:dyDescent="0.25">
      <c r="N264" s="58"/>
    </row>
    <row r="265" spans="14:14" x14ac:dyDescent="0.25">
      <c r="N265" s="58"/>
    </row>
    <row r="266" spans="14:14" x14ac:dyDescent="0.25">
      <c r="N266" s="58"/>
    </row>
    <row r="267" spans="14:14" x14ac:dyDescent="0.25">
      <c r="N267" s="58"/>
    </row>
    <row r="268" spans="14:14" x14ac:dyDescent="0.25">
      <c r="N268" s="58"/>
    </row>
    <row r="269" spans="14:14" x14ac:dyDescent="0.25">
      <c r="N269" s="58"/>
    </row>
    <row r="270" spans="14:14" x14ac:dyDescent="0.25">
      <c r="N270" s="58"/>
    </row>
    <row r="271" spans="14:14" x14ac:dyDescent="0.25">
      <c r="N271" s="58"/>
    </row>
    <row r="272" spans="14:14" x14ac:dyDescent="0.25">
      <c r="N272" s="58"/>
    </row>
    <row r="273" spans="14:14" x14ac:dyDescent="0.25">
      <c r="N273" s="58"/>
    </row>
    <row r="274" spans="14:14" x14ac:dyDescent="0.25">
      <c r="N274" s="58"/>
    </row>
    <row r="275" spans="14:14" x14ac:dyDescent="0.25">
      <c r="N275" s="58"/>
    </row>
    <row r="276" spans="14:14" x14ac:dyDescent="0.25">
      <c r="N276" s="58"/>
    </row>
    <row r="277" spans="14:14" x14ac:dyDescent="0.25">
      <c r="N277" s="58"/>
    </row>
    <row r="278" spans="14:14" x14ac:dyDescent="0.25">
      <c r="N278" s="58"/>
    </row>
    <row r="279" spans="14:14" x14ac:dyDescent="0.25">
      <c r="N279" s="58"/>
    </row>
    <row r="280" spans="14:14" x14ac:dyDescent="0.25">
      <c r="N280" s="58"/>
    </row>
    <row r="281" spans="14:14" x14ac:dyDescent="0.25">
      <c r="N281" s="58"/>
    </row>
    <row r="282" spans="14:14" x14ac:dyDescent="0.25">
      <c r="N282" s="58"/>
    </row>
    <row r="283" spans="14:14" x14ac:dyDescent="0.25">
      <c r="N283" s="58"/>
    </row>
    <row r="284" spans="14:14" x14ac:dyDescent="0.25">
      <c r="N284" s="58"/>
    </row>
    <row r="285" spans="14:14" x14ac:dyDescent="0.25">
      <c r="N285" s="58"/>
    </row>
    <row r="286" spans="14:14" x14ac:dyDescent="0.25">
      <c r="N286" s="58"/>
    </row>
    <row r="287" spans="14:14" x14ac:dyDescent="0.25">
      <c r="N287" s="58"/>
    </row>
    <row r="288" spans="14:14" x14ac:dyDescent="0.25">
      <c r="N288" s="58"/>
    </row>
    <row r="289" spans="14:14" x14ac:dyDescent="0.25">
      <c r="N289" s="58"/>
    </row>
    <row r="290" spans="14:14" x14ac:dyDescent="0.25">
      <c r="N290" s="58"/>
    </row>
    <row r="291" spans="14:14" x14ac:dyDescent="0.25">
      <c r="N291" s="58"/>
    </row>
    <row r="292" spans="14:14" x14ac:dyDescent="0.25">
      <c r="N292" s="58"/>
    </row>
    <row r="293" spans="14:14" x14ac:dyDescent="0.25">
      <c r="N293" s="58"/>
    </row>
    <row r="294" spans="14:14" x14ac:dyDescent="0.25">
      <c r="N294" s="58"/>
    </row>
    <row r="295" spans="14:14" x14ac:dyDescent="0.25">
      <c r="N295" s="58"/>
    </row>
    <row r="296" spans="14:14" x14ac:dyDescent="0.25">
      <c r="N296" s="58"/>
    </row>
    <row r="297" spans="14:14" x14ac:dyDescent="0.25">
      <c r="N297" s="58"/>
    </row>
    <row r="298" spans="14:14" x14ac:dyDescent="0.25">
      <c r="N298" s="58"/>
    </row>
    <row r="299" spans="14:14" x14ac:dyDescent="0.25">
      <c r="N299" s="58"/>
    </row>
    <row r="300" spans="14:14" x14ac:dyDescent="0.25">
      <c r="N300" s="58"/>
    </row>
    <row r="301" spans="14:14" x14ac:dyDescent="0.25">
      <c r="N301" s="58"/>
    </row>
    <row r="302" spans="14:14" x14ac:dyDescent="0.25">
      <c r="N302" s="58"/>
    </row>
    <row r="303" spans="14:14" x14ac:dyDescent="0.25">
      <c r="N303" s="58"/>
    </row>
    <row r="304" spans="14:14" x14ac:dyDescent="0.25">
      <c r="N304" s="58"/>
    </row>
    <row r="305" spans="14:14" x14ac:dyDescent="0.25">
      <c r="N305" s="58"/>
    </row>
    <row r="306" spans="14:14" x14ac:dyDescent="0.25">
      <c r="N306" s="58"/>
    </row>
    <row r="307" spans="14:14" x14ac:dyDescent="0.25">
      <c r="N307" s="58"/>
    </row>
    <row r="308" spans="14:14" x14ac:dyDescent="0.25">
      <c r="N308" s="58"/>
    </row>
    <row r="309" spans="14:14" x14ac:dyDescent="0.25">
      <c r="N309" s="58"/>
    </row>
    <row r="310" spans="14:14" x14ac:dyDescent="0.25">
      <c r="N310" s="58"/>
    </row>
    <row r="311" spans="14:14" x14ac:dyDescent="0.25">
      <c r="N311" s="58"/>
    </row>
    <row r="312" spans="14:14" x14ac:dyDescent="0.25">
      <c r="N312" s="58"/>
    </row>
    <row r="313" spans="14:14" x14ac:dyDescent="0.25">
      <c r="N313" s="58"/>
    </row>
    <row r="314" spans="14:14" x14ac:dyDescent="0.25">
      <c r="N314" s="58"/>
    </row>
    <row r="315" spans="14:14" x14ac:dyDescent="0.25">
      <c r="N315" s="58"/>
    </row>
    <row r="316" spans="14:14" x14ac:dyDescent="0.25">
      <c r="N316" s="58"/>
    </row>
    <row r="317" spans="14:14" x14ac:dyDescent="0.25">
      <c r="N317" s="58"/>
    </row>
    <row r="318" spans="14:14" x14ac:dyDescent="0.25">
      <c r="N318" s="58"/>
    </row>
    <row r="319" spans="14:14" x14ac:dyDescent="0.25">
      <c r="N319" s="58"/>
    </row>
    <row r="320" spans="14:14" x14ac:dyDescent="0.25">
      <c r="N320" s="58"/>
    </row>
    <row r="321" spans="14:14" x14ac:dyDescent="0.25">
      <c r="N321" s="58"/>
    </row>
    <row r="322" spans="14:14" x14ac:dyDescent="0.25">
      <c r="N322" s="58"/>
    </row>
  </sheetData>
  <mergeCells count="1">
    <mergeCell ref="P6:Q6"/>
  </mergeCells>
  <phoneticPr fontId="0" type="noConversion"/>
  <pageMargins left="1" right="0.25" top="0.75" bottom="0.49" header="0.5" footer="0.2"/>
  <pageSetup scale="80" orientation="portrait" r:id="rId1"/>
  <headerFooter alignWithMargins="0">
    <oddFooter>&amp;C&amp;12Services&amp;R&amp;12Exhibit 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664"/>
  <sheetViews>
    <sheetView view="pageBreakPreview" zoomScale="75" zoomScaleNormal="100" zoomScaleSheetLayoutView="7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9.109375" defaultRowHeight="13.8" x14ac:dyDescent="0.25"/>
  <cols>
    <col min="1" max="1" width="7.6640625" style="97" customWidth="1"/>
    <col min="2" max="2" width="55.88671875" style="97" customWidth="1"/>
    <col min="3" max="3" width="12.88671875" style="97" customWidth="1"/>
    <col min="4" max="4" width="14.88671875" style="97" customWidth="1"/>
    <col min="5" max="5" width="2.6640625" style="97" customWidth="1"/>
    <col min="6" max="6" width="17.5546875" style="97" customWidth="1"/>
    <col min="7" max="7" width="2.109375" style="97" customWidth="1"/>
    <col min="8" max="10" width="18.6640625" style="97" customWidth="1"/>
    <col min="11" max="13" width="16.5546875" style="97" customWidth="1"/>
    <col min="14" max="14" width="2.6640625" style="97" customWidth="1"/>
    <col min="15" max="15" width="18.6640625" style="97" bestFit="1" customWidth="1"/>
    <col min="16" max="17" width="18.6640625" style="97" hidden="1" customWidth="1"/>
    <col min="18" max="18" width="2.6640625" style="97" customWidth="1"/>
    <col min="19" max="20" width="17.5546875" style="97" customWidth="1"/>
    <col min="21" max="21" width="16.33203125" style="97" customWidth="1"/>
    <col min="22" max="22" width="16.33203125" style="97" bestFit="1" customWidth="1"/>
    <col min="23" max="23" width="16.33203125" style="97" customWidth="1"/>
    <col min="24" max="24" width="16.6640625" style="97" customWidth="1"/>
    <col min="25" max="25" width="16.6640625" style="95" customWidth="1"/>
    <col min="26" max="27" width="16.88671875" style="97" customWidth="1"/>
    <col min="28" max="30" width="17.5546875" style="97" customWidth="1"/>
    <col min="31" max="31" width="1.88671875" style="97" customWidth="1"/>
    <col min="32" max="32" width="17.88671875" style="97" customWidth="1"/>
    <col min="33" max="33" width="1.88671875" style="97" customWidth="1"/>
    <col min="34" max="34" width="15" style="97" customWidth="1"/>
    <col min="35" max="35" width="1.88671875" style="97" customWidth="1"/>
    <col min="36" max="36" width="18.33203125" style="97" bestFit="1" customWidth="1"/>
    <col min="37" max="37" width="18.33203125" style="97" customWidth="1"/>
    <col min="38" max="38" width="14.6640625" style="97" customWidth="1"/>
    <col min="39" max="39" width="14.109375" style="97" customWidth="1"/>
    <col min="40" max="16384" width="9.109375" style="97"/>
  </cols>
  <sheetData>
    <row r="1" spans="1:38" ht="14.4" thickBot="1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</row>
    <row r="2" spans="1:38" ht="48" customHeight="1" thickBot="1" x14ac:dyDescent="0.3">
      <c r="A2" s="24"/>
      <c r="B2" s="24"/>
      <c r="C2" s="39"/>
      <c r="D2" s="7" t="s">
        <v>67</v>
      </c>
      <c r="E2" s="39"/>
      <c r="F2" s="39" t="s">
        <v>68</v>
      </c>
      <c r="G2" s="39"/>
      <c r="H2" s="433" t="s">
        <v>1692</v>
      </c>
      <c r="I2" s="434"/>
      <c r="J2" s="435"/>
      <c r="K2" s="433" t="s">
        <v>1693</v>
      </c>
      <c r="L2" s="434"/>
      <c r="M2" s="435"/>
      <c r="N2" s="86"/>
      <c r="O2" s="88" t="s">
        <v>972</v>
      </c>
      <c r="P2" s="367"/>
      <c r="Q2" s="367"/>
      <c r="R2" s="87"/>
      <c r="S2" s="88" t="s">
        <v>1697</v>
      </c>
      <c r="T2" s="88" t="s">
        <v>1698</v>
      </c>
      <c r="U2" s="433" t="s">
        <v>136</v>
      </c>
      <c r="V2" s="434"/>
      <c r="W2" s="435"/>
      <c r="X2" s="431" t="s">
        <v>135</v>
      </c>
      <c r="Y2" s="432"/>
      <c r="Z2" s="431" t="s">
        <v>137</v>
      </c>
      <c r="AA2" s="432"/>
      <c r="AB2" s="88" t="s">
        <v>134</v>
      </c>
      <c r="AC2" s="88" t="s">
        <v>133</v>
      </c>
      <c r="AD2" s="88" t="s">
        <v>1701</v>
      </c>
      <c r="AE2" s="89"/>
      <c r="AF2" s="88" t="s">
        <v>309</v>
      </c>
      <c r="AG2" s="29"/>
      <c r="AH2" s="88" t="s">
        <v>1700</v>
      </c>
      <c r="AI2" s="29"/>
      <c r="AJ2" s="88" t="s">
        <v>1699</v>
      </c>
      <c r="AK2" s="24"/>
      <c r="AL2" s="24"/>
    </row>
    <row r="3" spans="1:38" ht="14.4" thickBot="1" x14ac:dyDescent="0.3">
      <c r="A3" s="30" t="s">
        <v>105</v>
      </c>
      <c r="B3" s="30"/>
      <c r="C3" s="32" t="s">
        <v>106</v>
      </c>
      <c r="D3" s="32" t="s">
        <v>107</v>
      </c>
      <c r="E3" s="22"/>
      <c r="F3" s="22" t="s">
        <v>108</v>
      </c>
      <c r="G3" s="90"/>
      <c r="H3" s="22" t="s">
        <v>914</v>
      </c>
      <c r="I3" s="22" t="s">
        <v>1694</v>
      </c>
      <c r="J3" s="22" t="s">
        <v>1695</v>
      </c>
      <c r="K3" s="22" t="s">
        <v>914</v>
      </c>
      <c r="L3" s="22" t="s">
        <v>1694</v>
      </c>
      <c r="M3" s="22" t="s">
        <v>1695</v>
      </c>
      <c r="N3" s="22"/>
      <c r="O3" s="189" t="s">
        <v>109</v>
      </c>
      <c r="P3" s="22"/>
      <c r="Q3" s="22"/>
      <c r="R3" s="22"/>
      <c r="S3" s="22" t="s">
        <v>1696</v>
      </c>
      <c r="T3" s="22" t="s">
        <v>1551</v>
      </c>
      <c r="U3" s="22" t="s">
        <v>1696</v>
      </c>
      <c r="V3" s="22" t="s">
        <v>109</v>
      </c>
      <c r="W3" s="22" t="s">
        <v>111</v>
      </c>
      <c r="X3" s="22" t="s">
        <v>109</v>
      </c>
      <c r="Y3" s="22" t="s">
        <v>111</v>
      </c>
      <c r="Z3" s="22" t="s">
        <v>109</v>
      </c>
      <c r="AA3" s="22" t="s">
        <v>111</v>
      </c>
      <c r="AB3" s="22" t="s">
        <v>111</v>
      </c>
      <c r="AC3" s="22"/>
      <c r="AD3" s="22"/>
      <c r="AE3" s="22"/>
      <c r="AF3" s="22"/>
      <c r="AG3" s="22"/>
      <c r="AH3" s="22"/>
      <c r="AI3" s="22"/>
      <c r="AJ3" s="22"/>
      <c r="AK3" s="22" t="s">
        <v>112</v>
      </c>
      <c r="AL3" s="31" t="s">
        <v>113</v>
      </c>
    </row>
    <row r="4" spans="1:38" x14ac:dyDescent="0.25"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1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L4" s="98"/>
    </row>
    <row r="5" spans="1:38" x14ac:dyDescent="0.25">
      <c r="A5" s="92" t="s">
        <v>114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91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L5" s="98"/>
    </row>
    <row r="6" spans="1:38" x14ac:dyDescent="0.25">
      <c r="AL6" s="98"/>
    </row>
    <row r="7" spans="1:38" x14ac:dyDescent="0.25">
      <c r="A7" s="23" t="s">
        <v>462</v>
      </c>
      <c r="AL7" s="98"/>
    </row>
    <row r="8" spans="1:38" x14ac:dyDescent="0.25">
      <c r="A8" s="99">
        <v>301</v>
      </c>
      <c r="B8" s="97" t="s">
        <v>465</v>
      </c>
      <c r="C8" s="97" t="s">
        <v>466</v>
      </c>
      <c r="D8" s="97" t="s">
        <v>493</v>
      </c>
      <c r="F8" s="100">
        <f>'Jurisdictional Study'!F598</f>
        <v>39492.85098471307</v>
      </c>
      <c r="H8" s="101">
        <f>IF(VLOOKUP($D8,$C$5:$AJ$644,6,)=0,0,((VLOOKUP($D8,$C$5:$AJ$644,6,)/VLOOKUP($D8,$C$5:$AJ$644,4,))*$F8))</f>
        <v>8274.618540192243</v>
      </c>
      <c r="I8" s="101">
        <f>IF(VLOOKUP($D8,$C$5:$AJ$644,7,)=0,0,((VLOOKUP($D8,$C$5:$AJ$644,7,)/VLOOKUP($D8,$C$5:$AJ$644,4,))*$F8))</f>
        <v>8668.1866572273411</v>
      </c>
      <c r="J8" s="101">
        <f>IF(VLOOKUP($D8,$C$5:$AJ$644,8,)=0,0,((VLOOKUP($D8,$C$5:$AJ$644,8,)/VLOOKUP($D8,$C$5:$AJ$644,4,))*$F8))</f>
        <v>7125.2202029365963</v>
      </c>
      <c r="K8" s="101">
        <f>IF(VLOOKUP($D8,$C$5:$AJ$644,9,)=0,0,((VLOOKUP($D8,$C$5:$AJ$644,9,)/VLOOKUP($D8,$C$5:$AJ$644,4,))*$F8))</f>
        <v>0</v>
      </c>
      <c r="L8" s="101">
        <f>IF(VLOOKUP($D8,$C$5:$AJ$644,10,)=0,0,((VLOOKUP($D8,$C$5:$AJ$644,10,)/VLOOKUP($D8,$C$5:$AJ$644,4,))*$F8))</f>
        <v>0</v>
      </c>
      <c r="M8" s="101">
        <f>IF(VLOOKUP($D8,$C$5:$AJ$644,11,)=0,0,((VLOOKUP($D8,$C$5:$AJ$644,11,)/VLOOKUP($D8,$C$5:$AJ$644,4,))*$F8))</f>
        <v>0</v>
      </c>
      <c r="N8" s="101"/>
      <c r="O8" s="101">
        <f>IF(VLOOKUP($D8,$C$5:$AJ$644,13,)=0,0,((VLOOKUP($D8,$C$5:$AJ$644,13,)/VLOOKUP($D8,$C$5:$AJ$644,4,))*$F8))</f>
        <v>5202.3740221247626</v>
      </c>
      <c r="P8" s="101">
        <f>IF(VLOOKUP($D8,$C$5:$AJ$644,14,)=0,0,((VLOOKUP($D8,$C$5:$AJ$644,14,)/VLOOKUP($D8,$C$5:$AJ$644,4,))*$F8))</f>
        <v>0</v>
      </c>
      <c r="Q8" s="101">
        <f>IF(VLOOKUP($D8,$C$5:$AJ$644,15,)=0,0,((VLOOKUP($D8,$C$5:$AJ$644,15,)/VLOOKUP($D8,$C$5:$AJ$644,4,))*$F8))</f>
        <v>0</v>
      </c>
      <c r="R8" s="101"/>
      <c r="S8" s="101">
        <f>IF(VLOOKUP($D8,$C$5:$AJ$644,17,)=0,0,((VLOOKUP($D8,$C$5:$AJ$644,17,)/VLOOKUP($D8,$C$5:$AJ$644,4,))*$F8))</f>
        <v>0</v>
      </c>
      <c r="T8" s="101">
        <f>IF(VLOOKUP($D8,$C$5:$AJ$644,18,)=0,0,((VLOOKUP($D8,$C$5:$AJ$644,18,)/VLOOKUP($D8,$C$5:$AJ$644,4,))*$F8))</f>
        <v>1237.6659248631343</v>
      </c>
      <c r="U8" s="101">
        <f>IF(VLOOKUP($D8,$C$5:$AJ$644,19,)=0,0,((VLOOKUP($D8,$C$5:$AJ$644,19,)/VLOOKUP($D8,$C$5:$AJ$644,4,))*$F8))</f>
        <v>0</v>
      </c>
      <c r="V8" s="101">
        <f>IF(VLOOKUP($D8,$C$5:$AJ$644,20,)=0,0,((VLOOKUP($D8,$C$5:$AJ$644,20,)/VLOOKUP($D8,$C$5:$AJ$644,4,))*$F8))</f>
        <v>1348.6745939044813</v>
      </c>
      <c r="W8" s="101">
        <f>IF(VLOOKUP($D8,$C$5:$AJ$644,21,)=0,0,((VLOOKUP($D8,$C$5:$AJ$644,21,)/VLOOKUP($D8,$C$5:$AJ$644,4,))*$F8))</f>
        <v>2500.9956026951163</v>
      </c>
      <c r="X8" s="101">
        <f>IF(VLOOKUP($D8,$C$5:$AJ$644,22,)=0,0,((VLOOKUP($D8,$C$5:$AJ$644,22,)/VLOOKUP($D8,$C$5:$AJ$644,4,))*$F8))</f>
        <v>620.8708352384125</v>
      </c>
      <c r="Y8" s="101">
        <f>IF(VLOOKUP($D8,$C$5:$AJ$644,23,)=0,0,((VLOOKUP($D8,$C$5:$AJ$644,23,)/VLOOKUP($D8,$C$5:$AJ$644,4,))*$F8))</f>
        <v>949.10731990699253</v>
      </c>
      <c r="Z8" s="101">
        <f>IF(VLOOKUP($D8,$C$5:$AJ$644,24,)=0,0,((VLOOKUP($D8,$C$5:$AJ$644,24,)/VLOOKUP($D8,$C$5:$AJ$644,4,))*$F8))</f>
        <v>963.80730072436745</v>
      </c>
      <c r="AA8" s="101">
        <f>IF(VLOOKUP($D8,$C$5:$AJ$644,25,)=0,0,((VLOOKUP($D8,$C$5:$AJ$644,25,)/VLOOKUP($D8,$C$5:$AJ$644,4,))*$F8))</f>
        <v>857.67228149628841</v>
      </c>
      <c r="AB8" s="101">
        <f>IF(VLOOKUP($D8,$C$5:$AJ$644,26,)=0,0,((VLOOKUP($D8,$C$5:$AJ$644,26,)/VLOOKUP($D8,$C$5:$AJ$644,4,))*$F8))</f>
        <v>574.18785813922477</v>
      </c>
      <c r="AC8" s="101">
        <f>IF(VLOOKUP($D8,$C$5:$AJ$644,27,)=0,0,((VLOOKUP($D8,$C$5:$AJ$644,27,)/VLOOKUP($D8,$C$5:$AJ$644,4,))*$F8))</f>
        <v>489.91655511309756</v>
      </c>
      <c r="AD8" s="101">
        <f>IF(VLOOKUP($D8,$C$5:$AJ$644,28,)=0,0,((VLOOKUP($D8,$C$5:$AJ$644,28,)/VLOOKUP($D8,$C$5:$AJ$644,4,))*$F8))</f>
        <v>679.55329015101211</v>
      </c>
      <c r="AE8" s="101"/>
      <c r="AF8" s="101">
        <f>IF(VLOOKUP($D8,$C$5:$AJ$644,30,)=0,0,((VLOOKUP($D8,$C$5:$AJ$644,30,)/VLOOKUP($D8,$C$5:$AJ$644,4,))*$F8))</f>
        <v>0</v>
      </c>
      <c r="AG8" s="101"/>
      <c r="AH8" s="101">
        <f>IF(VLOOKUP($D8,$C$5:$AJ$644,32,)=0,0,((VLOOKUP($D8,$C$5:$AJ$644,32,)/VLOOKUP($D8,$C$5:$AJ$644,4,))*$F8))</f>
        <v>0</v>
      </c>
      <c r="AI8" s="101"/>
      <c r="AJ8" s="101">
        <f>IF(VLOOKUP($D8,$C$5:$AJ$644,34,)=0,0,((VLOOKUP($D8,$C$5:$AJ$644,34,)/VLOOKUP($D8,$C$5:$AJ$644,4,))*$F8))</f>
        <v>0</v>
      </c>
      <c r="AK8" s="101">
        <f>SUM(H8:AJ8)</f>
        <v>39492.850984713063</v>
      </c>
      <c r="AL8" s="98" t="str">
        <f>IF(ABS(AK8-F8)&lt;1,"ok","err")</f>
        <v>ok</v>
      </c>
    </row>
    <row r="9" spans="1:38" x14ac:dyDescent="0.25">
      <c r="A9" s="99">
        <v>302</v>
      </c>
      <c r="B9" s="97" t="s">
        <v>464</v>
      </c>
      <c r="C9" s="97" t="s">
        <v>466</v>
      </c>
      <c r="D9" s="97" t="s">
        <v>493</v>
      </c>
      <c r="F9" s="101">
        <f>'Jurisdictional Study'!F599</f>
        <v>55918.829999999994</v>
      </c>
      <c r="H9" s="101">
        <f>IF(VLOOKUP($D9,$C$5:$AJ$644,6,)=0,0,((VLOOKUP($D9,$C$5:$AJ$644,6,)/VLOOKUP($D9,$C$5:$AJ$644,4,))*$F9))</f>
        <v>11716.221440760588</v>
      </c>
      <c r="I9" s="101">
        <f>IF(VLOOKUP($D9,$C$5:$AJ$644,7,)=0,0,((VLOOKUP($D9,$C$5:$AJ$644,7,)/VLOOKUP($D9,$C$5:$AJ$644,4,))*$F9))</f>
        <v>12273.48352949722</v>
      </c>
      <c r="J9" s="101">
        <f>IF(VLOOKUP($D9,$C$5:$AJ$644,8,)=0,0,((VLOOKUP($D9,$C$5:$AJ$644,8,)/VLOOKUP($D9,$C$5:$AJ$644,4,))*$F9))</f>
        <v>10088.762074806988</v>
      </c>
      <c r="K9" s="101">
        <f>IF(VLOOKUP($D9,$C$5:$AJ$644,9,)=0,0,((VLOOKUP($D9,$C$5:$AJ$644,9,)/VLOOKUP($D9,$C$5:$AJ$644,4,))*$F9))</f>
        <v>0</v>
      </c>
      <c r="L9" s="101">
        <f>IF(VLOOKUP($D9,$C$5:$AJ$644,10,)=0,0,((VLOOKUP($D9,$C$5:$AJ$644,10,)/VLOOKUP($D9,$C$5:$AJ$644,4,))*$F9))</f>
        <v>0</v>
      </c>
      <c r="M9" s="101">
        <f>IF(VLOOKUP($D9,$C$5:$AJ$644,11,)=0,0,((VLOOKUP($D9,$C$5:$AJ$644,11,)/VLOOKUP($D9,$C$5:$AJ$644,4,))*$F9))</f>
        <v>0</v>
      </c>
      <c r="N9" s="101"/>
      <c r="O9" s="101">
        <f>IF(VLOOKUP($D9,$C$5:$AJ$644,13,)=0,0,((VLOOKUP($D9,$C$5:$AJ$644,13,)/VLOOKUP($D9,$C$5:$AJ$644,4,))*$F9))</f>
        <v>7366.1602362467265</v>
      </c>
      <c r="P9" s="101">
        <f>IF(VLOOKUP($D9,$C$5:$AJ$644,14,)=0,0,((VLOOKUP($D9,$C$5:$AJ$644,14,)/VLOOKUP($D9,$C$5:$AJ$644,4,))*$F9))</f>
        <v>0</v>
      </c>
      <c r="Q9" s="101">
        <f>IF(VLOOKUP($D9,$C$5:$AJ$644,15,)=0,0,((VLOOKUP($D9,$C$5:$AJ$644,15,)/VLOOKUP($D9,$C$5:$AJ$644,4,))*$F9))</f>
        <v>0</v>
      </c>
      <c r="R9" s="101"/>
      <c r="S9" s="101">
        <f>IF(VLOOKUP($D9,$C$5:$AJ$644,17,)=0,0,((VLOOKUP($D9,$C$5:$AJ$644,17,)/VLOOKUP($D9,$C$5:$AJ$644,4,))*$F9))</f>
        <v>0</v>
      </c>
      <c r="T9" s="101">
        <f>IF(VLOOKUP($D9,$C$5:$AJ$644,18,)=0,0,((VLOOKUP($D9,$C$5:$AJ$644,18,)/VLOOKUP($D9,$C$5:$AJ$644,4,))*$F9))</f>
        <v>1752.4394598912038</v>
      </c>
      <c r="U9" s="101">
        <f>IF(VLOOKUP($D9,$C$5:$AJ$644,19,)=0,0,((VLOOKUP($D9,$C$5:$AJ$644,19,)/VLOOKUP($D9,$C$5:$AJ$644,4,))*$F9))</f>
        <v>0</v>
      </c>
      <c r="V9" s="101">
        <f>IF(VLOOKUP($D9,$C$5:$AJ$644,20,)=0,0,((VLOOKUP($D9,$C$5:$AJ$644,20,)/VLOOKUP($D9,$C$5:$AJ$644,4,))*$F9))</f>
        <v>1909.6191705951019</v>
      </c>
      <c r="W9" s="101">
        <f>IF(VLOOKUP($D9,$C$5:$AJ$644,21,)=0,0,((VLOOKUP($D9,$C$5:$AJ$644,21,)/VLOOKUP($D9,$C$5:$AJ$644,4,))*$F9))</f>
        <v>3541.2168139491896</v>
      </c>
      <c r="X9" s="101">
        <f>IF(VLOOKUP($D9,$C$5:$AJ$644,22,)=0,0,((VLOOKUP($D9,$C$5:$AJ$644,22,)/VLOOKUP($D9,$C$5:$AJ$644,4,))*$F9))</f>
        <v>879.10520061196928</v>
      </c>
      <c r="Y9" s="101">
        <f>IF(VLOOKUP($D9,$C$5:$AJ$644,23,)=0,0,((VLOOKUP($D9,$C$5:$AJ$644,23,)/VLOOKUP($D9,$C$5:$AJ$644,4,))*$F9))</f>
        <v>1343.8627384530496</v>
      </c>
      <c r="Z9" s="101">
        <f>IF(VLOOKUP($D9,$C$5:$AJ$644,24,)=0,0,((VLOOKUP($D9,$C$5:$AJ$644,24,)/VLOOKUP($D9,$C$5:$AJ$644,4,))*$F9))</f>
        <v>1364.6767771419311</v>
      </c>
      <c r="AA9" s="101">
        <f>IF(VLOOKUP($D9,$C$5:$AJ$644,25,)=0,0,((VLOOKUP($D9,$C$5:$AJ$644,25,)/VLOOKUP($D9,$C$5:$AJ$644,4,))*$F9))</f>
        <v>1214.3977785566178</v>
      </c>
      <c r="AB9" s="101">
        <f>IF(VLOOKUP($D9,$C$5:$AJ$644,26,)=0,0,((VLOOKUP($D9,$C$5:$AJ$644,26,)/VLOOKUP($D9,$C$5:$AJ$644,4,))*$F9))</f>
        <v>813.00570677411429</v>
      </c>
      <c r="AC9" s="101">
        <f>IF(VLOOKUP($D9,$C$5:$AJ$644,27,)=0,0,((VLOOKUP($D9,$C$5:$AJ$644,27,)/VLOOKUP($D9,$C$5:$AJ$644,4,))*$F9))</f>
        <v>693.68404347812793</v>
      </c>
      <c r="AD9" s="101">
        <f>IF(VLOOKUP($D9,$C$5:$AJ$644,28,)=0,0,((VLOOKUP($D9,$C$5:$AJ$644,28,)/VLOOKUP($D9,$C$5:$AJ$644,4,))*$F9))</f>
        <v>962.19502923716811</v>
      </c>
      <c r="AE9" s="101"/>
      <c r="AF9" s="101">
        <f>IF(VLOOKUP($D9,$C$5:$AJ$644,30,)=0,0,((VLOOKUP($D9,$C$5:$AJ$644,30,)/VLOOKUP($D9,$C$5:$AJ$644,4,))*$F9))</f>
        <v>0</v>
      </c>
      <c r="AG9" s="101"/>
      <c r="AH9" s="101">
        <f>IF(VLOOKUP($D9,$C$5:$AJ$644,32,)=0,0,((VLOOKUP($D9,$C$5:$AJ$644,32,)/VLOOKUP($D9,$C$5:$AJ$644,4,))*$F9))</f>
        <v>0</v>
      </c>
      <c r="AI9" s="101"/>
      <c r="AJ9" s="101">
        <f>IF(VLOOKUP($D9,$C$5:$AJ$644,34,)=0,0,((VLOOKUP($D9,$C$5:$AJ$644,34,)/VLOOKUP($D9,$C$5:$AJ$644,4,))*$F9))</f>
        <v>0</v>
      </c>
      <c r="AK9" s="101">
        <f>SUM(H9:AJ9)</f>
        <v>55918.829999999994</v>
      </c>
      <c r="AL9" s="98" t="str">
        <f>IF(ABS(AK9-F9)&lt;1,"ok","err")</f>
        <v>ok</v>
      </c>
    </row>
    <row r="10" spans="1:38" x14ac:dyDescent="0.25">
      <c r="A10" s="99">
        <v>303</v>
      </c>
      <c r="B10" s="97" t="s">
        <v>1644</v>
      </c>
      <c r="C10" s="97" t="s">
        <v>467</v>
      </c>
      <c r="D10" s="97" t="s">
        <v>493</v>
      </c>
      <c r="F10" s="101">
        <f>'Jurisdictional Study'!F600</f>
        <v>102982045.18696477</v>
      </c>
      <c r="H10" s="101">
        <f>IF(VLOOKUP($D10,$C$5:$AJ$644,6,)=0,0,((VLOOKUP($D10,$C$5:$AJ$644,6,)/VLOOKUP($D10,$C$5:$AJ$644,4,))*$F10))</f>
        <v>21576997.334044583</v>
      </c>
      <c r="I10" s="101">
        <f>IF(VLOOKUP($D10,$C$5:$AJ$644,7,)=0,0,((VLOOKUP($D10,$C$5:$AJ$644,7,)/VLOOKUP($D10,$C$5:$AJ$644,4,))*$F10))</f>
        <v>22603270.40884351</v>
      </c>
      <c r="J10" s="101">
        <f>IF(VLOOKUP($D10,$C$5:$AJ$644,8,)=0,0,((VLOOKUP($D10,$C$5:$AJ$644,8,)/VLOOKUP($D10,$C$5:$AJ$644,4,))*$F10))</f>
        <v>18579812.057375122</v>
      </c>
      <c r="K10" s="101">
        <f>IF(VLOOKUP($D10,$C$5:$AJ$644,9,)=0,0,((VLOOKUP($D10,$C$5:$AJ$644,9,)/VLOOKUP($D10,$C$5:$AJ$644,4,))*$F10))</f>
        <v>0</v>
      </c>
      <c r="L10" s="101">
        <f>IF(VLOOKUP($D10,$C$5:$AJ$644,10,)=0,0,((VLOOKUP($D10,$C$5:$AJ$644,10,)/VLOOKUP($D10,$C$5:$AJ$644,4,))*$F10))</f>
        <v>0</v>
      </c>
      <c r="M10" s="101">
        <f>IF(VLOOKUP($D10,$C$5:$AJ$644,11,)=0,0,((VLOOKUP($D10,$C$5:$AJ$644,11,)/VLOOKUP($D10,$C$5:$AJ$644,4,))*$F10))</f>
        <v>0</v>
      </c>
      <c r="N10" s="101"/>
      <c r="O10" s="101">
        <f>IF(VLOOKUP($D10,$C$5:$AJ$644,13,)=0,0,((VLOOKUP($D10,$C$5:$AJ$644,13,)/VLOOKUP($D10,$C$5:$AJ$644,4,))*$F10))</f>
        <v>13565774.646994287</v>
      </c>
      <c r="P10" s="101">
        <f>IF(VLOOKUP($D10,$C$5:$AJ$644,14,)=0,0,((VLOOKUP($D10,$C$5:$AJ$644,14,)/VLOOKUP($D10,$C$5:$AJ$644,4,))*$F10))</f>
        <v>0</v>
      </c>
      <c r="Q10" s="101">
        <f>IF(VLOOKUP($D10,$C$5:$AJ$644,15,)=0,0,((VLOOKUP($D10,$C$5:$AJ$644,15,)/VLOOKUP($D10,$C$5:$AJ$644,4,))*$F10))</f>
        <v>0</v>
      </c>
      <c r="R10" s="101"/>
      <c r="S10" s="101">
        <f>IF(VLOOKUP($D10,$C$5:$AJ$644,17,)=0,0,((VLOOKUP($D10,$C$5:$AJ$644,17,)/VLOOKUP($D10,$C$5:$AJ$644,4,))*$F10))</f>
        <v>0</v>
      </c>
      <c r="T10" s="101">
        <f>IF(VLOOKUP($D10,$C$5:$AJ$644,18,)=0,0,((VLOOKUP($D10,$C$5:$AJ$644,18,)/VLOOKUP($D10,$C$5:$AJ$644,4,))*$F10))</f>
        <v>3227352.926481761</v>
      </c>
      <c r="U10" s="101">
        <f>IF(VLOOKUP($D10,$C$5:$AJ$644,19,)=0,0,((VLOOKUP($D10,$C$5:$AJ$644,19,)/VLOOKUP($D10,$C$5:$AJ$644,4,))*$F10))</f>
        <v>0</v>
      </c>
      <c r="V10" s="101">
        <f>IF(VLOOKUP($D10,$C$5:$AJ$644,20,)=0,0,((VLOOKUP($D10,$C$5:$AJ$644,20,)/VLOOKUP($D10,$C$5:$AJ$644,4,))*$F10))</f>
        <v>3516820.5006456496</v>
      </c>
      <c r="W10" s="101">
        <f>IF(VLOOKUP($D10,$C$5:$AJ$644,21,)=0,0,((VLOOKUP($D10,$C$5:$AJ$644,21,)/VLOOKUP($D10,$C$5:$AJ$644,4,))*$F10))</f>
        <v>6521626.9716472048</v>
      </c>
      <c r="X10" s="101">
        <f>IF(VLOOKUP($D10,$C$5:$AJ$644,22,)=0,0,((VLOOKUP($D10,$C$5:$AJ$644,22,)/VLOOKUP($D10,$C$5:$AJ$644,4,))*$F10))</f>
        <v>1618990.4454996209</v>
      </c>
      <c r="Y10" s="101">
        <f>IF(VLOOKUP($D10,$C$5:$AJ$644,23,)=0,0,((VLOOKUP($D10,$C$5:$AJ$644,23,)/VLOOKUP($D10,$C$5:$AJ$644,4,))*$F10))</f>
        <v>2474903.9501801128</v>
      </c>
      <c r="Z10" s="101">
        <f>IF(VLOOKUP($D10,$C$5:$AJ$644,24,)=0,0,((VLOOKUP($D10,$C$5:$AJ$644,24,)/VLOOKUP($D10,$C$5:$AJ$644,4,))*$F10))</f>
        <v>2513235.8014148688</v>
      </c>
      <c r="AA10" s="101">
        <f>IF(VLOOKUP($D10,$C$5:$AJ$644,25,)=0,0,((VLOOKUP($D10,$C$5:$AJ$644,25,)/VLOOKUP($D10,$C$5:$AJ$644,4,))*$F10))</f>
        <v>2236476.8165976875</v>
      </c>
      <c r="AB10" s="101">
        <f>IF(VLOOKUP($D10,$C$5:$AJ$644,26,)=0,0,((VLOOKUP($D10,$C$5:$AJ$644,26,)/VLOOKUP($D10,$C$5:$AJ$644,4,))*$F10))</f>
        <v>1497259.338800044</v>
      </c>
      <c r="AC10" s="101">
        <f>IF(VLOOKUP($D10,$C$5:$AJ$644,27,)=0,0,((VLOOKUP($D10,$C$5:$AJ$644,27,)/VLOOKUP($D10,$C$5:$AJ$644,4,))*$F10))</f>
        <v>1277512.4499375436</v>
      </c>
      <c r="AD10" s="101">
        <f>IF(VLOOKUP($D10,$C$5:$AJ$644,28,)=0,0,((VLOOKUP($D10,$C$5:$AJ$644,28,)/VLOOKUP($D10,$C$5:$AJ$644,4,))*$F10))</f>
        <v>1772011.5385027716</v>
      </c>
      <c r="AE10" s="101"/>
      <c r="AF10" s="101">
        <f>IF(VLOOKUP($D10,$C$5:$AJ$644,30,)=0,0,((VLOOKUP($D10,$C$5:$AJ$644,30,)/VLOOKUP($D10,$C$5:$AJ$644,4,))*$F10))</f>
        <v>0</v>
      </c>
      <c r="AG10" s="101"/>
      <c r="AH10" s="101">
        <f>IF(VLOOKUP($D10,$C$5:$AJ$644,32,)=0,0,((VLOOKUP($D10,$C$5:$AJ$644,32,)/VLOOKUP($D10,$C$5:$AJ$644,4,))*$F10))</f>
        <v>0</v>
      </c>
      <c r="AI10" s="101"/>
      <c r="AJ10" s="101">
        <f>IF(VLOOKUP($D10,$C$5:$AJ$644,34,)=0,0,((VLOOKUP($D10,$C$5:$AJ$644,34,)/VLOOKUP($D10,$C$5:$AJ$644,4,))*$F10))</f>
        <v>0</v>
      </c>
      <c r="AK10" s="101">
        <f>SUM(H10:AJ10)</f>
        <v>102982045.18696475</v>
      </c>
      <c r="AL10" s="98" t="str">
        <f>IF(ABS(AK10-F10)&lt;1,"ok","err")</f>
        <v>ok</v>
      </c>
    </row>
    <row r="11" spans="1:38" x14ac:dyDescent="0.25">
      <c r="AL11" s="98"/>
    </row>
    <row r="12" spans="1:38" x14ac:dyDescent="0.25">
      <c r="B12" s="97" t="s">
        <v>116</v>
      </c>
      <c r="C12" s="97" t="s">
        <v>117</v>
      </c>
      <c r="F12" s="102">
        <f t="shared" ref="F12:M12" si="0">SUM(F8:F10)</f>
        <v>103077456.86794947</v>
      </c>
      <c r="G12" s="102">
        <f t="shared" si="0"/>
        <v>0</v>
      </c>
      <c r="H12" s="102">
        <f t="shared" si="0"/>
        <v>21596988.174025536</v>
      </c>
      <c r="I12" s="102">
        <f t="shared" si="0"/>
        <v>22624212.079030234</v>
      </c>
      <c r="J12" s="102">
        <f t="shared" si="0"/>
        <v>18597026.039652865</v>
      </c>
      <c r="K12" s="102">
        <f t="shared" si="0"/>
        <v>0</v>
      </c>
      <c r="L12" s="102">
        <f t="shared" si="0"/>
        <v>0</v>
      </c>
      <c r="M12" s="102">
        <f t="shared" si="0"/>
        <v>0</v>
      </c>
      <c r="N12" s="102"/>
      <c r="O12" s="102">
        <f>SUM(O8:O10)</f>
        <v>13578343.181252658</v>
      </c>
      <c r="P12" s="102">
        <f>SUM(P8:P10)</f>
        <v>0</v>
      </c>
      <c r="Q12" s="102">
        <f>SUM(Q8:Q10)</f>
        <v>0</v>
      </c>
      <c r="R12" s="102"/>
      <c r="S12" s="102">
        <f t="shared" ref="S12:AD12" si="1">SUM(S8:S10)</f>
        <v>0</v>
      </c>
      <c r="T12" s="102">
        <f t="shared" si="1"/>
        <v>3230343.0318665155</v>
      </c>
      <c r="U12" s="102">
        <f t="shared" si="1"/>
        <v>0</v>
      </c>
      <c r="V12" s="102">
        <f t="shared" si="1"/>
        <v>3520078.7944101491</v>
      </c>
      <c r="W12" s="102">
        <f t="shared" si="1"/>
        <v>6527669.184063849</v>
      </c>
      <c r="X12" s="102">
        <f t="shared" si="1"/>
        <v>1620490.4215354712</v>
      </c>
      <c r="Y12" s="102">
        <f t="shared" si="1"/>
        <v>2477196.920238473</v>
      </c>
      <c r="Z12" s="102">
        <f t="shared" si="1"/>
        <v>2515564.285492735</v>
      </c>
      <c r="AA12" s="102">
        <f t="shared" si="1"/>
        <v>2238548.8866577405</v>
      </c>
      <c r="AB12" s="102">
        <f t="shared" si="1"/>
        <v>1498646.5323649573</v>
      </c>
      <c r="AC12" s="102">
        <f t="shared" si="1"/>
        <v>1278696.0505361347</v>
      </c>
      <c r="AD12" s="102">
        <f t="shared" si="1"/>
        <v>1773653.2868221598</v>
      </c>
      <c r="AE12" s="102"/>
      <c r="AF12" s="102">
        <f>SUM(AF8:AF10)</f>
        <v>0</v>
      </c>
      <c r="AG12" s="102"/>
      <c r="AH12" s="102">
        <f>SUM(AH8:AH10)</f>
        <v>0</v>
      </c>
      <c r="AI12" s="102"/>
      <c r="AJ12" s="102">
        <f>SUM(AJ8:AJ10)</f>
        <v>0</v>
      </c>
      <c r="AK12" s="101">
        <f>SUM(H12:AJ12)</f>
        <v>103077456.86794952</v>
      </c>
      <c r="AL12" s="98" t="str">
        <f>IF(ABS(AK12-F12)&lt;1,"ok","err")</f>
        <v>ok</v>
      </c>
    </row>
    <row r="13" spans="1:38" x14ac:dyDescent="0.25"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1"/>
      <c r="AL13" s="98"/>
    </row>
    <row r="14" spans="1:38" x14ac:dyDescent="0.25">
      <c r="A14" s="23" t="s">
        <v>1540</v>
      </c>
      <c r="Y14" s="97"/>
      <c r="AL14" s="98"/>
    </row>
    <row r="15" spans="1:38" x14ac:dyDescent="0.25"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1"/>
      <c r="AL15" s="98"/>
    </row>
    <row r="16" spans="1:38" x14ac:dyDescent="0.25">
      <c r="B16" s="97" t="s">
        <v>1541</v>
      </c>
      <c r="C16" s="97" t="s">
        <v>1542</v>
      </c>
      <c r="D16" s="97" t="s">
        <v>733</v>
      </c>
      <c r="F16" s="102">
        <f>'Jurisdictional Study'!F614-1478168843</f>
        <v>3145206425.0448971</v>
      </c>
      <c r="G16" s="102"/>
      <c r="H16" s="101">
        <f>IF(VLOOKUP($D16,$C$5:$AJ$644,6,)=0,0,((VLOOKUP($D16,$C$5:$AJ$644,6,)/VLOOKUP($D16,$C$5:$AJ$644,4,))*$F16))</f>
        <v>1081326073.2649519</v>
      </c>
      <c r="I16" s="101">
        <f>IF(VLOOKUP($D16,$C$5:$AJ$644,7,)=0,0,((VLOOKUP($D16,$C$5:$AJ$644,7,)/VLOOKUP($D16,$C$5:$AJ$644,4,))*$F16))</f>
        <v>1132757503.5464444</v>
      </c>
      <c r="J16" s="101">
        <f>IF(VLOOKUP($D16,$C$5:$AJ$644,8,)=0,0,((VLOOKUP($D16,$C$5:$AJ$644,8,)/VLOOKUP($D16,$C$5:$AJ$644,4,))*$F16))</f>
        <v>931122848.23350072</v>
      </c>
      <c r="K16" s="101">
        <f>IF(VLOOKUP($D16,$C$5:$AJ$644,9,)=0,0,((VLOOKUP($D16,$C$5:$AJ$644,9,)/VLOOKUP($D16,$C$5:$AJ$644,4,))*$F16))</f>
        <v>0</v>
      </c>
      <c r="L16" s="101">
        <f>IF(VLOOKUP($D16,$C$5:$AJ$644,10,)=0,0,((VLOOKUP($D16,$C$5:$AJ$644,10,)/VLOOKUP($D16,$C$5:$AJ$644,4,))*$F16))</f>
        <v>0</v>
      </c>
      <c r="M16" s="101">
        <f>IF(VLOOKUP($D16,$C$5:$AJ$644,11,)=0,0,((VLOOKUP($D16,$C$5:$AJ$644,11,)/VLOOKUP($D16,$C$5:$AJ$644,4,))*$F16))</f>
        <v>0</v>
      </c>
      <c r="N16" s="101"/>
      <c r="O16" s="101">
        <f>IF(VLOOKUP($D16,$C$5:$AJ$644,13,)=0,0,((VLOOKUP($D16,$C$5:$AJ$644,13,)/VLOOKUP($D16,$C$5:$AJ$644,4,))*$F16))</f>
        <v>0</v>
      </c>
      <c r="P16" s="101">
        <f>IF(VLOOKUP($D16,$C$5:$AJ$644,14,)=0,0,((VLOOKUP($D16,$C$5:$AJ$644,14,)/VLOOKUP($D16,$C$5:$AJ$644,4,))*$F16))</f>
        <v>0</v>
      </c>
      <c r="Q16" s="101">
        <f>IF(VLOOKUP($D16,$C$5:$AJ$644,15,)=0,0,((VLOOKUP($D16,$C$5:$AJ$644,15,)/VLOOKUP($D16,$C$5:$AJ$644,4,))*$F16))</f>
        <v>0</v>
      </c>
      <c r="R16" s="101"/>
      <c r="S16" s="101">
        <f>IF(VLOOKUP($D16,$C$5:$AJ$644,17,)=0,0,((VLOOKUP($D16,$C$5:$AJ$644,17,)/VLOOKUP($D16,$C$5:$AJ$644,4,))*$F16))</f>
        <v>0</v>
      </c>
      <c r="T16" s="101">
        <f>IF(VLOOKUP($D16,$C$5:$AJ$644,18,)=0,0,((VLOOKUP($D16,$C$5:$AJ$644,18,)/VLOOKUP($D16,$C$5:$AJ$644,4,))*$F16))</f>
        <v>0</v>
      </c>
      <c r="U16" s="101">
        <f>IF(VLOOKUP($D16,$C$5:$AJ$644,19,)=0,0,((VLOOKUP($D16,$C$5:$AJ$644,19,)/VLOOKUP($D16,$C$5:$AJ$644,4,))*$F16))</f>
        <v>0</v>
      </c>
      <c r="V16" s="101">
        <f>IF(VLOOKUP($D16,$C$5:$AJ$644,20,)=0,0,((VLOOKUP($D16,$C$5:$AJ$644,20,)/VLOOKUP($D16,$C$5:$AJ$644,4,))*$F16))</f>
        <v>0</v>
      </c>
      <c r="W16" s="101">
        <f>IF(VLOOKUP($D16,$C$5:$AJ$644,21,)=0,0,((VLOOKUP($D16,$C$5:$AJ$644,21,)/VLOOKUP($D16,$C$5:$AJ$644,4,))*$F16))</f>
        <v>0</v>
      </c>
      <c r="X16" s="101">
        <f>IF(VLOOKUP($D16,$C$5:$AJ$644,22,)=0,0,((VLOOKUP($D16,$C$5:$AJ$644,22,)/VLOOKUP($D16,$C$5:$AJ$644,4,))*$F16))</f>
        <v>0</v>
      </c>
      <c r="Y16" s="101">
        <f>IF(VLOOKUP($D16,$C$5:$AJ$644,23,)=0,0,((VLOOKUP($D16,$C$5:$AJ$644,23,)/VLOOKUP($D16,$C$5:$AJ$644,4,))*$F16))</f>
        <v>0</v>
      </c>
      <c r="Z16" s="101">
        <f>IF(VLOOKUP($D16,$C$5:$AJ$644,24,)=0,0,((VLOOKUP($D16,$C$5:$AJ$644,24,)/VLOOKUP($D16,$C$5:$AJ$644,4,))*$F16))</f>
        <v>0</v>
      </c>
      <c r="AA16" s="101">
        <f>IF(VLOOKUP($D16,$C$5:$AJ$644,25,)=0,0,((VLOOKUP($D16,$C$5:$AJ$644,25,)/VLOOKUP($D16,$C$5:$AJ$644,4,))*$F16))</f>
        <v>0</v>
      </c>
      <c r="AB16" s="101">
        <f>IF(VLOOKUP($D16,$C$5:$AJ$644,26,)=0,0,((VLOOKUP($D16,$C$5:$AJ$644,26,)/VLOOKUP($D16,$C$5:$AJ$644,4,))*$F16))</f>
        <v>0</v>
      </c>
      <c r="AC16" s="101">
        <f>IF(VLOOKUP($D16,$C$5:$AJ$644,27,)=0,0,((VLOOKUP($D16,$C$5:$AJ$644,27,)/VLOOKUP($D16,$C$5:$AJ$644,4,))*$F16))</f>
        <v>0</v>
      </c>
      <c r="AD16" s="101">
        <f>IF(VLOOKUP($D16,$C$5:$AJ$644,28,)=0,0,((VLOOKUP($D16,$C$5:$AJ$644,28,)/VLOOKUP($D16,$C$5:$AJ$644,4,))*$F16))</f>
        <v>0</v>
      </c>
      <c r="AE16" s="101"/>
      <c r="AF16" s="101">
        <f>IF(VLOOKUP($D16,$C$5:$AJ$644,30,)=0,0,((VLOOKUP($D16,$C$5:$AJ$644,30,)/VLOOKUP($D16,$C$5:$AJ$644,4,))*$F16))</f>
        <v>0</v>
      </c>
      <c r="AG16" s="101"/>
      <c r="AH16" s="101">
        <f>IF(VLOOKUP($D16,$C$5:$AJ$644,32,)=0,0,((VLOOKUP($D16,$C$5:$AJ$644,32,)/VLOOKUP($D16,$C$5:$AJ$644,4,))*$F16))</f>
        <v>0</v>
      </c>
      <c r="AI16" s="101"/>
      <c r="AJ16" s="101">
        <f>IF(VLOOKUP($D16,$C$5:$AJ$644,34,)=0,0,((VLOOKUP($D16,$C$5:$AJ$644,34,)/VLOOKUP($D16,$C$5:$AJ$644,4,))*$F16))</f>
        <v>0</v>
      </c>
      <c r="AK16" s="101">
        <f>SUM(H16:AJ16)</f>
        <v>3145206425.0448971</v>
      </c>
      <c r="AL16" s="98" t="str">
        <f>IF(ABS(AK16-F16)&lt;1,"ok","err")</f>
        <v>ok</v>
      </c>
    </row>
    <row r="17" spans="1:38" x14ac:dyDescent="0.25">
      <c r="AL17" s="98"/>
    </row>
    <row r="18" spans="1:38" x14ac:dyDescent="0.25">
      <c r="A18" s="23" t="s">
        <v>1645</v>
      </c>
      <c r="Y18" s="97"/>
      <c r="AL18" s="98"/>
    </row>
    <row r="19" spans="1:38" x14ac:dyDescent="0.25"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1"/>
      <c r="AL19" s="98"/>
    </row>
    <row r="20" spans="1:38" x14ac:dyDescent="0.25">
      <c r="B20" s="97" t="s">
        <v>1646</v>
      </c>
      <c r="C20" s="97" t="s">
        <v>1647</v>
      </c>
      <c r="D20" s="97" t="s">
        <v>733</v>
      </c>
      <c r="F20" s="102">
        <f>'Jurisdictional Study'!F627-240235</f>
        <v>36962631.466802523</v>
      </c>
      <c r="G20" s="102"/>
      <c r="H20" s="101">
        <f>IF(VLOOKUP($D20,$C$5:$AJ$644,6,)=0,0,((VLOOKUP($D20,$C$5:$AJ$644,6,)/VLOOKUP($D20,$C$5:$AJ$644,4,))*$F20))</f>
        <v>12707800.932641989</v>
      </c>
      <c r="I20" s="101">
        <f>IF(VLOOKUP($D20,$C$5:$AJ$644,7,)=0,0,((VLOOKUP($D20,$C$5:$AJ$644,7,)/VLOOKUP($D20,$C$5:$AJ$644,4,))*$F20))</f>
        <v>13312225.808595313</v>
      </c>
      <c r="J20" s="101">
        <f>IF(VLOOKUP($D20,$C$5:$AJ$644,8,)=0,0,((VLOOKUP($D20,$C$5:$AJ$644,8,)/VLOOKUP($D20,$C$5:$AJ$644,4,))*$F20))</f>
        <v>10942604.725565219</v>
      </c>
      <c r="K20" s="101">
        <f>IF(VLOOKUP($D20,$C$5:$AJ$644,9,)=0,0,((VLOOKUP($D20,$C$5:$AJ$644,9,)/VLOOKUP($D20,$C$5:$AJ$644,4,))*$F20))</f>
        <v>0</v>
      </c>
      <c r="L20" s="101">
        <f>IF(VLOOKUP($D20,$C$5:$AJ$644,10,)=0,0,((VLOOKUP($D20,$C$5:$AJ$644,10,)/VLOOKUP($D20,$C$5:$AJ$644,4,))*$F20))</f>
        <v>0</v>
      </c>
      <c r="M20" s="101">
        <f>IF(VLOOKUP($D20,$C$5:$AJ$644,11,)=0,0,((VLOOKUP($D20,$C$5:$AJ$644,11,)/VLOOKUP($D20,$C$5:$AJ$644,4,))*$F20))</f>
        <v>0</v>
      </c>
      <c r="N20" s="101"/>
      <c r="O20" s="101">
        <f>IF(VLOOKUP($D20,$C$5:$AJ$644,13,)=0,0,((VLOOKUP($D20,$C$5:$AJ$644,13,)/VLOOKUP($D20,$C$5:$AJ$644,4,))*$F20))</f>
        <v>0</v>
      </c>
      <c r="P20" s="101">
        <f>IF(VLOOKUP($D20,$C$5:$AJ$644,14,)=0,0,((VLOOKUP($D20,$C$5:$AJ$644,14,)/VLOOKUP($D20,$C$5:$AJ$644,4,))*$F20))</f>
        <v>0</v>
      </c>
      <c r="Q20" s="101">
        <f>IF(VLOOKUP($D20,$C$5:$AJ$644,15,)=0,0,((VLOOKUP($D20,$C$5:$AJ$644,15,)/VLOOKUP($D20,$C$5:$AJ$644,4,))*$F20))</f>
        <v>0</v>
      </c>
      <c r="R20" s="101"/>
      <c r="S20" s="101">
        <f>IF(VLOOKUP($D20,$C$5:$AJ$644,17,)=0,0,((VLOOKUP($D20,$C$5:$AJ$644,17,)/VLOOKUP($D20,$C$5:$AJ$644,4,))*$F20))</f>
        <v>0</v>
      </c>
      <c r="T20" s="101">
        <f>IF(VLOOKUP($D20,$C$5:$AJ$644,18,)=0,0,((VLOOKUP($D20,$C$5:$AJ$644,18,)/VLOOKUP($D20,$C$5:$AJ$644,4,))*$F20))</f>
        <v>0</v>
      </c>
      <c r="U20" s="101">
        <f>IF(VLOOKUP($D20,$C$5:$AJ$644,19,)=0,0,((VLOOKUP($D20,$C$5:$AJ$644,19,)/VLOOKUP($D20,$C$5:$AJ$644,4,))*$F20))</f>
        <v>0</v>
      </c>
      <c r="V20" s="101">
        <f>IF(VLOOKUP($D20,$C$5:$AJ$644,20,)=0,0,((VLOOKUP($D20,$C$5:$AJ$644,20,)/VLOOKUP($D20,$C$5:$AJ$644,4,))*$F20))</f>
        <v>0</v>
      </c>
      <c r="W20" s="101">
        <f>IF(VLOOKUP($D20,$C$5:$AJ$644,21,)=0,0,((VLOOKUP($D20,$C$5:$AJ$644,21,)/VLOOKUP($D20,$C$5:$AJ$644,4,))*$F20))</f>
        <v>0</v>
      </c>
      <c r="X20" s="101">
        <f>IF(VLOOKUP($D20,$C$5:$AJ$644,22,)=0,0,((VLOOKUP($D20,$C$5:$AJ$644,22,)/VLOOKUP($D20,$C$5:$AJ$644,4,))*$F20))</f>
        <v>0</v>
      </c>
      <c r="Y20" s="101">
        <f>IF(VLOOKUP($D20,$C$5:$AJ$644,23,)=0,0,((VLOOKUP($D20,$C$5:$AJ$644,23,)/VLOOKUP($D20,$C$5:$AJ$644,4,))*$F20))</f>
        <v>0</v>
      </c>
      <c r="Z20" s="101">
        <f>IF(VLOOKUP($D20,$C$5:$AJ$644,24,)=0,0,((VLOOKUP($D20,$C$5:$AJ$644,24,)/VLOOKUP($D20,$C$5:$AJ$644,4,))*$F20))</f>
        <v>0</v>
      </c>
      <c r="AA20" s="101">
        <f>IF(VLOOKUP($D20,$C$5:$AJ$644,25,)=0,0,((VLOOKUP($D20,$C$5:$AJ$644,25,)/VLOOKUP($D20,$C$5:$AJ$644,4,))*$F20))</f>
        <v>0</v>
      </c>
      <c r="AB20" s="101">
        <f>IF(VLOOKUP($D20,$C$5:$AJ$644,26,)=0,0,((VLOOKUP($D20,$C$5:$AJ$644,26,)/VLOOKUP($D20,$C$5:$AJ$644,4,))*$F20))</f>
        <v>0</v>
      </c>
      <c r="AC20" s="101">
        <f>IF(VLOOKUP($D20,$C$5:$AJ$644,27,)=0,0,((VLOOKUP($D20,$C$5:$AJ$644,27,)/VLOOKUP($D20,$C$5:$AJ$644,4,))*$F20))</f>
        <v>0</v>
      </c>
      <c r="AD20" s="101">
        <f>IF(VLOOKUP($D20,$C$5:$AJ$644,28,)=0,0,((VLOOKUP($D20,$C$5:$AJ$644,28,)/VLOOKUP($D20,$C$5:$AJ$644,4,))*$F20))</f>
        <v>0</v>
      </c>
      <c r="AE20" s="101"/>
      <c r="AF20" s="101">
        <f>IF(VLOOKUP($D20,$C$5:$AJ$644,30,)=0,0,((VLOOKUP($D20,$C$5:$AJ$644,30,)/VLOOKUP($D20,$C$5:$AJ$644,4,))*$F20))</f>
        <v>0</v>
      </c>
      <c r="AG20" s="101"/>
      <c r="AH20" s="101">
        <f>IF(VLOOKUP($D20,$C$5:$AJ$644,32,)=0,0,((VLOOKUP($D20,$C$5:$AJ$644,32,)/VLOOKUP($D20,$C$5:$AJ$644,4,))*$F20))</f>
        <v>0</v>
      </c>
      <c r="AI20" s="101"/>
      <c r="AJ20" s="101">
        <f>IF(VLOOKUP($D20,$C$5:$AJ$644,34,)=0,0,((VLOOKUP($D20,$C$5:$AJ$644,34,)/VLOOKUP($D20,$C$5:$AJ$644,4,))*$F20))</f>
        <v>0</v>
      </c>
      <c r="AK20" s="101">
        <f>SUM(H20:AJ20)</f>
        <v>36962631.466802523</v>
      </c>
      <c r="AL20" s="98" t="str">
        <f>IF(ABS(AK20-F20)&lt;1,"ok","err")</f>
        <v>ok</v>
      </c>
    </row>
    <row r="21" spans="1:38" x14ac:dyDescent="0.25">
      <c r="AL21" s="98"/>
    </row>
    <row r="22" spans="1:38" x14ac:dyDescent="0.25">
      <c r="A22" s="23" t="s">
        <v>1543</v>
      </c>
      <c r="Y22" s="97"/>
      <c r="AL22" s="98"/>
    </row>
    <row r="23" spans="1:38" x14ac:dyDescent="0.25"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1"/>
      <c r="AL23" s="98"/>
    </row>
    <row r="24" spans="1:38" x14ac:dyDescent="0.25">
      <c r="B24" s="97" t="s">
        <v>1544</v>
      </c>
      <c r="C24" s="97" t="s">
        <v>1545</v>
      </c>
      <c r="D24" s="97" t="s">
        <v>733</v>
      </c>
      <c r="F24" s="102">
        <f>'Jurisdictional Study'!F640-353240</f>
        <v>894751298.62419689</v>
      </c>
      <c r="G24" s="102"/>
      <c r="H24" s="101">
        <f>IF(VLOOKUP($D24,$C$5:$AJ$644,6,)=0,0,((VLOOKUP($D24,$C$5:$AJ$644,6,)/VLOOKUP($D24,$C$5:$AJ$644,4,))*$F24))</f>
        <v>307616664.07196409</v>
      </c>
      <c r="I24" s="101">
        <f>IF(VLOOKUP($D24,$C$5:$AJ$644,7,)=0,0,((VLOOKUP($D24,$C$5:$AJ$644,7,)/VLOOKUP($D24,$C$5:$AJ$644,4,))*$F24))</f>
        <v>322247926.00378096</v>
      </c>
      <c r="J24" s="101">
        <f>IF(VLOOKUP($D24,$C$5:$AJ$644,8,)=0,0,((VLOOKUP($D24,$C$5:$AJ$644,8,)/VLOOKUP($D24,$C$5:$AJ$644,4,))*$F24))</f>
        <v>264886708.54845184</v>
      </c>
      <c r="K24" s="101">
        <f>IF(VLOOKUP($D24,$C$5:$AJ$644,9,)=0,0,((VLOOKUP($D24,$C$5:$AJ$644,9,)/VLOOKUP($D24,$C$5:$AJ$644,4,))*$F24))</f>
        <v>0</v>
      </c>
      <c r="L24" s="101">
        <f>IF(VLOOKUP($D24,$C$5:$AJ$644,10,)=0,0,((VLOOKUP($D24,$C$5:$AJ$644,10,)/VLOOKUP($D24,$C$5:$AJ$644,4,))*$F24))</f>
        <v>0</v>
      </c>
      <c r="M24" s="101">
        <f>IF(VLOOKUP($D24,$C$5:$AJ$644,11,)=0,0,((VLOOKUP($D24,$C$5:$AJ$644,11,)/VLOOKUP($D24,$C$5:$AJ$644,4,))*$F24))</f>
        <v>0</v>
      </c>
      <c r="N24" s="101"/>
      <c r="O24" s="101">
        <f>IF(VLOOKUP($D24,$C$5:$AJ$644,13,)=0,0,((VLOOKUP($D24,$C$5:$AJ$644,13,)/VLOOKUP($D24,$C$5:$AJ$644,4,))*$F24))</f>
        <v>0</v>
      </c>
      <c r="P24" s="101">
        <f>IF(VLOOKUP($D24,$C$5:$AJ$644,14,)=0,0,((VLOOKUP($D24,$C$5:$AJ$644,14,)/VLOOKUP($D24,$C$5:$AJ$644,4,))*$F24))</f>
        <v>0</v>
      </c>
      <c r="Q24" s="101">
        <f>IF(VLOOKUP($D24,$C$5:$AJ$644,15,)=0,0,((VLOOKUP($D24,$C$5:$AJ$644,15,)/VLOOKUP($D24,$C$5:$AJ$644,4,))*$F24))</f>
        <v>0</v>
      </c>
      <c r="R24" s="101"/>
      <c r="S24" s="101">
        <f>IF(VLOOKUP($D24,$C$5:$AJ$644,17,)=0,0,((VLOOKUP($D24,$C$5:$AJ$644,17,)/VLOOKUP($D24,$C$5:$AJ$644,4,))*$F24))</f>
        <v>0</v>
      </c>
      <c r="T24" s="101">
        <f>IF(VLOOKUP($D24,$C$5:$AJ$644,18,)=0,0,((VLOOKUP($D24,$C$5:$AJ$644,18,)/VLOOKUP($D24,$C$5:$AJ$644,4,))*$F24))</f>
        <v>0</v>
      </c>
      <c r="U24" s="101">
        <f>IF(VLOOKUP($D24,$C$5:$AJ$644,19,)=0,0,((VLOOKUP($D24,$C$5:$AJ$644,19,)/VLOOKUP($D24,$C$5:$AJ$644,4,))*$F24))</f>
        <v>0</v>
      </c>
      <c r="V24" s="101">
        <f>IF(VLOOKUP($D24,$C$5:$AJ$644,20,)=0,0,((VLOOKUP($D24,$C$5:$AJ$644,20,)/VLOOKUP($D24,$C$5:$AJ$644,4,))*$F24))</f>
        <v>0</v>
      </c>
      <c r="W24" s="101">
        <f>IF(VLOOKUP($D24,$C$5:$AJ$644,21,)=0,0,((VLOOKUP($D24,$C$5:$AJ$644,21,)/VLOOKUP($D24,$C$5:$AJ$644,4,))*$F24))</f>
        <v>0</v>
      </c>
      <c r="X24" s="101">
        <f>IF(VLOOKUP($D24,$C$5:$AJ$644,22,)=0,0,((VLOOKUP($D24,$C$5:$AJ$644,22,)/VLOOKUP($D24,$C$5:$AJ$644,4,))*$F24))</f>
        <v>0</v>
      </c>
      <c r="Y24" s="101">
        <f>IF(VLOOKUP($D24,$C$5:$AJ$644,23,)=0,0,((VLOOKUP($D24,$C$5:$AJ$644,23,)/VLOOKUP($D24,$C$5:$AJ$644,4,))*$F24))</f>
        <v>0</v>
      </c>
      <c r="Z24" s="101">
        <f>IF(VLOOKUP($D24,$C$5:$AJ$644,24,)=0,0,((VLOOKUP($D24,$C$5:$AJ$644,24,)/VLOOKUP($D24,$C$5:$AJ$644,4,))*$F24))</f>
        <v>0</v>
      </c>
      <c r="AA24" s="101">
        <f>IF(VLOOKUP($D24,$C$5:$AJ$644,25,)=0,0,((VLOOKUP($D24,$C$5:$AJ$644,25,)/VLOOKUP($D24,$C$5:$AJ$644,4,))*$F24))</f>
        <v>0</v>
      </c>
      <c r="AB24" s="101">
        <f>IF(VLOOKUP($D24,$C$5:$AJ$644,26,)=0,0,((VLOOKUP($D24,$C$5:$AJ$644,26,)/VLOOKUP($D24,$C$5:$AJ$644,4,))*$F24))</f>
        <v>0</v>
      </c>
      <c r="AC24" s="101">
        <f>IF(VLOOKUP($D24,$C$5:$AJ$644,27,)=0,0,((VLOOKUP($D24,$C$5:$AJ$644,27,)/VLOOKUP($D24,$C$5:$AJ$644,4,))*$F24))</f>
        <v>0</v>
      </c>
      <c r="AD24" s="101">
        <f>IF(VLOOKUP($D24,$C$5:$AJ$644,28,)=0,0,((VLOOKUP($D24,$C$5:$AJ$644,28,)/VLOOKUP($D24,$C$5:$AJ$644,4,))*$F24))</f>
        <v>0</v>
      </c>
      <c r="AE24" s="101"/>
      <c r="AF24" s="101">
        <f>IF(VLOOKUP($D24,$C$5:$AJ$644,30,)=0,0,((VLOOKUP($D24,$C$5:$AJ$644,30,)/VLOOKUP($D24,$C$5:$AJ$644,4,))*$F24))</f>
        <v>0</v>
      </c>
      <c r="AG24" s="101"/>
      <c r="AH24" s="101">
        <f>IF(VLOOKUP($D24,$C$5:$AJ$644,32,)=0,0,((VLOOKUP($D24,$C$5:$AJ$644,32,)/VLOOKUP($D24,$C$5:$AJ$644,4,))*$F24))</f>
        <v>0</v>
      </c>
      <c r="AI24" s="101"/>
      <c r="AJ24" s="101">
        <f>IF(VLOOKUP($D24,$C$5:$AJ$644,34,)=0,0,((VLOOKUP($D24,$C$5:$AJ$644,34,)/VLOOKUP($D24,$C$5:$AJ$644,4,))*$F24))</f>
        <v>0</v>
      </c>
      <c r="AK24" s="101">
        <f>SUM(H24:AJ24)</f>
        <v>894751298.62419701</v>
      </c>
      <c r="AL24" s="98" t="str">
        <f>IF(ABS(AK24-F24)&lt;1,"ok","err")</f>
        <v>ok</v>
      </c>
    </row>
    <row r="25" spans="1:38" x14ac:dyDescent="0.25">
      <c r="AL25" s="98"/>
    </row>
    <row r="26" spans="1:38" x14ac:dyDescent="0.25">
      <c r="B26" s="24" t="s">
        <v>1546</v>
      </c>
      <c r="C26" s="97" t="s">
        <v>1547</v>
      </c>
      <c r="F26" s="102">
        <f>F16+F20+F24</f>
        <v>4076920355.1358967</v>
      </c>
      <c r="G26" s="102"/>
      <c r="H26" s="102">
        <f t="shared" ref="H26:AJ26" si="2">H16+H20+H24</f>
        <v>1401650538.269558</v>
      </c>
      <c r="I26" s="102">
        <f t="shared" si="2"/>
        <v>1468317655.3588209</v>
      </c>
      <c r="J26" s="102">
        <f t="shared" si="2"/>
        <v>1206952161.5075178</v>
      </c>
      <c r="K26" s="102">
        <f t="shared" si="2"/>
        <v>0</v>
      </c>
      <c r="L26" s="102">
        <f t="shared" si="2"/>
        <v>0</v>
      </c>
      <c r="M26" s="102">
        <f t="shared" si="2"/>
        <v>0</v>
      </c>
      <c r="N26" s="102"/>
      <c r="O26" s="102">
        <f t="shared" si="2"/>
        <v>0</v>
      </c>
      <c r="P26" s="102">
        <f>P16+P20+P24</f>
        <v>0</v>
      </c>
      <c r="Q26" s="102">
        <f>Q16+Q20+Q24</f>
        <v>0</v>
      </c>
      <c r="R26" s="102"/>
      <c r="S26" s="102">
        <f t="shared" si="2"/>
        <v>0</v>
      </c>
      <c r="T26" s="102"/>
      <c r="U26" s="102">
        <f t="shared" si="2"/>
        <v>0</v>
      </c>
      <c r="V26" s="102">
        <f t="shared" si="2"/>
        <v>0</v>
      </c>
      <c r="W26" s="102"/>
      <c r="X26" s="102"/>
      <c r="Y26" s="102"/>
      <c r="Z26" s="102">
        <f t="shared" si="2"/>
        <v>0</v>
      </c>
      <c r="AA26" s="102">
        <f t="shared" si="2"/>
        <v>0</v>
      </c>
      <c r="AB26" s="102"/>
      <c r="AC26" s="102"/>
      <c r="AD26" s="102">
        <f t="shared" si="2"/>
        <v>0</v>
      </c>
      <c r="AE26" s="102"/>
      <c r="AF26" s="102">
        <f t="shared" si="2"/>
        <v>0</v>
      </c>
      <c r="AG26" s="102"/>
      <c r="AH26" s="102">
        <f t="shared" si="2"/>
        <v>0</v>
      </c>
      <c r="AI26" s="102"/>
      <c r="AJ26" s="102">
        <f t="shared" si="2"/>
        <v>0</v>
      </c>
      <c r="AK26" s="101">
        <f>SUM(H26:AJ26)</f>
        <v>4076920355.1358967</v>
      </c>
      <c r="AL26" s="98" t="str">
        <f>IF(ABS(AK26-F26)&lt;1,"ok","err")</f>
        <v>ok</v>
      </c>
    </row>
    <row r="27" spans="1:38" x14ac:dyDescent="0.25">
      <c r="AL27" s="98"/>
    </row>
    <row r="28" spans="1:38" x14ac:dyDescent="0.25">
      <c r="A28" s="23" t="s">
        <v>459</v>
      </c>
      <c r="Y28" s="97"/>
      <c r="AL28" s="98"/>
    </row>
    <row r="29" spans="1:38" x14ac:dyDescent="0.25">
      <c r="A29" s="103"/>
      <c r="B29" s="97" t="s">
        <v>1648</v>
      </c>
      <c r="C29" s="97" t="s">
        <v>460</v>
      </c>
      <c r="D29" s="97" t="s">
        <v>492</v>
      </c>
      <c r="F29" s="100">
        <f>'Jurisdictional Study'!F659-395186</f>
        <v>873007847.89332759</v>
      </c>
      <c r="G29" s="100"/>
      <c r="H29" s="101">
        <f>IF(VLOOKUP($D29,$C$5:$AJ$644,6,)=0,0,((VLOOKUP($D29,$C$5:$AJ$644,6,)/VLOOKUP($D29,$C$5:$AJ$644,4,))*$F29))</f>
        <v>0</v>
      </c>
      <c r="I29" s="101">
        <f>IF(VLOOKUP($D29,$C$5:$AJ$644,7,)=0,0,((VLOOKUP($D29,$C$5:$AJ$644,7,)/VLOOKUP($D29,$C$5:$AJ$644,4,))*$F29))</f>
        <v>0</v>
      </c>
      <c r="J29" s="101">
        <f>IF(VLOOKUP($D29,$C$5:$AJ$644,8,)=0,0,((VLOOKUP($D29,$C$5:$AJ$644,8,)/VLOOKUP($D29,$C$5:$AJ$644,4,))*$F29))</f>
        <v>0</v>
      </c>
      <c r="K29" s="101">
        <f>IF(VLOOKUP($D29,$C$5:$AJ$644,9,)=0,0,((VLOOKUP($D29,$C$5:$AJ$644,9,)/VLOOKUP($D29,$C$5:$AJ$644,4,))*$F29))</f>
        <v>0</v>
      </c>
      <c r="L29" s="101">
        <f>IF(VLOOKUP($D29,$C$5:$AJ$644,10,)=0,0,((VLOOKUP($D29,$C$5:$AJ$644,10,)/VLOOKUP($D29,$C$5:$AJ$644,4,))*$F29))</f>
        <v>0</v>
      </c>
      <c r="M29" s="101">
        <f>IF(VLOOKUP($D29,$C$5:$AJ$644,11,)=0,0,((VLOOKUP($D29,$C$5:$AJ$644,11,)/VLOOKUP($D29,$C$5:$AJ$644,4,))*$F29))</f>
        <v>0</v>
      </c>
      <c r="N29" s="101"/>
      <c r="O29" s="101">
        <f>IF(VLOOKUP($D29,$C$5:$AJ$644,13,)=0,0,((VLOOKUP($D29,$C$5:$AJ$644,13,)/VLOOKUP($D29,$C$5:$AJ$644,4,))*$F29))</f>
        <v>873007847.89332759</v>
      </c>
      <c r="P29" s="101">
        <f>IF(VLOOKUP($D29,$C$5:$AJ$644,14,)=0,0,((VLOOKUP($D29,$C$5:$AJ$644,14,)/VLOOKUP($D29,$C$5:$AJ$644,4,))*$F29))</f>
        <v>0</v>
      </c>
      <c r="Q29" s="101">
        <f>IF(VLOOKUP($D29,$C$5:$AJ$644,15,)=0,0,((VLOOKUP($D29,$C$5:$AJ$644,15,)/VLOOKUP($D29,$C$5:$AJ$644,4,))*$F29))</f>
        <v>0</v>
      </c>
      <c r="R29" s="101"/>
      <c r="S29" s="101">
        <f>IF(VLOOKUP($D29,$C$5:$AJ$644,17,)=0,0,((VLOOKUP($D29,$C$5:$AJ$644,17,)/VLOOKUP($D29,$C$5:$AJ$644,4,))*$F29))</f>
        <v>0</v>
      </c>
      <c r="T29" s="101">
        <f>IF(VLOOKUP($D29,$C$5:$AJ$644,18,)=0,0,((VLOOKUP($D29,$C$5:$AJ$644,18,)/VLOOKUP($D29,$C$5:$AJ$644,4,))*$F29))</f>
        <v>0</v>
      </c>
      <c r="U29" s="101">
        <f>IF(VLOOKUP($D29,$C$5:$AJ$644,19,)=0,0,((VLOOKUP($D29,$C$5:$AJ$644,19,)/VLOOKUP($D29,$C$5:$AJ$644,4,))*$F29))</f>
        <v>0</v>
      </c>
      <c r="V29" s="101">
        <f>IF(VLOOKUP($D29,$C$5:$AJ$644,20,)=0,0,((VLOOKUP($D29,$C$5:$AJ$644,20,)/VLOOKUP($D29,$C$5:$AJ$644,4,))*$F29))</f>
        <v>0</v>
      </c>
      <c r="W29" s="101">
        <f>IF(VLOOKUP($D29,$C$5:$AJ$644,21,)=0,0,((VLOOKUP($D29,$C$5:$AJ$644,21,)/VLOOKUP($D29,$C$5:$AJ$644,4,))*$F29))</f>
        <v>0</v>
      </c>
      <c r="X29" s="101">
        <f>IF(VLOOKUP($D29,$C$5:$AJ$644,22,)=0,0,((VLOOKUP($D29,$C$5:$AJ$644,22,)/VLOOKUP($D29,$C$5:$AJ$644,4,))*$F29))</f>
        <v>0</v>
      </c>
      <c r="Y29" s="101">
        <f>IF(VLOOKUP($D29,$C$5:$AJ$644,23,)=0,0,((VLOOKUP($D29,$C$5:$AJ$644,23,)/VLOOKUP($D29,$C$5:$AJ$644,4,))*$F29))</f>
        <v>0</v>
      </c>
      <c r="Z29" s="101">
        <f>IF(VLOOKUP($D29,$C$5:$AJ$644,24,)=0,0,((VLOOKUP($D29,$C$5:$AJ$644,24,)/VLOOKUP($D29,$C$5:$AJ$644,4,))*$F29))</f>
        <v>0</v>
      </c>
      <c r="AA29" s="101">
        <f>IF(VLOOKUP($D29,$C$5:$AJ$644,25,)=0,0,((VLOOKUP($D29,$C$5:$AJ$644,25,)/VLOOKUP($D29,$C$5:$AJ$644,4,))*$F29))</f>
        <v>0</v>
      </c>
      <c r="AB29" s="101">
        <f>IF(VLOOKUP($D29,$C$5:$AJ$644,26,)=0,0,((VLOOKUP($D29,$C$5:$AJ$644,26,)/VLOOKUP($D29,$C$5:$AJ$644,4,))*$F29))</f>
        <v>0</v>
      </c>
      <c r="AC29" s="101">
        <f>IF(VLOOKUP($D29,$C$5:$AJ$644,27,)=0,0,((VLOOKUP($D29,$C$5:$AJ$644,27,)/VLOOKUP($D29,$C$5:$AJ$644,4,))*$F29))</f>
        <v>0</v>
      </c>
      <c r="AD29" s="101">
        <f>IF(VLOOKUP($D29,$C$5:$AJ$644,28,)=0,0,((VLOOKUP($D29,$C$5:$AJ$644,28,)/VLOOKUP($D29,$C$5:$AJ$644,4,))*$F29))</f>
        <v>0</v>
      </c>
      <c r="AE29" s="101"/>
      <c r="AF29" s="101">
        <f>IF(VLOOKUP($D29,$C$5:$AJ$644,30,)=0,0,((VLOOKUP($D29,$C$5:$AJ$644,30,)/VLOOKUP($D29,$C$5:$AJ$644,4,))*$F29))</f>
        <v>0</v>
      </c>
      <c r="AG29" s="101"/>
      <c r="AH29" s="101">
        <f>IF(VLOOKUP($D29,$C$5:$AJ$644,32,)=0,0,((VLOOKUP($D29,$C$5:$AJ$644,32,)/VLOOKUP($D29,$C$5:$AJ$644,4,))*$F29))</f>
        <v>0</v>
      </c>
      <c r="AI29" s="101"/>
      <c r="AJ29" s="101">
        <f>IF(VLOOKUP($D29,$C$5:$AJ$644,34,)=0,0,((VLOOKUP($D29,$C$5:$AJ$644,34,)/VLOOKUP($D29,$C$5:$AJ$644,4,))*$F29))</f>
        <v>0</v>
      </c>
      <c r="AK29" s="101">
        <f>SUM(H29:AJ29)</f>
        <v>873007847.89332759</v>
      </c>
      <c r="AL29" s="98" t="str">
        <f>IF(ABS(AK29-F29)&lt;1,"ok","err")</f>
        <v>ok</v>
      </c>
    </row>
    <row r="30" spans="1:38" x14ac:dyDescent="0.25">
      <c r="A30" s="103"/>
      <c r="B30" s="97" t="s">
        <v>1649</v>
      </c>
      <c r="C30" s="97" t="s">
        <v>1360</v>
      </c>
      <c r="D30" s="97" t="s">
        <v>492</v>
      </c>
      <c r="F30" s="101">
        <f>'Jurisdictional Study'!F679</f>
        <v>8230400.4889750648</v>
      </c>
      <c r="G30" s="100"/>
      <c r="H30" s="101">
        <f>IF(VLOOKUP($D30,$C$5:$AJ$644,6,)=0,0,((VLOOKUP($D30,$C$5:$AJ$644,6,)/VLOOKUP($D30,$C$5:$AJ$644,4,))*$F30))</f>
        <v>0</v>
      </c>
      <c r="I30" s="101">
        <f>IF(VLOOKUP($D30,$C$5:$AJ$644,7,)=0,0,((VLOOKUP($D30,$C$5:$AJ$644,7,)/VLOOKUP($D30,$C$5:$AJ$644,4,))*$F30))</f>
        <v>0</v>
      </c>
      <c r="J30" s="101">
        <f>IF(VLOOKUP($D30,$C$5:$AJ$644,8,)=0,0,((VLOOKUP($D30,$C$5:$AJ$644,8,)/VLOOKUP($D30,$C$5:$AJ$644,4,))*$F30))</f>
        <v>0</v>
      </c>
      <c r="K30" s="101">
        <f>IF(VLOOKUP($D30,$C$5:$AJ$644,9,)=0,0,((VLOOKUP($D30,$C$5:$AJ$644,9,)/VLOOKUP($D30,$C$5:$AJ$644,4,))*$F30))</f>
        <v>0</v>
      </c>
      <c r="L30" s="101">
        <f>IF(VLOOKUP($D30,$C$5:$AJ$644,10,)=0,0,((VLOOKUP($D30,$C$5:$AJ$644,10,)/VLOOKUP($D30,$C$5:$AJ$644,4,))*$F30))</f>
        <v>0</v>
      </c>
      <c r="M30" s="101">
        <f>IF(VLOOKUP($D30,$C$5:$AJ$644,11,)=0,0,((VLOOKUP($D30,$C$5:$AJ$644,11,)/VLOOKUP($D30,$C$5:$AJ$644,4,))*$F30))</f>
        <v>0</v>
      </c>
      <c r="N30" s="101"/>
      <c r="O30" s="101">
        <f>IF(VLOOKUP($D30,$C$5:$AJ$644,13,)=0,0,((VLOOKUP($D30,$C$5:$AJ$644,13,)/VLOOKUP($D30,$C$5:$AJ$644,4,))*$F30))</f>
        <v>8230400.4889750648</v>
      </c>
      <c r="P30" s="101">
        <f>IF(VLOOKUP($D30,$C$5:$AJ$644,14,)=0,0,((VLOOKUP($D30,$C$5:$AJ$644,14,)/VLOOKUP($D30,$C$5:$AJ$644,4,))*$F30))</f>
        <v>0</v>
      </c>
      <c r="Q30" s="101">
        <f>IF(VLOOKUP($D30,$C$5:$AJ$644,15,)=0,0,((VLOOKUP($D30,$C$5:$AJ$644,15,)/VLOOKUP($D30,$C$5:$AJ$644,4,))*$F30))</f>
        <v>0</v>
      </c>
      <c r="R30" s="101"/>
      <c r="S30" s="101">
        <f>IF(VLOOKUP($D30,$C$5:$AJ$644,17,)=0,0,((VLOOKUP($D30,$C$5:$AJ$644,17,)/VLOOKUP($D30,$C$5:$AJ$644,4,))*$F30))</f>
        <v>0</v>
      </c>
      <c r="T30" s="101">
        <f>IF(VLOOKUP($D30,$C$5:$AJ$644,18,)=0,0,((VLOOKUP($D30,$C$5:$AJ$644,18,)/VLOOKUP($D30,$C$5:$AJ$644,4,))*$F30))</f>
        <v>0</v>
      </c>
      <c r="U30" s="101">
        <f>IF(VLOOKUP($D30,$C$5:$AJ$644,19,)=0,0,((VLOOKUP($D30,$C$5:$AJ$644,19,)/VLOOKUP($D30,$C$5:$AJ$644,4,))*$F30))</f>
        <v>0</v>
      </c>
      <c r="V30" s="101">
        <f>IF(VLOOKUP($D30,$C$5:$AJ$644,20,)=0,0,((VLOOKUP($D30,$C$5:$AJ$644,20,)/VLOOKUP($D30,$C$5:$AJ$644,4,))*$F30))</f>
        <v>0</v>
      </c>
      <c r="W30" s="101">
        <f>IF(VLOOKUP($D30,$C$5:$AJ$644,21,)=0,0,((VLOOKUP($D30,$C$5:$AJ$644,21,)/VLOOKUP($D30,$C$5:$AJ$644,4,))*$F30))</f>
        <v>0</v>
      </c>
      <c r="X30" s="101">
        <f>IF(VLOOKUP($D30,$C$5:$AJ$644,22,)=0,0,((VLOOKUP($D30,$C$5:$AJ$644,22,)/VLOOKUP($D30,$C$5:$AJ$644,4,))*$F30))</f>
        <v>0</v>
      </c>
      <c r="Y30" s="101">
        <f>IF(VLOOKUP($D30,$C$5:$AJ$644,23,)=0,0,((VLOOKUP($D30,$C$5:$AJ$644,23,)/VLOOKUP($D30,$C$5:$AJ$644,4,))*$F30))</f>
        <v>0</v>
      </c>
      <c r="Z30" s="101">
        <f>IF(VLOOKUP($D30,$C$5:$AJ$644,24,)=0,0,((VLOOKUP($D30,$C$5:$AJ$644,24,)/VLOOKUP($D30,$C$5:$AJ$644,4,))*$F30))</f>
        <v>0</v>
      </c>
      <c r="AA30" s="101">
        <f>IF(VLOOKUP($D30,$C$5:$AJ$644,25,)=0,0,((VLOOKUP($D30,$C$5:$AJ$644,25,)/VLOOKUP($D30,$C$5:$AJ$644,4,))*$F30))</f>
        <v>0</v>
      </c>
      <c r="AB30" s="101">
        <f>IF(VLOOKUP($D30,$C$5:$AJ$644,26,)=0,0,((VLOOKUP($D30,$C$5:$AJ$644,26,)/VLOOKUP($D30,$C$5:$AJ$644,4,))*$F30))</f>
        <v>0</v>
      </c>
      <c r="AC30" s="101">
        <f>IF(VLOOKUP($D30,$C$5:$AJ$644,27,)=0,0,((VLOOKUP($D30,$C$5:$AJ$644,27,)/VLOOKUP($D30,$C$5:$AJ$644,4,))*$F30))</f>
        <v>0</v>
      </c>
      <c r="AD30" s="101">
        <f>IF(VLOOKUP($D30,$C$5:$AJ$644,28,)=0,0,((VLOOKUP($D30,$C$5:$AJ$644,28,)/VLOOKUP($D30,$C$5:$AJ$644,4,))*$F30))</f>
        <v>0</v>
      </c>
      <c r="AE30" s="101"/>
      <c r="AF30" s="101">
        <f>IF(VLOOKUP($D30,$C$5:$AJ$644,30,)=0,0,((VLOOKUP($D30,$C$5:$AJ$644,30,)/VLOOKUP($D30,$C$5:$AJ$644,4,))*$F30))</f>
        <v>0</v>
      </c>
      <c r="AG30" s="101"/>
      <c r="AH30" s="101">
        <f>IF(VLOOKUP($D30,$C$5:$AJ$644,32,)=0,0,((VLOOKUP($D30,$C$5:$AJ$644,32,)/VLOOKUP($D30,$C$5:$AJ$644,4,))*$F30))</f>
        <v>0</v>
      </c>
      <c r="AI30" s="101"/>
      <c r="AJ30" s="101">
        <f>IF(VLOOKUP($D30,$C$5:$AJ$644,34,)=0,0,((VLOOKUP($D30,$C$5:$AJ$644,34,)/VLOOKUP($D30,$C$5:$AJ$644,4,))*$F30))</f>
        <v>0</v>
      </c>
      <c r="AK30" s="101">
        <f>SUM(H30:AJ30)</f>
        <v>8230400.4889750648</v>
      </c>
      <c r="AL30" s="98" t="str">
        <f>IF(ABS(AK30-F30)&lt;1,"ok","err")</f>
        <v>ok</v>
      </c>
    </row>
    <row r="31" spans="1:38" x14ac:dyDescent="0.25">
      <c r="Y31" s="97"/>
      <c r="AK31" s="101"/>
      <c r="AL31" s="98"/>
    </row>
    <row r="32" spans="1:38" x14ac:dyDescent="0.25">
      <c r="B32" s="97" t="s">
        <v>463</v>
      </c>
      <c r="C32" s="97" t="s">
        <v>491</v>
      </c>
      <c r="F32" s="102">
        <f>SUM(F29:F31)</f>
        <v>881238248.38230264</v>
      </c>
      <c r="G32" s="102"/>
      <c r="H32" s="102">
        <f t="shared" ref="H32:M32" si="3">SUM(H29:H31)</f>
        <v>0</v>
      </c>
      <c r="I32" s="102">
        <f t="shared" si="3"/>
        <v>0</v>
      </c>
      <c r="J32" s="102">
        <f t="shared" si="3"/>
        <v>0</v>
      </c>
      <c r="K32" s="102">
        <f t="shared" si="3"/>
        <v>0</v>
      </c>
      <c r="L32" s="102">
        <f t="shared" si="3"/>
        <v>0</v>
      </c>
      <c r="M32" s="102">
        <f t="shared" si="3"/>
        <v>0</v>
      </c>
      <c r="N32" s="102"/>
      <c r="O32" s="102">
        <f>SUM(O29:O31)</f>
        <v>881238248.38230264</v>
      </c>
      <c r="P32" s="102">
        <f>SUM(P29:P31)</f>
        <v>0</v>
      </c>
      <c r="Q32" s="102">
        <f>SUM(Q29:Q31)</f>
        <v>0</v>
      </c>
      <c r="R32" s="102"/>
      <c r="S32" s="102">
        <f t="shared" ref="S32:AD32" si="4">SUM(S29:S31)</f>
        <v>0</v>
      </c>
      <c r="T32" s="102">
        <f t="shared" si="4"/>
        <v>0</v>
      </c>
      <c r="U32" s="102">
        <f t="shared" si="4"/>
        <v>0</v>
      </c>
      <c r="V32" s="102">
        <f t="shared" si="4"/>
        <v>0</v>
      </c>
      <c r="W32" s="102">
        <f t="shared" si="4"/>
        <v>0</v>
      </c>
      <c r="X32" s="102">
        <f t="shared" si="4"/>
        <v>0</v>
      </c>
      <c r="Y32" s="102">
        <f t="shared" si="4"/>
        <v>0</v>
      </c>
      <c r="Z32" s="102">
        <f t="shared" si="4"/>
        <v>0</v>
      </c>
      <c r="AA32" s="102">
        <f t="shared" si="4"/>
        <v>0</v>
      </c>
      <c r="AB32" s="102">
        <f t="shared" si="4"/>
        <v>0</v>
      </c>
      <c r="AC32" s="102">
        <f t="shared" si="4"/>
        <v>0</v>
      </c>
      <c r="AD32" s="102">
        <f t="shared" si="4"/>
        <v>0</v>
      </c>
      <c r="AE32" s="102"/>
      <c r="AF32" s="102">
        <f>SUM(AF29:AF31)</f>
        <v>0</v>
      </c>
      <c r="AG32" s="102"/>
      <c r="AH32" s="102">
        <f>SUM(AH29:AH31)</f>
        <v>0</v>
      </c>
      <c r="AI32" s="102"/>
      <c r="AJ32" s="102">
        <f>SUM(AJ29:AJ31)</f>
        <v>0</v>
      </c>
      <c r="AK32" s="101">
        <f>SUM(H32:AJ32)</f>
        <v>881238248.38230264</v>
      </c>
      <c r="AL32" s="98" t="str">
        <f>IF(ABS(AK32-F32)&lt;1,"ok","err")</f>
        <v>ok</v>
      </c>
    </row>
    <row r="33" spans="1:38" x14ac:dyDescent="0.25">
      <c r="Y33" s="97"/>
      <c r="AL33" s="98"/>
    </row>
    <row r="34" spans="1:38" x14ac:dyDescent="0.25">
      <c r="A34" s="23" t="s">
        <v>118</v>
      </c>
      <c r="Y34" s="97"/>
      <c r="AL34" s="98"/>
    </row>
    <row r="35" spans="1:38" x14ac:dyDescent="0.25">
      <c r="A35" s="103"/>
      <c r="B35" s="104" t="s">
        <v>1650</v>
      </c>
      <c r="C35" s="97" t="s">
        <v>119</v>
      </c>
      <c r="D35" s="97" t="s">
        <v>120</v>
      </c>
      <c r="F35" s="100">
        <f>'Jurisdictional Study'!F687+'Jurisdictional Study'!F688+'Jurisdictional Study'!F689</f>
        <v>209650161.07461533</v>
      </c>
      <c r="H35" s="101">
        <f t="shared" ref="H35:H43" si="5">IF(VLOOKUP($D35,$C$5:$AJ$644,6,)=0,0,((VLOOKUP($D35,$C$5:$AJ$644,6,)/VLOOKUP($D35,$C$5:$AJ$644,4,))*$F35))</f>
        <v>0</v>
      </c>
      <c r="I35" s="101">
        <f t="shared" ref="I35:I43" si="6">IF(VLOOKUP($D35,$C$5:$AJ$644,7,)=0,0,((VLOOKUP($D35,$C$5:$AJ$644,7,)/VLOOKUP($D35,$C$5:$AJ$644,4,))*$F35))</f>
        <v>0</v>
      </c>
      <c r="J35" s="101">
        <f t="shared" ref="J35:J43" si="7">IF(VLOOKUP($D35,$C$5:$AJ$644,8,)=0,0,((VLOOKUP($D35,$C$5:$AJ$644,8,)/VLOOKUP($D35,$C$5:$AJ$644,4,))*$F35))</f>
        <v>0</v>
      </c>
      <c r="K35" s="101">
        <f t="shared" ref="K35:K43" si="8">IF(VLOOKUP($D35,$C$5:$AJ$644,9,)=0,0,((VLOOKUP($D35,$C$5:$AJ$644,9,)/VLOOKUP($D35,$C$5:$AJ$644,4,))*$F35))</f>
        <v>0</v>
      </c>
      <c r="L35" s="101">
        <f t="shared" ref="L35:L43" si="9">IF(VLOOKUP($D35,$C$5:$AJ$644,10,)=0,0,((VLOOKUP($D35,$C$5:$AJ$644,10,)/VLOOKUP($D35,$C$5:$AJ$644,4,))*$F35))</f>
        <v>0</v>
      </c>
      <c r="M35" s="101">
        <f t="shared" ref="M35:M43" si="10">IF(VLOOKUP($D35,$C$5:$AJ$644,11,)=0,0,((VLOOKUP($D35,$C$5:$AJ$644,11,)/VLOOKUP($D35,$C$5:$AJ$644,4,))*$F35))</f>
        <v>0</v>
      </c>
      <c r="N35" s="101"/>
      <c r="O35" s="101">
        <f t="shared" ref="O35:O43" si="11">IF(VLOOKUP($D35,$C$5:$AJ$644,13,)=0,0,((VLOOKUP($D35,$C$5:$AJ$644,13,)/VLOOKUP($D35,$C$5:$AJ$644,4,))*$F35))</f>
        <v>0</v>
      </c>
      <c r="P35" s="101">
        <f t="shared" ref="P35:P43" si="12">IF(VLOOKUP($D35,$C$5:$AJ$644,14,)=0,0,((VLOOKUP($D35,$C$5:$AJ$644,14,)/VLOOKUP($D35,$C$5:$AJ$644,4,))*$F35))</f>
        <v>0</v>
      </c>
      <c r="Q35" s="101">
        <f t="shared" ref="Q35:Q43" si="13">IF(VLOOKUP($D35,$C$5:$AJ$644,15,)=0,0,((VLOOKUP($D35,$C$5:$AJ$644,15,)/VLOOKUP($D35,$C$5:$AJ$644,4,))*$F35))</f>
        <v>0</v>
      </c>
      <c r="R35" s="101"/>
      <c r="S35" s="101">
        <f t="shared" ref="S35:S43" si="14">IF(VLOOKUP($D35,$C$5:$AJ$644,17,)=0,0,((VLOOKUP($D35,$C$5:$AJ$644,17,)/VLOOKUP($D35,$C$5:$AJ$644,4,))*$F35))</f>
        <v>0</v>
      </c>
      <c r="T35" s="101">
        <f t="shared" ref="T35:T43" si="15">IF(VLOOKUP($D35,$C$5:$AJ$644,18,)=0,0,((VLOOKUP($D35,$C$5:$AJ$644,18,)/VLOOKUP($D35,$C$5:$AJ$644,4,))*$F35))</f>
        <v>209650161.07461533</v>
      </c>
      <c r="U35" s="101">
        <f t="shared" ref="U35:U43" si="16">IF(VLOOKUP($D35,$C$5:$AJ$644,19,)=0,0,((VLOOKUP($D35,$C$5:$AJ$644,19,)/VLOOKUP($D35,$C$5:$AJ$644,4,))*$F35))</f>
        <v>0</v>
      </c>
      <c r="V35" s="101">
        <f t="shared" ref="V35:V43" si="17">IF(VLOOKUP($D35,$C$5:$AJ$644,20,)=0,0,((VLOOKUP($D35,$C$5:$AJ$644,20,)/VLOOKUP($D35,$C$5:$AJ$644,4,))*$F35))</f>
        <v>0</v>
      </c>
      <c r="W35" s="101">
        <f t="shared" ref="W35:W43" si="18">IF(VLOOKUP($D35,$C$5:$AJ$644,21,)=0,0,((VLOOKUP($D35,$C$5:$AJ$644,21,)/VLOOKUP($D35,$C$5:$AJ$644,4,))*$F35))</f>
        <v>0</v>
      </c>
      <c r="X35" s="101">
        <f t="shared" ref="X35:X43" si="19">IF(VLOOKUP($D35,$C$5:$AJ$644,22,)=0,0,((VLOOKUP($D35,$C$5:$AJ$644,22,)/VLOOKUP($D35,$C$5:$AJ$644,4,))*$F35))</f>
        <v>0</v>
      </c>
      <c r="Y35" s="101">
        <f t="shared" ref="Y35:Y43" si="20">IF(VLOOKUP($D35,$C$5:$AJ$644,23,)=0,0,((VLOOKUP($D35,$C$5:$AJ$644,23,)/VLOOKUP($D35,$C$5:$AJ$644,4,))*$F35))</f>
        <v>0</v>
      </c>
      <c r="Z35" s="101">
        <f t="shared" ref="Z35:Z43" si="21">IF(VLOOKUP($D35,$C$5:$AJ$644,24,)=0,0,((VLOOKUP($D35,$C$5:$AJ$644,24,)/VLOOKUP($D35,$C$5:$AJ$644,4,))*$F35))</f>
        <v>0</v>
      </c>
      <c r="AA35" s="101">
        <f t="shared" ref="AA35:AA43" si="22">IF(VLOOKUP($D35,$C$5:$AJ$644,25,)=0,0,((VLOOKUP($D35,$C$5:$AJ$644,25,)/VLOOKUP($D35,$C$5:$AJ$644,4,))*$F35))</f>
        <v>0</v>
      </c>
      <c r="AB35" s="101">
        <f t="shared" ref="AB35:AB43" si="23">IF(VLOOKUP($D35,$C$5:$AJ$644,26,)=0,0,((VLOOKUP($D35,$C$5:$AJ$644,26,)/VLOOKUP($D35,$C$5:$AJ$644,4,))*$F35))</f>
        <v>0</v>
      </c>
      <c r="AC35" s="101">
        <f t="shared" ref="AC35:AC43" si="24">IF(VLOOKUP($D35,$C$5:$AJ$644,27,)=0,0,((VLOOKUP($D35,$C$5:$AJ$644,27,)/VLOOKUP($D35,$C$5:$AJ$644,4,))*$F35))</f>
        <v>0</v>
      </c>
      <c r="AD35" s="101">
        <f t="shared" ref="AD35:AD43" si="25">IF(VLOOKUP($D35,$C$5:$AJ$644,28,)=0,0,((VLOOKUP($D35,$C$5:$AJ$644,28,)/VLOOKUP($D35,$C$5:$AJ$644,4,))*$F35))</f>
        <v>0</v>
      </c>
      <c r="AE35" s="101"/>
      <c r="AF35" s="101">
        <f t="shared" ref="AF35:AF43" si="26">IF(VLOOKUP($D35,$C$5:$AJ$644,30,)=0,0,((VLOOKUP($D35,$C$5:$AJ$644,30,)/VLOOKUP($D35,$C$5:$AJ$644,4,))*$F35))</f>
        <v>0</v>
      </c>
      <c r="AG35" s="101"/>
      <c r="AH35" s="101">
        <f t="shared" ref="AH35:AH43" si="27">IF(VLOOKUP($D35,$C$5:$AJ$644,32,)=0,0,((VLOOKUP($D35,$C$5:$AJ$644,32,)/VLOOKUP($D35,$C$5:$AJ$644,4,))*$F35))</f>
        <v>0</v>
      </c>
      <c r="AI35" s="101"/>
      <c r="AJ35" s="101">
        <f t="shared" ref="AJ35:AJ43" si="28">IF(VLOOKUP($D35,$C$5:$AJ$644,34,)=0,0,((VLOOKUP($D35,$C$5:$AJ$644,34,)/VLOOKUP($D35,$C$5:$AJ$644,4,))*$F35))</f>
        <v>0</v>
      </c>
      <c r="AK35" s="101">
        <f t="shared" ref="AK35:AK42" si="29">SUM(H35:AJ35)</f>
        <v>209650161.07461533</v>
      </c>
      <c r="AL35" s="98" t="str">
        <f t="shared" ref="AL35:AL42" si="30">IF(ABS(AK35-F35)&lt;1,"ok","err")</f>
        <v>ok</v>
      </c>
    </row>
    <row r="36" spans="1:38" x14ac:dyDescent="0.25">
      <c r="A36" s="103"/>
      <c r="B36" s="104" t="s">
        <v>1651</v>
      </c>
      <c r="C36" s="97" t="s">
        <v>122</v>
      </c>
      <c r="D36" s="97" t="s">
        <v>123</v>
      </c>
      <c r="F36" s="101">
        <f>'Jurisdictional Study'!F690+'Jurisdictional Study'!F691-24552.52-21921.55</f>
        <v>717117864.68692136</v>
      </c>
      <c r="H36" s="101">
        <f t="shared" si="5"/>
        <v>0</v>
      </c>
      <c r="I36" s="101">
        <f t="shared" si="6"/>
        <v>0</v>
      </c>
      <c r="J36" s="101">
        <f t="shared" si="7"/>
        <v>0</v>
      </c>
      <c r="K36" s="101">
        <f t="shared" si="8"/>
        <v>0</v>
      </c>
      <c r="L36" s="101">
        <f t="shared" si="9"/>
        <v>0</v>
      </c>
      <c r="M36" s="101">
        <f t="shared" si="10"/>
        <v>0</v>
      </c>
      <c r="N36" s="101"/>
      <c r="O36" s="101">
        <f t="shared" si="11"/>
        <v>0</v>
      </c>
      <c r="P36" s="101">
        <f t="shared" si="12"/>
        <v>0</v>
      </c>
      <c r="Q36" s="101">
        <f t="shared" si="13"/>
        <v>0</v>
      </c>
      <c r="R36" s="101"/>
      <c r="S36" s="101">
        <f t="shared" si="14"/>
        <v>0</v>
      </c>
      <c r="T36" s="101">
        <f t="shared" si="15"/>
        <v>0</v>
      </c>
      <c r="U36" s="101">
        <f t="shared" si="16"/>
        <v>0</v>
      </c>
      <c r="V36" s="101">
        <f t="shared" si="17"/>
        <v>190840847.55739155</v>
      </c>
      <c r="W36" s="101">
        <f t="shared" si="18"/>
        <v>276791712.00494987</v>
      </c>
      <c r="X36" s="101">
        <f t="shared" si="19"/>
        <v>101814953.02134107</v>
      </c>
      <c r="Y36" s="101">
        <f t="shared" si="20"/>
        <v>147670352.10323885</v>
      </c>
      <c r="Z36" s="101">
        <f t="shared" si="21"/>
        <v>0</v>
      </c>
      <c r="AA36" s="101">
        <f t="shared" si="22"/>
        <v>0</v>
      </c>
      <c r="AB36" s="101">
        <f t="shared" si="23"/>
        <v>0</v>
      </c>
      <c r="AC36" s="101">
        <f t="shared" si="24"/>
        <v>0</v>
      </c>
      <c r="AD36" s="101">
        <f t="shared" si="25"/>
        <v>0</v>
      </c>
      <c r="AE36" s="101"/>
      <c r="AF36" s="101">
        <f t="shared" si="26"/>
        <v>0</v>
      </c>
      <c r="AG36" s="101"/>
      <c r="AH36" s="101">
        <f t="shared" si="27"/>
        <v>0</v>
      </c>
      <c r="AI36" s="101"/>
      <c r="AJ36" s="101">
        <f t="shared" si="28"/>
        <v>0</v>
      </c>
      <c r="AK36" s="101">
        <f t="shared" si="29"/>
        <v>717117864.68692136</v>
      </c>
      <c r="AL36" s="98" t="str">
        <f t="shared" si="30"/>
        <v>ok</v>
      </c>
    </row>
    <row r="37" spans="1:38" x14ac:dyDescent="0.25">
      <c r="A37" s="103"/>
      <c r="B37" s="104" t="s">
        <v>1652</v>
      </c>
      <c r="C37" s="97" t="s">
        <v>125</v>
      </c>
      <c r="D37" s="97" t="s">
        <v>124</v>
      </c>
      <c r="F37" s="101">
        <f>'Jurisdictional Study'!F692+'Jurisdictional Study'!F693-171003-1290157</f>
        <v>200924821.21538463</v>
      </c>
      <c r="H37" s="101">
        <f t="shared" si="5"/>
        <v>0</v>
      </c>
      <c r="I37" s="101">
        <f t="shared" si="6"/>
        <v>0</v>
      </c>
      <c r="J37" s="101">
        <f t="shared" si="7"/>
        <v>0</v>
      </c>
      <c r="K37" s="101">
        <f t="shared" si="8"/>
        <v>0</v>
      </c>
      <c r="L37" s="101">
        <f t="shared" si="9"/>
        <v>0</v>
      </c>
      <c r="M37" s="101">
        <f t="shared" si="10"/>
        <v>0</v>
      </c>
      <c r="N37" s="101"/>
      <c r="O37" s="101">
        <f t="shared" si="11"/>
        <v>0</v>
      </c>
      <c r="P37" s="101">
        <f t="shared" si="12"/>
        <v>0</v>
      </c>
      <c r="Q37" s="101">
        <f t="shared" si="13"/>
        <v>0</v>
      </c>
      <c r="R37" s="101"/>
      <c r="S37" s="101">
        <f t="shared" si="14"/>
        <v>0</v>
      </c>
      <c r="T37" s="101">
        <f t="shared" si="15"/>
        <v>0</v>
      </c>
      <c r="U37" s="101">
        <f t="shared" si="16"/>
        <v>0</v>
      </c>
      <c r="V37" s="101">
        <f t="shared" si="17"/>
        <v>37613245.077164523</v>
      </c>
      <c r="W37" s="101">
        <f t="shared" si="18"/>
        <v>146855833.28068012</v>
      </c>
      <c r="X37" s="101">
        <f t="shared" si="19"/>
        <v>3355325.9686524067</v>
      </c>
      <c r="Y37" s="101">
        <f t="shared" si="20"/>
        <v>13100416.888887595</v>
      </c>
      <c r="Z37" s="101">
        <f t="shared" si="21"/>
        <v>0</v>
      </c>
      <c r="AA37" s="101">
        <f t="shared" si="22"/>
        <v>0</v>
      </c>
      <c r="AB37" s="101">
        <f t="shared" si="23"/>
        <v>0</v>
      </c>
      <c r="AC37" s="101">
        <f t="shared" si="24"/>
        <v>0</v>
      </c>
      <c r="AD37" s="101">
        <f t="shared" si="25"/>
        <v>0</v>
      </c>
      <c r="AE37" s="101"/>
      <c r="AF37" s="101">
        <f t="shared" si="26"/>
        <v>0</v>
      </c>
      <c r="AG37" s="101"/>
      <c r="AH37" s="101">
        <f t="shared" si="27"/>
        <v>0</v>
      </c>
      <c r="AI37" s="101"/>
      <c r="AJ37" s="101">
        <f t="shared" si="28"/>
        <v>0</v>
      </c>
      <c r="AK37" s="101">
        <f t="shared" si="29"/>
        <v>200924821.21538463</v>
      </c>
      <c r="AL37" s="98" t="str">
        <f t="shared" si="30"/>
        <v>ok</v>
      </c>
    </row>
    <row r="38" spans="1:38" x14ac:dyDescent="0.25">
      <c r="A38" s="103"/>
      <c r="B38" s="104" t="s">
        <v>1653</v>
      </c>
      <c r="C38" s="97" t="s">
        <v>126</v>
      </c>
      <c r="D38" s="97" t="s">
        <v>127</v>
      </c>
      <c r="F38" s="101">
        <f>'Jurisdictional Study'!F695</f>
        <v>5414628.1265696799</v>
      </c>
      <c r="H38" s="101">
        <f t="shared" si="5"/>
        <v>0</v>
      </c>
      <c r="I38" s="101">
        <f t="shared" si="6"/>
        <v>0</v>
      </c>
      <c r="J38" s="101">
        <f t="shared" si="7"/>
        <v>0</v>
      </c>
      <c r="K38" s="101">
        <f t="shared" si="8"/>
        <v>0</v>
      </c>
      <c r="L38" s="101">
        <f t="shared" si="9"/>
        <v>0</v>
      </c>
      <c r="M38" s="101">
        <f t="shared" si="10"/>
        <v>0</v>
      </c>
      <c r="N38" s="101"/>
      <c r="O38" s="101">
        <f t="shared" si="11"/>
        <v>0</v>
      </c>
      <c r="P38" s="101">
        <f t="shared" si="12"/>
        <v>0</v>
      </c>
      <c r="Q38" s="101">
        <f t="shared" si="13"/>
        <v>0</v>
      </c>
      <c r="R38" s="101"/>
      <c r="S38" s="101">
        <f t="shared" si="14"/>
        <v>0</v>
      </c>
      <c r="T38" s="101">
        <f t="shared" si="15"/>
        <v>0</v>
      </c>
      <c r="U38" s="101">
        <f t="shared" si="16"/>
        <v>0</v>
      </c>
      <c r="V38" s="101">
        <f t="shared" si="17"/>
        <v>0</v>
      </c>
      <c r="W38" s="101">
        <f t="shared" si="18"/>
        <v>0</v>
      </c>
      <c r="X38" s="101">
        <f t="shared" si="19"/>
        <v>0</v>
      </c>
      <c r="Y38" s="101">
        <f t="shared" si="20"/>
        <v>0</v>
      </c>
      <c r="Z38" s="101">
        <f t="shared" si="21"/>
        <v>2865065.3952063727</v>
      </c>
      <c r="AA38" s="101">
        <f t="shared" si="22"/>
        <v>2549562.7313633072</v>
      </c>
      <c r="AB38" s="101">
        <f t="shared" si="23"/>
        <v>0</v>
      </c>
      <c r="AC38" s="101">
        <f t="shared" si="24"/>
        <v>0</v>
      </c>
      <c r="AD38" s="101">
        <f t="shared" si="25"/>
        <v>0</v>
      </c>
      <c r="AE38" s="101"/>
      <c r="AF38" s="101">
        <f t="shared" si="26"/>
        <v>0</v>
      </c>
      <c r="AG38" s="101"/>
      <c r="AH38" s="101">
        <f t="shared" si="27"/>
        <v>0</v>
      </c>
      <c r="AI38" s="101"/>
      <c r="AJ38" s="101">
        <f t="shared" si="28"/>
        <v>0</v>
      </c>
      <c r="AK38" s="101">
        <f t="shared" si="29"/>
        <v>5414628.1265696799</v>
      </c>
      <c r="AL38" s="98" t="str">
        <f t="shared" si="30"/>
        <v>ok</v>
      </c>
    </row>
    <row r="39" spans="1:38" x14ac:dyDescent="0.25">
      <c r="A39" s="103"/>
      <c r="B39" s="104" t="s">
        <v>1654</v>
      </c>
      <c r="C39" s="97" t="s">
        <v>1688</v>
      </c>
      <c r="D39" s="97" t="s">
        <v>127</v>
      </c>
      <c r="F39" s="101">
        <f>'Jurisdictional Study'!F696</f>
        <v>303128638.78846043</v>
      </c>
      <c r="H39" s="101">
        <f t="shared" si="5"/>
        <v>0</v>
      </c>
      <c r="I39" s="101">
        <f t="shared" si="6"/>
        <v>0</v>
      </c>
      <c r="J39" s="101">
        <f t="shared" si="7"/>
        <v>0</v>
      </c>
      <c r="K39" s="101">
        <f t="shared" si="8"/>
        <v>0</v>
      </c>
      <c r="L39" s="101">
        <f t="shared" si="9"/>
        <v>0</v>
      </c>
      <c r="M39" s="101">
        <f t="shared" si="10"/>
        <v>0</v>
      </c>
      <c r="N39" s="101"/>
      <c r="O39" s="101">
        <f t="shared" si="11"/>
        <v>0</v>
      </c>
      <c r="P39" s="101">
        <f t="shared" si="12"/>
        <v>0</v>
      </c>
      <c r="Q39" s="101">
        <f t="shared" si="13"/>
        <v>0</v>
      </c>
      <c r="R39" s="101"/>
      <c r="S39" s="101">
        <f t="shared" si="14"/>
        <v>0</v>
      </c>
      <c r="T39" s="101">
        <f t="shared" si="15"/>
        <v>0</v>
      </c>
      <c r="U39" s="101">
        <f t="shared" si="16"/>
        <v>0</v>
      </c>
      <c r="V39" s="101">
        <f t="shared" si="17"/>
        <v>0</v>
      </c>
      <c r="W39" s="101">
        <f t="shared" si="18"/>
        <v>0</v>
      </c>
      <c r="X39" s="101">
        <f t="shared" si="19"/>
        <v>0</v>
      </c>
      <c r="Y39" s="101">
        <f t="shared" si="20"/>
        <v>0</v>
      </c>
      <c r="Z39" s="101">
        <f t="shared" si="21"/>
        <v>160395756.27126935</v>
      </c>
      <c r="AA39" s="101">
        <f t="shared" si="22"/>
        <v>142732882.51719108</v>
      </c>
      <c r="AB39" s="101">
        <f t="shared" si="23"/>
        <v>0</v>
      </c>
      <c r="AC39" s="101">
        <f t="shared" si="24"/>
        <v>0</v>
      </c>
      <c r="AD39" s="101">
        <f t="shared" si="25"/>
        <v>0</v>
      </c>
      <c r="AE39" s="101"/>
      <c r="AF39" s="101">
        <f t="shared" si="26"/>
        <v>0</v>
      </c>
      <c r="AG39" s="101"/>
      <c r="AH39" s="101">
        <f t="shared" si="27"/>
        <v>0</v>
      </c>
      <c r="AI39" s="101"/>
      <c r="AJ39" s="101">
        <f t="shared" si="28"/>
        <v>0</v>
      </c>
      <c r="AK39" s="101">
        <f t="shared" si="29"/>
        <v>303128638.78846043</v>
      </c>
      <c r="AL39" s="98" t="str">
        <f t="shared" si="30"/>
        <v>ok</v>
      </c>
    </row>
    <row r="40" spans="1:38" x14ac:dyDescent="0.25">
      <c r="A40" s="103"/>
      <c r="B40" s="104" t="s">
        <v>1655</v>
      </c>
      <c r="C40" s="97" t="s">
        <v>128</v>
      </c>
      <c r="D40" s="97" t="s">
        <v>177</v>
      </c>
      <c r="F40" s="101">
        <f>'Jurisdictional Study'!F698</f>
        <v>97262576.699999869</v>
      </c>
      <c r="H40" s="101">
        <f t="shared" si="5"/>
        <v>0</v>
      </c>
      <c r="I40" s="101">
        <f t="shared" si="6"/>
        <v>0</v>
      </c>
      <c r="J40" s="101">
        <f t="shared" si="7"/>
        <v>0</v>
      </c>
      <c r="K40" s="101">
        <f t="shared" si="8"/>
        <v>0</v>
      </c>
      <c r="L40" s="101">
        <f t="shared" si="9"/>
        <v>0</v>
      </c>
      <c r="M40" s="101">
        <f t="shared" si="10"/>
        <v>0</v>
      </c>
      <c r="N40" s="101"/>
      <c r="O40" s="101">
        <f t="shared" si="11"/>
        <v>0</v>
      </c>
      <c r="P40" s="101">
        <f t="shared" si="12"/>
        <v>0</v>
      </c>
      <c r="Q40" s="101">
        <f t="shared" si="13"/>
        <v>0</v>
      </c>
      <c r="R40" s="101"/>
      <c r="S40" s="101">
        <f t="shared" si="14"/>
        <v>0</v>
      </c>
      <c r="T40" s="101">
        <f t="shared" si="15"/>
        <v>0</v>
      </c>
      <c r="U40" s="101">
        <f t="shared" si="16"/>
        <v>0</v>
      </c>
      <c r="V40" s="101">
        <f t="shared" si="17"/>
        <v>0</v>
      </c>
      <c r="W40" s="101">
        <f t="shared" si="18"/>
        <v>0</v>
      </c>
      <c r="X40" s="101">
        <f t="shared" si="19"/>
        <v>0</v>
      </c>
      <c r="Y40" s="101">
        <f t="shared" si="20"/>
        <v>0</v>
      </c>
      <c r="Z40" s="101">
        <f t="shared" si="21"/>
        <v>0</v>
      </c>
      <c r="AA40" s="101">
        <f t="shared" si="22"/>
        <v>0</v>
      </c>
      <c r="AB40" s="101">
        <f t="shared" si="23"/>
        <v>97262576.699999869</v>
      </c>
      <c r="AC40" s="101">
        <f t="shared" si="24"/>
        <v>0</v>
      </c>
      <c r="AD40" s="101">
        <f t="shared" si="25"/>
        <v>0</v>
      </c>
      <c r="AE40" s="101"/>
      <c r="AF40" s="101">
        <f t="shared" si="26"/>
        <v>0</v>
      </c>
      <c r="AG40" s="101"/>
      <c r="AH40" s="101">
        <f t="shared" si="27"/>
        <v>0</v>
      </c>
      <c r="AI40" s="101"/>
      <c r="AJ40" s="101">
        <f t="shared" si="28"/>
        <v>0</v>
      </c>
      <c r="AK40" s="101">
        <f t="shared" si="29"/>
        <v>97262576.699999869</v>
      </c>
      <c r="AL40" s="98" t="str">
        <f t="shared" si="30"/>
        <v>ok</v>
      </c>
    </row>
    <row r="41" spans="1:38" x14ac:dyDescent="0.25">
      <c r="A41" s="103"/>
      <c r="B41" s="104" t="s">
        <v>1656</v>
      </c>
      <c r="C41" s="97" t="s">
        <v>178</v>
      </c>
      <c r="D41" s="97" t="s">
        <v>179</v>
      </c>
      <c r="F41" s="101">
        <f>'Jurisdictional Study'!F699</f>
        <v>82987729.264615372</v>
      </c>
      <c r="H41" s="101">
        <f t="shared" si="5"/>
        <v>0</v>
      </c>
      <c r="I41" s="101">
        <f t="shared" si="6"/>
        <v>0</v>
      </c>
      <c r="J41" s="101">
        <f t="shared" si="7"/>
        <v>0</v>
      </c>
      <c r="K41" s="101">
        <f t="shared" si="8"/>
        <v>0</v>
      </c>
      <c r="L41" s="101">
        <f t="shared" si="9"/>
        <v>0</v>
      </c>
      <c r="M41" s="101">
        <f t="shared" si="10"/>
        <v>0</v>
      </c>
      <c r="N41" s="101"/>
      <c r="O41" s="101">
        <f t="shared" si="11"/>
        <v>0</v>
      </c>
      <c r="P41" s="101">
        <f t="shared" si="12"/>
        <v>0</v>
      </c>
      <c r="Q41" s="101">
        <f t="shared" si="13"/>
        <v>0</v>
      </c>
      <c r="R41" s="101"/>
      <c r="S41" s="101">
        <f t="shared" si="14"/>
        <v>0</v>
      </c>
      <c r="T41" s="101">
        <f t="shared" si="15"/>
        <v>0</v>
      </c>
      <c r="U41" s="101">
        <f t="shared" si="16"/>
        <v>0</v>
      </c>
      <c r="V41" s="101">
        <f t="shared" si="17"/>
        <v>0</v>
      </c>
      <c r="W41" s="101">
        <f t="shared" si="18"/>
        <v>0</v>
      </c>
      <c r="X41" s="101">
        <f t="shared" si="19"/>
        <v>0</v>
      </c>
      <c r="Y41" s="101">
        <f t="shared" si="20"/>
        <v>0</v>
      </c>
      <c r="Z41" s="101">
        <f t="shared" si="21"/>
        <v>0</v>
      </c>
      <c r="AA41" s="101">
        <f t="shared" si="22"/>
        <v>0</v>
      </c>
      <c r="AB41" s="101">
        <f t="shared" si="23"/>
        <v>0</v>
      </c>
      <c r="AC41" s="101">
        <f t="shared" si="24"/>
        <v>82987729.264615372</v>
      </c>
      <c r="AD41" s="101">
        <f t="shared" si="25"/>
        <v>0</v>
      </c>
      <c r="AE41" s="101"/>
      <c r="AF41" s="101">
        <f t="shared" si="26"/>
        <v>0</v>
      </c>
      <c r="AG41" s="101"/>
      <c r="AH41" s="101">
        <f t="shared" si="27"/>
        <v>0</v>
      </c>
      <c r="AI41" s="101"/>
      <c r="AJ41" s="101">
        <f t="shared" si="28"/>
        <v>0</v>
      </c>
      <c r="AK41" s="101">
        <f t="shared" si="29"/>
        <v>82987729.264615372</v>
      </c>
      <c r="AL41" s="98" t="str">
        <f t="shared" si="30"/>
        <v>ok</v>
      </c>
    </row>
    <row r="42" spans="1:38" x14ac:dyDescent="0.25">
      <c r="A42" s="103"/>
      <c r="B42" s="104" t="s">
        <v>1657</v>
      </c>
      <c r="C42" s="97" t="s">
        <v>180</v>
      </c>
      <c r="D42" s="97" t="s">
        <v>182</v>
      </c>
      <c r="F42" s="101">
        <f>'Jurisdictional Study'!F700</f>
        <v>282792.23923076928</v>
      </c>
      <c r="H42" s="101">
        <f t="shared" si="5"/>
        <v>0</v>
      </c>
      <c r="I42" s="101">
        <f t="shared" si="6"/>
        <v>0</v>
      </c>
      <c r="J42" s="101">
        <f t="shared" si="7"/>
        <v>0</v>
      </c>
      <c r="K42" s="101">
        <f t="shared" si="8"/>
        <v>0</v>
      </c>
      <c r="L42" s="101">
        <f t="shared" si="9"/>
        <v>0</v>
      </c>
      <c r="M42" s="101">
        <f t="shared" si="10"/>
        <v>0</v>
      </c>
      <c r="N42" s="101"/>
      <c r="O42" s="101">
        <f t="shared" si="11"/>
        <v>0</v>
      </c>
      <c r="P42" s="101">
        <f t="shared" si="12"/>
        <v>0</v>
      </c>
      <c r="Q42" s="101">
        <f t="shared" si="13"/>
        <v>0</v>
      </c>
      <c r="R42" s="101"/>
      <c r="S42" s="101">
        <f t="shared" si="14"/>
        <v>0</v>
      </c>
      <c r="T42" s="101">
        <f t="shared" si="15"/>
        <v>0</v>
      </c>
      <c r="U42" s="101">
        <f t="shared" si="16"/>
        <v>0</v>
      </c>
      <c r="V42" s="101">
        <f t="shared" si="17"/>
        <v>0</v>
      </c>
      <c r="W42" s="101">
        <f t="shared" si="18"/>
        <v>0</v>
      </c>
      <c r="X42" s="101">
        <f t="shared" si="19"/>
        <v>0</v>
      </c>
      <c r="Y42" s="101">
        <f t="shared" si="20"/>
        <v>0</v>
      </c>
      <c r="Z42" s="101">
        <f t="shared" si="21"/>
        <v>0</v>
      </c>
      <c r="AA42" s="101">
        <f t="shared" si="22"/>
        <v>0</v>
      </c>
      <c r="AB42" s="101">
        <f t="shared" si="23"/>
        <v>0</v>
      </c>
      <c r="AC42" s="101">
        <f t="shared" si="24"/>
        <v>0</v>
      </c>
      <c r="AD42" s="101">
        <f t="shared" si="25"/>
        <v>282792.23923076928</v>
      </c>
      <c r="AE42" s="101"/>
      <c r="AF42" s="101">
        <f t="shared" si="26"/>
        <v>0</v>
      </c>
      <c r="AG42" s="101"/>
      <c r="AH42" s="101">
        <f t="shared" si="27"/>
        <v>0</v>
      </c>
      <c r="AI42" s="101"/>
      <c r="AJ42" s="101">
        <f t="shared" si="28"/>
        <v>0</v>
      </c>
      <c r="AK42" s="101">
        <f t="shared" si="29"/>
        <v>282792.23923076928</v>
      </c>
      <c r="AL42" s="98" t="str">
        <f t="shared" si="30"/>
        <v>ok</v>
      </c>
    </row>
    <row r="43" spans="1:38" x14ac:dyDescent="0.25">
      <c r="A43" s="103"/>
      <c r="B43" s="104" t="s">
        <v>1658</v>
      </c>
      <c r="C43" s="97" t="s">
        <v>181</v>
      </c>
      <c r="D43" s="97" t="s">
        <v>182</v>
      </c>
      <c r="F43" s="101">
        <f>'Jurisdictional Study'!F701</f>
        <v>114827799.3</v>
      </c>
      <c r="H43" s="101">
        <f t="shared" si="5"/>
        <v>0</v>
      </c>
      <c r="I43" s="101">
        <f t="shared" si="6"/>
        <v>0</v>
      </c>
      <c r="J43" s="101">
        <f t="shared" si="7"/>
        <v>0</v>
      </c>
      <c r="K43" s="101">
        <f t="shared" si="8"/>
        <v>0</v>
      </c>
      <c r="L43" s="101">
        <f t="shared" si="9"/>
        <v>0</v>
      </c>
      <c r="M43" s="101">
        <f t="shared" si="10"/>
        <v>0</v>
      </c>
      <c r="N43" s="101"/>
      <c r="O43" s="101">
        <f t="shared" si="11"/>
        <v>0</v>
      </c>
      <c r="P43" s="101">
        <f t="shared" si="12"/>
        <v>0</v>
      </c>
      <c r="Q43" s="101">
        <f t="shared" si="13"/>
        <v>0</v>
      </c>
      <c r="R43" s="101"/>
      <c r="S43" s="101">
        <f t="shared" si="14"/>
        <v>0</v>
      </c>
      <c r="T43" s="101">
        <f t="shared" si="15"/>
        <v>0</v>
      </c>
      <c r="U43" s="101">
        <f t="shared" si="16"/>
        <v>0</v>
      </c>
      <c r="V43" s="101">
        <f t="shared" si="17"/>
        <v>0</v>
      </c>
      <c r="W43" s="101">
        <f t="shared" si="18"/>
        <v>0</v>
      </c>
      <c r="X43" s="101">
        <f t="shared" si="19"/>
        <v>0</v>
      </c>
      <c r="Y43" s="101">
        <f t="shared" si="20"/>
        <v>0</v>
      </c>
      <c r="Z43" s="101">
        <f t="shared" si="21"/>
        <v>0</v>
      </c>
      <c r="AA43" s="101">
        <f t="shared" si="22"/>
        <v>0</v>
      </c>
      <c r="AB43" s="101">
        <f t="shared" si="23"/>
        <v>0</v>
      </c>
      <c r="AC43" s="101">
        <f t="shared" si="24"/>
        <v>0</v>
      </c>
      <c r="AD43" s="101">
        <f t="shared" si="25"/>
        <v>114827799.3</v>
      </c>
      <c r="AE43" s="101"/>
      <c r="AF43" s="101">
        <f t="shared" si="26"/>
        <v>0</v>
      </c>
      <c r="AG43" s="101"/>
      <c r="AH43" s="101">
        <f t="shared" si="27"/>
        <v>0</v>
      </c>
      <c r="AI43" s="101"/>
      <c r="AJ43" s="101">
        <f t="shared" si="28"/>
        <v>0</v>
      </c>
      <c r="AK43" s="101">
        <f>SUM(H43:AJ43)</f>
        <v>114827799.3</v>
      </c>
      <c r="AL43" s="98" t="str">
        <f>IF(ABS(AK43-F43)&lt;1,"ok","err")</f>
        <v>ok</v>
      </c>
    </row>
    <row r="44" spans="1:38" x14ac:dyDescent="0.25">
      <c r="Y44" s="97"/>
      <c r="AK44" s="101"/>
      <c r="AL44" s="98"/>
    </row>
    <row r="45" spans="1:38" x14ac:dyDescent="0.25">
      <c r="B45" s="97" t="s">
        <v>183</v>
      </c>
      <c r="C45" s="97" t="s">
        <v>115</v>
      </c>
      <c r="F45" s="100">
        <f>SUM(F35:F44)</f>
        <v>1731597011.3957975</v>
      </c>
      <c r="G45" s="105"/>
      <c r="H45" s="100">
        <f t="shared" ref="H45:M45" si="31">SUM(H35:H44)</f>
        <v>0</v>
      </c>
      <c r="I45" s="100">
        <f t="shared" si="31"/>
        <v>0</v>
      </c>
      <c r="J45" s="100">
        <f t="shared" si="31"/>
        <v>0</v>
      </c>
      <c r="K45" s="100">
        <f t="shared" si="31"/>
        <v>0</v>
      </c>
      <c r="L45" s="100">
        <f t="shared" si="31"/>
        <v>0</v>
      </c>
      <c r="M45" s="100">
        <f t="shared" si="31"/>
        <v>0</v>
      </c>
      <c r="N45" s="100"/>
      <c r="O45" s="100">
        <f>SUM(O35:O44)</f>
        <v>0</v>
      </c>
      <c r="P45" s="100">
        <f>SUM(P35:P44)</f>
        <v>0</v>
      </c>
      <c r="Q45" s="100">
        <f>SUM(Q35:Q44)</f>
        <v>0</v>
      </c>
      <c r="R45" s="100"/>
      <c r="S45" s="100">
        <f t="shared" ref="S45:AD45" si="32">SUM(S35:S44)</f>
        <v>0</v>
      </c>
      <c r="T45" s="100">
        <f t="shared" si="32"/>
        <v>209650161.07461533</v>
      </c>
      <c r="U45" s="100">
        <f t="shared" si="32"/>
        <v>0</v>
      </c>
      <c r="V45" s="100">
        <f t="shared" si="32"/>
        <v>228454092.63455608</v>
      </c>
      <c r="W45" s="100">
        <f t="shared" si="32"/>
        <v>423647545.28562999</v>
      </c>
      <c r="X45" s="100">
        <f t="shared" si="32"/>
        <v>105170278.98999348</v>
      </c>
      <c r="Y45" s="100">
        <f t="shared" si="32"/>
        <v>160770768.99212644</v>
      </c>
      <c r="Z45" s="100">
        <f t="shared" si="32"/>
        <v>163260821.66647571</v>
      </c>
      <c r="AA45" s="100">
        <f t="shared" si="32"/>
        <v>145282445.24855438</v>
      </c>
      <c r="AB45" s="100">
        <f t="shared" si="32"/>
        <v>97262576.699999869</v>
      </c>
      <c r="AC45" s="100">
        <f t="shared" si="32"/>
        <v>82987729.264615372</v>
      </c>
      <c r="AD45" s="100">
        <f t="shared" si="32"/>
        <v>115110591.53923076</v>
      </c>
      <c r="AE45" s="100"/>
      <c r="AF45" s="100">
        <f>SUM(AF35:AF44)</f>
        <v>0</v>
      </c>
      <c r="AG45" s="100"/>
      <c r="AH45" s="100">
        <f>SUM(AH35:AH44)</f>
        <v>0</v>
      </c>
      <c r="AI45" s="100"/>
      <c r="AJ45" s="100">
        <f>SUM(AJ35:AJ44)</f>
        <v>0</v>
      </c>
      <c r="AK45" s="101">
        <f>SUM(H45:AJ45)</f>
        <v>1731597011.3957975</v>
      </c>
      <c r="AL45" s="98" t="str">
        <f>IF(ABS(AK45-F45)&lt;1,"ok","err")</f>
        <v>ok</v>
      </c>
    </row>
    <row r="46" spans="1:38" x14ac:dyDescent="0.25">
      <c r="Y46" s="97"/>
      <c r="AL46" s="98"/>
    </row>
    <row r="47" spans="1:38" x14ac:dyDescent="0.25">
      <c r="B47" s="24" t="s">
        <v>204</v>
      </c>
      <c r="C47" s="97" t="s">
        <v>493</v>
      </c>
      <c r="F47" s="102">
        <f>F26+F32+F45</f>
        <v>6689755614.9139967</v>
      </c>
      <c r="G47" s="102"/>
      <c r="H47" s="102">
        <f t="shared" ref="H47:M47" si="33">H26+H32+H45</f>
        <v>1401650538.269558</v>
      </c>
      <c r="I47" s="102">
        <f t="shared" si="33"/>
        <v>1468317655.3588209</v>
      </c>
      <c r="J47" s="102">
        <f t="shared" si="33"/>
        <v>1206952161.5075178</v>
      </c>
      <c r="K47" s="102">
        <f t="shared" si="33"/>
        <v>0</v>
      </c>
      <c r="L47" s="102">
        <f t="shared" si="33"/>
        <v>0</v>
      </c>
      <c r="M47" s="102">
        <f t="shared" si="33"/>
        <v>0</v>
      </c>
      <c r="N47" s="102"/>
      <c r="O47" s="102">
        <f>O26+O32+O45</f>
        <v>881238248.38230264</v>
      </c>
      <c r="P47" s="102">
        <f>P26+P32+P45</f>
        <v>0</v>
      </c>
      <c r="Q47" s="102">
        <f>Q26+Q32+Q45</f>
        <v>0</v>
      </c>
      <c r="R47" s="102"/>
      <c r="S47" s="102">
        <f t="shared" ref="S47:AD47" si="34">S26+S32+S45</f>
        <v>0</v>
      </c>
      <c r="T47" s="102">
        <f t="shared" si="34"/>
        <v>209650161.07461533</v>
      </c>
      <c r="U47" s="102">
        <f t="shared" si="34"/>
        <v>0</v>
      </c>
      <c r="V47" s="102">
        <f t="shared" si="34"/>
        <v>228454092.63455608</v>
      </c>
      <c r="W47" s="102">
        <f t="shared" si="34"/>
        <v>423647545.28562999</v>
      </c>
      <c r="X47" s="102">
        <f t="shared" si="34"/>
        <v>105170278.98999348</v>
      </c>
      <c r="Y47" s="102">
        <f t="shared" si="34"/>
        <v>160770768.99212644</v>
      </c>
      <c r="Z47" s="102">
        <f t="shared" si="34"/>
        <v>163260821.66647571</v>
      </c>
      <c r="AA47" s="102">
        <f t="shared" si="34"/>
        <v>145282445.24855438</v>
      </c>
      <c r="AB47" s="102">
        <f t="shared" si="34"/>
        <v>97262576.699999869</v>
      </c>
      <c r="AC47" s="102">
        <f t="shared" si="34"/>
        <v>82987729.264615372</v>
      </c>
      <c r="AD47" s="102">
        <f t="shared" si="34"/>
        <v>115110591.53923076</v>
      </c>
      <c r="AE47" s="102"/>
      <c r="AF47" s="102">
        <f>AF26+AF32+AF45</f>
        <v>0</v>
      </c>
      <c r="AG47" s="102"/>
      <c r="AH47" s="102">
        <f>AH26+AH32+AH45</f>
        <v>0</v>
      </c>
      <c r="AI47" s="102"/>
      <c r="AJ47" s="102">
        <f>AJ26+AJ32+AJ45</f>
        <v>0</v>
      </c>
      <c r="AK47" s="101">
        <f>SUM(H47:AJ47)</f>
        <v>6689755614.9139948</v>
      </c>
      <c r="AL47" s="98" t="str">
        <f>IF(ABS(AK47-F47)&lt;1,"ok","err")</f>
        <v>ok</v>
      </c>
    </row>
    <row r="48" spans="1:38" x14ac:dyDescent="0.25">
      <c r="Y48" s="97"/>
      <c r="AL48" s="98"/>
    </row>
    <row r="49" spans="1:38" x14ac:dyDescent="0.25">
      <c r="Y49" s="97"/>
      <c r="AL49" s="98"/>
    </row>
    <row r="50" spans="1:38" x14ac:dyDescent="0.25">
      <c r="Y50" s="97"/>
      <c r="AL50" s="98"/>
    </row>
    <row r="51" spans="1:38" x14ac:dyDescent="0.25">
      <c r="Y51" s="97"/>
      <c r="AL51" s="98"/>
    </row>
    <row r="52" spans="1:38" x14ac:dyDescent="0.25">
      <c r="Y52" s="97"/>
      <c r="AL52" s="98"/>
    </row>
    <row r="53" spans="1:38" x14ac:dyDescent="0.25">
      <c r="A53" s="23" t="s">
        <v>470</v>
      </c>
      <c r="Y53" s="97"/>
      <c r="AL53" s="98"/>
    </row>
    <row r="54" spans="1:38" x14ac:dyDescent="0.25">
      <c r="Y54" s="97"/>
      <c r="AL54" s="98"/>
    </row>
    <row r="55" spans="1:38" x14ac:dyDescent="0.25">
      <c r="A55" s="23" t="s">
        <v>184</v>
      </c>
      <c r="Y55" s="97"/>
      <c r="AL55" s="98"/>
    </row>
    <row r="56" spans="1:38" x14ac:dyDescent="0.25">
      <c r="Y56" s="97"/>
      <c r="AK56" s="101"/>
      <c r="AL56" s="98"/>
    </row>
    <row r="57" spans="1:38" x14ac:dyDescent="0.25">
      <c r="B57" s="97" t="s">
        <v>185</v>
      </c>
      <c r="C57" s="97" t="s">
        <v>186</v>
      </c>
      <c r="D57" s="97" t="s">
        <v>493</v>
      </c>
      <c r="F57" s="100">
        <f>'Jurisdictional Study'!F752-407913-10795860</f>
        <v>177535195.75450593</v>
      </c>
      <c r="G57" s="100"/>
      <c r="H57" s="101">
        <f>IF(VLOOKUP($D57,$C$5:$AJ$644,6,)=0,0,((VLOOKUP($D57,$C$5:$AJ$644,6,)/VLOOKUP($D57,$C$5:$AJ$644,4,))*$F57))</f>
        <v>37197517.669603795</v>
      </c>
      <c r="I57" s="101">
        <f>IF(VLOOKUP($D57,$C$5:$AJ$644,7,)=0,0,((VLOOKUP($D57,$C$5:$AJ$644,7,)/VLOOKUP($D57,$C$5:$AJ$644,4,))*$F57))</f>
        <v>38966754.150596388</v>
      </c>
      <c r="J57" s="101">
        <f>IF(VLOOKUP($D57,$C$5:$AJ$644,8,)=0,0,((VLOOKUP($D57,$C$5:$AJ$644,8,)/VLOOKUP($D57,$C$5:$AJ$644,4,))*$F57))</f>
        <v>32030540.515091144</v>
      </c>
      <c r="K57" s="101">
        <f>IF(VLOOKUP($D57,$C$5:$AJ$644,9,)=0,0,((VLOOKUP($D57,$C$5:$AJ$644,9,)/VLOOKUP($D57,$C$5:$AJ$644,4,))*$F57))</f>
        <v>0</v>
      </c>
      <c r="L57" s="101">
        <f>IF(VLOOKUP($D57,$C$5:$AJ$644,10,)=0,0,((VLOOKUP($D57,$C$5:$AJ$644,10,)/VLOOKUP($D57,$C$5:$AJ$644,4,))*$F57))</f>
        <v>0</v>
      </c>
      <c r="M57" s="101">
        <f>IF(VLOOKUP($D57,$C$5:$AJ$644,11,)=0,0,((VLOOKUP($D57,$C$5:$AJ$644,11,)/VLOOKUP($D57,$C$5:$AJ$644,4,))*$F57))</f>
        <v>0</v>
      </c>
      <c r="N57" s="101"/>
      <c r="O57" s="101">
        <f>IF(VLOOKUP($D57,$C$5:$AJ$644,13,)=0,0,((VLOOKUP($D57,$C$5:$AJ$644,13,)/VLOOKUP($D57,$C$5:$AJ$644,4,))*$F57))</f>
        <v>23386624.854295421</v>
      </c>
      <c r="P57" s="101">
        <f>IF(VLOOKUP($D57,$C$5:$AJ$644,14,)=0,0,((VLOOKUP($D57,$C$5:$AJ$644,14,)/VLOOKUP($D57,$C$5:$AJ$644,4,))*$F57))</f>
        <v>0</v>
      </c>
      <c r="Q57" s="101">
        <f>IF(VLOOKUP($D57,$C$5:$AJ$644,15,)=0,0,((VLOOKUP($D57,$C$5:$AJ$644,15,)/VLOOKUP($D57,$C$5:$AJ$644,4,))*$F57))</f>
        <v>0</v>
      </c>
      <c r="R57" s="101"/>
      <c r="S57" s="101">
        <f>IF(VLOOKUP($D57,$C$5:$AJ$644,17,)=0,0,((VLOOKUP($D57,$C$5:$AJ$644,17,)/VLOOKUP($D57,$C$5:$AJ$644,4,))*$F57))</f>
        <v>0</v>
      </c>
      <c r="T57" s="101">
        <f>IF(VLOOKUP($D57,$C$5:$AJ$644,18,)=0,0,((VLOOKUP($D57,$C$5:$AJ$644,18,)/VLOOKUP($D57,$C$5:$AJ$644,4,))*$F57))</f>
        <v>5563773.107550811</v>
      </c>
      <c r="U57" s="101">
        <f>IF(VLOOKUP($D57,$C$5:$AJ$644,19,)=0,0,((VLOOKUP($D57,$C$5:$AJ$644,19,)/VLOOKUP($D57,$C$5:$AJ$644,4,))*$F57))</f>
        <v>0</v>
      </c>
      <c r="V57" s="101">
        <f>IF(VLOOKUP($D57,$C$5:$AJ$644,20,)=0,0,((VLOOKUP($D57,$C$5:$AJ$644,20,)/VLOOKUP($D57,$C$5:$AJ$644,4,))*$F57))</f>
        <v>6062798.7614933774</v>
      </c>
      <c r="W57" s="101">
        <f>IF(VLOOKUP($D57,$C$5:$AJ$644,21,)=0,0,((VLOOKUP($D57,$C$5:$AJ$644,21,)/VLOOKUP($D57,$C$5:$AJ$644,4,))*$F57))</f>
        <v>11242914.422093904</v>
      </c>
      <c r="X57" s="101">
        <f>IF(VLOOKUP($D57,$C$5:$AJ$644,22,)=0,0,((VLOOKUP($D57,$C$5:$AJ$644,22,)/VLOOKUP($D57,$C$5:$AJ$644,4,))*$F57))</f>
        <v>2791047.55731567</v>
      </c>
      <c r="Y57" s="101">
        <f>IF(VLOOKUP($D57,$C$5:$AJ$644,23,)=0,0,((VLOOKUP($D57,$C$5:$AJ$644,23,)/VLOOKUP($D57,$C$5:$AJ$644,4,))*$F57))</f>
        <v>4266593.8171175718</v>
      </c>
      <c r="Z57" s="101">
        <f>IF(VLOOKUP($D57,$C$5:$AJ$644,24,)=0,0,((VLOOKUP($D57,$C$5:$AJ$644,24,)/VLOOKUP($D57,$C$5:$AJ$644,4,))*$F57))</f>
        <v>4332675.7511114059</v>
      </c>
      <c r="AA57" s="101">
        <f>IF(VLOOKUP($D57,$C$5:$AJ$644,25,)=0,0,((VLOOKUP($D57,$C$5:$AJ$644,25,)/VLOOKUP($D57,$C$5:$AJ$644,4,))*$F57))</f>
        <v>3855558.9832599559</v>
      </c>
      <c r="AB57" s="101">
        <f>IF(VLOOKUP($D57,$C$5:$AJ$644,26,)=0,0,((VLOOKUP($D57,$C$5:$AJ$644,26,)/VLOOKUP($D57,$C$5:$AJ$644,4,))*$F57))</f>
        <v>2581190.0445998753</v>
      </c>
      <c r="AC57" s="101">
        <f>IF(VLOOKUP($D57,$C$5:$AJ$644,27,)=0,0,((VLOOKUP($D57,$C$5:$AJ$644,27,)/VLOOKUP($D57,$C$5:$AJ$644,4,))*$F57))</f>
        <v>2202358.8914622618</v>
      </c>
      <c r="AD57" s="101">
        <f>IF(VLOOKUP($D57,$C$5:$AJ$644,28,)=0,0,((VLOOKUP($D57,$C$5:$AJ$644,28,)/VLOOKUP($D57,$C$5:$AJ$644,4,))*$F57))</f>
        <v>3054847.2289143605</v>
      </c>
      <c r="AE57" s="101"/>
      <c r="AF57" s="101">
        <f>IF(VLOOKUP($D57,$C$5:$AJ$644,30,)=0,0,((VLOOKUP($D57,$C$5:$AJ$644,30,)/VLOOKUP($D57,$C$5:$AJ$644,4,))*$F57))</f>
        <v>0</v>
      </c>
      <c r="AG57" s="101"/>
      <c r="AH57" s="101">
        <f>IF(VLOOKUP($D57,$C$5:$AJ$644,32,)=0,0,((VLOOKUP($D57,$C$5:$AJ$644,32,)/VLOOKUP($D57,$C$5:$AJ$644,4,))*$F57))</f>
        <v>0</v>
      </c>
      <c r="AI57" s="101"/>
      <c r="AJ57" s="101">
        <f>IF(VLOOKUP($D57,$C$5:$AJ$644,34,)=0,0,((VLOOKUP($D57,$C$5:$AJ$644,34,)/VLOOKUP($D57,$C$5:$AJ$644,4,))*$F57))</f>
        <v>0</v>
      </c>
      <c r="AK57" s="101">
        <f>SUM(H57:AJ57)</f>
        <v>177535195.75450593</v>
      </c>
      <c r="AL57" s="98" t="str">
        <f>IF(ABS(AK57-F57)&lt;1,"ok","err")</f>
        <v>ok</v>
      </c>
    </row>
    <row r="58" spans="1:38" x14ac:dyDescent="0.25">
      <c r="P58" s="101"/>
      <c r="Q58" s="101"/>
      <c r="Y58" s="97"/>
      <c r="AK58" s="101"/>
      <c r="AL58" s="98"/>
    </row>
    <row r="59" spans="1:38" x14ac:dyDescent="0.25">
      <c r="B59" s="97" t="s">
        <v>1548</v>
      </c>
      <c r="C59" s="97" t="s">
        <v>1549</v>
      </c>
      <c r="D59" s="97" t="s">
        <v>493</v>
      </c>
      <c r="F59" s="100">
        <v>0</v>
      </c>
      <c r="H59" s="101">
        <f>IF(VLOOKUP($D59,$C$5:$AJ$644,6,)=0,0,((VLOOKUP($D59,$C$5:$AJ$644,6,)/VLOOKUP($D59,$C$5:$AJ$644,4,))*$F59))</f>
        <v>0</v>
      </c>
      <c r="I59" s="101">
        <f>IF(VLOOKUP($D59,$C$5:$AJ$644,7,)=0,0,((VLOOKUP($D59,$C$5:$AJ$644,7,)/VLOOKUP($D59,$C$5:$AJ$644,4,))*$F59))</f>
        <v>0</v>
      </c>
      <c r="J59" s="101">
        <f>IF(VLOOKUP($D59,$C$5:$AJ$644,8,)=0,0,((VLOOKUP($D59,$C$5:$AJ$644,8,)/VLOOKUP($D59,$C$5:$AJ$644,4,))*$F59))</f>
        <v>0</v>
      </c>
      <c r="K59" s="101">
        <f>IF(VLOOKUP($D59,$C$5:$AJ$644,9,)=0,0,((VLOOKUP($D59,$C$5:$AJ$644,9,)/VLOOKUP($D59,$C$5:$AJ$644,4,))*$F59))</f>
        <v>0</v>
      </c>
      <c r="L59" s="101">
        <f>IF(VLOOKUP($D59,$C$5:$AJ$644,10,)=0,0,((VLOOKUP($D59,$C$5:$AJ$644,10,)/VLOOKUP($D59,$C$5:$AJ$644,4,))*$F59))</f>
        <v>0</v>
      </c>
      <c r="M59" s="101">
        <f>IF(VLOOKUP($D59,$C$5:$AJ$644,11,)=0,0,((VLOOKUP($D59,$C$5:$AJ$644,11,)/VLOOKUP($D59,$C$5:$AJ$644,4,))*$F59))</f>
        <v>0</v>
      </c>
      <c r="N59" s="101"/>
      <c r="O59" s="101">
        <f>IF(VLOOKUP($D59,$C$5:$AJ$644,13,)=0,0,((VLOOKUP($D59,$C$5:$AJ$644,13,)/VLOOKUP($D59,$C$5:$AJ$644,4,))*$F59))</f>
        <v>0</v>
      </c>
      <c r="P59" s="101">
        <f>IF(VLOOKUP($D59,$C$5:$AJ$644,14,)=0,0,((VLOOKUP($D59,$C$5:$AJ$644,14,)/VLOOKUP($D59,$C$5:$AJ$644,4,))*$F59))</f>
        <v>0</v>
      </c>
      <c r="Q59" s="101">
        <f>IF(VLOOKUP($D59,$C$5:$AJ$644,15,)=0,0,((VLOOKUP($D59,$C$5:$AJ$644,15,)/VLOOKUP($D59,$C$5:$AJ$644,4,))*$F59))</f>
        <v>0</v>
      </c>
      <c r="R59" s="101"/>
      <c r="S59" s="101">
        <f>IF(VLOOKUP($D59,$C$5:$AJ$644,17,)=0,0,((VLOOKUP($D59,$C$5:$AJ$644,17,)/VLOOKUP($D59,$C$5:$AJ$644,4,))*$F59))</f>
        <v>0</v>
      </c>
      <c r="T59" s="101">
        <f>IF(VLOOKUP($D59,$C$5:$AJ$644,18,)=0,0,((VLOOKUP($D59,$C$5:$AJ$644,18,)/VLOOKUP($D59,$C$5:$AJ$644,4,))*$F59))</f>
        <v>0</v>
      </c>
      <c r="U59" s="101">
        <f>IF(VLOOKUP($D59,$C$5:$AJ$644,19,)=0,0,((VLOOKUP($D59,$C$5:$AJ$644,19,)/VLOOKUP($D59,$C$5:$AJ$644,4,))*$F59))</f>
        <v>0</v>
      </c>
      <c r="V59" s="101">
        <f>IF(VLOOKUP($D59,$C$5:$AJ$644,20,)=0,0,((VLOOKUP($D59,$C$5:$AJ$644,20,)/VLOOKUP($D59,$C$5:$AJ$644,4,))*$F59))</f>
        <v>0</v>
      </c>
      <c r="W59" s="101">
        <f>IF(VLOOKUP($D59,$C$5:$AJ$644,21,)=0,0,((VLOOKUP($D59,$C$5:$AJ$644,21,)/VLOOKUP($D59,$C$5:$AJ$644,4,))*$F59))</f>
        <v>0</v>
      </c>
      <c r="X59" s="101">
        <f>IF(VLOOKUP($D59,$C$5:$AJ$644,22,)=0,0,((VLOOKUP($D59,$C$5:$AJ$644,22,)/VLOOKUP($D59,$C$5:$AJ$644,4,))*$F59))</f>
        <v>0</v>
      </c>
      <c r="Y59" s="101">
        <f>IF(VLOOKUP($D59,$C$5:$AJ$644,23,)=0,0,((VLOOKUP($D59,$C$5:$AJ$644,23,)/VLOOKUP($D59,$C$5:$AJ$644,4,))*$F59))</f>
        <v>0</v>
      </c>
      <c r="Z59" s="101">
        <f>IF(VLOOKUP($D59,$C$5:$AJ$644,24,)=0,0,((VLOOKUP($D59,$C$5:$AJ$644,24,)/VLOOKUP($D59,$C$5:$AJ$644,4,))*$F59))</f>
        <v>0</v>
      </c>
      <c r="AA59" s="101">
        <f>IF(VLOOKUP($D59,$C$5:$AJ$644,25,)=0,0,((VLOOKUP($D59,$C$5:$AJ$644,25,)/VLOOKUP($D59,$C$5:$AJ$644,4,))*$F59))</f>
        <v>0</v>
      </c>
      <c r="AB59" s="101">
        <f>IF(VLOOKUP($D59,$C$5:$AJ$644,26,)=0,0,((VLOOKUP($D59,$C$5:$AJ$644,26,)/VLOOKUP($D59,$C$5:$AJ$644,4,))*$F59))</f>
        <v>0</v>
      </c>
      <c r="AC59" s="101">
        <f>IF(VLOOKUP($D59,$C$5:$AJ$644,27,)=0,0,((VLOOKUP($D59,$C$5:$AJ$644,27,)/VLOOKUP($D59,$C$5:$AJ$644,4,))*$F59))</f>
        <v>0</v>
      </c>
      <c r="AD59" s="101">
        <f>IF(VLOOKUP($D59,$C$5:$AJ$644,28,)=0,0,((VLOOKUP($D59,$C$5:$AJ$644,28,)/VLOOKUP($D59,$C$5:$AJ$644,4,))*$F59))</f>
        <v>0</v>
      </c>
      <c r="AE59" s="101"/>
      <c r="AF59" s="101">
        <f>IF(VLOOKUP($D59,$C$5:$AJ$644,30,)=0,0,((VLOOKUP($D59,$C$5:$AJ$644,30,)/VLOOKUP($D59,$C$5:$AJ$644,4,))*$F59))</f>
        <v>0</v>
      </c>
      <c r="AG59" s="101"/>
      <c r="AH59" s="101">
        <f>IF(VLOOKUP($D59,$C$5:$AJ$644,32,)=0,0,((VLOOKUP($D59,$C$5:$AJ$644,32,)/VLOOKUP($D59,$C$5:$AJ$644,4,))*$F59))</f>
        <v>0</v>
      </c>
      <c r="AI59" s="101"/>
      <c r="AJ59" s="101">
        <f>IF(VLOOKUP($D59,$C$5:$AJ$644,34,)=0,0,((VLOOKUP($D59,$C$5:$AJ$644,34,)/VLOOKUP($D59,$C$5:$AJ$644,4,))*$F59))</f>
        <v>0</v>
      </c>
      <c r="AK59" s="101">
        <f>SUM(H59:AJ59)</f>
        <v>0</v>
      </c>
      <c r="AL59" s="98" t="str">
        <f>IF(ABS(AK59-F59)&lt;1,"ok","err")</f>
        <v>ok</v>
      </c>
    </row>
    <row r="60" spans="1:38" x14ac:dyDescent="0.25">
      <c r="A60" s="99">
        <v>106</v>
      </c>
      <c r="B60" s="97" t="s">
        <v>468</v>
      </c>
      <c r="C60" s="97" t="s">
        <v>469</v>
      </c>
      <c r="D60" s="97" t="s">
        <v>493</v>
      </c>
      <c r="F60" s="100">
        <v>0</v>
      </c>
      <c r="H60" s="101">
        <f>IF(VLOOKUP($D60,$C$5:$AJ$644,6,)=0,0,((VLOOKUP($D60,$C$5:$AJ$644,6,)/VLOOKUP($D60,$C$5:$AJ$644,4,))*$F60))</f>
        <v>0</v>
      </c>
      <c r="I60" s="101">
        <f>IF(VLOOKUP($D60,$C$5:$AJ$644,7,)=0,0,((VLOOKUP($D60,$C$5:$AJ$644,7,)/VLOOKUP($D60,$C$5:$AJ$644,4,))*$F60))</f>
        <v>0</v>
      </c>
      <c r="J60" s="101">
        <f>IF(VLOOKUP($D60,$C$5:$AJ$644,8,)=0,0,((VLOOKUP($D60,$C$5:$AJ$644,8,)/VLOOKUP($D60,$C$5:$AJ$644,4,))*$F60))</f>
        <v>0</v>
      </c>
      <c r="K60" s="101">
        <f>IF(VLOOKUP($D60,$C$5:$AJ$644,9,)=0,0,((VLOOKUP($D60,$C$5:$AJ$644,9,)/VLOOKUP($D60,$C$5:$AJ$644,4,))*$F60))</f>
        <v>0</v>
      </c>
      <c r="L60" s="101">
        <f>IF(VLOOKUP($D60,$C$5:$AJ$644,10,)=0,0,((VLOOKUP($D60,$C$5:$AJ$644,10,)/VLOOKUP($D60,$C$5:$AJ$644,4,))*$F60))</f>
        <v>0</v>
      </c>
      <c r="M60" s="101">
        <f>IF(VLOOKUP($D60,$C$5:$AJ$644,11,)=0,0,((VLOOKUP($D60,$C$5:$AJ$644,11,)/VLOOKUP($D60,$C$5:$AJ$644,4,))*$F60))</f>
        <v>0</v>
      </c>
      <c r="N60" s="101"/>
      <c r="O60" s="101">
        <f>IF(VLOOKUP($D60,$C$5:$AJ$644,13,)=0,0,((VLOOKUP($D60,$C$5:$AJ$644,13,)/VLOOKUP($D60,$C$5:$AJ$644,4,))*$F60))</f>
        <v>0</v>
      </c>
      <c r="P60" s="101">
        <f>IF(VLOOKUP($D60,$C$5:$AJ$644,14,)=0,0,((VLOOKUP($D60,$C$5:$AJ$644,14,)/VLOOKUP($D60,$C$5:$AJ$644,4,))*$F60))</f>
        <v>0</v>
      </c>
      <c r="Q60" s="101">
        <f>IF(VLOOKUP($D60,$C$5:$AJ$644,15,)=0,0,((VLOOKUP($D60,$C$5:$AJ$644,15,)/VLOOKUP($D60,$C$5:$AJ$644,4,))*$F60))</f>
        <v>0</v>
      </c>
      <c r="R60" s="101"/>
      <c r="S60" s="101">
        <f>IF(VLOOKUP($D60,$C$5:$AJ$644,17,)=0,0,((VLOOKUP($D60,$C$5:$AJ$644,17,)/VLOOKUP($D60,$C$5:$AJ$644,4,))*$F60))</f>
        <v>0</v>
      </c>
      <c r="T60" s="101">
        <f>IF(VLOOKUP($D60,$C$5:$AJ$644,18,)=0,0,((VLOOKUP($D60,$C$5:$AJ$644,18,)/VLOOKUP($D60,$C$5:$AJ$644,4,))*$F60))</f>
        <v>0</v>
      </c>
      <c r="U60" s="101">
        <f>IF(VLOOKUP($D60,$C$5:$AJ$644,19,)=0,0,((VLOOKUP($D60,$C$5:$AJ$644,19,)/VLOOKUP($D60,$C$5:$AJ$644,4,))*$F60))</f>
        <v>0</v>
      </c>
      <c r="V60" s="101">
        <f>IF(VLOOKUP($D60,$C$5:$AJ$644,20,)=0,0,((VLOOKUP($D60,$C$5:$AJ$644,20,)/VLOOKUP($D60,$C$5:$AJ$644,4,))*$F60))</f>
        <v>0</v>
      </c>
      <c r="W60" s="101">
        <f>IF(VLOOKUP($D60,$C$5:$AJ$644,21,)=0,0,((VLOOKUP($D60,$C$5:$AJ$644,21,)/VLOOKUP($D60,$C$5:$AJ$644,4,))*$F60))</f>
        <v>0</v>
      </c>
      <c r="X60" s="101">
        <f>IF(VLOOKUP($D60,$C$5:$AJ$644,22,)=0,0,((VLOOKUP($D60,$C$5:$AJ$644,22,)/VLOOKUP($D60,$C$5:$AJ$644,4,))*$F60))</f>
        <v>0</v>
      </c>
      <c r="Y60" s="101">
        <f>IF(VLOOKUP($D60,$C$5:$AJ$644,23,)=0,0,((VLOOKUP($D60,$C$5:$AJ$644,23,)/VLOOKUP($D60,$C$5:$AJ$644,4,))*$F60))</f>
        <v>0</v>
      </c>
      <c r="Z60" s="101">
        <f>IF(VLOOKUP($D60,$C$5:$AJ$644,24,)=0,0,((VLOOKUP($D60,$C$5:$AJ$644,24,)/VLOOKUP($D60,$C$5:$AJ$644,4,))*$F60))</f>
        <v>0</v>
      </c>
      <c r="AA60" s="101">
        <f>IF(VLOOKUP($D60,$C$5:$AJ$644,25,)=0,0,((VLOOKUP($D60,$C$5:$AJ$644,25,)/VLOOKUP($D60,$C$5:$AJ$644,4,))*$F60))</f>
        <v>0</v>
      </c>
      <c r="AB60" s="101">
        <f>IF(VLOOKUP($D60,$C$5:$AJ$644,26,)=0,0,((VLOOKUP($D60,$C$5:$AJ$644,26,)/VLOOKUP($D60,$C$5:$AJ$644,4,))*$F60))</f>
        <v>0</v>
      </c>
      <c r="AC60" s="101">
        <f>IF(VLOOKUP($D60,$C$5:$AJ$644,27,)=0,0,((VLOOKUP($D60,$C$5:$AJ$644,27,)/VLOOKUP($D60,$C$5:$AJ$644,4,))*$F60))</f>
        <v>0</v>
      </c>
      <c r="AD60" s="101">
        <f>IF(VLOOKUP($D60,$C$5:$AJ$644,28,)=0,0,((VLOOKUP($D60,$C$5:$AJ$644,28,)/VLOOKUP($D60,$C$5:$AJ$644,4,))*$F60))</f>
        <v>0</v>
      </c>
      <c r="AE60" s="101"/>
      <c r="AF60" s="101">
        <f>IF(VLOOKUP($D60,$C$5:$AJ$644,30,)=0,0,((VLOOKUP($D60,$C$5:$AJ$644,30,)/VLOOKUP($D60,$C$5:$AJ$644,4,))*$F60))</f>
        <v>0</v>
      </c>
      <c r="AG60" s="101"/>
      <c r="AH60" s="101">
        <f>IF(VLOOKUP($D60,$C$5:$AJ$644,32,)=0,0,((VLOOKUP($D60,$C$5:$AJ$644,32,)/VLOOKUP($D60,$C$5:$AJ$644,4,))*$F60))</f>
        <v>0</v>
      </c>
      <c r="AI60" s="101"/>
      <c r="AJ60" s="101">
        <f>IF(VLOOKUP($D60,$C$5:$AJ$644,34,)=0,0,((VLOOKUP($D60,$C$5:$AJ$644,34,)/VLOOKUP($D60,$C$5:$AJ$644,4,))*$F60))</f>
        <v>0</v>
      </c>
      <c r="AK60" s="101">
        <f>SUM(H60:AJ60)</f>
        <v>0</v>
      </c>
      <c r="AL60" s="98" t="str">
        <f>IF(ABS(AK60-F60)&lt;1,"ok","err")</f>
        <v>ok</v>
      </c>
    </row>
    <row r="61" spans="1:38" x14ac:dyDescent="0.25">
      <c r="A61" s="99">
        <v>105</v>
      </c>
      <c r="B61" s="97" t="s">
        <v>2378</v>
      </c>
      <c r="C61" s="97" t="s">
        <v>525</v>
      </c>
      <c r="D61" s="97" t="s">
        <v>1547</v>
      </c>
      <c r="F61" s="100">
        <f>'Jurisdictional Study'!F755</f>
        <v>271088.83674773236</v>
      </c>
      <c r="H61" s="101">
        <f>IF(VLOOKUP($D61,$C$5:$AJ$644,6,)=0,0,((VLOOKUP($D61,$C$5:$AJ$644,6,)/VLOOKUP($D61,$C$5:$AJ$644,4,))*$F61))</f>
        <v>93200.695831023113</v>
      </c>
      <c r="I61" s="101">
        <f>IF(VLOOKUP($D61,$C$5:$AJ$644,7,)=0,0,((VLOOKUP($D61,$C$5:$AJ$644,7,)/VLOOKUP($D61,$C$5:$AJ$644,4,))*$F61))</f>
        <v>97633.627957912962</v>
      </c>
      <c r="J61" s="101">
        <f>IF(VLOOKUP($D61,$C$5:$AJ$644,8,)=0,0,((VLOOKUP($D61,$C$5:$AJ$644,8,)/VLOOKUP($D61,$C$5:$AJ$644,4,))*$F61))</f>
        <v>80254.512958796287</v>
      </c>
      <c r="K61" s="101">
        <f>IF(VLOOKUP($D61,$C$5:$AJ$644,9,)=0,0,((VLOOKUP($D61,$C$5:$AJ$644,9,)/VLOOKUP($D61,$C$5:$AJ$644,4,))*$F61))</f>
        <v>0</v>
      </c>
      <c r="L61" s="101">
        <f>IF(VLOOKUP($D61,$C$5:$AJ$644,10,)=0,0,((VLOOKUP($D61,$C$5:$AJ$644,10,)/VLOOKUP($D61,$C$5:$AJ$644,4,))*$F61))</f>
        <v>0</v>
      </c>
      <c r="M61" s="101">
        <f>IF(VLOOKUP($D61,$C$5:$AJ$644,11,)=0,0,((VLOOKUP($D61,$C$5:$AJ$644,11,)/VLOOKUP($D61,$C$5:$AJ$644,4,))*$F61))</f>
        <v>0</v>
      </c>
      <c r="N61" s="101"/>
      <c r="O61" s="101">
        <f>IF(VLOOKUP($D61,$C$5:$AJ$644,13,)=0,0,((VLOOKUP($D61,$C$5:$AJ$644,13,)/VLOOKUP($D61,$C$5:$AJ$644,4,))*$F61))</f>
        <v>0</v>
      </c>
      <c r="P61" s="101">
        <f>IF(VLOOKUP($D61,$C$5:$AJ$644,14,)=0,0,((VLOOKUP($D61,$C$5:$AJ$644,14,)/VLOOKUP($D61,$C$5:$AJ$644,4,))*$F61))</f>
        <v>0</v>
      </c>
      <c r="Q61" s="101">
        <f>IF(VLOOKUP($D61,$C$5:$AJ$644,15,)=0,0,((VLOOKUP($D61,$C$5:$AJ$644,15,)/VLOOKUP($D61,$C$5:$AJ$644,4,))*$F61))</f>
        <v>0</v>
      </c>
      <c r="R61" s="101"/>
      <c r="S61" s="101">
        <f>IF(VLOOKUP($D61,$C$5:$AJ$644,17,)=0,0,((VLOOKUP($D61,$C$5:$AJ$644,17,)/VLOOKUP($D61,$C$5:$AJ$644,4,))*$F61))</f>
        <v>0</v>
      </c>
      <c r="T61" s="101">
        <f>IF(VLOOKUP($D61,$C$5:$AJ$644,18,)=0,0,((VLOOKUP($D61,$C$5:$AJ$644,18,)/VLOOKUP($D61,$C$5:$AJ$644,4,))*$F61))</f>
        <v>0</v>
      </c>
      <c r="U61" s="101">
        <f>IF(VLOOKUP($D61,$C$5:$AJ$644,19,)=0,0,((VLOOKUP($D61,$C$5:$AJ$644,19,)/VLOOKUP($D61,$C$5:$AJ$644,4,))*$F61))</f>
        <v>0</v>
      </c>
      <c r="V61" s="101">
        <f>IF(VLOOKUP($D61,$C$5:$AJ$644,20,)=0,0,((VLOOKUP($D61,$C$5:$AJ$644,20,)/VLOOKUP($D61,$C$5:$AJ$644,4,))*$F61))</f>
        <v>0</v>
      </c>
      <c r="W61" s="101">
        <f>IF(VLOOKUP($D61,$C$5:$AJ$644,21,)=0,0,((VLOOKUP($D61,$C$5:$AJ$644,21,)/VLOOKUP($D61,$C$5:$AJ$644,4,))*$F61))</f>
        <v>0</v>
      </c>
      <c r="X61" s="101">
        <f>IF(VLOOKUP($D61,$C$5:$AJ$644,22,)=0,0,((VLOOKUP($D61,$C$5:$AJ$644,22,)/VLOOKUP($D61,$C$5:$AJ$644,4,))*$F61))</f>
        <v>0</v>
      </c>
      <c r="Y61" s="101">
        <f>IF(VLOOKUP($D61,$C$5:$AJ$644,23,)=0,0,((VLOOKUP($D61,$C$5:$AJ$644,23,)/VLOOKUP($D61,$C$5:$AJ$644,4,))*$F61))</f>
        <v>0</v>
      </c>
      <c r="Z61" s="101">
        <f>IF(VLOOKUP($D61,$C$5:$AJ$644,24,)=0,0,((VLOOKUP($D61,$C$5:$AJ$644,24,)/VLOOKUP($D61,$C$5:$AJ$644,4,))*$F61))</f>
        <v>0</v>
      </c>
      <c r="AA61" s="101">
        <f>IF(VLOOKUP($D61,$C$5:$AJ$644,25,)=0,0,((VLOOKUP($D61,$C$5:$AJ$644,25,)/VLOOKUP($D61,$C$5:$AJ$644,4,))*$F61))</f>
        <v>0</v>
      </c>
      <c r="AB61" s="101">
        <f>IF(VLOOKUP($D61,$C$5:$AJ$644,26,)=0,0,((VLOOKUP($D61,$C$5:$AJ$644,26,)/VLOOKUP($D61,$C$5:$AJ$644,4,))*$F61))</f>
        <v>0</v>
      </c>
      <c r="AC61" s="101">
        <f>IF(VLOOKUP($D61,$C$5:$AJ$644,27,)=0,0,((VLOOKUP($D61,$C$5:$AJ$644,27,)/VLOOKUP($D61,$C$5:$AJ$644,4,))*$F61))</f>
        <v>0</v>
      </c>
      <c r="AD61" s="101">
        <f>IF(VLOOKUP($D61,$C$5:$AJ$644,28,)=0,0,((VLOOKUP($D61,$C$5:$AJ$644,28,)/VLOOKUP($D61,$C$5:$AJ$644,4,))*$F61))</f>
        <v>0</v>
      </c>
      <c r="AE61" s="101"/>
      <c r="AF61" s="101">
        <f>IF(VLOOKUP($D61,$C$5:$AJ$644,30,)=0,0,((VLOOKUP($D61,$C$5:$AJ$644,30,)/VLOOKUP($D61,$C$5:$AJ$644,4,))*$F61))</f>
        <v>0</v>
      </c>
      <c r="AG61" s="101"/>
      <c r="AH61" s="101">
        <f>IF(VLOOKUP($D61,$C$5:$AJ$644,32,)=0,0,((VLOOKUP($D61,$C$5:$AJ$644,32,)/VLOOKUP($D61,$C$5:$AJ$644,4,))*$F61))</f>
        <v>0</v>
      </c>
      <c r="AI61" s="101"/>
      <c r="AJ61" s="101">
        <f>IF(VLOOKUP($D61,$C$5:$AJ$644,34,)=0,0,((VLOOKUP($D61,$C$5:$AJ$644,34,)/VLOOKUP($D61,$C$5:$AJ$644,4,))*$F61))</f>
        <v>0</v>
      </c>
      <c r="AK61" s="101">
        <f>SUM(H61:AJ61)</f>
        <v>271088.83674773236</v>
      </c>
      <c r="AL61" s="98" t="str">
        <f>IF(ABS(AK61-F61)&lt;1,"ok","err")</f>
        <v>ok</v>
      </c>
    </row>
    <row r="62" spans="1:38" x14ac:dyDescent="0.25">
      <c r="A62" s="99">
        <v>105</v>
      </c>
      <c r="B62" s="97" t="s">
        <v>2379</v>
      </c>
      <c r="C62" s="97" t="s">
        <v>525</v>
      </c>
      <c r="D62" s="97" t="s">
        <v>115</v>
      </c>
      <c r="F62" s="100">
        <f>'Jurisdictional Study'!F757</f>
        <v>113882.25</v>
      </c>
      <c r="H62" s="101">
        <f>IF(VLOOKUP($D62,$C$5:$AJ$644,6,)=0,0,((VLOOKUP($D62,$C$5:$AJ$644,6,)/VLOOKUP($D62,$C$5:$AJ$644,4,))*$F62))</f>
        <v>0</v>
      </c>
      <c r="I62" s="101">
        <f>IF(VLOOKUP($D62,$C$5:$AJ$644,7,)=0,0,((VLOOKUP($D62,$C$5:$AJ$644,7,)/VLOOKUP($D62,$C$5:$AJ$644,4,))*$F62))</f>
        <v>0</v>
      </c>
      <c r="J62" s="101">
        <f>IF(VLOOKUP($D62,$C$5:$AJ$644,8,)=0,0,((VLOOKUP($D62,$C$5:$AJ$644,8,)/VLOOKUP($D62,$C$5:$AJ$644,4,))*$F62))</f>
        <v>0</v>
      </c>
      <c r="K62" s="101">
        <f>IF(VLOOKUP($D62,$C$5:$AJ$644,9,)=0,0,((VLOOKUP($D62,$C$5:$AJ$644,9,)/VLOOKUP($D62,$C$5:$AJ$644,4,))*$F62))</f>
        <v>0</v>
      </c>
      <c r="L62" s="101">
        <f>IF(VLOOKUP($D62,$C$5:$AJ$644,10,)=0,0,((VLOOKUP($D62,$C$5:$AJ$644,10,)/VLOOKUP($D62,$C$5:$AJ$644,4,))*$F62))</f>
        <v>0</v>
      </c>
      <c r="M62" s="101">
        <f>IF(VLOOKUP($D62,$C$5:$AJ$644,11,)=0,0,((VLOOKUP($D62,$C$5:$AJ$644,11,)/VLOOKUP($D62,$C$5:$AJ$644,4,))*$F62))</f>
        <v>0</v>
      </c>
      <c r="N62" s="101"/>
      <c r="O62" s="101">
        <f>IF(VLOOKUP($D62,$C$5:$AJ$644,13,)=0,0,((VLOOKUP($D62,$C$5:$AJ$644,13,)/VLOOKUP($D62,$C$5:$AJ$644,4,))*$F62))</f>
        <v>0</v>
      </c>
      <c r="P62" s="101">
        <f>IF(VLOOKUP($D62,$C$5:$AJ$644,14,)=0,0,((VLOOKUP($D62,$C$5:$AJ$644,14,)/VLOOKUP($D62,$C$5:$AJ$644,4,))*$F62))</f>
        <v>0</v>
      </c>
      <c r="Q62" s="101">
        <f>IF(VLOOKUP($D62,$C$5:$AJ$644,15,)=0,0,((VLOOKUP($D62,$C$5:$AJ$644,15,)/VLOOKUP($D62,$C$5:$AJ$644,4,))*$F62))</f>
        <v>0</v>
      </c>
      <c r="R62" s="101"/>
      <c r="S62" s="101">
        <f>IF(VLOOKUP($D62,$C$5:$AJ$644,17,)=0,0,((VLOOKUP($D62,$C$5:$AJ$644,17,)/VLOOKUP($D62,$C$5:$AJ$644,4,))*$F62))</f>
        <v>0</v>
      </c>
      <c r="T62" s="101">
        <f>IF(VLOOKUP($D62,$C$5:$AJ$644,18,)=0,0,((VLOOKUP($D62,$C$5:$AJ$644,18,)/VLOOKUP($D62,$C$5:$AJ$644,4,))*$F62))</f>
        <v>13788.099597604536</v>
      </c>
      <c r="U62" s="101">
        <f>IF(VLOOKUP($D62,$C$5:$AJ$644,19,)=0,0,((VLOOKUP($D62,$C$5:$AJ$644,19,)/VLOOKUP($D62,$C$5:$AJ$644,4,))*$F62))</f>
        <v>0</v>
      </c>
      <c r="V62" s="101">
        <f>IF(VLOOKUP($D62,$C$5:$AJ$644,20,)=0,0,((VLOOKUP($D62,$C$5:$AJ$644,20,)/VLOOKUP($D62,$C$5:$AJ$644,4,))*$F62))</f>
        <v>15024.781123848281</v>
      </c>
      <c r="W62" s="101">
        <f>IF(VLOOKUP($D62,$C$5:$AJ$644,21,)=0,0,((VLOOKUP($D62,$C$5:$AJ$644,21,)/VLOOKUP($D62,$C$5:$AJ$644,4,))*$F62))</f>
        <v>27862.10379585639</v>
      </c>
      <c r="X62" s="101">
        <f>IF(VLOOKUP($D62,$C$5:$AJ$644,22,)=0,0,((VLOOKUP($D62,$C$5:$AJ$644,22,)/VLOOKUP($D62,$C$5:$AJ$644,4,))*$F62))</f>
        <v>6916.752527110104</v>
      </c>
      <c r="Y62" s="101">
        <f>IF(VLOOKUP($D62,$C$5:$AJ$644,23,)=0,0,((VLOOKUP($D62,$C$5:$AJ$644,23,)/VLOOKUP($D62,$C$5:$AJ$644,4,))*$F62))</f>
        <v>10573.439886163358</v>
      </c>
      <c r="Z62" s="101">
        <f>IF(VLOOKUP($D62,$C$5:$AJ$644,24,)=0,0,((VLOOKUP($D62,$C$5:$AJ$644,24,)/VLOOKUP($D62,$C$5:$AJ$644,4,))*$F62))</f>
        <v>10737.203625247679</v>
      </c>
      <c r="AA62" s="101">
        <f>IF(VLOOKUP($D62,$C$5:$AJ$644,25,)=0,0,((VLOOKUP($D62,$C$5:$AJ$644,25,)/VLOOKUP($D62,$C$5:$AJ$644,4,))*$F62))</f>
        <v>9554.8165315153728</v>
      </c>
      <c r="AB62" s="101">
        <f>IF(VLOOKUP($D62,$C$5:$AJ$644,26,)=0,0,((VLOOKUP($D62,$C$5:$AJ$644,26,)/VLOOKUP($D62,$C$5:$AJ$644,4,))*$F62))</f>
        <v>6396.6852578851949</v>
      </c>
      <c r="AC62" s="101">
        <f>IF(VLOOKUP($D62,$C$5:$AJ$644,27,)=0,0,((VLOOKUP($D62,$C$5:$AJ$644,27,)/VLOOKUP($D62,$C$5:$AJ$644,4,))*$F62))</f>
        <v>5457.8688163865354</v>
      </c>
      <c r="AD62" s="101">
        <f>IF(VLOOKUP($D62,$C$5:$AJ$644,28,)=0,0,((VLOOKUP($D62,$C$5:$AJ$644,28,)/VLOOKUP($D62,$C$5:$AJ$644,4,))*$F62))</f>
        <v>7570.4988383825403</v>
      </c>
      <c r="AE62" s="101"/>
      <c r="AF62" s="101">
        <f>IF(VLOOKUP($D62,$C$5:$AJ$644,30,)=0,0,((VLOOKUP($D62,$C$5:$AJ$644,30,)/VLOOKUP($D62,$C$5:$AJ$644,4,))*$F62))</f>
        <v>0</v>
      </c>
      <c r="AG62" s="101"/>
      <c r="AH62" s="101">
        <f>IF(VLOOKUP($D62,$C$5:$AJ$644,32,)=0,0,((VLOOKUP($D62,$C$5:$AJ$644,32,)/VLOOKUP($D62,$C$5:$AJ$644,4,))*$F62))</f>
        <v>0</v>
      </c>
      <c r="AI62" s="101"/>
      <c r="AJ62" s="101">
        <f>IF(VLOOKUP($D62,$C$5:$AJ$644,34,)=0,0,((VLOOKUP($D62,$C$5:$AJ$644,34,)/VLOOKUP($D62,$C$5:$AJ$644,4,))*$F62))</f>
        <v>0</v>
      </c>
      <c r="AK62" s="101">
        <f>SUM(H62:AJ62)</f>
        <v>113882.24999999999</v>
      </c>
      <c r="AL62" s="98" t="str">
        <f>IF(ABS(AK62-F62)&lt;1,"ok","err")</f>
        <v>ok</v>
      </c>
    </row>
    <row r="63" spans="1:38" x14ac:dyDescent="0.25">
      <c r="P63" s="101"/>
      <c r="Q63" s="101"/>
      <c r="Y63" s="97"/>
      <c r="AK63" s="101"/>
      <c r="AL63" s="98"/>
    </row>
    <row r="64" spans="1:38" x14ac:dyDescent="0.25">
      <c r="A64" s="99"/>
      <c r="B64" s="97" t="s">
        <v>1361</v>
      </c>
      <c r="D64" s="97" t="s">
        <v>115</v>
      </c>
      <c r="F64" s="101">
        <v>0</v>
      </c>
      <c r="H64" s="101">
        <f>IF(VLOOKUP($D64,$C$5:$AJ$644,6,)=0,0,((VLOOKUP($D64,$C$5:$AJ$644,6,)/VLOOKUP($D64,$C$5:$AJ$644,4,))*$F64))</f>
        <v>0</v>
      </c>
      <c r="I64" s="101">
        <f>IF(VLOOKUP($D64,$C$5:$AJ$644,7,)=0,0,((VLOOKUP($D64,$C$5:$AJ$644,7,)/VLOOKUP($D64,$C$5:$AJ$644,4,))*$F64))</f>
        <v>0</v>
      </c>
      <c r="J64" s="101">
        <f>IF(VLOOKUP($D64,$C$5:$AJ$644,8,)=0,0,((VLOOKUP($D64,$C$5:$AJ$644,8,)/VLOOKUP($D64,$C$5:$AJ$644,4,))*$F64))</f>
        <v>0</v>
      </c>
      <c r="K64" s="101">
        <f>IF(VLOOKUP($D64,$C$5:$AJ$644,9,)=0,0,((VLOOKUP($D64,$C$5:$AJ$644,9,)/VLOOKUP($D64,$C$5:$AJ$644,4,))*$F64))</f>
        <v>0</v>
      </c>
      <c r="L64" s="101">
        <f>IF(VLOOKUP($D64,$C$5:$AJ$644,10,)=0,0,((VLOOKUP($D64,$C$5:$AJ$644,10,)/VLOOKUP($D64,$C$5:$AJ$644,4,))*$F64))</f>
        <v>0</v>
      </c>
      <c r="M64" s="101">
        <f>IF(VLOOKUP($D64,$C$5:$AJ$644,11,)=0,0,((VLOOKUP($D64,$C$5:$AJ$644,11,)/VLOOKUP($D64,$C$5:$AJ$644,4,))*$F64))</f>
        <v>0</v>
      </c>
      <c r="N64" s="101"/>
      <c r="O64" s="101">
        <f>IF(VLOOKUP($D64,$C$5:$AJ$644,13,)=0,0,((VLOOKUP($D64,$C$5:$AJ$644,13,)/VLOOKUP($D64,$C$5:$AJ$644,4,))*$F64))</f>
        <v>0</v>
      </c>
      <c r="P64" s="101">
        <f>IF(VLOOKUP($D64,$C$5:$AJ$644,14,)=0,0,((VLOOKUP($D64,$C$5:$AJ$644,14,)/VLOOKUP($D64,$C$5:$AJ$644,4,))*$F64))</f>
        <v>0</v>
      </c>
      <c r="Q64" s="101">
        <f>IF(VLOOKUP($D64,$C$5:$AJ$644,15,)=0,0,((VLOOKUP($D64,$C$5:$AJ$644,15,)/VLOOKUP($D64,$C$5:$AJ$644,4,))*$F64))</f>
        <v>0</v>
      </c>
      <c r="R64" s="101"/>
      <c r="S64" s="101">
        <f>IF(VLOOKUP($D64,$C$5:$AJ$644,17,)=0,0,((VLOOKUP($D64,$C$5:$AJ$644,17,)/VLOOKUP($D64,$C$5:$AJ$644,4,))*$F64))</f>
        <v>0</v>
      </c>
      <c r="T64" s="101">
        <f>IF(VLOOKUP($D64,$C$5:$AJ$644,18,)=0,0,((VLOOKUP($D64,$C$5:$AJ$644,18,)/VLOOKUP($D64,$C$5:$AJ$644,4,))*$F64))</f>
        <v>0</v>
      </c>
      <c r="U64" s="101">
        <f>IF(VLOOKUP($D64,$C$5:$AJ$644,19,)=0,0,((VLOOKUP($D64,$C$5:$AJ$644,19,)/VLOOKUP($D64,$C$5:$AJ$644,4,))*$F64))</f>
        <v>0</v>
      </c>
      <c r="V64" s="101">
        <f>IF(VLOOKUP($D64,$C$5:$AJ$644,20,)=0,0,((VLOOKUP($D64,$C$5:$AJ$644,20,)/VLOOKUP($D64,$C$5:$AJ$644,4,))*$F64))</f>
        <v>0</v>
      </c>
      <c r="W64" s="101">
        <f>IF(VLOOKUP($D64,$C$5:$AJ$644,21,)=0,0,((VLOOKUP($D64,$C$5:$AJ$644,21,)/VLOOKUP($D64,$C$5:$AJ$644,4,))*$F64))</f>
        <v>0</v>
      </c>
      <c r="X64" s="101">
        <f>IF(VLOOKUP($D64,$C$5:$AJ$644,22,)=0,0,((VLOOKUP($D64,$C$5:$AJ$644,22,)/VLOOKUP($D64,$C$5:$AJ$644,4,))*$F64))</f>
        <v>0</v>
      </c>
      <c r="Y64" s="101">
        <f>IF(VLOOKUP($D64,$C$5:$AJ$644,23,)=0,0,((VLOOKUP($D64,$C$5:$AJ$644,23,)/VLOOKUP($D64,$C$5:$AJ$644,4,))*$F64))</f>
        <v>0</v>
      </c>
      <c r="Z64" s="101">
        <f>IF(VLOOKUP($D64,$C$5:$AJ$644,24,)=0,0,((VLOOKUP($D64,$C$5:$AJ$644,24,)/VLOOKUP($D64,$C$5:$AJ$644,4,))*$F64))</f>
        <v>0</v>
      </c>
      <c r="AA64" s="101">
        <f>IF(VLOOKUP($D64,$C$5:$AJ$644,25,)=0,0,((VLOOKUP($D64,$C$5:$AJ$644,25,)/VLOOKUP($D64,$C$5:$AJ$644,4,))*$F64))</f>
        <v>0</v>
      </c>
      <c r="AB64" s="101">
        <f>IF(VLOOKUP($D64,$C$5:$AJ$644,26,)=0,0,((VLOOKUP($D64,$C$5:$AJ$644,26,)/VLOOKUP($D64,$C$5:$AJ$644,4,))*$F64))</f>
        <v>0</v>
      </c>
      <c r="AC64" s="101">
        <f>IF(VLOOKUP($D64,$C$5:$AJ$644,27,)=0,0,((VLOOKUP($D64,$C$5:$AJ$644,27,)/VLOOKUP($D64,$C$5:$AJ$644,4,))*$F64))</f>
        <v>0</v>
      </c>
      <c r="AD64" s="101">
        <f>IF(VLOOKUP($D64,$C$5:$AJ$644,28,)=0,0,((VLOOKUP($D64,$C$5:$AJ$644,28,)/VLOOKUP($D64,$C$5:$AJ$644,4,))*$F64))</f>
        <v>0</v>
      </c>
      <c r="AE64" s="101"/>
      <c r="AF64" s="101">
        <f>IF(VLOOKUP($D64,$C$5:$AJ$644,30,)=0,0,((VLOOKUP($D64,$C$5:$AJ$644,30,)/VLOOKUP($D64,$C$5:$AJ$644,4,))*$F64))</f>
        <v>0</v>
      </c>
      <c r="AG64" s="101"/>
      <c r="AH64" s="101">
        <f>IF(VLOOKUP($D64,$C$5:$AJ$644,32,)=0,0,((VLOOKUP($D64,$C$5:$AJ$644,32,)/VLOOKUP($D64,$C$5:$AJ$644,4,))*$F64))</f>
        <v>0</v>
      </c>
      <c r="AI64" s="101"/>
      <c r="AJ64" s="101">
        <f>IF(VLOOKUP($D64,$C$5:$AJ$644,34,)=0,0,((VLOOKUP($D64,$C$5:$AJ$644,34,)/VLOOKUP($D64,$C$5:$AJ$644,4,))*$F64))</f>
        <v>0</v>
      </c>
      <c r="AK64" s="101">
        <f>SUM(H64:AJ64)</f>
        <v>0</v>
      </c>
      <c r="AL64" s="98" t="str">
        <f>IF(ABS(AK64-F64)&lt;1,"ok","err")</f>
        <v>ok</v>
      </c>
    </row>
    <row r="65" spans="1:39" x14ac:dyDescent="0.25">
      <c r="Y65" s="97"/>
      <c r="AK65" s="101"/>
      <c r="AL65" s="98"/>
    </row>
    <row r="66" spans="1:39" x14ac:dyDescent="0.25">
      <c r="B66" s="97" t="s">
        <v>187</v>
      </c>
      <c r="C66" s="97" t="s">
        <v>188</v>
      </c>
      <c r="F66" s="102">
        <f>F12+F16+F20+F24+F32+F45+F57+F59+F60+F61+F62+F64</f>
        <v>6970753238.6232004</v>
      </c>
      <c r="G66" s="102"/>
      <c r="H66" s="102">
        <f t="shared" ref="H66:M66" si="35">H12+H16+H20+H24+H32+H45+H57+H59+H60+H61+H62+H64</f>
        <v>1460538244.8090184</v>
      </c>
      <c r="I66" s="102">
        <f t="shared" si="35"/>
        <v>1530006255.2164052</v>
      </c>
      <c r="J66" s="102">
        <f t="shared" si="35"/>
        <v>1257659982.5752206</v>
      </c>
      <c r="K66" s="102">
        <f t="shared" si="35"/>
        <v>0</v>
      </c>
      <c r="L66" s="102">
        <f t="shared" si="35"/>
        <v>0</v>
      </c>
      <c r="M66" s="102">
        <f t="shared" si="35"/>
        <v>0</v>
      </c>
      <c r="N66" s="102"/>
      <c r="O66" s="102">
        <f>O12+O16+O20+O24+O32+O45+O57+O59+O60+O61+O62+O64</f>
        <v>918203216.41785061</v>
      </c>
      <c r="P66" s="102">
        <f>P12+P16+P20+P24+P32+P45+P57+P59+P60+P61+P62+P64</f>
        <v>0</v>
      </c>
      <c r="Q66" s="102">
        <f>Q12+Q16+Q20+Q24+Q32+Q45+Q57+Q59+Q60+Q61+Q62+Q64</f>
        <v>0</v>
      </c>
      <c r="R66" s="102"/>
      <c r="S66" s="102">
        <f t="shared" ref="S66:AD66" si="36">S12+S16+S20+S24+S32+S45+S57+S59+S60+S61+S62+S64</f>
        <v>0</v>
      </c>
      <c r="T66" s="102">
        <f t="shared" si="36"/>
        <v>218458065.31363025</v>
      </c>
      <c r="U66" s="102">
        <f t="shared" si="36"/>
        <v>0</v>
      </c>
      <c r="V66" s="102">
        <f t="shared" si="36"/>
        <v>238051994.97158346</v>
      </c>
      <c r="W66" s="102">
        <f t="shared" si="36"/>
        <v>441445990.99558365</v>
      </c>
      <c r="X66" s="102">
        <f t="shared" si="36"/>
        <v>109588733.72137173</v>
      </c>
      <c r="Y66" s="102">
        <f t="shared" si="36"/>
        <v>167525133.16936862</v>
      </c>
      <c r="Z66" s="102">
        <f t="shared" si="36"/>
        <v>170119798.90670514</v>
      </c>
      <c r="AA66" s="102">
        <f t="shared" si="36"/>
        <v>151386107.93500358</v>
      </c>
      <c r="AB66" s="102">
        <f t="shared" si="36"/>
        <v>101348809.96222259</v>
      </c>
      <c r="AC66" s="102">
        <f t="shared" si="36"/>
        <v>86474242.07543017</v>
      </c>
      <c r="AD66" s="102">
        <f t="shared" si="36"/>
        <v>119946662.55380566</v>
      </c>
      <c r="AE66" s="102"/>
      <c r="AF66" s="102">
        <f>AF12+AF16+AF20+AF24+AF32+AF45+AF57+AF59+AF60+AF61+AF62+AF64</f>
        <v>0</v>
      </c>
      <c r="AG66" s="102"/>
      <c r="AH66" s="102">
        <f>AH12+AH16+AH20+AH24+AH32+AH45+AH57+AH59+AH60+AH61+AH62+AH64</f>
        <v>0</v>
      </c>
      <c r="AI66" s="102"/>
      <c r="AJ66" s="102">
        <f>AJ12+AJ16+AJ20+AJ24+AJ32+AJ45+AJ57+AJ59+AJ60+AJ61+AJ62+AJ64</f>
        <v>0</v>
      </c>
      <c r="AK66" s="102">
        <f>AK12+AK16+AK20+AK24+AK32+AK45+AK57+AK59+AK60+AK61+AK62+AK64</f>
        <v>6970753238.6232004</v>
      </c>
      <c r="AL66" s="98" t="str">
        <f>IF(ABS(AK66-F66)&lt;1,"ok","err")</f>
        <v>ok</v>
      </c>
      <c r="AM66" s="102"/>
    </row>
    <row r="67" spans="1:39" x14ac:dyDescent="0.25">
      <c r="AL67" s="98"/>
    </row>
    <row r="68" spans="1:39" x14ac:dyDescent="0.25">
      <c r="A68" s="23"/>
      <c r="AL68" s="98"/>
    </row>
    <row r="69" spans="1:39" x14ac:dyDescent="0.25">
      <c r="A69" s="23" t="s">
        <v>189</v>
      </c>
      <c r="AL69" s="98"/>
    </row>
    <row r="70" spans="1:39" x14ac:dyDescent="0.25">
      <c r="A70" s="23"/>
      <c r="AL70" s="98"/>
    </row>
    <row r="71" spans="1:39" x14ac:dyDescent="0.25">
      <c r="B71" s="97" t="s">
        <v>1666</v>
      </c>
      <c r="C71" s="97" t="s">
        <v>1075</v>
      </c>
      <c r="D71" s="97" t="s">
        <v>733</v>
      </c>
      <c r="F71" s="100">
        <f>'Jurisdictional Study'!F817-160904288</f>
        <v>28153069.471535772</v>
      </c>
      <c r="H71" s="101">
        <f>IF(VLOOKUP($D71,$C$5:$AJ$644,6,)=0,0,((VLOOKUP($D71,$C$5:$AJ$644,6,)/VLOOKUP($D71,$C$5:$AJ$644,4,))*$F71))</f>
        <v>9679062.0226386599</v>
      </c>
      <c r="I71" s="101">
        <f>IF(VLOOKUP($D71,$C$5:$AJ$644,7,)=0,0,((VLOOKUP($D71,$C$5:$AJ$644,7,)/VLOOKUP($D71,$C$5:$AJ$644,4,))*$F71))</f>
        <v>10139430.098388931</v>
      </c>
      <c r="J71" s="101">
        <f>IF(VLOOKUP($D71,$C$5:$AJ$644,8,)=0,0,((VLOOKUP($D71,$C$5:$AJ$644,8,)/VLOOKUP($D71,$C$5:$AJ$644,4,))*$F71))</f>
        <v>8334577.3505081804</v>
      </c>
      <c r="K71" s="101">
        <f>IF(VLOOKUP($D71,$C$5:$AJ$644,9,)=0,0,((VLOOKUP($D71,$C$5:$AJ$644,9,)/VLOOKUP($D71,$C$5:$AJ$644,4,))*$F71))</f>
        <v>0</v>
      </c>
      <c r="L71" s="101">
        <f>IF(VLOOKUP($D71,$C$5:$AJ$644,10,)=0,0,((VLOOKUP($D71,$C$5:$AJ$644,10,)/VLOOKUP($D71,$C$5:$AJ$644,4,))*$F71))</f>
        <v>0</v>
      </c>
      <c r="M71" s="101">
        <f>IF(VLOOKUP($D71,$C$5:$AJ$644,11,)=0,0,((VLOOKUP($D71,$C$5:$AJ$644,11,)/VLOOKUP($D71,$C$5:$AJ$644,4,))*$F71))</f>
        <v>0</v>
      </c>
      <c r="N71" s="101"/>
      <c r="O71" s="101">
        <f>IF(VLOOKUP($D71,$C$5:$AJ$644,13,)=0,0,((VLOOKUP($D71,$C$5:$AJ$644,13,)/VLOOKUP($D71,$C$5:$AJ$644,4,))*$F71))</f>
        <v>0</v>
      </c>
      <c r="P71" s="101">
        <f>IF(VLOOKUP($D71,$C$5:$AJ$644,14,)=0,0,((VLOOKUP($D71,$C$5:$AJ$644,14,)/VLOOKUP($D71,$C$5:$AJ$644,4,))*$F71))</f>
        <v>0</v>
      </c>
      <c r="Q71" s="101">
        <f>IF(VLOOKUP($D71,$C$5:$AJ$644,15,)=0,0,((VLOOKUP($D71,$C$5:$AJ$644,15,)/VLOOKUP($D71,$C$5:$AJ$644,4,))*$F71))</f>
        <v>0</v>
      </c>
      <c r="R71" s="101"/>
      <c r="S71" s="101">
        <f>IF(VLOOKUP($D71,$C$5:$AJ$644,17,)=0,0,((VLOOKUP($D71,$C$5:$AJ$644,17,)/VLOOKUP($D71,$C$5:$AJ$644,4,))*$F71))</f>
        <v>0</v>
      </c>
      <c r="T71" s="101">
        <f>IF(VLOOKUP($D71,$C$5:$AJ$644,18,)=0,0,((VLOOKUP($D71,$C$5:$AJ$644,18,)/VLOOKUP($D71,$C$5:$AJ$644,4,))*$F71))</f>
        <v>0</v>
      </c>
      <c r="U71" s="101">
        <f>IF(VLOOKUP($D71,$C$5:$AJ$644,19,)=0,0,((VLOOKUP($D71,$C$5:$AJ$644,19,)/VLOOKUP($D71,$C$5:$AJ$644,4,))*$F71))</f>
        <v>0</v>
      </c>
      <c r="V71" s="101">
        <f>IF(VLOOKUP($D71,$C$5:$AJ$644,20,)=0,0,((VLOOKUP($D71,$C$5:$AJ$644,20,)/VLOOKUP($D71,$C$5:$AJ$644,4,))*$F71))</f>
        <v>0</v>
      </c>
      <c r="W71" s="101">
        <f>IF(VLOOKUP($D71,$C$5:$AJ$644,21,)=0,0,((VLOOKUP($D71,$C$5:$AJ$644,21,)/VLOOKUP($D71,$C$5:$AJ$644,4,))*$F71))</f>
        <v>0</v>
      </c>
      <c r="X71" s="101">
        <f>IF(VLOOKUP($D71,$C$5:$AJ$644,22,)=0,0,((VLOOKUP($D71,$C$5:$AJ$644,22,)/VLOOKUP($D71,$C$5:$AJ$644,4,))*$F71))</f>
        <v>0</v>
      </c>
      <c r="Y71" s="101">
        <f>IF(VLOOKUP($D71,$C$5:$AJ$644,23,)=0,0,((VLOOKUP($D71,$C$5:$AJ$644,23,)/VLOOKUP($D71,$C$5:$AJ$644,4,))*$F71))</f>
        <v>0</v>
      </c>
      <c r="Z71" s="101">
        <f>IF(VLOOKUP($D71,$C$5:$AJ$644,24,)=0,0,((VLOOKUP($D71,$C$5:$AJ$644,24,)/VLOOKUP($D71,$C$5:$AJ$644,4,))*$F71))</f>
        <v>0</v>
      </c>
      <c r="AA71" s="101">
        <f>IF(VLOOKUP($D71,$C$5:$AJ$644,25,)=0,0,((VLOOKUP($D71,$C$5:$AJ$644,25,)/VLOOKUP($D71,$C$5:$AJ$644,4,))*$F71))</f>
        <v>0</v>
      </c>
      <c r="AB71" s="101">
        <f>IF(VLOOKUP($D71,$C$5:$AJ$644,26,)=0,0,((VLOOKUP($D71,$C$5:$AJ$644,26,)/VLOOKUP($D71,$C$5:$AJ$644,4,))*$F71))</f>
        <v>0</v>
      </c>
      <c r="AC71" s="101">
        <f>IF(VLOOKUP($D71,$C$5:$AJ$644,27,)=0,0,((VLOOKUP($D71,$C$5:$AJ$644,27,)/VLOOKUP($D71,$C$5:$AJ$644,4,))*$F71))</f>
        <v>0</v>
      </c>
      <c r="AD71" s="101">
        <f>IF(VLOOKUP($D71,$C$5:$AJ$644,28,)=0,0,((VLOOKUP($D71,$C$5:$AJ$644,28,)/VLOOKUP($D71,$C$5:$AJ$644,4,))*$F71))</f>
        <v>0</v>
      </c>
      <c r="AE71" s="101"/>
      <c r="AF71" s="101">
        <f>IF(VLOOKUP($D71,$C$5:$AJ$644,30,)=0,0,((VLOOKUP($D71,$C$5:$AJ$644,30,)/VLOOKUP($D71,$C$5:$AJ$644,4,))*$F71))</f>
        <v>0</v>
      </c>
      <c r="AG71" s="101"/>
      <c r="AH71" s="101">
        <f>IF(VLOOKUP($D71,$C$5:$AJ$644,32,)=0,0,((VLOOKUP($D71,$C$5:$AJ$644,32,)/VLOOKUP($D71,$C$5:$AJ$644,4,))*$F71))</f>
        <v>0</v>
      </c>
      <c r="AI71" s="101"/>
      <c r="AJ71" s="101">
        <f>IF(VLOOKUP($D71,$C$5:$AJ$644,34,)=0,0,((VLOOKUP($D71,$C$5:$AJ$644,34,)/VLOOKUP($D71,$C$5:$AJ$644,4,))*$F71))</f>
        <v>0</v>
      </c>
      <c r="AK71" s="101">
        <f>SUM(H71:AJ71)</f>
        <v>28153069.471535768</v>
      </c>
      <c r="AL71" s="98" t="str">
        <f>IF(ABS(AK71-F71)&lt;1,"ok","err")</f>
        <v>ok</v>
      </c>
    </row>
    <row r="72" spans="1:39" x14ac:dyDescent="0.25">
      <c r="B72" s="97" t="s">
        <v>1362</v>
      </c>
      <c r="C72" s="97" t="s">
        <v>1076</v>
      </c>
      <c r="D72" s="97" t="s">
        <v>492</v>
      </c>
      <c r="F72" s="101">
        <f>'Jurisdictional Study'!F825</f>
        <v>30190923.175486635</v>
      </c>
      <c r="H72" s="101">
        <f>IF(VLOOKUP($D72,$C$5:$AJ$644,6,)=0,0,((VLOOKUP($D72,$C$5:$AJ$644,6,)/VLOOKUP($D72,$C$5:$AJ$644,4,))*$F72))</f>
        <v>0</v>
      </c>
      <c r="I72" s="101">
        <f>IF(VLOOKUP($D72,$C$5:$AJ$644,7,)=0,0,((VLOOKUP($D72,$C$5:$AJ$644,7,)/VLOOKUP($D72,$C$5:$AJ$644,4,))*$F72))</f>
        <v>0</v>
      </c>
      <c r="J72" s="101">
        <f>IF(VLOOKUP($D72,$C$5:$AJ$644,8,)=0,0,((VLOOKUP($D72,$C$5:$AJ$644,8,)/VLOOKUP($D72,$C$5:$AJ$644,4,))*$F72))</f>
        <v>0</v>
      </c>
      <c r="K72" s="101">
        <f>IF(VLOOKUP($D72,$C$5:$AJ$644,9,)=0,0,((VLOOKUP($D72,$C$5:$AJ$644,9,)/VLOOKUP($D72,$C$5:$AJ$644,4,))*$F72))</f>
        <v>0</v>
      </c>
      <c r="L72" s="101">
        <f>IF(VLOOKUP($D72,$C$5:$AJ$644,10,)=0,0,((VLOOKUP($D72,$C$5:$AJ$644,10,)/VLOOKUP($D72,$C$5:$AJ$644,4,))*$F72))</f>
        <v>0</v>
      </c>
      <c r="M72" s="101">
        <f>IF(VLOOKUP($D72,$C$5:$AJ$644,11,)=0,0,((VLOOKUP($D72,$C$5:$AJ$644,11,)/VLOOKUP($D72,$C$5:$AJ$644,4,))*$F72))</f>
        <v>0</v>
      </c>
      <c r="N72" s="101"/>
      <c r="O72" s="101">
        <f>IF(VLOOKUP($D72,$C$5:$AJ$644,13,)=0,0,((VLOOKUP($D72,$C$5:$AJ$644,13,)/VLOOKUP($D72,$C$5:$AJ$644,4,))*$F72))</f>
        <v>30190923.175486635</v>
      </c>
      <c r="P72" s="101">
        <f>IF(VLOOKUP($D72,$C$5:$AJ$644,14,)=0,0,((VLOOKUP($D72,$C$5:$AJ$644,14,)/VLOOKUP($D72,$C$5:$AJ$644,4,))*$F72))</f>
        <v>0</v>
      </c>
      <c r="Q72" s="101">
        <f>IF(VLOOKUP($D72,$C$5:$AJ$644,15,)=0,0,((VLOOKUP($D72,$C$5:$AJ$644,15,)/VLOOKUP($D72,$C$5:$AJ$644,4,))*$F72))</f>
        <v>0</v>
      </c>
      <c r="R72" s="101"/>
      <c r="S72" s="101">
        <f>IF(VLOOKUP($D72,$C$5:$AJ$644,17,)=0,0,((VLOOKUP($D72,$C$5:$AJ$644,17,)/VLOOKUP($D72,$C$5:$AJ$644,4,))*$F72))</f>
        <v>0</v>
      </c>
      <c r="T72" s="101">
        <f>IF(VLOOKUP($D72,$C$5:$AJ$644,18,)=0,0,((VLOOKUP($D72,$C$5:$AJ$644,18,)/VLOOKUP($D72,$C$5:$AJ$644,4,))*$F72))</f>
        <v>0</v>
      </c>
      <c r="U72" s="101">
        <f>IF(VLOOKUP($D72,$C$5:$AJ$644,19,)=0,0,((VLOOKUP($D72,$C$5:$AJ$644,19,)/VLOOKUP($D72,$C$5:$AJ$644,4,))*$F72))</f>
        <v>0</v>
      </c>
      <c r="V72" s="101">
        <f>IF(VLOOKUP($D72,$C$5:$AJ$644,20,)=0,0,((VLOOKUP($D72,$C$5:$AJ$644,20,)/VLOOKUP($D72,$C$5:$AJ$644,4,))*$F72))</f>
        <v>0</v>
      </c>
      <c r="W72" s="101">
        <f>IF(VLOOKUP($D72,$C$5:$AJ$644,21,)=0,0,((VLOOKUP($D72,$C$5:$AJ$644,21,)/VLOOKUP($D72,$C$5:$AJ$644,4,))*$F72))</f>
        <v>0</v>
      </c>
      <c r="X72" s="101">
        <f>IF(VLOOKUP($D72,$C$5:$AJ$644,22,)=0,0,((VLOOKUP($D72,$C$5:$AJ$644,22,)/VLOOKUP($D72,$C$5:$AJ$644,4,))*$F72))</f>
        <v>0</v>
      </c>
      <c r="Y72" s="101">
        <f>IF(VLOOKUP($D72,$C$5:$AJ$644,23,)=0,0,((VLOOKUP($D72,$C$5:$AJ$644,23,)/VLOOKUP($D72,$C$5:$AJ$644,4,))*$F72))</f>
        <v>0</v>
      </c>
      <c r="Z72" s="101">
        <f>IF(VLOOKUP($D72,$C$5:$AJ$644,24,)=0,0,((VLOOKUP($D72,$C$5:$AJ$644,24,)/VLOOKUP($D72,$C$5:$AJ$644,4,))*$F72))</f>
        <v>0</v>
      </c>
      <c r="AA72" s="101">
        <f>IF(VLOOKUP($D72,$C$5:$AJ$644,25,)=0,0,((VLOOKUP($D72,$C$5:$AJ$644,25,)/VLOOKUP($D72,$C$5:$AJ$644,4,))*$F72))</f>
        <v>0</v>
      </c>
      <c r="AB72" s="101">
        <f>IF(VLOOKUP($D72,$C$5:$AJ$644,26,)=0,0,((VLOOKUP($D72,$C$5:$AJ$644,26,)/VLOOKUP($D72,$C$5:$AJ$644,4,))*$F72))</f>
        <v>0</v>
      </c>
      <c r="AC72" s="101">
        <f>IF(VLOOKUP($D72,$C$5:$AJ$644,27,)=0,0,((VLOOKUP($D72,$C$5:$AJ$644,27,)/VLOOKUP($D72,$C$5:$AJ$644,4,))*$F72))</f>
        <v>0</v>
      </c>
      <c r="AD72" s="101">
        <f>IF(VLOOKUP($D72,$C$5:$AJ$644,28,)=0,0,((VLOOKUP($D72,$C$5:$AJ$644,28,)/VLOOKUP($D72,$C$5:$AJ$644,4,))*$F72))</f>
        <v>0</v>
      </c>
      <c r="AE72" s="101"/>
      <c r="AF72" s="101">
        <f>IF(VLOOKUP($D72,$C$5:$AJ$644,30,)=0,0,((VLOOKUP($D72,$C$5:$AJ$644,30,)/VLOOKUP($D72,$C$5:$AJ$644,4,))*$F72))</f>
        <v>0</v>
      </c>
      <c r="AG72" s="101"/>
      <c r="AH72" s="101">
        <f>IF(VLOOKUP($D72,$C$5:$AJ$644,32,)=0,0,((VLOOKUP($D72,$C$5:$AJ$644,32,)/VLOOKUP($D72,$C$5:$AJ$644,4,))*$F72))</f>
        <v>0</v>
      </c>
      <c r="AI72" s="101"/>
      <c r="AJ72" s="101">
        <f>IF(VLOOKUP($D72,$C$5:$AJ$644,34,)=0,0,((VLOOKUP($D72,$C$5:$AJ$644,34,)/VLOOKUP($D72,$C$5:$AJ$644,4,))*$F72))</f>
        <v>0</v>
      </c>
      <c r="AK72" s="101">
        <f>SUM(H72:AJ72)</f>
        <v>30190923.175486635</v>
      </c>
      <c r="AL72" s="98" t="str">
        <f>IF(ABS(AK72-F72)&lt;1,"ok","err")</f>
        <v>ok</v>
      </c>
    </row>
    <row r="73" spans="1:39" x14ac:dyDescent="0.25">
      <c r="B73" s="97" t="s">
        <v>1367</v>
      </c>
      <c r="C73" s="97" t="s">
        <v>510</v>
      </c>
      <c r="D73" s="97" t="s">
        <v>115</v>
      </c>
      <c r="F73" s="101">
        <f>'Jurisdictional Study'!F829</f>
        <v>32868652.481538456</v>
      </c>
      <c r="H73" s="101">
        <f>IF(VLOOKUP($D73,$C$5:$AJ$644,6,)=0,0,((VLOOKUP($D73,$C$5:$AJ$644,6,)/VLOOKUP($D73,$C$5:$AJ$644,4,))*$F73))</f>
        <v>0</v>
      </c>
      <c r="I73" s="101">
        <f>IF(VLOOKUP($D73,$C$5:$AJ$644,7,)=0,0,((VLOOKUP($D73,$C$5:$AJ$644,7,)/VLOOKUP($D73,$C$5:$AJ$644,4,))*$F73))</f>
        <v>0</v>
      </c>
      <c r="J73" s="101">
        <f>IF(VLOOKUP($D73,$C$5:$AJ$644,8,)=0,0,((VLOOKUP($D73,$C$5:$AJ$644,8,)/VLOOKUP($D73,$C$5:$AJ$644,4,))*$F73))</f>
        <v>0</v>
      </c>
      <c r="K73" s="101">
        <f>IF(VLOOKUP($D73,$C$5:$AJ$644,9,)=0,0,((VLOOKUP($D73,$C$5:$AJ$644,9,)/VLOOKUP($D73,$C$5:$AJ$644,4,))*$F73))</f>
        <v>0</v>
      </c>
      <c r="L73" s="101">
        <f>IF(VLOOKUP($D73,$C$5:$AJ$644,10,)=0,0,((VLOOKUP($D73,$C$5:$AJ$644,10,)/VLOOKUP($D73,$C$5:$AJ$644,4,))*$F73))</f>
        <v>0</v>
      </c>
      <c r="M73" s="101">
        <f>IF(VLOOKUP($D73,$C$5:$AJ$644,11,)=0,0,((VLOOKUP($D73,$C$5:$AJ$644,11,)/VLOOKUP($D73,$C$5:$AJ$644,4,))*$F73))</f>
        <v>0</v>
      </c>
      <c r="N73" s="101"/>
      <c r="O73" s="101">
        <f>IF(VLOOKUP($D73,$C$5:$AJ$644,13,)=0,0,((VLOOKUP($D73,$C$5:$AJ$644,13,)/VLOOKUP($D73,$C$5:$AJ$644,4,))*$F73))</f>
        <v>0</v>
      </c>
      <c r="P73" s="101">
        <f>IF(VLOOKUP($D73,$C$5:$AJ$644,14,)=0,0,((VLOOKUP($D73,$C$5:$AJ$644,14,)/VLOOKUP($D73,$C$5:$AJ$644,4,))*$F73))</f>
        <v>0</v>
      </c>
      <c r="Q73" s="101">
        <f>IF(VLOOKUP($D73,$C$5:$AJ$644,15,)=0,0,((VLOOKUP($D73,$C$5:$AJ$644,15,)/VLOOKUP($D73,$C$5:$AJ$644,4,))*$F73))</f>
        <v>0</v>
      </c>
      <c r="R73" s="101"/>
      <c r="S73" s="101">
        <f>IF(VLOOKUP($D73,$C$5:$AJ$644,17,)=0,0,((VLOOKUP($D73,$C$5:$AJ$644,17,)/VLOOKUP($D73,$C$5:$AJ$644,4,))*$F73))</f>
        <v>0</v>
      </c>
      <c r="T73" s="101">
        <f>IF(VLOOKUP($D73,$C$5:$AJ$644,18,)=0,0,((VLOOKUP($D73,$C$5:$AJ$644,18,)/VLOOKUP($D73,$C$5:$AJ$644,4,))*$F73))</f>
        <v>3979516.1586156203</v>
      </c>
      <c r="U73" s="101">
        <f>IF(VLOOKUP($D73,$C$5:$AJ$644,19,)=0,0,((VLOOKUP($D73,$C$5:$AJ$644,19,)/VLOOKUP($D73,$C$5:$AJ$644,4,))*$F73))</f>
        <v>0</v>
      </c>
      <c r="V73" s="101">
        <f>IF(VLOOKUP($D73,$C$5:$AJ$644,20,)=0,0,((VLOOKUP($D73,$C$5:$AJ$644,20,)/VLOOKUP($D73,$C$5:$AJ$644,4,))*$F73))</f>
        <v>4336446.719053654</v>
      </c>
      <c r="W73" s="101">
        <f>IF(VLOOKUP($D73,$C$5:$AJ$644,21,)=0,0,((VLOOKUP($D73,$C$5:$AJ$644,21,)/VLOOKUP($D73,$C$5:$AJ$644,4,))*$F73))</f>
        <v>8041549.9963388257</v>
      </c>
      <c r="X73" s="101">
        <f>IF(VLOOKUP($D73,$C$5:$AJ$644,22,)=0,0,((VLOOKUP($D73,$C$5:$AJ$644,22,)/VLOOKUP($D73,$C$5:$AJ$644,4,))*$F73))</f>
        <v>1996310.5322768465</v>
      </c>
      <c r="Y73" s="101">
        <f>IF(VLOOKUP($D73,$C$5:$AJ$644,23,)=0,0,((VLOOKUP($D73,$C$5:$AJ$644,23,)/VLOOKUP($D73,$C$5:$AJ$644,4,))*$F73))</f>
        <v>3051702.2727663084</v>
      </c>
      <c r="Z73" s="101">
        <f>IF(VLOOKUP($D73,$C$5:$AJ$644,24,)=0,0,((VLOOKUP($D73,$C$5:$AJ$644,24,)/VLOOKUP($D73,$C$5:$AJ$644,4,))*$F73))</f>
        <v>3098967.7020060704</v>
      </c>
      <c r="AA73" s="101">
        <f>IF(VLOOKUP($D73,$C$5:$AJ$644,25,)=0,0,((VLOOKUP($D73,$C$5:$AJ$644,25,)/VLOOKUP($D73,$C$5:$AJ$644,4,))*$F73))</f>
        <v>2757707.5804107967</v>
      </c>
      <c r="AB73" s="101">
        <f>IF(VLOOKUP($D73,$C$5:$AJ$644,26,)=0,0,((VLOOKUP($D73,$C$5:$AJ$644,26,)/VLOOKUP($D73,$C$5:$AJ$644,4,))*$F73))</f>
        <v>1846208.9111798254</v>
      </c>
      <c r="AC73" s="101">
        <f>IF(VLOOKUP($D73,$C$5:$AJ$644,27,)=0,0,((VLOOKUP($D73,$C$5:$AJ$644,27,)/VLOOKUP($D73,$C$5:$AJ$644,4,))*$F73))</f>
        <v>1575248.0603046978</v>
      </c>
      <c r="AD73" s="101">
        <f>IF(VLOOKUP($D73,$C$5:$AJ$644,28,)=0,0,((VLOOKUP($D73,$C$5:$AJ$644,28,)/VLOOKUP($D73,$C$5:$AJ$644,4,))*$F73))</f>
        <v>2184994.5485858093</v>
      </c>
      <c r="AE73" s="101"/>
      <c r="AF73" s="101">
        <f>IF(VLOOKUP($D73,$C$5:$AJ$644,30,)=0,0,((VLOOKUP($D73,$C$5:$AJ$644,30,)/VLOOKUP($D73,$C$5:$AJ$644,4,))*$F73))</f>
        <v>0</v>
      </c>
      <c r="AG73" s="101"/>
      <c r="AH73" s="101">
        <f>IF(VLOOKUP($D73,$C$5:$AJ$644,32,)=0,0,((VLOOKUP($D73,$C$5:$AJ$644,32,)/VLOOKUP($D73,$C$5:$AJ$644,4,))*$F73))</f>
        <v>0</v>
      </c>
      <c r="AI73" s="101"/>
      <c r="AJ73" s="101">
        <f>IF(VLOOKUP($D73,$C$5:$AJ$644,34,)=0,0,((VLOOKUP($D73,$C$5:$AJ$644,34,)/VLOOKUP($D73,$C$5:$AJ$644,4,))*$F73))</f>
        <v>0</v>
      </c>
      <c r="AK73" s="101">
        <f>SUM(H73:AJ73)</f>
        <v>32868652.481538456</v>
      </c>
      <c r="AL73" s="98" t="str">
        <f>IF(ABS(AK73-F73)&lt;1,"ok","err")</f>
        <v>ok</v>
      </c>
    </row>
    <row r="74" spans="1:39" x14ac:dyDescent="0.25">
      <c r="B74" s="97" t="s">
        <v>1366</v>
      </c>
      <c r="C74" s="97" t="s">
        <v>511</v>
      </c>
      <c r="D74" s="97" t="s">
        <v>493</v>
      </c>
      <c r="F74" s="101">
        <f>'Jurisdictional Study'!F831</f>
        <v>27491295.652346555</v>
      </c>
      <c r="H74" s="101">
        <f>IF(VLOOKUP($D74,$C$5:$AJ$644,6,)=0,0,((VLOOKUP($D74,$C$5:$AJ$644,6,)/VLOOKUP($D74,$C$5:$AJ$644,4,))*$F74))</f>
        <v>5760029.4490480404</v>
      </c>
      <c r="I74" s="101">
        <f>IF(VLOOKUP($D74,$C$5:$AJ$644,7,)=0,0,((VLOOKUP($D74,$C$5:$AJ$644,7,)/VLOOKUP($D74,$C$5:$AJ$644,4,))*$F74))</f>
        <v>6033995.4250404388</v>
      </c>
      <c r="J74" s="101">
        <f>IF(VLOOKUP($D74,$C$5:$AJ$644,8,)=0,0,((VLOOKUP($D74,$C$5:$AJ$644,8,)/VLOOKUP($D74,$C$5:$AJ$644,4,))*$F74))</f>
        <v>4959923.8926261542</v>
      </c>
      <c r="K74" s="101">
        <f>IF(VLOOKUP($D74,$C$5:$AJ$644,9,)=0,0,((VLOOKUP($D74,$C$5:$AJ$644,9,)/VLOOKUP($D74,$C$5:$AJ$644,4,))*$F74))</f>
        <v>0</v>
      </c>
      <c r="L74" s="101">
        <f>IF(VLOOKUP($D74,$C$5:$AJ$644,10,)=0,0,((VLOOKUP($D74,$C$5:$AJ$644,10,)/VLOOKUP($D74,$C$5:$AJ$644,4,))*$F74))</f>
        <v>0</v>
      </c>
      <c r="M74" s="101">
        <f>IF(VLOOKUP($D74,$C$5:$AJ$644,11,)=0,0,((VLOOKUP($D74,$C$5:$AJ$644,11,)/VLOOKUP($D74,$C$5:$AJ$644,4,))*$F74))</f>
        <v>0</v>
      </c>
      <c r="N74" s="101"/>
      <c r="O74" s="101">
        <f>IF(VLOOKUP($D74,$C$5:$AJ$644,13,)=0,0,((VLOOKUP($D74,$C$5:$AJ$644,13,)/VLOOKUP($D74,$C$5:$AJ$644,4,))*$F74))</f>
        <v>3621414.98449123</v>
      </c>
      <c r="P74" s="101">
        <f>IF(VLOOKUP($D74,$C$5:$AJ$644,14,)=0,0,((VLOOKUP($D74,$C$5:$AJ$644,14,)/VLOOKUP($D74,$C$5:$AJ$644,4,))*$F74))</f>
        <v>0</v>
      </c>
      <c r="Q74" s="101">
        <f>IF(VLOOKUP($D74,$C$5:$AJ$644,15,)=0,0,((VLOOKUP($D74,$C$5:$AJ$644,15,)/VLOOKUP($D74,$C$5:$AJ$644,4,))*$F74))</f>
        <v>0</v>
      </c>
      <c r="R74" s="101"/>
      <c r="S74" s="101">
        <f>IF(VLOOKUP($D74,$C$5:$AJ$644,17,)=0,0,((VLOOKUP($D74,$C$5:$AJ$644,17,)/VLOOKUP($D74,$C$5:$AJ$644,4,))*$F74))</f>
        <v>0</v>
      </c>
      <c r="T74" s="101">
        <f>IF(VLOOKUP($D74,$C$5:$AJ$644,18,)=0,0,((VLOOKUP($D74,$C$5:$AJ$644,18,)/VLOOKUP($D74,$C$5:$AJ$644,4,))*$F74))</f>
        <v>861549.34401716921</v>
      </c>
      <c r="U74" s="101">
        <f>IF(VLOOKUP($D74,$C$5:$AJ$644,19,)=0,0,((VLOOKUP($D74,$C$5:$AJ$644,19,)/VLOOKUP($D74,$C$5:$AJ$644,4,))*$F74))</f>
        <v>0</v>
      </c>
      <c r="V74" s="101">
        <f>IF(VLOOKUP($D74,$C$5:$AJ$644,20,)=0,0,((VLOOKUP($D74,$C$5:$AJ$644,20,)/VLOOKUP($D74,$C$5:$AJ$644,4,))*$F74))</f>
        <v>938823.38386226539</v>
      </c>
      <c r="W74" s="101">
        <f>IF(VLOOKUP($D74,$C$5:$AJ$644,21,)=0,0,((VLOOKUP($D74,$C$5:$AJ$644,21,)/VLOOKUP($D74,$C$5:$AJ$644,4,))*$F74))</f>
        <v>1740963.4357753531</v>
      </c>
      <c r="X74" s="101">
        <f>IF(VLOOKUP($D74,$C$5:$AJ$644,22,)=0,0,((VLOOKUP($D74,$C$5:$AJ$644,22,)/VLOOKUP($D74,$C$5:$AJ$644,4,))*$F74))</f>
        <v>432193.25188919512</v>
      </c>
      <c r="Y74" s="101">
        <f>IF(VLOOKUP($D74,$C$5:$AJ$644,23,)=0,0,((VLOOKUP($D74,$C$5:$AJ$644,23,)/VLOOKUP($D74,$C$5:$AJ$644,4,))*$F74))</f>
        <v>660681.34578253631</v>
      </c>
      <c r="Z74" s="101">
        <f>IF(VLOOKUP($D74,$C$5:$AJ$644,24,)=0,0,((VLOOKUP($D74,$C$5:$AJ$644,24,)/VLOOKUP($D74,$C$5:$AJ$644,4,))*$F74))</f>
        <v>670914.12231443834</v>
      </c>
      <c r="AA74" s="101">
        <f>IF(VLOOKUP($D74,$C$5:$AJ$644,25,)=0,0,((VLOOKUP($D74,$C$5:$AJ$644,25,)/VLOOKUP($D74,$C$5:$AJ$644,4,))*$F74))</f>
        <v>597032.66985115514</v>
      </c>
      <c r="AB74" s="101">
        <f>IF(VLOOKUP($D74,$C$5:$AJ$644,26,)=0,0,((VLOOKUP($D74,$C$5:$AJ$644,26,)/VLOOKUP($D74,$C$5:$AJ$644,4,))*$F74))</f>
        <v>399696.850809864</v>
      </c>
      <c r="AC74" s="101">
        <f>IF(VLOOKUP($D74,$C$5:$AJ$644,27,)=0,0,((VLOOKUP($D74,$C$5:$AJ$644,27,)/VLOOKUP($D74,$C$5:$AJ$644,4,))*$F74))</f>
        <v>341034.90950315737</v>
      </c>
      <c r="AD74" s="101">
        <f>IF(VLOOKUP($D74,$C$5:$AJ$644,28,)=0,0,((VLOOKUP($D74,$C$5:$AJ$644,28,)/VLOOKUP($D74,$C$5:$AJ$644,4,))*$F74))</f>
        <v>473042.58733555814</v>
      </c>
      <c r="AE74" s="101"/>
      <c r="AF74" s="101">
        <f>IF(VLOOKUP($D74,$C$5:$AJ$644,30,)=0,0,((VLOOKUP($D74,$C$5:$AJ$644,30,)/VLOOKUP($D74,$C$5:$AJ$644,4,))*$F74))</f>
        <v>0</v>
      </c>
      <c r="AG74" s="101"/>
      <c r="AH74" s="101">
        <f>IF(VLOOKUP($D74,$C$5:$AJ$644,32,)=0,0,((VLOOKUP($D74,$C$5:$AJ$644,32,)/VLOOKUP($D74,$C$5:$AJ$644,4,))*$F74))</f>
        <v>0</v>
      </c>
      <c r="AI74" s="101"/>
      <c r="AJ74" s="101">
        <f>IF(VLOOKUP($D74,$C$5:$AJ$644,34,)=0,0,((VLOOKUP($D74,$C$5:$AJ$644,34,)/VLOOKUP($D74,$C$5:$AJ$644,4,))*$F74))</f>
        <v>0</v>
      </c>
      <c r="AK74" s="101">
        <f>SUM(H74:AJ74)</f>
        <v>27491295.652346555</v>
      </c>
      <c r="AL74" s="98" t="str">
        <f>IF(ABS(AK74-F74)&lt;1,"ok","err")</f>
        <v>ok</v>
      </c>
    </row>
    <row r="75" spans="1:39" x14ac:dyDescent="0.25">
      <c r="B75" s="97" t="s">
        <v>1368</v>
      </c>
      <c r="C75" s="97" t="s">
        <v>512</v>
      </c>
      <c r="D75" s="97" t="s">
        <v>124</v>
      </c>
      <c r="F75" s="101">
        <v>0</v>
      </c>
      <c r="H75" s="101">
        <f>IF(VLOOKUP($D75,$C$5:$AJ$644,6,)=0,0,((VLOOKUP($D75,$C$5:$AJ$644,6,)/VLOOKUP($D75,$C$5:$AJ$644,4,))*$F75))</f>
        <v>0</v>
      </c>
      <c r="I75" s="101">
        <f>IF(VLOOKUP($D75,$C$5:$AJ$644,7,)=0,0,((VLOOKUP($D75,$C$5:$AJ$644,7,)/VLOOKUP($D75,$C$5:$AJ$644,4,))*$F75))</f>
        <v>0</v>
      </c>
      <c r="J75" s="101">
        <f>IF(VLOOKUP($D75,$C$5:$AJ$644,8,)=0,0,((VLOOKUP($D75,$C$5:$AJ$644,8,)/VLOOKUP($D75,$C$5:$AJ$644,4,))*$F75))</f>
        <v>0</v>
      </c>
      <c r="K75" s="101">
        <f>IF(VLOOKUP($D75,$C$5:$AJ$644,9,)=0,0,((VLOOKUP($D75,$C$5:$AJ$644,9,)/VLOOKUP($D75,$C$5:$AJ$644,4,))*$F75))</f>
        <v>0</v>
      </c>
      <c r="L75" s="101">
        <f>IF(VLOOKUP($D75,$C$5:$AJ$644,10,)=0,0,((VLOOKUP($D75,$C$5:$AJ$644,10,)/VLOOKUP($D75,$C$5:$AJ$644,4,))*$F75))</f>
        <v>0</v>
      </c>
      <c r="M75" s="101">
        <f>IF(VLOOKUP($D75,$C$5:$AJ$644,11,)=0,0,((VLOOKUP($D75,$C$5:$AJ$644,11,)/VLOOKUP($D75,$C$5:$AJ$644,4,))*$F75))</f>
        <v>0</v>
      </c>
      <c r="N75" s="101"/>
      <c r="O75" s="101">
        <f>IF(VLOOKUP($D75,$C$5:$AJ$644,13,)=0,0,((VLOOKUP($D75,$C$5:$AJ$644,13,)/VLOOKUP($D75,$C$5:$AJ$644,4,))*$F75))</f>
        <v>0</v>
      </c>
      <c r="P75" s="101">
        <f>IF(VLOOKUP($D75,$C$5:$AJ$644,14,)=0,0,((VLOOKUP($D75,$C$5:$AJ$644,14,)/VLOOKUP($D75,$C$5:$AJ$644,4,))*$F75))</f>
        <v>0</v>
      </c>
      <c r="Q75" s="101">
        <f>IF(VLOOKUP($D75,$C$5:$AJ$644,15,)=0,0,((VLOOKUP($D75,$C$5:$AJ$644,15,)/VLOOKUP($D75,$C$5:$AJ$644,4,))*$F75))</f>
        <v>0</v>
      </c>
      <c r="R75" s="101"/>
      <c r="S75" s="101">
        <f>IF(VLOOKUP($D75,$C$5:$AJ$644,17,)=0,0,((VLOOKUP($D75,$C$5:$AJ$644,17,)/VLOOKUP($D75,$C$5:$AJ$644,4,))*$F75))</f>
        <v>0</v>
      </c>
      <c r="T75" s="101">
        <f>IF(VLOOKUP($D75,$C$5:$AJ$644,18,)=0,0,((VLOOKUP($D75,$C$5:$AJ$644,18,)/VLOOKUP($D75,$C$5:$AJ$644,4,))*$F75))</f>
        <v>0</v>
      </c>
      <c r="U75" s="101">
        <f>IF(VLOOKUP($D75,$C$5:$AJ$644,19,)=0,0,((VLOOKUP($D75,$C$5:$AJ$644,19,)/VLOOKUP($D75,$C$5:$AJ$644,4,))*$F75))</f>
        <v>0</v>
      </c>
      <c r="V75" s="101">
        <f>IF(VLOOKUP($D75,$C$5:$AJ$644,20,)=0,0,((VLOOKUP($D75,$C$5:$AJ$644,20,)/VLOOKUP($D75,$C$5:$AJ$644,4,))*$F75))</f>
        <v>0</v>
      </c>
      <c r="W75" s="101">
        <f>IF(VLOOKUP($D75,$C$5:$AJ$644,21,)=0,0,((VLOOKUP($D75,$C$5:$AJ$644,21,)/VLOOKUP($D75,$C$5:$AJ$644,4,))*$F75))</f>
        <v>0</v>
      </c>
      <c r="X75" s="101">
        <f>IF(VLOOKUP($D75,$C$5:$AJ$644,22,)=0,0,((VLOOKUP($D75,$C$5:$AJ$644,22,)/VLOOKUP($D75,$C$5:$AJ$644,4,))*$F75))</f>
        <v>0</v>
      </c>
      <c r="Y75" s="101">
        <f>IF(VLOOKUP($D75,$C$5:$AJ$644,23,)=0,0,((VLOOKUP($D75,$C$5:$AJ$644,23,)/VLOOKUP($D75,$C$5:$AJ$644,4,))*$F75))</f>
        <v>0</v>
      </c>
      <c r="Z75" s="101">
        <f>IF(VLOOKUP($D75,$C$5:$AJ$644,24,)=0,0,((VLOOKUP($D75,$C$5:$AJ$644,24,)/VLOOKUP($D75,$C$5:$AJ$644,4,))*$F75))</f>
        <v>0</v>
      </c>
      <c r="AA75" s="101">
        <f>IF(VLOOKUP($D75,$C$5:$AJ$644,25,)=0,0,((VLOOKUP($D75,$C$5:$AJ$644,25,)/VLOOKUP($D75,$C$5:$AJ$644,4,))*$F75))</f>
        <v>0</v>
      </c>
      <c r="AB75" s="101">
        <f>IF(VLOOKUP($D75,$C$5:$AJ$644,26,)=0,0,((VLOOKUP($D75,$C$5:$AJ$644,26,)/VLOOKUP($D75,$C$5:$AJ$644,4,))*$F75))</f>
        <v>0</v>
      </c>
      <c r="AC75" s="101">
        <f>IF(VLOOKUP($D75,$C$5:$AJ$644,27,)=0,0,((VLOOKUP($D75,$C$5:$AJ$644,27,)/VLOOKUP($D75,$C$5:$AJ$644,4,))*$F75))</f>
        <v>0</v>
      </c>
      <c r="AD75" s="101">
        <f>IF(VLOOKUP($D75,$C$5:$AJ$644,28,)=0,0,((VLOOKUP($D75,$C$5:$AJ$644,28,)/VLOOKUP($D75,$C$5:$AJ$644,4,))*$F75))</f>
        <v>0</v>
      </c>
      <c r="AE75" s="101"/>
      <c r="AF75" s="101">
        <f>IF(VLOOKUP($D75,$C$5:$AJ$644,30,)=0,0,((VLOOKUP($D75,$C$5:$AJ$644,30,)/VLOOKUP($D75,$C$5:$AJ$644,4,))*$F75))</f>
        <v>0</v>
      </c>
      <c r="AG75" s="101"/>
      <c r="AH75" s="101">
        <f>IF(VLOOKUP($D75,$C$5:$AJ$644,32,)=0,0,((VLOOKUP($D75,$C$5:$AJ$644,32,)/VLOOKUP($D75,$C$5:$AJ$644,4,))*$F75))</f>
        <v>0</v>
      </c>
      <c r="AI75" s="101"/>
      <c r="AJ75" s="101">
        <f>IF(VLOOKUP($D75,$C$5:$AJ$644,34,)=0,0,((VLOOKUP($D75,$C$5:$AJ$644,34,)/VLOOKUP($D75,$C$5:$AJ$644,4,))*$F75))</f>
        <v>0</v>
      </c>
      <c r="AK75" s="101">
        <f>SUM(H75:AJ75)</f>
        <v>0</v>
      </c>
      <c r="AL75" s="98" t="str">
        <f>IF(ABS(AK75-F75)&lt;1,"ok","err")</f>
        <v>ok</v>
      </c>
    </row>
    <row r="76" spans="1:39" x14ac:dyDescent="0.25">
      <c r="F76" s="101"/>
      <c r="AK76" s="101"/>
      <c r="AL76" s="98"/>
    </row>
    <row r="77" spans="1:39" x14ac:dyDescent="0.25">
      <c r="A77" s="93" t="s">
        <v>190</v>
      </c>
      <c r="C77" s="97" t="s">
        <v>191</v>
      </c>
      <c r="F77" s="100">
        <f>SUM(F71:F75)</f>
        <v>118703940.78090742</v>
      </c>
      <c r="G77" s="100"/>
      <c r="H77" s="100">
        <f t="shared" ref="H77:M77" si="37">SUM(H71:H75)</f>
        <v>15439091.4716867</v>
      </c>
      <c r="I77" s="100">
        <f t="shared" si="37"/>
        <v>16173425.52342937</v>
      </c>
      <c r="J77" s="100">
        <f t="shared" si="37"/>
        <v>13294501.243134335</v>
      </c>
      <c r="K77" s="100">
        <f>SUM(K71:K75)</f>
        <v>0</v>
      </c>
      <c r="L77" s="100">
        <f t="shared" si="37"/>
        <v>0</v>
      </c>
      <c r="M77" s="100">
        <f t="shared" si="37"/>
        <v>0</v>
      </c>
      <c r="N77" s="100"/>
      <c r="O77" s="100">
        <f>SUM(O71:O75)</f>
        <v>33812338.159977868</v>
      </c>
      <c r="P77" s="100">
        <f>SUM(P71:P75)</f>
        <v>0</v>
      </c>
      <c r="Q77" s="100">
        <f>SUM(Q71:Q75)</f>
        <v>0</v>
      </c>
      <c r="R77" s="100"/>
      <c r="S77" s="100">
        <f t="shared" ref="S77:AD77" si="38">SUM(S71:S75)</f>
        <v>0</v>
      </c>
      <c r="T77" s="100">
        <f t="shared" si="38"/>
        <v>4841065.5026327893</v>
      </c>
      <c r="U77" s="100">
        <f t="shared" si="38"/>
        <v>0</v>
      </c>
      <c r="V77" s="100">
        <f t="shared" si="38"/>
        <v>5275270.1029159194</v>
      </c>
      <c r="W77" s="100">
        <f t="shared" si="38"/>
        <v>9782513.4321141783</v>
      </c>
      <c r="X77" s="100">
        <f t="shared" si="38"/>
        <v>2428503.7841660418</v>
      </c>
      <c r="Y77" s="100">
        <f t="shared" si="38"/>
        <v>3712383.6185488449</v>
      </c>
      <c r="Z77" s="100">
        <f t="shared" si="38"/>
        <v>3769881.8243205086</v>
      </c>
      <c r="AA77" s="100">
        <f t="shared" si="38"/>
        <v>3354740.2502619517</v>
      </c>
      <c r="AB77" s="100">
        <f t="shared" si="38"/>
        <v>2245905.7619896894</v>
      </c>
      <c r="AC77" s="100">
        <f t="shared" si="38"/>
        <v>1916282.9698078553</v>
      </c>
      <c r="AD77" s="100">
        <f t="shared" si="38"/>
        <v>2658037.1359213674</v>
      </c>
      <c r="AE77" s="100"/>
      <c r="AF77" s="100">
        <f>SUM(AF71:AF75)</f>
        <v>0</v>
      </c>
      <c r="AG77" s="100"/>
      <c r="AH77" s="100">
        <f>SUM(AH71:AH75)</f>
        <v>0</v>
      </c>
      <c r="AI77" s="100"/>
      <c r="AJ77" s="100">
        <f>SUM(AJ71:AJ75)</f>
        <v>0</v>
      </c>
      <c r="AK77" s="101">
        <f>SUM(H77:AJ77)</f>
        <v>118703940.78090739</v>
      </c>
      <c r="AL77" s="98" t="str">
        <f>IF(ABS(AK77-F77)&lt;1,"ok","err")</f>
        <v>ok</v>
      </c>
    </row>
    <row r="78" spans="1:39" x14ac:dyDescent="0.25">
      <c r="A78" s="93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1"/>
      <c r="AL78" s="98"/>
    </row>
    <row r="79" spans="1:39" x14ac:dyDescent="0.25">
      <c r="A79" s="24" t="s">
        <v>471</v>
      </c>
      <c r="F79" s="100">
        <f>F66+F77</f>
        <v>7089457179.404108</v>
      </c>
      <c r="G79" s="100"/>
      <c r="H79" s="100">
        <f t="shared" ref="H79:M79" si="39">H66+H77</f>
        <v>1475977336.280705</v>
      </c>
      <c r="I79" s="100">
        <f t="shared" si="39"/>
        <v>1546179680.7398345</v>
      </c>
      <c r="J79" s="100">
        <f t="shared" si="39"/>
        <v>1270954483.8183548</v>
      </c>
      <c r="K79" s="100">
        <f>K66+K77</f>
        <v>0</v>
      </c>
      <c r="L79" s="100">
        <f t="shared" si="39"/>
        <v>0</v>
      </c>
      <c r="M79" s="100">
        <f t="shared" si="39"/>
        <v>0</v>
      </c>
      <c r="N79" s="100"/>
      <c r="O79" s="100">
        <f>O66+O77</f>
        <v>952015554.57782853</v>
      </c>
      <c r="P79" s="100">
        <f>P66+P77</f>
        <v>0</v>
      </c>
      <c r="Q79" s="100">
        <f>Q66+Q77</f>
        <v>0</v>
      </c>
      <c r="R79" s="100"/>
      <c r="S79" s="100">
        <f t="shared" ref="S79:AD79" si="40">S66+S77</f>
        <v>0</v>
      </c>
      <c r="T79" s="100">
        <f t="shared" si="40"/>
        <v>223299130.81626305</v>
      </c>
      <c r="U79" s="100">
        <f t="shared" si="40"/>
        <v>0</v>
      </c>
      <c r="V79" s="100">
        <f t="shared" si="40"/>
        <v>243327265.07449937</v>
      </c>
      <c r="W79" s="100">
        <f t="shared" si="40"/>
        <v>451228504.42769784</v>
      </c>
      <c r="X79" s="100">
        <f t="shared" si="40"/>
        <v>112017237.50553776</v>
      </c>
      <c r="Y79" s="100">
        <f t="shared" si="40"/>
        <v>171237516.78791746</v>
      </c>
      <c r="Z79" s="100">
        <f t="shared" si="40"/>
        <v>173889680.73102564</v>
      </c>
      <c r="AA79" s="100">
        <f t="shared" si="40"/>
        <v>154740848.18526554</v>
      </c>
      <c r="AB79" s="100">
        <f t="shared" si="40"/>
        <v>103594715.72421227</v>
      </c>
      <c r="AC79" s="100">
        <f t="shared" si="40"/>
        <v>88390525.045238018</v>
      </c>
      <c r="AD79" s="100">
        <f t="shared" si="40"/>
        <v>122604699.68972704</v>
      </c>
      <c r="AE79" s="100"/>
      <c r="AF79" s="100">
        <f>AF66+AF77</f>
        <v>0</v>
      </c>
      <c r="AG79" s="100"/>
      <c r="AH79" s="100">
        <f>AH66+AH77</f>
        <v>0</v>
      </c>
      <c r="AI79" s="100"/>
      <c r="AJ79" s="100">
        <f>AJ66+AJ77</f>
        <v>0</v>
      </c>
      <c r="AK79" s="101">
        <f>SUM(H79:AJ79)</f>
        <v>7089457179.4041071</v>
      </c>
      <c r="AL79" s="98" t="str">
        <f>IF(ABS(AK79-F79)&lt;1,"ok","err")</f>
        <v>ok</v>
      </c>
    </row>
    <row r="80" spans="1:39" x14ac:dyDescent="0.25">
      <c r="A80" s="24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1"/>
      <c r="AL80" s="98"/>
    </row>
    <row r="81" spans="1:38" x14ac:dyDescent="0.25">
      <c r="A81" s="24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1"/>
      <c r="AL81" s="98"/>
    </row>
    <row r="82" spans="1:38" x14ac:dyDescent="0.25">
      <c r="A82" s="24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1"/>
      <c r="AL82" s="98"/>
    </row>
    <row r="83" spans="1:38" x14ac:dyDescent="0.25">
      <c r="A83" s="24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1"/>
      <c r="AL83" s="98"/>
    </row>
    <row r="84" spans="1:38" x14ac:dyDescent="0.25">
      <c r="A84" s="24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1"/>
      <c r="AL84" s="98"/>
    </row>
    <row r="85" spans="1:38" x14ac:dyDescent="0.25">
      <c r="A85" s="24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1"/>
      <c r="AL85" s="98"/>
    </row>
    <row r="86" spans="1:38" x14ac:dyDescent="0.25">
      <c r="A86" s="24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1"/>
      <c r="AL86" s="98"/>
    </row>
    <row r="87" spans="1:38" x14ac:dyDescent="0.25">
      <c r="A87" s="24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1"/>
      <c r="AL87" s="98"/>
    </row>
    <row r="88" spans="1:38" x14ac:dyDescent="0.25">
      <c r="A88" s="24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1"/>
      <c r="AL88" s="98"/>
    </row>
    <row r="89" spans="1:38" x14ac:dyDescent="0.25">
      <c r="AL89" s="98"/>
    </row>
    <row r="90" spans="1:38" x14ac:dyDescent="0.25">
      <c r="A90" s="23" t="s">
        <v>193</v>
      </c>
      <c r="AL90" s="98"/>
    </row>
    <row r="91" spans="1:38" x14ac:dyDescent="0.25">
      <c r="AL91" s="98"/>
    </row>
    <row r="92" spans="1:38" x14ac:dyDescent="0.25">
      <c r="A92" s="23" t="s">
        <v>194</v>
      </c>
      <c r="AL92" s="98"/>
    </row>
    <row r="93" spans="1:38" x14ac:dyDescent="0.25">
      <c r="A93" s="97" t="s">
        <v>114</v>
      </c>
      <c r="F93" s="102">
        <f>F66</f>
        <v>6970753238.6232004</v>
      </c>
      <c r="G93" s="102"/>
      <c r="H93" s="102">
        <f t="shared" ref="H93:M93" si="41">H66</f>
        <v>1460538244.8090184</v>
      </c>
      <c r="I93" s="102">
        <f t="shared" si="41"/>
        <v>1530006255.2164052</v>
      </c>
      <c r="J93" s="102">
        <f t="shared" si="41"/>
        <v>1257659982.5752206</v>
      </c>
      <c r="K93" s="102">
        <f t="shared" si="41"/>
        <v>0</v>
      </c>
      <c r="L93" s="102">
        <f t="shared" si="41"/>
        <v>0</v>
      </c>
      <c r="M93" s="102">
        <f t="shared" si="41"/>
        <v>0</v>
      </c>
      <c r="N93" s="102"/>
      <c r="O93" s="102">
        <f>O66</f>
        <v>918203216.41785061</v>
      </c>
      <c r="P93" s="102">
        <f>P66</f>
        <v>0</v>
      </c>
      <c r="Q93" s="102">
        <f>Q66</f>
        <v>0</v>
      </c>
      <c r="R93" s="102"/>
      <c r="S93" s="102">
        <f t="shared" ref="S93:AD93" si="42">S66</f>
        <v>0</v>
      </c>
      <c r="T93" s="102">
        <f t="shared" si="42"/>
        <v>218458065.31363025</v>
      </c>
      <c r="U93" s="102">
        <f t="shared" si="42"/>
        <v>0</v>
      </c>
      <c r="V93" s="102">
        <f t="shared" si="42"/>
        <v>238051994.97158346</v>
      </c>
      <c r="W93" s="102">
        <f t="shared" si="42"/>
        <v>441445990.99558365</v>
      </c>
      <c r="X93" s="102">
        <f t="shared" si="42"/>
        <v>109588733.72137173</v>
      </c>
      <c r="Y93" s="102">
        <f t="shared" si="42"/>
        <v>167525133.16936862</v>
      </c>
      <c r="Z93" s="102">
        <f t="shared" si="42"/>
        <v>170119798.90670514</v>
      </c>
      <c r="AA93" s="102">
        <f t="shared" si="42"/>
        <v>151386107.93500358</v>
      </c>
      <c r="AB93" s="102">
        <f t="shared" si="42"/>
        <v>101348809.96222259</v>
      </c>
      <c r="AC93" s="102">
        <f t="shared" si="42"/>
        <v>86474242.07543017</v>
      </c>
      <c r="AD93" s="102">
        <f t="shared" si="42"/>
        <v>119946662.55380566</v>
      </c>
      <c r="AE93" s="102"/>
      <c r="AF93" s="102">
        <f>AF66</f>
        <v>0</v>
      </c>
      <c r="AG93" s="102"/>
      <c r="AH93" s="102">
        <f>AH66</f>
        <v>0</v>
      </c>
      <c r="AI93" s="102"/>
      <c r="AJ93" s="102">
        <f>AJ66</f>
        <v>0</v>
      </c>
      <c r="AK93" s="101">
        <f>SUM(H93:AJ93)</f>
        <v>6970753238.6231985</v>
      </c>
      <c r="AL93" s="98" t="str">
        <f>IF(ABS(AK93-F93)&lt;1,"ok","err")</f>
        <v>ok</v>
      </c>
    </row>
    <row r="94" spans="1:38" x14ac:dyDescent="0.25">
      <c r="A94" s="97" t="s">
        <v>189</v>
      </c>
      <c r="F94" s="101">
        <f>F77</f>
        <v>118703940.78090742</v>
      </c>
      <c r="G94" s="106"/>
      <c r="H94" s="106">
        <f t="shared" ref="H94:AJ94" si="43">H77</f>
        <v>15439091.4716867</v>
      </c>
      <c r="I94" s="106">
        <f t="shared" si="43"/>
        <v>16173425.52342937</v>
      </c>
      <c r="J94" s="106">
        <f t="shared" si="43"/>
        <v>13294501.243134335</v>
      </c>
      <c r="K94" s="106">
        <f>K77</f>
        <v>0</v>
      </c>
      <c r="L94" s="106">
        <f t="shared" si="43"/>
        <v>0</v>
      </c>
      <c r="M94" s="106">
        <f t="shared" si="43"/>
        <v>0</v>
      </c>
      <c r="N94" s="106"/>
      <c r="O94" s="106">
        <f>O77</f>
        <v>33812338.159977868</v>
      </c>
      <c r="P94" s="106">
        <f>P77</f>
        <v>0</v>
      </c>
      <c r="Q94" s="106">
        <f>Q77</f>
        <v>0</v>
      </c>
      <c r="R94" s="106"/>
      <c r="S94" s="106">
        <f t="shared" si="43"/>
        <v>0</v>
      </c>
      <c r="T94" s="106">
        <f>T77</f>
        <v>4841065.5026327893</v>
      </c>
      <c r="U94" s="106">
        <f t="shared" si="43"/>
        <v>0</v>
      </c>
      <c r="V94" s="106">
        <f t="shared" si="43"/>
        <v>5275270.1029159194</v>
      </c>
      <c r="W94" s="106">
        <f>W77</f>
        <v>9782513.4321141783</v>
      </c>
      <c r="X94" s="106">
        <f>X77</f>
        <v>2428503.7841660418</v>
      </c>
      <c r="Y94" s="106">
        <f>Y77</f>
        <v>3712383.6185488449</v>
      </c>
      <c r="Z94" s="106">
        <f t="shared" si="43"/>
        <v>3769881.8243205086</v>
      </c>
      <c r="AA94" s="106">
        <f t="shared" si="43"/>
        <v>3354740.2502619517</v>
      </c>
      <c r="AB94" s="106">
        <f>AB77</f>
        <v>2245905.7619896894</v>
      </c>
      <c r="AC94" s="106">
        <f>AC77</f>
        <v>1916282.9698078553</v>
      </c>
      <c r="AD94" s="106">
        <f t="shared" si="43"/>
        <v>2658037.1359213674</v>
      </c>
      <c r="AE94" s="106"/>
      <c r="AF94" s="106">
        <f t="shared" si="43"/>
        <v>0</v>
      </c>
      <c r="AG94" s="106"/>
      <c r="AH94" s="106">
        <f t="shared" si="43"/>
        <v>0</v>
      </c>
      <c r="AI94" s="106"/>
      <c r="AJ94" s="101">
        <f t="shared" si="43"/>
        <v>0</v>
      </c>
      <c r="AK94" s="101">
        <f>SUM(H94:AJ94)</f>
        <v>118703940.78090739</v>
      </c>
      <c r="AL94" s="98" t="str">
        <f>IF(ABS(AK94-F94)&lt;1,"ok","err")</f>
        <v>ok</v>
      </c>
    </row>
    <row r="95" spans="1:38" x14ac:dyDescent="0.25">
      <c r="Y95" s="97"/>
      <c r="AK95" s="101"/>
      <c r="AL95" s="98"/>
    </row>
    <row r="96" spans="1:38" x14ac:dyDescent="0.25">
      <c r="A96" s="93" t="s">
        <v>195</v>
      </c>
      <c r="C96" s="97" t="s">
        <v>196</v>
      </c>
      <c r="F96" s="102">
        <f>F93+F94</f>
        <v>7089457179.404108</v>
      </c>
      <c r="G96" s="102"/>
      <c r="H96" s="102">
        <f t="shared" ref="H96:AJ96" si="44">H93+H94</f>
        <v>1475977336.280705</v>
      </c>
      <c r="I96" s="102">
        <f t="shared" si="44"/>
        <v>1546179680.7398345</v>
      </c>
      <c r="J96" s="102">
        <f t="shared" si="44"/>
        <v>1270954483.8183548</v>
      </c>
      <c r="K96" s="102">
        <f>K93+K94</f>
        <v>0</v>
      </c>
      <c r="L96" s="102">
        <f t="shared" si="44"/>
        <v>0</v>
      </c>
      <c r="M96" s="102">
        <f t="shared" si="44"/>
        <v>0</v>
      </c>
      <c r="N96" s="102"/>
      <c r="O96" s="102">
        <f t="shared" si="44"/>
        <v>952015554.57782853</v>
      </c>
      <c r="P96" s="102">
        <f>P93+P94</f>
        <v>0</v>
      </c>
      <c r="Q96" s="102">
        <f>Q93+Q94</f>
        <v>0</v>
      </c>
      <c r="R96" s="102"/>
      <c r="S96" s="102">
        <f t="shared" si="44"/>
        <v>0</v>
      </c>
      <c r="T96" s="102">
        <f>T93+T94</f>
        <v>223299130.81626305</v>
      </c>
      <c r="U96" s="102">
        <f t="shared" si="44"/>
        <v>0</v>
      </c>
      <c r="V96" s="102">
        <f t="shared" si="44"/>
        <v>243327265.07449937</v>
      </c>
      <c r="W96" s="102">
        <f>W93+W94</f>
        <v>451228504.42769784</v>
      </c>
      <c r="X96" s="102">
        <f>X93+X94</f>
        <v>112017237.50553776</v>
      </c>
      <c r="Y96" s="102">
        <f>Y93+Y94</f>
        <v>171237516.78791746</v>
      </c>
      <c r="Z96" s="102">
        <f t="shared" si="44"/>
        <v>173889680.73102564</v>
      </c>
      <c r="AA96" s="102">
        <f t="shared" si="44"/>
        <v>154740848.18526554</v>
      </c>
      <c r="AB96" s="102">
        <f>AB93+AB94</f>
        <v>103594715.72421227</v>
      </c>
      <c r="AC96" s="102">
        <f>AC93+AC94</f>
        <v>88390525.045238018</v>
      </c>
      <c r="AD96" s="102">
        <f t="shared" si="44"/>
        <v>122604699.68972704</v>
      </c>
      <c r="AE96" s="102"/>
      <c r="AF96" s="102">
        <f t="shared" si="44"/>
        <v>0</v>
      </c>
      <c r="AG96" s="102"/>
      <c r="AH96" s="102">
        <f t="shared" si="44"/>
        <v>0</v>
      </c>
      <c r="AI96" s="102"/>
      <c r="AJ96" s="102">
        <f t="shared" si="44"/>
        <v>0</v>
      </c>
      <c r="AK96" s="101">
        <f>SUM(H96:AJ96)</f>
        <v>7089457179.4041071</v>
      </c>
      <c r="AL96" s="98" t="str">
        <f>IF(ABS(AK96-F96)&lt;1,"ok","err")</f>
        <v>ok</v>
      </c>
    </row>
    <row r="97" spans="1:38" x14ac:dyDescent="0.25">
      <c r="Y97" s="97"/>
      <c r="AL97" s="98"/>
    </row>
    <row r="98" spans="1:38" x14ac:dyDescent="0.25">
      <c r="A98" s="23" t="s">
        <v>197</v>
      </c>
      <c r="Y98" s="97"/>
      <c r="AL98" s="98"/>
    </row>
    <row r="99" spans="1:38" x14ac:dyDescent="0.25">
      <c r="A99" s="107" t="s">
        <v>1661</v>
      </c>
      <c r="C99" s="97" t="s">
        <v>494</v>
      </c>
      <c r="D99" s="97" t="s">
        <v>733</v>
      </c>
      <c r="F99" s="100">
        <f>'Jurisdictional Study'!F772-210209790</f>
        <v>1351527013.3723688</v>
      </c>
      <c r="H99" s="101">
        <f t="shared" ref="H99:H106" si="45">IF(VLOOKUP($D99,$C$5:$AJ$644,6,)=0,0,((VLOOKUP($D99,$C$5:$AJ$644,6,)/VLOOKUP($D99,$C$5:$AJ$644,4,))*$F99))</f>
        <v>464656750.87147576</v>
      </c>
      <c r="I99" s="101">
        <f t="shared" ref="I99:I106" si="46">IF(VLOOKUP($D99,$C$5:$AJ$644,7,)=0,0,((VLOOKUP($D99,$C$5:$AJ$644,7,)/VLOOKUP($D99,$C$5:$AJ$644,4,))*$F99))</f>
        <v>486757356.67219764</v>
      </c>
      <c r="J99" s="101">
        <f t="shared" ref="J99:J106" si="47">IF(VLOOKUP($D99,$C$5:$AJ$644,8,)=0,0,((VLOOKUP($D99,$C$5:$AJ$644,8,)/VLOOKUP($D99,$C$5:$AJ$644,4,))*$F99))</f>
        <v>400112905.82869542</v>
      </c>
      <c r="K99" s="101">
        <f t="shared" ref="K99:K106" si="48">IF(VLOOKUP($D99,$C$5:$AJ$644,9,)=0,0,((VLOOKUP($D99,$C$5:$AJ$644,9,)/VLOOKUP($D99,$C$5:$AJ$644,4,))*$F99))</f>
        <v>0</v>
      </c>
      <c r="L99" s="101">
        <f t="shared" ref="L99:L106" si="49">IF(VLOOKUP($D99,$C$5:$AJ$644,10,)=0,0,((VLOOKUP($D99,$C$5:$AJ$644,10,)/VLOOKUP($D99,$C$5:$AJ$644,4,))*$F99))</f>
        <v>0</v>
      </c>
      <c r="M99" s="101">
        <f t="shared" ref="M99:M106" si="50">IF(VLOOKUP($D99,$C$5:$AJ$644,11,)=0,0,((VLOOKUP($D99,$C$5:$AJ$644,11,)/VLOOKUP($D99,$C$5:$AJ$644,4,))*$F99))</f>
        <v>0</v>
      </c>
      <c r="N99" s="101"/>
      <c r="O99" s="101">
        <f t="shared" ref="O99:O106" si="51">IF(VLOOKUP($D99,$C$5:$AJ$644,13,)=0,0,((VLOOKUP($D99,$C$5:$AJ$644,13,)/VLOOKUP($D99,$C$5:$AJ$644,4,))*$F99))</f>
        <v>0</v>
      </c>
      <c r="P99" s="101">
        <f t="shared" ref="P99:P106" si="52">IF(VLOOKUP($D99,$C$5:$AJ$644,14,)=0,0,((VLOOKUP($D99,$C$5:$AJ$644,14,)/VLOOKUP($D99,$C$5:$AJ$644,4,))*$F99))</f>
        <v>0</v>
      </c>
      <c r="Q99" s="101">
        <f t="shared" ref="Q99:Q106" si="53">IF(VLOOKUP($D99,$C$5:$AJ$644,15,)=0,0,((VLOOKUP($D99,$C$5:$AJ$644,15,)/VLOOKUP($D99,$C$5:$AJ$644,4,))*$F99))</f>
        <v>0</v>
      </c>
      <c r="R99" s="101"/>
      <c r="S99" s="101">
        <f t="shared" ref="S99:S106" si="54">IF(VLOOKUP($D99,$C$5:$AJ$644,17,)=0,0,((VLOOKUP($D99,$C$5:$AJ$644,17,)/VLOOKUP($D99,$C$5:$AJ$644,4,))*$F99))</f>
        <v>0</v>
      </c>
      <c r="T99" s="101">
        <f t="shared" ref="T99:T106" si="55">IF(VLOOKUP($D99,$C$5:$AJ$644,18,)=0,0,((VLOOKUP($D99,$C$5:$AJ$644,18,)/VLOOKUP($D99,$C$5:$AJ$644,4,))*$F99))</f>
        <v>0</v>
      </c>
      <c r="U99" s="101">
        <f t="shared" ref="U99:U106" si="56">IF(VLOOKUP($D99,$C$5:$AJ$644,19,)=0,0,((VLOOKUP($D99,$C$5:$AJ$644,19,)/VLOOKUP($D99,$C$5:$AJ$644,4,))*$F99))</f>
        <v>0</v>
      </c>
      <c r="V99" s="101">
        <f t="shared" ref="V99:V106" si="57">IF(VLOOKUP($D99,$C$5:$AJ$644,20,)=0,0,((VLOOKUP($D99,$C$5:$AJ$644,20,)/VLOOKUP($D99,$C$5:$AJ$644,4,))*$F99))</f>
        <v>0</v>
      </c>
      <c r="W99" s="101">
        <f t="shared" ref="W99:W106" si="58">IF(VLOOKUP($D99,$C$5:$AJ$644,21,)=0,0,((VLOOKUP($D99,$C$5:$AJ$644,21,)/VLOOKUP($D99,$C$5:$AJ$644,4,))*$F99))</f>
        <v>0</v>
      </c>
      <c r="X99" s="101">
        <f t="shared" ref="X99:X106" si="59">IF(VLOOKUP($D99,$C$5:$AJ$644,22,)=0,0,((VLOOKUP($D99,$C$5:$AJ$644,22,)/VLOOKUP($D99,$C$5:$AJ$644,4,))*$F99))</f>
        <v>0</v>
      </c>
      <c r="Y99" s="101">
        <f t="shared" ref="Y99:Y106" si="60">IF(VLOOKUP($D99,$C$5:$AJ$644,23,)=0,0,((VLOOKUP($D99,$C$5:$AJ$644,23,)/VLOOKUP($D99,$C$5:$AJ$644,4,))*$F99))</f>
        <v>0</v>
      </c>
      <c r="Z99" s="101">
        <f t="shared" ref="Z99:Z106" si="61">IF(VLOOKUP($D99,$C$5:$AJ$644,24,)=0,0,((VLOOKUP($D99,$C$5:$AJ$644,24,)/VLOOKUP($D99,$C$5:$AJ$644,4,))*$F99))</f>
        <v>0</v>
      </c>
      <c r="AA99" s="101">
        <f t="shared" ref="AA99:AA106" si="62">IF(VLOOKUP($D99,$C$5:$AJ$644,25,)=0,0,((VLOOKUP($D99,$C$5:$AJ$644,25,)/VLOOKUP($D99,$C$5:$AJ$644,4,))*$F99))</f>
        <v>0</v>
      </c>
      <c r="AB99" s="101">
        <f t="shared" ref="AB99:AB106" si="63">IF(VLOOKUP($D99,$C$5:$AJ$644,26,)=0,0,((VLOOKUP($D99,$C$5:$AJ$644,26,)/VLOOKUP($D99,$C$5:$AJ$644,4,))*$F99))</f>
        <v>0</v>
      </c>
      <c r="AC99" s="101">
        <f t="shared" ref="AC99:AC106" si="64">IF(VLOOKUP($D99,$C$5:$AJ$644,27,)=0,0,((VLOOKUP($D99,$C$5:$AJ$644,27,)/VLOOKUP($D99,$C$5:$AJ$644,4,))*$F99))</f>
        <v>0</v>
      </c>
      <c r="AD99" s="101">
        <f t="shared" ref="AD99:AD106" si="65">IF(VLOOKUP($D99,$C$5:$AJ$644,28,)=0,0,((VLOOKUP($D99,$C$5:$AJ$644,28,)/VLOOKUP($D99,$C$5:$AJ$644,4,))*$F99))</f>
        <v>0</v>
      </c>
      <c r="AE99" s="101"/>
      <c r="AF99" s="101">
        <f t="shared" ref="AF99:AF106" si="66">IF(VLOOKUP($D99,$C$5:$AJ$644,30,)=0,0,((VLOOKUP($D99,$C$5:$AJ$644,30,)/VLOOKUP($D99,$C$5:$AJ$644,4,))*$F99))</f>
        <v>0</v>
      </c>
      <c r="AG99" s="101"/>
      <c r="AH99" s="101">
        <f t="shared" ref="AH99:AH106" si="67">IF(VLOOKUP($D99,$C$5:$AJ$644,32,)=0,0,((VLOOKUP($D99,$C$5:$AJ$644,32,)/VLOOKUP($D99,$C$5:$AJ$644,4,))*$F99))</f>
        <v>0</v>
      </c>
      <c r="AI99" s="101"/>
      <c r="AJ99" s="101">
        <f t="shared" ref="AJ99:AJ106" si="68">IF(VLOOKUP($D99,$C$5:$AJ$644,34,)=0,0,((VLOOKUP($D99,$C$5:$AJ$644,34,)/VLOOKUP($D99,$C$5:$AJ$644,4,))*$F99))</f>
        <v>0</v>
      </c>
      <c r="AK99" s="101">
        <f t="shared" ref="AK99:AK106" si="69">SUM(H99:AJ99)</f>
        <v>1351527013.3723688</v>
      </c>
      <c r="AL99" s="98" t="str">
        <f t="shared" ref="AL99:AL106" si="70">IF(ABS(AK99-F99)&lt;1,"ok","err")</f>
        <v>ok</v>
      </c>
    </row>
    <row r="100" spans="1:38" x14ac:dyDescent="0.25">
      <c r="A100" s="107" t="s">
        <v>1660</v>
      </c>
      <c r="C100" s="97" t="s">
        <v>495</v>
      </c>
      <c r="D100" s="97" t="s">
        <v>733</v>
      </c>
      <c r="F100" s="101">
        <f>'Jurisdictional Study'!F778-33409</f>
        <v>11357149.970204098</v>
      </c>
      <c r="H100" s="101">
        <f t="shared" si="45"/>
        <v>3904602.9802596048</v>
      </c>
      <c r="I100" s="101">
        <f t="shared" si="46"/>
        <v>4090318.7610229198</v>
      </c>
      <c r="J100" s="101">
        <f t="shared" si="47"/>
        <v>3362228.2289215731</v>
      </c>
      <c r="K100" s="101">
        <f t="shared" si="48"/>
        <v>0</v>
      </c>
      <c r="L100" s="101">
        <f t="shared" si="49"/>
        <v>0</v>
      </c>
      <c r="M100" s="101">
        <f t="shared" si="50"/>
        <v>0</v>
      </c>
      <c r="N100" s="101"/>
      <c r="O100" s="101">
        <f t="shared" si="51"/>
        <v>0</v>
      </c>
      <c r="P100" s="101">
        <f t="shared" si="52"/>
        <v>0</v>
      </c>
      <c r="Q100" s="101">
        <f t="shared" si="53"/>
        <v>0</v>
      </c>
      <c r="R100" s="101"/>
      <c r="S100" s="101">
        <f t="shared" si="54"/>
        <v>0</v>
      </c>
      <c r="T100" s="101">
        <f t="shared" si="55"/>
        <v>0</v>
      </c>
      <c r="U100" s="101">
        <f t="shared" si="56"/>
        <v>0</v>
      </c>
      <c r="V100" s="101">
        <f t="shared" si="57"/>
        <v>0</v>
      </c>
      <c r="W100" s="101">
        <f t="shared" si="58"/>
        <v>0</v>
      </c>
      <c r="X100" s="101">
        <f t="shared" si="59"/>
        <v>0</v>
      </c>
      <c r="Y100" s="101">
        <f t="shared" si="60"/>
        <v>0</v>
      </c>
      <c r="Z100" s="101">
        <f t="shared" si="61"/>
        <v>0</v>
      </c>
      <c r="AA100" s="101">
        <f t="shared" si="62"/>
        <v>0</v>
      </c>
      <c r="AB100" s="101">
        <f t="shared" si="63"/>
        <v>0</v>
      </c>
      <c r="AC100" s="101">
        <f t="shared" si="64"/>
        <v>0</v>
      </c>
      <c r="AD100" s="101">
        <f t="shared" si="65"/>
        <v>0</v>
      </c>
      <c r="AE100" s="101"/>
      <c r="AF100" s="101">
        <f t="shared" si="66"/>
        <v>0</v>
      </c>
      <c r="AG100" s="101"/>
      <c r="AH100" s="101">
        <f t="shared" si="67"/>
        <v>0</v>
      </c>
      <c r="AI100" s="101"/>
      <c r="AJ100" s="101">
        <f t="shared" si="68"/>
        <v>0</v>
      </c>
      <c r="AK100" s="101">
        <f t="shared" si="69"/>
        <v>11357149.970204098</v>
      </c>
      <c r="AL100" s="98" t="str">
        <f t="shared" si="70"/>
        <v>ok</v>
      </c>
    </row>
    <row r="101" spans="1:38" x14ac:dyDescent="0.25">
      <c r="A101" s="108" t="s">
        <v>1659</v>
      </c>
      <c r="D101" s="97" t="s">
        <v>733</v>
      </c>
      <c r="F101" s="101">
        <f>'Jurisdictional Study'!F784-46919</f>
        <v>279457486.12209612</v>
      </c>
      <c r="H101" s="101">
        <f t="shared" si="45"/>
        <v>96077848.40659143</v>
      </c>
      <c r="I101" s="101">
        <f t="shared" si="46"/>
        <v>100647627.38824432</v>
      </c>
      <c r="J101" s="101">
        <f t="shared" si="47"/>
        <v>82732010.32726039</v>
      </c>
      <c r="K101" s="101">
        <f t="shared" si="48"/>
        <v>0</v>
      </c>
      <c r="L101" s="101">
        <f t="shared" si="49"/>
        <v>0</v>
      </c>
      <c r="M101" s="101">
        <f t="shared" si="50"/>
        <v>0</v>
      </c>
      <c r="N101" s="101"/>
      <c r="O101" s="101">
        <f t="shared" si="51"/>
        <v>0</v>
      </c>
      <c r="P101" s="101">
        <f t="shared" si="52"/>
        <v>0</v>
      </c>
      <c r="Q101" s="101">
        <f t="shared" si="53"/>
        <v>0</v>
      </c>
      <c r="R101" s="101"/>
      <c r="S101" s="101">
        <f t="shared" si="54"/>
        <v>0</v>
      </c>
      <c r="T101" s="101">
        <f t="shared" si="55"/>
        <v>0</v>
      </c>
      <c r="U101" s="101">
        <f t="shared" si="56"/>
        <v>0</v>
      </c>
      <c r="V101" s="101">
        <f t="shared" si="57"/>
        <v>0</v>
      </c>
      <c r="W101" s="101">
        <f t="shared" si="58"/>
        <v>0</v>
      </c>
      <c r="X101" s="101">
        <f t="shared" si="59"/>
        <v>0</v>
      </c>
      <c r="Y101" s="101">
        <f t="shared" si="60"/>
        <v>0</v>
      </c>
      <c r="Z101" s="101">
        <f t="shared" si="61"/>
        <v>0</v>
      </c>
      <c r="AA101" s="101">
        <f t="shared" si="62"/>
        <v>0</v>
      </c>
      <c r="AB101" s="101">
        <f t="shared" si="63"/>
        <v>0</v>
      </c>
      <c r="AC101" s="101">
        <f t="shared" si="64"/>
        <v>0</v>
      </c>
      <c r="AD101" s="101">
        <f t="shared" si="65"/>
        <v>0</v>
      </c>
      <c r="AE101" s="101"/>
      <c r="AF101" s="101">
        <f t="shared" si="66"/>
        <v>0</v>
      </c>
      <c r="AG101" s="101"/>
      <c r="AH101" s="101">
        <f t="shared" si="67"/>
        <v>0</v>
      </c>
      <c r="AI101" s="101"/>
      <c r="AJ101" s="101">
        <f t="shared" si="68"/>
        <v>0</v>
      </c>
      <c r="AK101" s="101">
        <f>SUM(H101:AJ101)</f>
        <v>279457486.12209612</v>
      </c>
      <c r="AL101" s="98" t="str">
        <f t="shared" si="70"/>
        <v>ok</v>
      </c>
    </row>
    <row r="102" spans="1:38" x14ac:dyDescent="0.25">
      <c r="A102" s="97" t="s">
        <v>1662</v>
      </c>
      <c r="C102" s="97" t="s">
        <v>496</v>
      </c>
      <c r="D102" s="97" t="s">
        <v>491</v>
      </c>
      <c r="F102" s="101">
        <f>'Jurisdictional Study'!F789-52864</f>
        <v>303777627.18630236</v>
      </c>
      <c r="H102" s="101">
        <f t="shared" si="45"/>
        <v>0</v>
      </c>
      <c r="I102" s="101">
        <f t="shared" si="46"/>
        <v>0</v>
      </c>
      <c r="J102" s="101">
        <f t="shared" si="47"/>
        <v>0</v>
      </c>
      <c r="K102" s="101">
        <f t="shared" si="48"/>
        <v>0</v>
      </c>
      <c r="L102" s="101">
        <f t="shared" si="49"/>
        <v>0</v>
      </c>
      <c r="M102" s="101">
        <f t="shared" si="50"/>
        <v>0</v>
      </c>
      <c r="N102" s="101"/>
      <c r="O102" s="101">
        <f t="shared" si="51"/>
        <v>303777627.18630236</v>
      </c>
      <c r="P102" s="101">
        <f t="shared" si="52"/>
        <v>0</v>
      </c>
      <c r="Q102" s="101">
        <f t="shared" si="53"/>
        <v>0</v>
      </c>
      <c r="R102" s="101"/>
      <c r="S102" s="101">
        <f t="shared" si="54"/>
        <v>0</v>
      </c>
      <c r="T102" s="101">
        <f t="shared" si="55"/>
        <v>0</v>
      </c>
      <c r="U102" s="101">
        <f t="shared" si="56"/>
        <v>0</v>
      </c>
      <c r="V102" s="101">
        <f t="shared" si="57"/>
        <v>0</v>
      </c>
      <c r="W102" s="101">
        <f t="shared" si="58"/>
        <v>0</v>
      </c>
      <c r="X102" s="101">
        <f t="shared" si="59"/>
        <v>0</v>
      </c>
      <c r="Y102" s="101">
        <f t="shared" si="60"/>
        <v>0</v>
      </c>
      <c r="Z102" s="101">
        <f t="shared" si="61"/>
        <v>0</v>
      </c>
      <c r="AA102" s="101">
        <f t="shared" si="62"/>
        <v>0</v>
      </c>
      <c r="AB102" s="101">
        <f t="shared" si="63"/>
        <v>0</v>
      </c>
      <c r="AC102" s="101">
        <f t="shared" si="64"/>
        <v>0</v>
      </c>
      <c r="AD102" s="101">
        <f t="shared" si="65"/>
        <v>0</v>
      </c>
      <c r="AE102" s="101"/>
      <c r="AF102" s="101">
        <f t="shared" si="66"/>
        <v>0</v>
      </c>
      <c r="AG102" s="101"/>
      <c r="AH102" s="101">
        <f t="shared" si="67"/>
        <v>0</v>
      </c>
      <c r="AI102" s="101"/>
      <c r="AJ102" s="101">
        <f t="shared" si="68"/>
        <v>0</v>
      </c>
      <c r="AK102" s="101">
        <f t="shared" si="69"/>
        <v>303777627.18630236</v>
      </c>
      <c r="AL102" s="98" t="str">
        <f t="shared" si="70"/>
        <v>ok</v>
      </c>
    </row>
    <row r="103" spans="1:38" x14ac:dyDescent="0.25">
      <c r="A103" s="97" t="s">
        <v>1663</v>
      </c>
      <c r="C103" s="97" t="s">
        <v>1363</v>
      </c>
      <c r="D103" s="97" t="s">
        <v>491</v>
      </c>
      <c r="F103" s="101">
        <f>'Jurisdictional Study'!F790</f>
        <v>4014977.5835693018</v>
      </c>
      <c r="H103" s="101">
        <f t="shared" si="45"/>
        <v>0</v>
      </c>
      <c r="I103" s="101">
        <f t="shared" si="46"/>
        <v>0</v>
      </c>
      <c r="J103" s="101">
        <f t="shared" si="47"/>
        <v>0</v>
      </c>
      <c r="K103" s="101">
        <f t="shared" si="48"/>
        <v>0</v>
      </c>
      <c r="L103" s="101">
        <f t="shared" si="49"/>
        <v>0</v>
      </c>
      <c r="M103" s="101">
        <f t="shared" si="50"/>
        <v>0</v>
      </c>
      <c r="N103" s="101"/>
      <c r="O103" s="101">
        <f t="shared" si="51"/>
        <v>4014977.5835693018</v>
      </c>
      <c r="P103" s="101">
        <f t="shared" si="52"/>
        <v>0</v>
      </c>
      <c r="Q103" s="101">
        <f t="shared" si="53"/>
        <v>0</v>
      </c>
      <c r="R103" s="101"/>
      <c r="S103" s="101">
        <f t="shared" si="54"/>
        <v>0</v>
      </c>
      <c r="T103" s="101">
        <f t="shared" si="55"/>
        <v>0</v>
      </c>
      <c r="U103" s="101">
        <f t="shared" si="56"/>
        <v>0</v>
      </c>
      <c r="V103" s="101">
        <f t="shared" si="57"/>
        <v>0</v>
      </c>
      <c r="W103" s="101">
        <f t="shared" si="58"/>
        <v>0</v>
      </c>
      <c r="X103" s="101">
        <f t="shared" si="59"/>
        <v>0</v>
      </c>
      <c r="Y103" s="101">
        <f t="shared" si="60"/>
        <v>0</v>
      </c>
      <c r="Z103" s="101">
        <f t="shared" si="61"/>
        <v>0</v>
      </c>
      <c r="AA103" s="101">
        <f t="shared" si="62"/>
        <v>0</v>
      </c>
      <c r="AB103" s="101">
        <f t="shared" si="63"/>
        <v>0</v>
      </c>
      <c r="AC103" s="101">
        <f t="shared" si="64"/>
        <v>0</v>
      </c>
      <c r="AD103" s="101">
        <f t="shared" si="65"/>
        <v>0</v>
      </c>
      <c r="AE103" s="101"/>
      <c r="AF103" s="101">
        <f t="shared" si="66"/>
        <v>0</v>
      </c>
      <c r="AG103" s="101"/>
      <c r="AH103" s="101">
        <f t="shared" si="67"/>
        <v>0</v>
      </c>
      <c r="AI103" s="101"/>
      <c r="AJ103" s="101">
        <f t="shared" si="68"/>
        <v>0</v>
      </c>
      <c r="AK103" s="101">
        <f t="shared" si="69"/>
        <v>4014977.5835693018</v>
      </c>
      <c r="AL103" s="98" t="str">
        <f t="shared" si="70"/>
        <v>ok</v>
      </c>
    </row>
    <row r="104" spans="1:38" x14ac:dyDescent="0.25">
      <c r="A104" s="97" t="s">
        <v>1665</v>
      </c>
      <c r="C104" s="97" t="s">
        <v>1364</v>
      </c>
      <c r="D104" s="97" t="s">
        <v>115</v>
      </c>
      <c r="F104" s="101">
        <f>'Jurisdictional Study'!F797-264705</f>
        <v>637170341.02388442</v>
      </c>
      <c r="H104" s="101">
        <f t="shared" si="45"/>
        <v>0</v>
      </c>
      <c r="I104" s="101">
        <f t="shared" si="46"/>
        <v>0</v>
      </c>
      <c r="J104" s="101">
        <f t="shared" si="47"/>
        <v>0</v>
      </c>
      <c r="K104" s="101">
        <f t="shared" si="48"/>
        <v>0</v>
      </c>
      <c r="L104" s="101">
        <f t="shared" si="49"/>
        <v>0</v>
      </c>
      <c r="M104" s="101">
        <f t="shared" si="50"/>
        <v>0</v>
      </c>
      <c r="N104" s="101"/>
      <c r="O104" s="101">
        <f t="shared" si="51"/>
        <v>0</v>
      </c>
      <c r="P104" s="101">
        <f t="shared" si="52"/>
        <v>0</v>
      </c>
      <c r="Q104" s="101">
        <f t="shared" si="53"/>
        <v>0</v>
      </c>
      <c r="R104" s="101"/>
      <c r="S104" s="101">
        <f t="shared" si="54"/>
        <v>0</v>
      </c>
      <c r="T104" s="101">
        <f t="shared" si="55"/>
        <v>77144314.611600712</v>
      </c>
      <c r="U104" s="101">
        <f t="shared" si="56"/>
        <v>0</v>
      </c>
      <c r="V104" s="101">
        <f t="shared" si="57"/>
        <v>84063538.545222193</v>
      </c>
      <c r="W104" s="101">
        <f t="shared" si="58"/>
        <v>155888263.33558285</v>
      </c>
      <c r="X104" s="101">
        <f t="shared" si="59"/>
        <v>38699178.901686251</v>
      </c>
      <c r="Y104" s="101">
        <f t="shared" si="60"/>
        <v>59158317.455637276</v>
      </c>
      <c r="Z104" s="101">
        <f t="shared" si="61"/>
        <v>60074574.356775984</v>
      </c>
      <c r="AA104" s="101">
        <f t="shared" si="62"/>
        <v>53459127.368894614</v>
      </c>
      <c r="AB104" s="101">
        <f t="shared" si="63"/>
        <v>35789406.401692659</v>
      </c>
      <c r="AC104" s="101">
        <f t="shared" si="64"/>
        <v>30536735.399947166</v>
      </c>
      <c r="AD104" s="101">
        <f t="shared" si="65"/>
        <v>42356884.646844648</v>
      </c>
      <c r="AE104" s="101"/>
      <c r="AF104" s="101">
        <f t="shared" si="66"/>
        <v>0</v>
      </c>
      <c r="AG104" s="101"/>
      <c r="AH104" s="101">
        <f t="shared" si="67"/>
        <v>0</v>
      </c>
      <c r="AI104" s="101"/>
      <c r="AJ104" s="101">
        <f t="shared" si="68"/>
        <v>0</v>
      </c>
      <c r="AK104" s="101">
        <f t="shared" si="69"/>
        <v>637170341.02388442</v>
      </c>
      <c r="AL104" s="98" t="str">
        <f t="shared" si="70"/>
        <v>ok</v>
      </c>
    </row>
    <row r="105" spans="1:38" x14ac:dyDescent="0.25">
      <c r="A105" s="107" t="s">
        <v>198</v>
      </c>
      <c r="C105" s="97" t="s">
        <v>1365</v>
      </c>
      <c r="D105" s="97" t="s">
        <v>493</v>
      </c>
      <c r="F105" s="101">
        <f>'Jurisdictional Study'!F799-1909744</f>
        <v>60263983.794971846</v>
      </c>
      <c r="H105" s="101">
        <f t="shared" si="45"/>
        <v>12626626.469908219</v>
      </c>
      <c r="I105" s="101">
        <f t="shared" si="46"/>
        <v>13227190.420999052</v>
      </c>
      <c r="J105" s="101">
        <f t="shared" si="47"/>
        <v>10872705.923702175</v>
      </c>
      <c r="K105" s="101">
        <f t="shared" si="48"/>
        <v>0</v>
      </c>
      <c r="L105" s="101">
        <f t="shared" si="49"/>
        <v>0</v>
      </c>
      <c r="M105" s="101">
        <f t="shared" si="50"/>
        <v>0</v>
      </c>
      <c r="N105" s="101"/>
      <c r="O105" s="101">
        <f t="shared" si="51"/>
        <v>7938545.2290103128</v>
      </c>
      <c r="P105" s="101">
        <f t="shared" si="52"/>
        <v>0</v>
      </c>
      <c r="Q105" s="101">
        <f t="shared" si="53"/>
        <v>0</v>
      </c>
      <c r="R105" s="101"/>
      <c r="S105" s="101">
        <f t="shared" si="54"/>
        <v>0</v>
      </c>
      <c r="T105" s="101">
        <f t="shared" si="55"/>
        <v>1888612.1761230112</v>
      </c>
      <c r="U105" s="101">
        <f t="shared" si="56"/>
        <v>0</v>
      </c>
      <c r="V105" s="101">
        <f t="shared" si="57"/>
        <v>2058005.4831496081</v>
      </c>
      <c r="W105" s="101">
        <f t="shared" si="58"/>
        <v>3816385.8702035756</v>
      </c>
      <c r="X105" s="101">
        <f t="shared" si="59"/>
        <v>947415.77325125004</v>
      </c>
      <c r="Y105" s="101">
        <f t="shared" si="60"/>
        <v>1448287.138568548</v>
      </c>
      <c r="Z105" s="101">
        <f t="shared" si="61"/>
        <v>1470718.5251024701</v>
      </c>
      <c r="AA105" s="101">
        <f t="shared" si="62"/>
        <v>1308762.1476984737</v>
      </c>
      <c r="AB105" s="101">
        <f t="shared" si="63"/>
        <v>876180.040574076</v>
      </c>
      <c r="AC105" s="101">
        <f t="shared" si="64"/>
        <v>747586.52774023439</v>
      </c>
      <c r="AD105" s="101">
        <f t="shared" si="65"/>
        <v>1036962.068940841</v>
      </c>
      <c r="AE105" s="101"/>
      <c r="AF105" s="101">
        <f t="shared" si="66"/>
        <v>0</v>
      </c>
      <c r="AG105" s="101"/>
      <c r="AH105" s="101">
        <f t="shared" si="67"/>
        <v>0</v>
      </c>
      <c r="AI105" s="101"/>
      <c r="AJ105" s="101">
        <f t="shared" si="68"/>
        <v>0</v>
      </c>
      <c r="AK105" s="101">
        <f t="shared" si="69"/>
        <v>60263983.794971853</v>
      </c>
      <c r="AL105" s="98" t="str">
        <f t="shared" si="70"/>
        <v>ok</v>
      </c>
    </row>
    <row r="106" spans="1:38" x14ac:dyDescent="0.25">
      <c r="A106" s="107" t="s">
        <v>1664</v>
      </c>
      <c r="C106" s="97" t="s">
        <v>199</v>
      </c>
      <c r="D106" s="97" t="s">
        <v>493</v>
      </c>
      <c r="F106" s="101">
        <f>'Jurisdictional Study'!F801+'Jurisdictional Study'!F802</f>
        <v>51974185.381172702</v>
      </c>
      <c r="H106" s="101">
        <f t="shared" si="45"/>
        <v>10889731.869013732</v>
      </c>
      <c r="I106" s="101">
        <f t="shared" si="46"/>
        <v>11407683.390994741</v>
      </c>
      <c r="J106" s="101">
        <f t="shared" si="47"/>
        <v>9377077.2804538812</v>
      </c>
      <c r="K106" s="101">
        <f t="shared" si="48"/>
        <v>0</v>
      </c>
      <c r="L106" s="101">
        <f t="shared" si="49"/>
        <v>0</v>
      </c>
      <c r="M106" s="101">
        <f t="shared" si="50"/>
        <v>0</v>
      </c>
      <c r="N106" s="101"/>
      <c r="O106" s="101">
        <f t="shared" si="51"/>
        <v>6846534.1221572468</v>
      </c>
      <c r="P106" s="101">
        <f t="shared" si="52"/>
        <v>0</v>
      </c>
      <c r="Q106" s="101">
        <f t="shared" si="53"/>
        <v>0</v>
      </c>
      <c r="R106" s="101"/>
      <c r="S106" s="101">
        <f t="shared" si="54"/>
        <v>0</v>
      </c>
      <c r="T106" s="101">
        <f t="shared" si="55"/>
        <v>1628818.2953339259</v>
      </c>
      <c r="U106" s="101">
        <f t="shared" si="56"/>
        <v>0</v>
      </c>
      <c r="V106" s="101">
        <f t="shared" si="57"/>
        <v>1774910.182848087</v>
      </c>
      <c r="W106" s="101">
        <f t="shared" si="58"/>
        <v>3291411.1250739857</v>
      </c>
      <c r="X106" s="101">
        <f t="shared" si="59"/>
        <v>817091.07050629484</v>
      </c>
      <c r="Y106" s="101">
        <f t="shared" si="60"/>
        <v>1249063.5282463746</v>
      </c>
      <c r="Z106" s="101">
        <f t="shared" si="61"/>
        <v>1268409.2961271908</v>
      </c>
      <c r="AA106" s="101">
        <f t="shared" si="62"/>
        <v>1128731.3284127365</v>
      </c>
      <c r="AB106" s="101">
        <f t="shared" si="63"/>
        <v>755654.38904621487</v>
      </c>
      <c r="AC106" s="101">
        <f t="shared" si="64"/>
        <v>644749.95402610698</v>
      </c>
      <c r="AD106" s="101">
        <f t="shared" si="65"/>
        <v>894319.54893218388</v>
      </c>
      <c r="AE106" s="101"/>
      <c r="AF106" s="101">
        <f t="shared" si="66"/>
        <v>0</v>
      </c>
      <c r="AG106" s="101"/>
      <c r="AH106" s="101">
        <f t="shared" si="67"/>
        <v>0</v>
      </c>
      <c r="AI106" s="101"/>
      <c r="AJ106" s="101">
        <f t="shared" si="68"/>
        <v>0</v>
      </c>
      <c r="AK106" s="101">
        <f t="shared" si="69"/>
        <v>51974185.381172709</v>
      </c>
      <c r="AL106" s="98" t="str">
        <f t="shared" si="70"/>
        <v>ok</v>
      </c>
    </row>
    <row r="107" spans="1:38" x14ac:dyDescent="0.25">
      <c r="Y107" s="97"/>
      <c r="AK107" s="101"/>
      <c r="AL107" s="98"/>
    </row>
    <row r="108" spans="1:38" x14ac:dyDescent="0.25">
      <c r="A108" s="97" t="s">
        <v>200</v>
      </c>
      <c r="C108" s="97" t="s">
        <v>201</v>
      </c>
      <c r="F108" s="102">
        <f t="shared" ref="F108:M108" si="71">SUM(F99:F106)</f>
        <v>2699542764.4345698</v>
      </c>
      <c r="G108" s="102"/>
      <c r="H108" s="102">
        <f t="shared" si="71"/>
        <v>588155560.59724879</v>
      </c>
      <c r="I108" s="102">
        <f t="shared" si="71"/>
        <v>616130176.63345873</v>
      </c>
      <c r="J108" s="102">
        <f t="shared" si="71"/>
        <v>506456927.58903342</v>
      </c>
      <c r="K108" s="102">
        <f>SUM(K99:K106)</f>
        <v>0</v>
      </c>
      <c r="L108" s="102">
        <f t="shared" si="71"/>
        <v>0</v>
      </c>
      <c r="M108" s="102">
        <f t="shared" si="71"/>
        <v>0</v>
      </c>
      <c r="N108" s="102"/>
      <c r="O108" s="102">
        <f>SUM(O99:O106)</f>
        <v>322577684.12103921</v>
      </c>
      <c r="P108" s="102">
        <f>SUM(P99:P106)</f>
        <v>0</v>
      </c>
      <c r="Q108" s="102">
        <f>SUM(Q99:Q106)</f>
        <v>0</v>
      </c>
      <c r="R108" s="102"/>
      <c r="S108" s="102">
        <f t="shared" ref="S108:AD108" si="72">SUM(S99:S106)</f>
        <v>0</v>
      </c>
      <c r="T108" s="102">
        <f t="shared" si="72"/>
        <v>80661745.083057642</v>
      </c>
      <c r="U108" s="102">
        <f t="shared" si="72"/>
        <v>0</v>
      </c>
      <c r="V108" s="102">
        <f t="shared" si="72"/>
        <v>87896454.211219877</v>
      </c>
      <c r="W108" s="102">
        <f t="shared" si="72"/>
        <v>162996060.33086044</v>
      </c>
      <c r="X108" s="102">
        <f t="shared" si="72"/>
        <v>40463685.745443799</v>
      </c>
      <c r="Y108" s="102">
        <f t="shared" si="72"/>
        <v>61855668.122452199</v>
      </c>
      <c r="Z108" s="102">
        <f t="shared" si="72"/>
        <v>62813702.178005643</v>
      </c>
      <c r="AA108" s="102">
        <f t="shared" si="72"/>
        <v>55896620.845005825</v>
      </c>
      <c r="AB108" s="102">
        <f t="shared" si="72"/>
        <v>37421240.831312947</v>
      </c>
      <c r="AC108" s="102">
        <f t="shared" si="72"/>
        <v>31929071.881713506</v>
      </c>
      <c r="AD108" s="102">
        <f t="shared" si="72"/>
        <v>44288166.264717676</v>
      </c>
      <c r="AE108" s="102"/>
      <c r="AF108" s="102">
        <f>SUM(AF99:AF106)</f>
        <v>0</v>
      </c>
      <c r="AG108" s="102"/>
      <c r="AH108" s="102">
        <f>SUM(AH99:AH106)</f>
        <v>0</v>
      </c>
      <c r="AI108" s="102"/>
      <c r="AJ108" s="102">
        <f>SUM(AJ99:AJ106)</f>
        <v>0</v>
      </c>
      <c r="AK108" s="101">
        <f>SUM(H108:AJ108)</f>
        <v>2699542764.4345703</v>
      </c>
      <c r="AL108" s="98" t="str">
        <f>IF(ABS(AK108-F108)&lt;1,"ok","err")</f>
        <v>ok</v>
      </c>
    </row>
    <row r="109" spans="1:38" x14ac:dyDescent="0.25">
      <c r="F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1"/>
      <c r="AL109" s="98"/>
    </row>
    <row r="110" spans="1:38" x14ac:dyDescent="0.25">
      <c r="A110" s="23" t="s">
        <v>202</v>
      </c>
      <c r="C110" s="97" t="s">
        <v>203</v>
      </c>
      <c r="F110" s="102">
        <f>F96-F108</f>
        <v>4389914414.9695377</v>
      </c>
      <c r="G110" s="102"/>
      <c r="H110" s="102">
        <f t="shared" ref="H110:M110" si="73">H96-H108</f>
        <v>887821775.68345618</v>
      </c>
      <c r="I110" s="102">
        <f t="shared" si="73"/>
        <v>930049504.10637581</v>
      </c>
      <c r="J110" s="102">
        <f t="shared" si="73"/>
        <v>764497556.22932148</v>
      </c>
      <c r="K110" s="102">
        <f t="shared" si="73"/>
        <v>0</v>
      </c>
      <c r="L110" s="102">
        <f t="shared" si="73"/>
        <v>0</v>
      </c>
      <c r="M110" s="102">
        <f t="shared" si="73"/>
        <v>0</v>
      </c>
      <c r="N110" s="102"/>
      <c r="O110" s="102">
        <f>O96-O108</f>
        <v>629437870.45678926</v>
      </c>
      <c r="P110" s="102">
        <f>P96-P108</f>
        <v>0</v>
      </c>
      <c r="Q110" s="102">
        <f>Q96-Q108</f>
        <v>0</v>
      </c>
      <c r="R110" s="102"/>
      <c r="S110" s="102">
        <f t="shared" ref="S110:AD110" si="74">S96-S108</f>
        <v>0</v>
      </c>
      <c r="T110" s="102">
        <f t="shared" si="74"/>
        <v>142637385.73320541</v>
      </c>
      <c r="U110" s="102">
        <f t="shared" si="74"/>
        <v>0</v>
      </c>
      <c r="V110" s="102">
        <f t="shared" si="74"/>
        <v>155430810.86327949</v>
      </c>
      <c r="W110" s="102">
        <f t="shared" si="74"/>
        <v>288232444.0968374</v>
      </c>
      <c r="X110" s="102">
        <f t="shared" si="74"/>
        <v>71553551.760093957</v>
      </c>
      <c r="Y110" s="102">
        <f t="shared" si="74"/>
        <v>109381848.66546527</v>
      </c>
      <c r="Z110" s="102">
        <f t="shared" si="74"/>
        <v>111075978.55302</v>
      </c>
      <c r="AA110" s="102">
        <f t="shared" si="74"/>
        <v>98844227.340259716</v>
      </c>
      <c r="AB110" s="102">
        <f t="shared" si="74"/>
        <v>66173474.892899327</v>
      </c>
      <c r="AC110" s="102">
        <f t="shared" si="74"/>
        <v>56461453.163524508</v>
      </c>
      <c r="AD110" s="102">
        <f t="shared" si="74"/>
        <v>78316533.42500937</v>
      </c>
      <c r="AE110" s="102"/>
      <c r="AF110" s="102">
        <f>AF96-AF108</f>
        <v>0</v>
      </c>
      <c r="AG110" s="102"/>
      <c r="AH110" s="102">
        <f>AH96-AH108</f>
        <v>0</v>
      </c>
      <c r="AI110" s="102"/>
      <c r="AJ110" s="102">
        <f>AJ96-AJ108</f>
        <v>0</v>
      </c>
      <c r="AK110" s="101">
        <f>SUM(H110:AJ110)</f>
        <v>4389914414.9695377</v>
      </c>
      <c r="AL110" s="98" t="str">
        <f>IF(ABS(AK110-F110)&lt;1,"ok","err")</f>
        <v>ok</v>
      </c>
    </row>
    <row r="111" spans="1:38" x14ac:dyDescent="0.25">
      <c r="Y111" s="97"/>
      <c r="AL111" s="98"/>
    </row>
    <row r="112" spans="1:38" x14ac:dyDescent="0.25">
      <c r="A112" s="23" t="s">
        <v>794</v>
      </c>
      <c r="Y112" s="97"/>
      <c r="AL112" s="98"/>
    </row>
    <row r="113" spans="1:39" x14ac:dyDescent="0.25">
      <c r="A113" s="97" t="s">
        <v>1357</v>
      </c>
      <c r="C113" s="97" t="s">
        <v>796</v>
      </c>
      <c r="D113" s="97" t="s">
        <v>797</v>
      </c>
      <c r="F113" s="100">
        <f>'Jurisdictional Study'!F555-2661475</f>
        <v>106348559.9523263</v>
      </c>
      <c r="G113" s="100"/>
      <c r="H113" s="101">
        <f>IF(VLOOKUP($D113,$C$5:$AJ$644,6,)=0,0,((VLOOKUP($D113,$C$5:$AJ$644,6,)/VLOOKUP($D113,$C$5:$AJ$644,4,))*$F113))</f>
        <v>4228863.8383011511</v>
      </c>
      <c r="I113" s="101">
        <f>IF(VLOOKUP($D113,$C$5:$AJ$644,7,)=0,0,((VLOOKUP($D113,$C$5:$AJ$644,7,)/VLOOKUP($D113,$C$5:$AJ$644,4,))*$F113))</f>
        <v>4012925.392377093</v>
      </c>
      <c r="J113" s="101">
        <f>IF(VLOOKUP($D113,$C$5:$AJ$644,8,)=0,0,((VLOOKUP($D113,$C$5:$AJ$644,8,)/VLOOKUP($D113,$C$5:$AJ$644,4,))*$F113))</f>
        <v>4067103.6369245793</v>
      </c>
      <c r="K113" s="101">
        <f>IF(VLOOKUP($D113,$C$5:$AJ$644,9,)=0,0,((VLOOKUP($D113,$C$5:$AJ$644,9,)/VLOOKUP($D113,$C$5:$AJ$644,4,))*$F113))</f>
        <v>71897457.403322741</v>
      </c>
      <c r="L113" s="101">
        <f>IF(VLOOKUP($D113,$C$5:$AJ$644,10,)=0,0,((VLOOKUP($D113,$C$5:$AJ$644,10,)/VLOOKUP($D113,$C$5:$AJ$644,4,))*$F113))</f>
        <v>0</v>
      </c>
      <c r="M113" s="101">
        <f>IF(VLOOKUP($D113,$C$5:$AJ$644,11,)=0,0,((VLOOKUP($D113,$C$5:$AJ$644,11,)/VLOOKUP($D113,$C$5:$AJ$644,4,))*$F113))</f>
        <v>0</v>
      </c>
      <c r="N113" s="101"/>
      <c r="O113" s="101">
        <f>IF(VLOOKUP($D113,$C$5:$AJ$644,13,)=0,0,((VLOOKUP($D113,$C$5:$AJ$644,13,)/VLOOKUP($D113,$C$5:$AJ$644,4,))*$F113))</f>
        <v>5301675.1423407644</v>
      </c>
      <c r="P113" s="101">
        <f>IF(VLOOKUP($D113,$C$5:$AJ$644,14,)=0,0,((VLOOKUP($D113,$C$5:$AJ$644,14,)/VLOOKUP($D113,$C$5:$AJ$644,4,))*$F113))</f>
        <v>0</v>
      </c>
      <c r="Q113" s="101">
        <f>IF(VLOOKUP($D113,$C$5:$AJ$644,15,)=0,0,((VLOOKUP($D113,$C$5:$AJ$644,15,)/VLOOKUP($D113,$C$5:$AJ$644,4,))*$F113))</f>
        <v>0</v>
      </c>
      <c r="R113" s="101"/>
      <c r="S113" s="101">
        <f>IF(VLOOKUP($D113,$C$5:$AJ$644,17,)=0,0,((VLOOKUP($D113,$C$5:$AJ$644,17,)/VLOOKUP($D113,$C$5:$AJ$644,4,))*$F113))</f>
        <v>0</v>
      </c>
      <c r="T113" s="101">
        <f>IF(VLOOKUP($D113,$C$5:$AJ$644,18,)=0,0,((VLOOKUP($D113,$C$5:$AJ$644,18,)/VLOOKUP($D113,$C$5:$AJ$644,4,))*$F113))</f>
        <v>875890.92326590104</v>
      </c>
      <c r="U113" s="101">
        <f>IF(VLOOKUP($D113,$C$5:$AJ$644,19,)=0,0,((VLOOKUP($D113,$C$5:$AJ$644,19,)/VLOOKUP($D113,$C$5:$AJ$644,4,))*$F113))</f>
        <v>0</v>
      </c>
      <c r="V113" s="101">
        <f>IF(VLOOKUP($D113,$C$5:$AJ$644,20,)=0,0,((VLOOKUP($D113,$C$5:$AJ$644,20,)/VLOOKUP($D113,$C$5:$AJ$644,4,))*$F113))</f>
        <v>1663489.9306991044</v>
      </c>
      <c r="W113" s="101">
        <f>IF(VLOOKUP($D113,$C$5:$AJ$644,21,)=0,0,((VLOOKUP($D113,$C$5:$AJ$644,21,)/VLOOKUP($D113,$C$5:$AJ$644,4,))*$F113))</f>
        <v>2570617.8620645492</v>
      </c>
      <c r="X113" s="101">
        <f>IF(VLOOKUP($D113,$C$5:$AJ$644,22,)=0,0,((VLOOKUP($D113,$C$5:$AJ$644,22,)/VLOOKUP($D113,$C$5:$AJ$644,4,))*$F113))</f>
        <v>858890.83930522413</v>
      </c>
      <c r="Y113" s="101">
        <f>IF(VLOOKUP($D113,$C$5:$AJ$644,23,)=0,0,((VLOOKUP($D113,$C$5:$AJ$644,23,)/VLOOKUP($D113,$C$5:$AJ$644,4,))*$F113))</f>
        <v>1259805.8423516545</v>
      </c>
      <c r="Z113" s="101">
        <f>IF(VLOOKUP($D113,$C$5:$AJ$644,24,)=0,0,((VLOOKUP($D113,$C$5:$AJ$644,24,)/VLOOKUP($D113,$C$5:$AJ$644,4,))*$F113))</f>
        <v>169310.56912404124</v>
      </c>
      <c r="AA113" s="101">
        <f>IF(VLOOKUP($D113,$C$5:$AJ$644,25,)=0,0,((VLOOKUP($D113,$C$5:$AJ$644,25,)/VLOOKUP($D113,$C$5:$AJ$644,4,))*$F113))</f>
        <v>150665.99100558163</v>
      </c>
      <c r="AB113" s="101">
        <f>IF(VLOOKUP($D113,$C$5:$AJ$644,26,)=0,0,((VLOOKUP($D113,$C$5:$AJ$644,26,)/VLOOKUP($D113,$C$5:$AJ$644,4,))*$F113))</f>
        <v>95174.13858748351</v>
      </c>
      <c r="AC113" s="101">
        <f>IF(VLOOKUP($D113,$C$5:$AJ$644,27,)=0,0,((VLOOKUP($D113,$C$5:$AJ$644,27,)/VLOOKUP($D113,$C$5:$AJ$644,4,))*$F113))</f>
        <v>2158140.4360992401</v>
      </c>
      <c r="AD113" s="101">
        <f>IF(VLOOKUP($D113,$C$5:$AJ$644,28,)=0,0,((VLOOKUP($D113,$C$5:$AJ$644,28,)/VLOOKUP($D113,$C$5:$AJ$644,4,))*$F113))</f>
        <v>95443.096635898211</v>
      </c>
      <c r="AE113" s="101"/>
      <c r="AF113" s="101">
        <f>IF(VLOOKUP($D113,$C$5:$AJ$644,30,)=0,0,((VLOOKUP($D113,$C$5:$AJ$644,30,)/VLOOKUP($D113,$C$5:$AJ$644,4,))*$F113))</f>
        <v>6169535.4203289226</v>
      </c>
      <c r="AG113" s="101"/>
      <c r="AH113" s="101">
        <f>IF(VLOOKUP($D113,$C$5:$AJ$644,32,)=0,0,((VLOOKUP($D113,$C$5:$AJ$644,32,)/VLOOKUP($D113,$C$5:$AJ$644,4,))*$F113))</f>
        <v>773569.48959236697</v>
      </c>
      <c r="AI113" s="101"/>
      <c r="AJ113" s="101">
        <f>IF(VLOOKUP($D113,$C$5:$AJ$644,34,)=0,0,((VLOOKUP($D113,$C$5:$AJ$644,34,)/VLOOKUP($D113,$C$5:$AJ$644,4,))*$F113))</f>
        <v>0</v>
      </c>
      <c r="AK113" s="101">
        <f>SUM(H113:AJ113)</f>
        <v>106348559.95232633</v>
      </c>
      <c r="AL113" s="98" t="str">
        <f>IF(ABS(AK113-F113)&lt;1,"ok","err")</f>
        <v>ok</v>
      </c>
      <c r="AM113" s="109">
        <f>+AK113-F113</f>
        <v>0</v>
      </c>
    </row>
    <row r="114" spans="1:39" x14ac:dyDescent="0.25">
      <c r="A114" s="97" t="s">
        <v>192</v>
      </c>
      <c r="C114" s="97" t="s">
        <v>497</v>
      </c>
      <c r="D114" s="97" t="s">
        <v>188</v>
      </c>
      <c r="F114" s="101">
        <f>'Jurisdictional Study'!F845</f>
        <v>119808343.75715747</v>
      </c>
      <c r="G114" s="101"/>
      <c r="H114" s="101">
        <f>IF(VLOOKUP($D114,$C$5:$AJ$644,6,)=0,0,((VLOOKUP($D114,$C$5:$AJ$644,6,)/VLOOKUP($D114,$C$5:$AJ$644,4,))*$F114))</f>
        <v>25102691.5047011</v>
      </c>
      <c r="I114" s="101">
        <f>IF(VLOOKUP($D114,$C$5:$AJ$644,7,)=0,0,((VLOOKUP($D114,$C$5:$AJ$644,7,)/VLOOKUP($D114,$C$5:$AJ$644,4,))*$F114))</f>
        <v>26296658.209030721</v>
      </c>
      <c r="J114" s="101">
        <f>IF(VLOOKUP($D114,$C$5:$AJ$644,8,)=0,0,((VLOOKUP($D114,$C$5:$AJ$644,8,)/VLOOKUP($D114,$C$5:$AJ$644,4,))*$F114))</f>
        <v>21615764.374949139</v>
      </c>
      <c r="K114" s="101">
        <f>IF(VLOOKUP($D114,$C$5:$AJ$644,9,)=0,0,((VLOOKUP($D114,$C$5:$AJ$644,9,)/VLOOKUP($D114,$C$5:$AJ$644,4,))*$F114))</f>
        <v>0</v>
      </c>
      <c r="L114" s="101">
        <f>IF(VLOOKUP($D114,$C$5:$AJ$644,10,)=0,0,((VLOOKUP($D114,$C$5:$AJ$644,10,)/VLOOKUP($D114,$C$5:$AJ$644,4,))*$F114))</f>
        <v>0</v>
      </c>
      <c r="M114" s="101">
        <f>IF(VLOOKUP($D114,$C$5:$AJ$644,11,)=0,0,((VLOOKUP($D114,$C$5:$AJ$644,11,)/VLOOKUP($D114,$C$5:$AJ$644,4,))*$F114))</f>
        <v>0</v>
      </c>
      <c r="N114" s="101"/>
      <c r="O114" s="101">
        <f>IF(VLOOKUP($D114,$C$5:$AJ$644,13,)=0,0,((VLOOKUP($D114,$C$5:$AJ$644,13,)/VLOOKUP($D114,$C$5:$AJ$644,4,))*$F114))</f>
        <v>15781423.158402514</v>
      </c>
      <c r="P114" s="101">
        <f>IF(VLOOKUP($D114,$C$5:$AJ$644,14,)=0,0,((VLOOKUP($D114,$C$5:$AJ$644,14,)/VLOOKUP($D114,$C$5:$AJ$644,4,))*$F114))</f>
        <v>0</v>
      </c>
      <c r="Q114" s="101">
        <f>IF(VLOOKUP($D114,$C$5:$AJ$644,15,)=0,0,((VLOOKUP($D114,$C$5:$AJ$644,15,)/VLOOKUP($D114,$C$5:$AJ$644,4,))*$F114))</f>
        <v>0</v>
      </c>
      <c r="R114" s="101"/>
      <c r="S114" s="101">
        <f>IF(VLOOKUP($D114,$C$5:$AJ$644,17,)=0,0,((VLOOKUP($D114,$C$5:$AJ$644,17,)/VLOOKUP($D114,$C$5:$AJ$644,4,))*$F114))</f>
        <v>0</v>
      </c>
      <c r="T114" s="101">
        <f>IF(VLOOKUP($D114,$C$5:$AJ$644,18,)=0,0,((VLOOKUP($D114,$C$5:$AJ$644,18,)/VLOOKUP($D114,$C$5:$AJ$644,4,))*$F114))</f>
        <v>3754701.6928673326</v>
      </c>
      <c r="U114" s="101">
        <f>IF(VLOOKUP($D114,$C$5:$AJ$644,19,)=0,0,((VLOOKUP($D114,$C$5:$AJ$644,19,)/VLOOKUP($D114,$C$5:$AJ$644,4,))*$F114))</f>
        <v>0</v>
      </c>
      <c r="V114" s="101">
        <f>IF(VLOOKUP($D114,$C$5:$AJ$644,20,)=0,0,((VLOOKUP($D114,$C$5:$AJ$644,20,)/VLOOKUP($D114,$C$5:$AJ$644,4,))*$F114))</f>
        <v>4091468.2057036529</v>
      </c>
      <c r="W114" s="101">
        <f>IF(VLOOKUP($D114,$C$5:$AJ$644,21,)=0,0,((VLOOKUP($D114,$C$5:$AJ$644,21,)/VLOOKUP($D114,$C$5:$AJ$644,4,))*$F114))</f>
        <v>7587259.4006589837</v>
      </c>
      <c r="X114" s="101">
        <f>IF(VLOOKUP($D114,$C$5:$AJ$644,22,)=0,0,((VLOOKUP($D114,$C$5:$AJ$644,22,)/VLOOKUP($D114,$C$5:$AJ$644,4,))*$F114))</f>
        <v>1883533.1322379368</v>
      </c>
      <c r="Y114" s="101">
        <f>IF(VLOOKUP($D114,$C$5:$AJ$644,23,)=0,0,((VLOOKUP($D114,$C$5:$AJ$644,23,)/VLOOKUP($D114,$C$5:$AJ$644,4,))*$F114))</f>
        <v>2879302.7174612083</v>
      </c>
      <c r="Z114" s="101">
        <f>IF(VLOOKUP($D114,$C$5:$AJ$644,24,)=0,0,((VLOOKUP($D114,$C$5:$AJ$644,24,)/VLOOKUP($D114,$C$5:$AJ$644,4,))*$F114))</f>
        <v>2923897.9848523019</v>
      </c>
      <c r="AA114" s="101">
        <f>IF(VLOOKUP($D114,$C$5:$AJ$644,25,)=0,0,((VLOOKUP($D114,$C$5:$AJ$644,25,)/VLOOKUP($D114,$C$5:$AJ$644,4,))*$F114))</f>
        <v>2601916.6420984045</v>
      </c>
      <c r="AB114" s="101">
        <f>IF(VLOOKUP($D114,$C$5:$AJ$644,26,)=0,0,((VLOOKUP($D114,$C$5:$AJ$644,26,)/VLOOKUP($D114,$C$5:$AJ$644,4,))*$F114))</f>
        <v>1741911.1891745939</v>
      </c>
      <c r="AC114" s="101">
        <f>IF(VLOOKUP($D114,$C$5:$AJ$644,27,)=0,0,((VLOOKUP($D114,$C$5:$AJ$644,27,)/VLOOKUP($D114,$C$5:$AJ$644,4,))*$F114))</f>
        <v>1486257.7064568517</v>
      </c>
      <c r="AD114" s="101">
        <f>IF(VLOOKUP($D114,$C$5:$AJ$644,28,)=0,0,((VLOOKUP($D114,$C$5:$AJ$644,28,)/VLOOKUP($D114,$C$5:$AJ$644,4,))*$F114))</f>
        <v>2061557.8385627188</v>
      </c>
      <c r="AE114" s="101"/>
      <c r="AF114" s="101">
        <f>IF(VLOOKUP($D114,$C$5:$AJ$644,30,)=0,0,((VLOOKUP($D114,$C$5:$AJ$644,30,)/VLOOKUP($D114,$C$5:$AJ$644,4,))*$F114))</f>
        <v>0</v>
      </c>
      <c r="AG114" s="101"/>
      <c r="AH114" s="101">
        <f>IF(VLOOKUP($D114,$C$5:$AJ$644,32,)=0,0,((VLOOKUP($D114,$C$5:$AJ$644,32,)/VLOOKUP($D114,$C$5:$AJ$644,4,))*$F114))</f>
        <v>0</v>
      </c>
      <c r="AI114" s="101"/>
      <c r="AJ114" s="101">
        <f>IF(VLOOKUP($D114,$C$5:$AJ$644,34,)=0,0,((VLOOKUP($D114,$C$5:$AJ$644,34,)/VLOOKUP($D114,$C$5:$AJ$644,4,))*$F114))</f>
        <v>0</v>
      </c>
      <c r="AK114" s="101">
        <f>SUM(H114:AJ114)</f>
        <v>119808343.75715747</v>
      </c>
      <c r="AL114" s="98" t="str">
        <f>IF(ABS(AK114-F114)&lt;1,"ok","err")</f>
        <v>ok</v>
      </c>
    </row>
    <row r="115" spans="1:39" x14ac:dyDescent="0.25">
      <c r="A115" s="97" t="s">
        <v>798</v>
      </c>
      <c r="C115" s="97" t="s">
        <v>799</v>
      </c>
      <c r="D115" s="97" t="s">
        <v>188</v>
      </c>
      <c r="F115" s="101">
        <f>'Jurisdictional Study'!F848</f>
        <v>16171253.692540465</v>
      </c>
      <c r="H115" s="101">
        <f>IF(VLOOKUP($D115,$C$5:$AJ$644,6,)=0,0,((VLOOKUP($D115,$C$5:$AJ$644,6,)/VLOOKUP($D115,$C$5:$AJ$644,4,))*$F115))</f>
        <v>3388261.4512301064</v>
      </c>
      <c r="I115" s="101">
        <f>IF(VLOOKUP($D115,$C$5:$AJ$644,7,)=0,0,((VLOOKUP($D115,$C$5:$AJ$644,7,)/VLOOKUP($D115,$C$5:$AJ$644,4,))*$F115))</f>
        <v>3549418.3278771662</v>
      </c>
      <c r="J115" s="101">
        <f>IF(VLOOKUP($D115,$C$5:$AJ$644,8,)=0,0,((VLOOKUP($D115,$C$5:$AJ$644,8,)/VLOOKUP($D115,$C$5:$AJ$644,4,))*$F115))</f>
        <v>2917609.8968031863</v>
      </c>
      <c r="K115" s="101">
        <f>IF(VLOOKUP($D115,$C$5:$AJ$644,9,)=0,0,((VLOOKUP($D115,$C$5:$AJ$644,9,)/VLOOKUP($D115,$C$5:$AJ$644,4,))*$F115))</f>
        <v>0</v>
      </c>
      <c r="L115" s="101">
        <f>IF(VLOOKUP($D115,$C$5:$AJ$644,10,)=0,0,((VLOOKUP($D115,$C$5:$AJ$644,10,)/VLOOKUP($D115,$C$5:$AJ$644,4,))*$F115))</f>
        <v>0</v>
      </c>
      <c r="M115" s="101">
        <f>IF(VLOOKUP($D115,$C$5:$AJ$644,11,)=0,0,((VLOOKUP($D115,$C$5:$AJ$644,11,)/VLOOKUP($D115,$C$5:$AJ$644,4,))*$F115))</f>
        <v>0</v>
      </c>
      <c r="N115" s="101"/>
      <c r="O115" s="101">
        <f>IF(VLOOKUP($D115,$C$5:$AJ$644,13,)=0,0,((VLOOKUP($D115,$C$5:$AJ$644,13,)/VLOOKUP($D115,$C$5:$AJ$644,4,))*$F115))</f>
        <v>2130113.7259784047</v>
      </c>
      <c r="P115" s="101">
        <f>IF(VLOOKUP($D115,$C$5:$AJ$644,14,)=0,0,((VLOOKUP($D115,$C$5:$AJ$644,14,)/VLOOKUP($D115,$C$5:$AJ$644,4,))*$F115))</f>
        <v>0</v>
      </c>
      <c r="Q115" s="101">
        <f>IF(VLOOKUP($D115,$C$5:$AJ$644,15,)=0,0,((VLOOKUP($D115,$C$5:$AJ$644,15,)/VLOOKUP($D115,$C$5:$AJ$644,4,))*$F115))</f>
        <v>0</v>
      </c>
      <c r="R115" s="101"/>
      <c r="S115" s="101">
        <f>IF(VLOOKUP($D115,$C$5:$AJ$644,17,)=0,0,((VLOOKUP($D115,$C$5:$AJ$644,17,)/VLOOKUP($D115,$C$5:$AJ$644,4,))*$F115))</f>
        <v>0</v>
      </c>
      <c r="T115" s="101">
        <f>IF(VLOOKUP($D115,$C$5:$AJ$644,18,)=0,0,((VLOOKUP($D115,$C$5:$AJ$644,18,)/VLOOKUP($D115,$C$5:$AJ$644,4,))*$F115))</f>
        <v>506794.6998603043</v>
      </c>
      <c r="U115" s="101">
        <f>IF(VLOOKUP($D115,$C$5:$AJ$644,19,)=0,0,((VLOOKUP($D115,$C$5:$AJ$644,19,)/VLOOKUP($D115,$C$5:$AJ$644,4,))*$F115))</f>
        <v>0</v>
      </c>
      <c r="V115" s="101">
        <f>IF(VLOOKUP($D115,$C$5:$AJ$644,20,)=0,0,((VLOOKUP($D115,$C$5:$AJ$644,20,)/VLOOKUP($D115,$C$5:$AJ$644,4,))*$F115))</f>
        <v>552250.10424571857</v>
      </c>
      <c r="W115" s="101">
        <f>IF(VLOOKUP($D115,$C$5:$AJ$644,21,)=0,0,((VLOOKUP($D115,$C$5:$AJ$644,21,)/VLOOKUP($D115,$C$5:$AJ$644,4,))*$F115))</f>
        <v>1024098.0949362217</v>
      </c>
      <c r="X115" s="101">
        <f>IF(VLOOKUP($D115,$C$5:$AJ$644,22,)=0,0,((VLOOKUP($D115,$C$5:$AJ$644,22,)/VLOOKUP($D115,$C$5:$AJ$644,4,))*$F115))</f>
        <v>254231.81027744894</v>
      </c>
      <c r="Y115" s="101">
        <f>IF(VLOOKUP($D115,$C$5:$AJ$644,23,)=0,0,((VLOOKUP($D115,$C$5:$AJ$644,23,)/VLOOKUP($D115,$C$5:$AJ$644,4,))*$F115))</f>
        <v>388636.82813330524</v>
      </c>
      <c r="Z115" s="101">
        <f>IF(VLOOKUP($D115,$C$5:$AJ$644,24,)=0,0,((VLOOKUP($D115,$C$5:$AJ$644,24,)/VLOOKUP($D115,$C$5:$AJ$644,4,))*$F115))</f>
        <v>394656.11994431453</v>
      </c>
      <c r="AA115" s="101">
        <f>IF(VLOOKUP($D115,$C$5:$AJ$644,25,)=0,0,((VLOOKUP($D115,$C$5:$AJ$644,25,)/VLOOKUP($D115,$C$5:$AJ$644,4,))*$F115))</f>
        <v>351196.35900736362</v>
      </c>
      <c r="AB115" s="101">
        <f>IF(VLOOKUP($D115,$C$5:$AJ$644,26,)=0,0,((VLOOKUP($D115,$C$5:$AJ$644,26,)/VLOOKUP($D115,$C$5:$AJ$644,4,))*$F115))</f>
        <v>235116.24371599214</v>
      </c>
      <c r="AC115" s="101">
        <f>IF(VLOOKUP($D115,$C$5:$AJ$644,27,)=0,0,((VLOOKUP($D115,$C$5:$AJ$644,27,)/VLOOKUP($D115,$C$5:$AJ$644,4,))*$F115))</f>
        <v>200609.15350205923</v>
      </c>
      <c r="AD115" s="101">
        <f>IF(VLOOKUP($D115,$C$5:$AJ$644,28,)=0,0,((VLOOKUP($D115,$C$5:$AJ$644,28,)/VLOOKUP($D115,$C$5:$AJ$644,4,))*$F115))</f>
        <v>278260.87702887104</v>
      </c>
      <c r="AE115" s="101"/>
      <c r="AF115" s="101">
        <f>IF(VLOOKUP($D115,$C$5:$AJ$644,30,)=0,0,((VLOOKUP($D115,$C$5:$AJ$644,30,)/VLOOKUP($D115,$C$5:$AJ$644,4,))*$F115))</f>
        <v>0</v>
      </c>
      <c r="AG115" s="101"/>
      <c r="AH115" s="101">
        <f>IF(VLOOKUP($D115,$C$5:$AJ$644,32,)=0,0,((VLOOKUP($D115,$C$5:$AJ$644,32,)/VLOOKUP($D115,$C$5:$AJ$644,4,))*$F115))</f>
        <v>0</v>
      </c>
      <c r="AI115" s="101"/>
      <c r="AJ115" s="101">
        <f>IF(VLOOKUP($D115,$C$5:$AJ$644,34,)=0,0,((VLOOKUP($D115,$C$5:$AJ$644,34,)/VLOOKUP($D115,$C$5:$AJ$644,4,))*$F115))</f>
        <v>0</v>
      </c>
      <c r="AK115" s="101">
        <f>SUM(H115:AJ115)</f>
        <v>16171253.692540465</v>
      </c>
      <c r="AL115" s="98" t="str">
        <f>IF(ABS(AK115-F115)&lt;1,"ok","err")</f>
        <v>ok</v>
      </c>
    </row>
    <row r="116" spans="1:39" x14ac:dyDescent="0.25">
      <c r="Y116" s="97"/>
      <c r="AK116" s="101"/>
      <c r="AL116" s="98"/>
    </row>
    <row r="117" spans="1:39" x14ac:dyDescent="0.25">
      <c r="A117" s="107" t="s">
        <v>800</v>
      </c>
      <c r="C117" s="97" t="s">
        <v>801</v>
      </c>
      <c r="F117" s="102">
        <f>SUM(F113:F116)</f>
        <v>242328157.40202424</v>
      </c>
      <c r="G117" s="102"/>
      <c r="H117" s="102">
        <f t="shared" ref="H117:M117" si="75">SUM(H113:H116)</f>
        <v>32719816.794232357</v>
      </c>
      <c r="I117" s="102">
        <f t="shared" si="75"/>
        <v>33859001.929284982</v>
      </c>
      <c r="J117" s="102">
        <f t="shared" si="75"/>
        <v>28600477.908676904</v>
      </c>
      <c r="K117" s="102">
        <f t="shared" si="75"/>
        <v>71897457.403322741</v>
      </c>
      <c r="L117" s="102">
        <f t="shared" si="75"/>
        <v>0</v>
      </c>
      <c r="M117" s="102">
        <f t="shared" si="75"/>
        <v>0</v>
      </c>
      <c r="N117" s="102"/>
      <c r="O117" s="102">
        <f>SUM(O113:O116)</f>
        <v>23213212.026721682</v>
      </c>
      <c r="P117" s="102">
        <f>SUM(P113:P116)</f>
        <v>0</v>
      </c>
      <c r="Q117" s="102">
        <f>SUM(Q113:Q116)</f>
        <v>0</v>
      </c>
      <c r="R117" s="102"/>
      <c r="S117" s="102">
        <f t="shared" ref="S117:AD117" si="76">SUM(S113:S116)</f>
        <v>0</v>
      </c>
      <c r="T117" s="102">
        <f t="shared" si="76"/>
        <v>5137387.3159935381</v>
      </c>
      <c r="U117" s="102">
        <f t="shared" si="76"/>
        <v>0</v>
      </c>
      <c r="V117" s="102">
        <f t="shared" si="76"/>
        <v>6307208.2406484764</v>
      </c>
      <c r="W117" s="102">
        <f t="shared" si="76"/>
        <v>11181975.357659755</v>
      </c>
      <c r="X117" s="102">
        <f t="shared" si="76"/>
        <v>2996655.7818206102</v>
      </c>
      <c r="Y117" s="102">
        <f t="shared" si="76"/>
        <v>4527745.387946168</v>
      </c>
      <c r="Z117" s="102">
        <f t="shared" si="76"/>
        <v>3487864.6739206575</v>
      </c>
      <c r="AA117" s="102">
        <f t="shared" si="76"/>
        <v>3103778.9921113499</v>
      </c>
      <c r="AB117" s="102">
        <f t="shared" si="76"/>
        <v>2072201.5714780695</v>
      </c>
      <c r="AC117" s="102">
        <f t="shared" si="76"/>
        <v>3845007.2960581509</v>
      </c>
      <c r="AD117" s="102">
        <f t="shared" si="76"/>
        <v>2435261.812227488</v>
      </c>
      <c r="AE117" s="102"/>
      <c r="AF117" s="102">
        <f>SUM(AF113:AF116)</f>
        <v>6169535.4203289226</v>
      </c>
      <c r="AG117" s="102"/>
      <c r="AH117" s="102">
        <f>SUM(AH113:AH116)</f>
        <v>773569.48959236697</v>
      </c>
      <c r="AI117" s="102"/>
      <c r="AJ117" s="102">
        <f>SUM(AJ113:AJ116)</f>
        <v>0</v>
      </c>
      <c r="AK117" s="101">
        <f>SUM(H117:AJ117)</f>
        <v>242328157.40202421</v>
      </c>
      <c r="AL117" s="98" t="str">
        <f>IF(ABS(AK117-F117)&lt;1,"ok","err")</f>
        <v>ok</v>
      </c>
      <c r="AM117" s="109">
        <f>+AK117-F117</f>
        <v>0</v>
      </c>
    </row>
    <row r="118" spans="1:39" x14ac:dyDescent="0.25">
      <c r="A118" s="107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1"/>
      <c r="AL118" s="98"/>
    </row>
    <row r="119" spans="1:39" x14ac:dyDescent="0.25">
      <c r="A119" s="97" t="s">
        <v>1829</v>
      </c>
      <c r="C119" s="97" t="s">
        <v>1830</v>
      </c>
      <c r="D119" s="97" t="s">
        <v>736</v>
      </c>
      <c r="F119" s="101">
        <v>0</v>
      </c>
      <c r="H119" s="101">
        <f>IF(VLOOKUP($D119,$C$5:$AJ$644,6,)=0,0,((VLOOKUP($D119,$C$5:$AJ$644,6,)/VLOOKUP($D119,$C$5:$AJ$644,4,))*$F119))</f>
        <v>0</v>
      </c>
      <c r="I119" s="101">
        <f>IF(VLOOKUP($D119,$C$5:$AJ$644,7,)=0,0,((VLOOKUP($D119,$C$5:$AJ$644,7,)/VLOOKUP($D119,$C$5:$AJ$644,4,))*$F119))</f>
        <v>0</v>
      </c>
      <c r="J119" s="101">
        <f>IF(VLOOKUP($D119,$C$5:$AJ$644,8,)=0,0,((VLOOKUP($D119,$C$5:$AJ$644,8,)/VLOOKUP($D119,$C$5:$AJ$644,4,))*$F119))</f>
        <v>0</v>
      </c>
      <c r="K119" s="101">
        <f>IF(VLOOKUP($D119,$C$5:$AJ$644,9,)=0,0,((VLOOKUP($D119,$C$5:$AJ$644,9,)/VLOOKUP($D119,$C$5:$AJ$644,4,))*$F119))</f>
        <v>0</v>
      </c>
      <c r="L119" s="101">
        <f>IF(VLOOKUP($D119,$C$5:$AJ$644,10,)=0,0,((VLOOKUP($D119,$C$5:$AJ$644,10,)/VLOOKUP($D119,$C$5:$AJ$644,4,))*$F119))</f>
        <v>0</v>
      </c>
      <c r="M119" s="101">
        <f>IF(VLOOKUP($D119,$C$5:$AJ$644,11,)=0,0,((VLOOKUP($D119,$C$5:$AJ$644,11,)/VLOOKUP($D119,$C$5:$AJ$644,4,))*$F119))</f>
        <v>0</v>
      </c>
      <c r="N119" s="101"/>
      <c r="O119" s="101">
        <f>IF(VLOOKUP($D119,$C$5:$AJ$644,13,)=0,0,((VLOOKUP($D119,$C$5:$AJ$644,13,)/VLOOKUP($D119,$C$5:$AJ$644,4,))*$F119))</f>
        <v>0</v>
      </c>
      <c r="P119" s="101">
        <f>IF(VLOOKUP($D119,$C$5:$AJ$644,14,)=0,0,((VLOOKUP($D119,$C$5:$AJ$644,14,)/VLOOKUP($D119,$C$5:$AJ$644,4,))*$F119))</f>
        <v>0</v>
      </c>
      <c r="Q119" s="101">
        <f>IF(VLOOKUP($D119,$C$5:$AJ$644,15,)=0,0,((VLOOKUP($D119,$C$5:$AJ$644,15,)/VLOOKUP($D119,$C$5:$AJ$644,4,))*$F119))</f>
        <v>0</v>
      </c>
      <c r="R119" s="101"/>
      <c r="S119" s="101">
        <f>IF(VLOOKUP($D119,$C$5:$AJ$644,17,)=0,0,((VLOOKUP($D119,$C$5:$AJ$644,17,)/VLOOKUP($D119,$C$5:$AJ$644,4,))*$F119))</f>
        <v>0</v>
      </c>
      <c r="T119" s="101">
        <f>IF(VLOOKUP($D119,$C$5:$AJ$644,18,)=0,0,((VLOOKUP($D119,$C$5:$AJ$644,18,)/VLOOKUP($D119,$C$5:$AJ$644,4,))*$F119))</f>
        <v>0</v>
      </c>
      <c r="U119" s="101">
        <f>IF(VLOOKUP($D119,$C$5:$AJ$644,19,)=0,0,((VLOOKUP($D119,$C$5:$AJ$644,19,)/VLOOKUP($D119,$C$5:$AJ$644,4,))*$F119))</f>
        <v>0</v>
      </c>
      <c r="V119" s="101">
        <f>IF(VLOOKUP($D119,$C$5:$AJ$644,20,)=0,0,((VLOOKUP($D119,$C$5:$AJ$644,20,)/VLOOKUP($D119,$C$5:$AJ$644,4,))*$F119))</f>
        <v>0</v>
      </c>
      <c r="W119" s="101">
        <f>IF(VLOOKUP($D119,$C$5:$AJ$644,21,)=0,0,((VLOOKUP($D119,$C$5:$AJ$644,21,)/VLOOKUP($D119,$C$5:$AJ$644,4,))*$F119))</f>
        <v>0</v>
      </c>
      <c r="X119" s="101">
        <f>IF(VLOOKUP($D119,$C$5:$AJ$644,22,)=0,0,((VLOOKUP($D119,$C$5:$AJ$644,22,)/VLOOKUP($D119,$C$5:$AJ$644,4,))*$F119))</f>
        <v>0</v>
      </c>
      <c r="Y119" s="101">
        <f>IF(VLOOKUP($D119,$C$5:$AJ$644,23,)=0,0,((VLOOKUP($D119,$C$5:$AJ$644,23,)/VLOOKUP($D119,$C$5:$AJ$644,4,))*$F119))</f>
        <v>0</v>
      </c>
      <c r="Z119" s="101">
        <f>IF(VLOOKUP($D119,$C$5:$AJ$644,24,)=0,0,((VLOOKUP($D119,$C$5:$AJ$644,24,)/VLOOKUP($D119,$C$5:$AJ$644,4,))*$F119))</f>
        <v>0</v>
      </c>
      <c r="AA119" s="101">
        <f>IF(VLOOKUP($D119,$C$5:$AJ$644,25,)=0,0,((VLOOKUP($D119,$C$5:$AJ$644,25,)/VLOOKUP($D119,$C$5:$AJ$644,4,))*$F119))</f>
        <v>0</v>
      </c>
      <c r="AB119" s="101">
        <f>IF(VLOOKUP($D119,$C$5:$AJ$644,26,)=0,0,((VLOOKUP($D119,$C$5:$AJ$644,26,)/VLOOKUP($D119,$C$5:$AJ$644,4,))*$F119))</f>
        <v>0</v>
      </c>
      <c r="AC119" s="101">
        <f>IF(VLOOKUP($D119,$C$5:$AJ$644,27,)=0,0,((VLOOKUP($D119,$C$5:$AJ$644,27,)/VLOOKUP($D119,$C$5:$AJ$644,4,))*$F119))</f>
        <v>0</v>
      </c>
      <c r="AD119" s="101">
        <f>IF(VLOOKUP($D119,$C$5:$AJ$644,28,)=0,0,((VLOOKUP($D119,$C$5:$AJ$644,28,)/VLOOKUP($D119,$C$5:$AJ$644,4,))*$F119))</f>
        <v>0</v>
      </c>
      <c r="AE119" s="101"/>
      <c r="AF119" s="101">
        <f>IF(VLOOKUP($D119,$C$5:$AJ$644,30,)=0,0,((VLOOKUP($D119,$C$5:$AJ$644,30,)/VLOOKUP($D119,$C$5:$AJ$644,4,))*$F119))</f>
        <v>0</v>
      </c>
      <c r="AG119" s="101"/>
      <c r="AH119" s="101">
        <f>IF(VLOOKUP($D119,$C$5:$AJ$644,32,)=0,0,((VLOOKUP($D119,$C$5:$AJ$644,32,)/VLOOKUP($D119,$C$5:$AJ$644,4,))*$F119))</f>
        <v>0</v>
      </c>
      <c r="AI119" s="101"/>
      <c r="AJ119" s="101">
        <f>IF(VLOOKUP($D119,$C$5:$AJ$644,34,)=0,0,((VLOOKUP($D119,$C$5:$AJ$644,34,)/VLOOKUP($D119,$C$5:$AJ$644,4,))*$F119))</f>
        <v>0</v>
      </c>
      <c r="AK119" s="101">
        <f>SUM(H119:AJ119)</f>
        <v>0</v>
      </c>
      <c r="AL119" s="98" t="str">
        <f>IF(ABS(AK119-F119)&lt;1,"ok","err")</f>
        <v>ok</v>
      </c>
    </row>
    <row r="120" spans="1:39" x14ac:dyDescent="0.25">
      <c r="Y120" s="97"/>
      <c r="AL120" s="98"/>
    </row>
    <row r="121" spans="1:39" x14ac:dyDescent="0.25">
      <c r="A121" s="23" t="s">
        <v>998</v>
      </c>
      <c r="Y121" s="97"/>
      <c r="AL121" s="98"/>
    </row>
    <row r="122" spans="1:39" x14ac:dyDescent="0.25">
      <c r="A122" s="97" t="s">
        <v>527</v>
      </c>
      <c r="C122" s="97" t="s">
        <v>528</v>
      </c>
      <c r="D122" s="97" t="s">
        <v>1054</v>
      </c>
      <c r="F122" s="100">
        <v>0</v>
      </c>
      <c r="H122" s="101">
        <f>IF(VLOOKUP($D122,$C$5:$AJ$644,6,)=0,0,((VLOOKUP($D122,$C$5:$AJ$644,6,)/VLOOKUP($D122,$C$5:$AJ$644,4,))*$F122))</f>
        <v>0</v>
      </c>
      <c r="I122" s="101">
        <f>IF(VLOOKUP($D122,$C$5:$AJ$644,7,)=0,0,((VLOOKUP($D122,$C$5:$AJ$644,7,)/VLOOKUP($D122,$C$5:$AJ$644,4,))*$F122))</f>
        <v>0</v>
      </c>
      <c r="J122" s="101">
        <f>IF(VLOOKUP($D122,$C$5:$AJ$644,8,)=0,0,((VLOOKUP($D122,$C$5:$AJ$644,8,)/VLOOKUP($D122,$C$5:$AJ$644,4,))*$F122))</f>
        <v>0</v>
      </c>
      <c r="K122" s="101">
        <f>IF(VLOOKUP($D122,$C$5:$AJ$644,9,)=0,0,((VLOOKUP($D122,$C$5:$AJ$644,9,)/VLOOKUP($D122,$C$5:$AJ$644,4,))*$F122))</f>
        <v>0</v>
      </c>
      <c r="L122" s="101">
        <f>IF(VLOOKUP($D122,$C$5:$AJ$644,10,)=0,0,((VLOOKUP($D122,$C$5:$AJ$644,10,)/VLOOKUP($D122,$C$5:$AJ$644,4,))*$F122))</f>
        <v>0</v>
      </c>
      <c r="M122" s="101">
        <f>IF(VLOOKUP($D122,$C$5:$AJ$644,11,)=0,0,((VLOOKUP($D122,$C$5:$AJ$644,11,)/VLOOKUP($D122,$C$5:$AJ$644,4,))*$F122))</f>
        <v>0</v>
      </c>
      <c r="N122" s="101"/>
      <c r="O122" s="101">
        <f>IF(VLOOKUP($D122,$C$5:$AJ$644,13,)=0,0,((VLOOKUP($D122,$C$5:$AJ$644,13,)/VLOOKUP($D122,$C$5:$AJ$644,4,))*$F122))</f>
        <v>0</v>
      </c>
      <c r="P122" s="101">
        <f>IF(VLOOKUP($D122,$C$5:$AJ$644,14,)=0,0,((VLOOKUP($D122,$C$5:$AJ$644,14,)/VLOOKUP($D122,$C$5:$AJ$644,4,))*$F122))</f>
        <v>0</v>
      </c>
      <c r="Q122" s="101">
        <f>IF(VLOOKUP($D122,$C$5:$AJ$644,15,)=0,0,((VLOOKUP($D122,$C$5:$AJ$644,15,)/VLOOKUP($D122,$C$5:$AJ$644,4,))*$F122))</f>
        <v>0</v>
      </c>
      <c r="R122" s="101"/>
      <c r="S122" s="101">
        <f>IF(VLOOKUP($D122,$C$5:$AJ$644,17,)=0,0,((VLOOKUP($D122,$C$5:$AJ$644,17,)/VLOOKUP($D122,$C$5:$AJ$644,4,))*$F122))</f>
        <v>0</v>
      </c>
      <c r="T122" s="101">
        <f>IF(VLOOKUP($D122,$C$5:$AJ$644,18,)=0,0,((VLOOKUP($D122,$C$5:$AJ$644,18,)/VLOOKUP($D122,$C$5:$AJ$644,4,))*$F122))</f>
        <v>0</v>
      </c>
      <c r="U122" s="101">
        <f>IF(VLOOKUP($D122,$C$5:$AJ$644,19,)=0,0,((VLOOKUP($D122,$C$5:$AJ$644,19,)/VLOOKUP($D122,$C$5:$AJ$644,4,))*$F122))</f>
        <v>0</v>
      </c>
      <c r="V122" s="101">
        <f>IF(VLOOKUP($D122,$C$5:$AJ$644,20,)=0,0,((VLOOKUP($D122,$C$5:$AJ$644,20,)/VLOOKUP($D122,$C$5:$AJ$644,4,))*$F122))</f>
        <v>0</v>
      </c>
      <c r="W122" s="101">
        <f>IF(VLOOKUP($D122,$C$5:$AJ$644,21,)=0,0,((VLOOKUP($D122,$C$5:$AJ$644,21,)/VLOOKUP($D122,$C$5:$AJ$644,4,))*$F122))</f>
        <v>0</v>
      </c>
      <c r="X122" s="101">
        <f>IF(VLOOKUP($D122,$C$5:$AJ$644,22,)=0,0,((VLOOKUP($D122,$C$5:$AJ$644,22,)/VLOOKUP($D122,$C$5:$AJ$644,4,))*$F122))</f>
        <v>0</v>
      </c>
      <c r="Y122" s="101">
        <f>IF(VLOOKUP($D122,$C$5:$AJ$644,23,)=0,0,((VLOOKUP($D122,$C$5:$AJ$644,23,)/VLOOKUP($D122,$C$5:$AJ$644,4,))*$F122))</f>
        <v>0</v>
      </c>
      <c r="Z122" s="101">
        <f>IF(VLOOKUP($D122,$C$5:$AJ$644,24,)=0,0,((VLOOKUP($D122,$C$5:$AJ$644,24,)/VLOOKUP($D122,$C$5:$AJ$644,4,))*$F122))</f>
        <v>0</v>
      </c>
      <c r="AA122" s="101">
        <f>IF(VLOOKUP($D122,$C$5:$AJ$644,25,)=0,0,((VLOOKUP($D122,$C$5:$AJ$644,25,)/VLOOKUP($D122,$C$5:$AJ$644,4,))*$F122))</f>
        <v>0</v>
      </c>
      <c r="AB122" s="101">
        <f>IF(VLOOKUP($D122,$C$5:$AJ$644,26,)=0,0,((VLOOKUP($D122,$C$5:$AJ$644,26,)/VLOOKUP($D122,$C$5:$AJ$644,4,))*$F122))</f>
        <v>0</v>
      </c>
      <c r="AC122" s="101">
        <f>IF(VLOOKUP($D122,$C$5:$AJ$644,27,)=0,0,((VLOOKUP($D122,$C$5:$AJ$644,27,)/VLOOKUP($D122,$C$5:$AJ$644,4,))*$F122))</f>
        <v>0</v>
      </c>
      <c r="AD122" s="101">
        <f>IF(VLOOKUP($D122,$C$5:$AJ$644,28,)=0,0,((VLOOKUP($D122,$C$5:$AJ$644,28,)/VLOOKUP($D122,$C$5:$AJ$644,4,))*$F122))</f>
        <v>0</v>
      </c>
      <c r="AE122" s="101"/>
      <c r="AF122" s="101">
        <f>IF(VLOOKUP($D122,$C$5:$AJ$644,30,)=0,0,((VLOOKUP($D122,$C$5:$AJ$644,30,)/VLOOKUP($D122,$C$5:$AJ$644,4,))*$F122))</f>
        <v>0</v>
      </c>
      <c r="AG122" s="101"/>
      <c r="AH122" s="101">
        <f>IF(VLOOKUP($D122,$C$5:$AJ$644,32,)=0,0,((VLOOKUP($D122,$C$5:$AJ$644,32,)/VLOOKUP($D122,$C$5:$AJ$644,4,))*$F122))</f>
        <v>0</v>
      </c>
      <c r="AI122" s="101"/>
      <c r="AJ122" s="101">
        <f>IF(VLOOKUP($D122,$C$5:$AJ$644,34,)=0,0,((VLOOKUP($D122,$C$5:$AJ$644,34,)/VLOOKUP($D122,$C$5:$AJ$644,4,))*$F122))</f>
        <v>0</v>
      </c>
      <c r="AK122" s="101">
        <f>SUM(H122:AJ122)</f>
        <v>0</v>
      </c>
      <c r="AL122" s="98" t="str">
        <f>IF(ABS(AK122-F122)&lt;1,"ok","err")</f>
        <v>ok</v>
      </c>
    </row>
    <row r="123" spans="1:39" ht="15.6" x14ac:dyDescent="0.3">
      <c r="A123" s="33" t="s">
        <v>710</v>
      </c>
      <c r="F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98"/>
    </row>
    <row r="124" spans="1:39" ht="15.6" x14ac:dyDescent="0.3">
      <c r="A124" s="33" t="s">
        <v>711</v>
      </c>
      <c r="C124" s="97" t="s">
        <v>1831</v>
      </c>
      <c r="D124" s="97" t="s">
        <v>733</v>
      </c>
      <c r="F124" s="101">
        <f>'Jurisdictional Study'!F869-267444133.81</f>
        <v>511060465.02458495</v>
      </c>
      <c r="H124" s="101">
        <f>IF(VLOOKUP($D124,$C$5:$AJ$644,6,)=0,0,((VLOOKUP($D124,$C$5:$AJ$644,6,)/VLOOKUP($D124,$C$5:$AJ$644,4,))*$F124))</f>
        <v>175703254.78338236</v>
      </c>
      <c r="I124" s="101">
        <f>IF(VLOOKUP($D124,$C$5:$AJ$644,7,)=0,0,((VLOOKUP($D124,$C$5:$AJ$644,7,)/VLOOKUP($D124,$C$5:$AJ$644,4,))*$F124))</f>
        <v>184060280.40409783</v>
      </c>
      <c r="J124" s="101">
        <f>IF(VLOOKUP($D124,$C$5:$AJ$644,8,)=0,0,((VLOOKUP($D124,$C$5:$AJ$644,8,)/VLOOKUP($D124,$C$5:$AJ$644,4,))*$F124))</f>
        <v>151296929.83710477</v>
      </c>
      <c r="K124" s="101">
        <f>IF(VLOOKUP($D124,$C$5:$AJ$644,9,)=0,0,((VLOOKUP($D124,$C$5:$AJ$644,9,)/VLOOKUP($D124,$C$5:$AJ$644,4,))*$F124))</f>
        <v>0</v>
      </c>
      <c r="L124" s="101">
        <f>IF(VLOOKUP($D124,$C$5:$AJ$644,10,)=0,0,((VLOOKUP($D124,$C$5:$AJ$644,10,)/VLOOKUP($D124,$C$5:$AJ$644,4,))*$F124))</f>
        <v>0</v>
      </c>
      <c r="M124" s="101">
        <f>IF(VLOOKUP($D124,$C$5:$AJ$644,11,)=0,0,((VLOOKUP($D124,$C$5:$AJ$644,11,)/VLOOKUP($D124,$C$5:$AJ$644,4,))*$F124))</f>
        <v>0</v>
      </c>
      <c r="N124" s="101"/>
      <c r="O124" s="101">
        <f>IF(VLOOKUP($D124,$C$5:$AJ$644,13,)=0,0,((VLOOKUP($D124,$C$5:$AJ$644,13,)/VLOOKUP($D124,$C$5:$AJ$644,4,))*$F124))</f>
        <v>0</v>
      </c>
      <c r="P124" s="101">
        <f>IF(VLOOKUP($D124,$C$5:$AJ$644,14,)=0,0,((VLOOKUP($D124,$C$5:$AJ$644,14,)/VLOOKUP($D124,$C$5:$AJ$644,4,))*$F124))</f>
        <v>0</v>
      </c>
      <c r="Q124" s="101">
        <f>IF(VLOOKUP($D124,$C$5:$AJ$644,15,)=0,0,((VLOOKUP($D124,$C$5:$AJ$644,15,)/VLOOKUP($D124,$C$5:$AJ$644,4,))*$F124))</f>
        <v>0</v>
      </c>
      <c r="R124" s="101"/>
      <c r="S124" s="101">
        <f>IF(VLOOKUP($D124,$C$5:$AJ$644,17,)=0,0,((VLOOKUP($D124,$C$5:$AJ$644,17,)/VLOOKUP($D124,$C$5:$AJ$644,4,))*$F124))</f>
        <v>0</v>
      </c>
      <c r="T124" s="101">
        <f>IF(VLOOKUP($D124,$C$5:$AJ$644,18,)=0,0,((VLOOKUP($D124,$C$5:$AJ$644,18,)/VLOOKUP($D124,$C$5:$AJ$644,4,))*$F124))</f>
        <v>0</v>
      </c>
      <c r="U124" s="101">
        <f>IF(VLOOKUP($D124,$C$5:$AJ$644,19,)=0,0,((VLOOKUP($D124,$C$5:$AJ$644,19,)/VLOOKUP($D124,$C$5:$AJ$644,4,))*$F124))</f>
        <v>0</v>
      </c>
      <c r="V124" s="101">
        <f>IF(VLOOKUP($D124,$C$5:$AJ$644,20,)=0,0,((VLOOKUP($D124,$C$5:$AJ$644,20,)/VLOOKUP($D124,$C$5:$AJ$644,4,))*$F124))</f>
        <v>0</v>
      </c>
      <c r="W124" s="101">
        <f>IF(VLOOKUP($D124,$C$5:$AJ$644,21,)=0,0,((VLOOKUP($D124,$C$5:$AJ$644,21,)/VLOOKUP($D124,$C$5:$AJ$644,4,))*$F124))</f>
        <v>0</v>
      </c>
      <c r="X124" s="101">
        <f>IF(VLOOKUP($D124,$C$5:$AJ$644,22,)=0,0,((VLOOKUP($D124,$C$5:$AJ$644,22,)/VLOOKUP($D124,$C$5:$AJ$644,4,))*$F124))</f>
        <v>0</v>
      </c>
      <c r="Y124" s="101">
        <f>IF(VLOOKUP($D124,$C$5:$AJ$644,23,)=0,0,((VLOOKUP($D124,$C$5:$AJ$644,23,)/VLOOKUP($D124,$C$5:$AJ$644,4,))*$F124))</f>
        <v>0</v>
      </c>
      <c r="Z124" s="101">
        <f>IF(VLOOKUP($D124,$C$5:$AJ$644,24,)=0,0,((VLOOKUP($D124,$C$5:$AJ$644,24,)/VLOOKUP($D124,$C$5:$AJ$644,4,))*$F124))</f>
        <v>0</v>
      </c>
      <c r="AA124" s="101">
        <f>IF(VLOOKUP($D124,$C$5:$AJ$644,25,)=0,0,((VLOOKUP($D124,$C$5:$AJ$644,25,)/VLOOKUP($D124,$C$5:$AJ$644,4,))*$F124))</f>
        <v>0</v>
      </c>
      <c r="AB124" s="101">
        <f>IF(VLOOKUP($D124,$C$5:$AJ$644,26,)=0,0,((VLOOKUP($D124,$C$5:$AJ$644,26,)/VLOOKUP($D124,$C$5:$AJ$644,4,))*$F124))</f>
        <v>0</v>
      </c>
      <c r="AC124" s="101">
        <f>IF(VLOOKUP($D124,$C$5:$AJ$644,27,)=0,0,((VLOOKUP($D124,$C$5:$AJ$644,27,)/VLOOKUP($D124,$C$5:$AJ$644,4,))*$F124))</f>
        <v>0</v>
      </c>
      <c r="AD124" s="101">
        <f>IF(VLOOKUP($D124,$C$5:$AJ$644,28,)=0,0,((VLOOKUP($D124,$C$5:$AJ$644,28,)/VLOOKUP($D124,$C$5:$AJ$644,4,))*$F124))</f>
        <v>0</v>
      </c>
      <c r="AE124" s="101"/>
      <c r="AF124" s="101">
        <f>IF(VLOOKUP($D124,$C$5:$AJ$644,30,)=0,0,((VLOOKUP($D124,$C$5:$AJ$644,30,)/VLOOKUP($D124,$C$5:$AJ$644,4,))*$F124))</f>
        <v>0</v>
      </c>
      <c r="AG124" s="101"/>
      <c r="AH124" s="101">
        <f>IF(VLOOKUP($D124,$C$5:$AJ$644,32,)=0,0,((VLOOKUP($D124,$C$5:$AJ$644,32,)/VLOOKUP($D124,$C$5:$AJ$644,4,))*$F124))</f>
        <v>0</v>
      </c>
      <c r="AI124" s="101"/>
      <c r="AJ124" s="101">
        <f>IF(VLOOKUP($D124,$C$5:$AJ$644,34,)=0,0,((VLOOKUP($D124,$C$5:$AJ$644,34,)/VLOOKUP($D124,$C$5:$AJ$644,4,))*$F124))</f>
        <v>0</v>
      </c>
      <c r="AK124" s="101">
        <f>SUM(H124:AJ124)</f>
        <v>511060465.02458501</v>
      </c>
      <c r="AL124" s="98" t="str">
        <f t="shared" ref="AL124:AL129" si="77">IF(ABS(AK124-F124)&lt;1,"ok","err")</f>
        <v>ok</v>
      </c>
    </row>
    <row r="125" spans="1:39" ht="15.6" x14ac:dyDescent="0.3">
      <c r="A125" s="33" t="s">
        <v>712</v>
      </c>
      <c r="C125" s="97" t="s">
        <v>1832</v>
      </c>
      <c r="D125" s="97" t="s">
        <v>492</v>
      </c>
      <c r="F125" s="101">
        <f>'Jurisdictional Study'!F877</f>
        <v>129909095.26860818</v>
      </c>
      <c r="H125" s="101">
        <f>IF(VLOOKUP($D125,$C$5:$AJ$644,6,)=0,0,((VLOOKUP($D125,$C$5:$AJ$644,6,)/VLOOKUP($D125,$C$5:$AJ$644,4,))*$F125))</f>
        <v>0</v>
      </c>
      <c r="I125" s="101">
        <f>IF(VLOOKUP($D125,$C$5:$AJ$644,7,)=0,0,((VLOOKUP($D125,$C$5:$AJ$644,7,)/VLOOKUP($D125,$C$5:$AJ$644,4,))*$F125))</f>
        <v>0</v>
      </c>
      <c r="J125" s="101">
        <f>IF(VLOOKUP($D125,$C$5:$AJ$644,8,)=0,0,((VLOOKUP($D125,$C$5:$AJ$644,8,)/VLOOKUP($D125,$C$5:$AJ$644,4,))*$F125))</f>
        <v>0</v>
      </c>
      <c r="K125" s="101">
        <f>IF(VLOOKUP($D125,$C$5:$AJ$644,9,)=0,0,((VLOOKUP($D125,$C$5:$AJ$644,9,)/VLOOKUP($D125,$C$5:$AJ$644,4,))*$F125))</f>
        <v>0</v>
      </c>
      <c r="L125" s="101">
        <f>IF(VLOOKUP($D125,$C$5:$AJ$644,10,)=0,0,((VLOOKUP($D125,$C$5:$AJ$644,10,)/VLOOKUP($D125,$C$5:$AJ$644,4,))*$F125))</f>
        <v>0</v>
      </c>
      <c r="M125" s="101">
        <f>IF(VLOOKUP($D125,$C$5:$AJ$644,11,)=0,0,((VLOOKUP($D125,$C$5:$AJ$644,11,)/VLOOKUP($D125,$C$5:$AJ$644,4,))*$F125))</f>
        <v>0</v>
      </c>
      <c r="N125" s="101"/>
      <c r="O125" s="101">
        <f>IF(VLOOKUP($D125,$C$5:$AJ$644,13,)=0,0,((VLOOKUP($D125,$C$5:$AJ$644,13,)/VLOOKUP($D125,$C$5:$AJ$644,4,))*$F125))</f>
        <v>129909095.26860818</v>
      </c>
      <c r="P125" s="101">
        <f>IF(VLOOKUP($D125,$C$5:$AJ$644,14,)=0,0,((VLOOKUP($D125,$C$5:$AJ$644,14,)/VLOOKUP($D125,$C$5:$AJ$644,4,))*$F125))</f>
        <v>0</v>
      </c>
      <c r="Q125" s="101">
        <f>IF(VLOOKUP($D125,$C$5:$AJ$644,15,)=0,0,((VLOOKUP($D125,$C$5:$AJ$644,15,)/VLOOKUP($D125,$C$5:$AJ$644,4,))*$F125))</f>
        <v>0</v>
      </c>
      <c r="R125" s="101"/>
      <c r="S125" s="101">
        <f>IF(VLOOKUP($D125,$C$5:$AJ$644,17,)=0,0,((VLOOKUP($D125,$C$5:$AJ$644,17,)/VLOOKUP($D125,$C$5:$AJ$644,4,))*$F125))</f>
        <v>0</v>
      </c>
      <c r="T125" s="101">
        <f>IF(VLOOKUP($D125,$C$5:$AJ$644,18,)=0,0,((VLOOKUP($D125,$C$5:$AJ$644,18,)/VLOOKUP($D125,$C$5:$AJ$644,4,))*$F125))</f>
        <v>0</v>
      </c>
      <c r="U125" s="101">
        <f>IF(VLOOKUP($D125,$C$5:$AJ$644,19,)=0,0,((VLOOKUP($D125,$C$5:$AJ$644,19,)/VLOOKUP($D125,$C$5:$AJ$644,4,))*$F125))</f>
        <v>0</v>
      </c>
      <c r="V125" s="101">
        <f>IF(VLOOKUP($D125,$C$5:$AJ$644,20,)=0,0,((VLOOKUP($D125,$C$5:$AJ$644,20,)/VLOOKUP($D125,$C$5:$AJ$644,4,))*$F125))</f>
        <v>0</v>
      </c>
      <c r="W125" s="101">
        <f>IF(VLOOKUP($D125,$C$5:$AJ$644,21,)=0,0,((VLOOKUP($D125,$C$5:$AJ$644,21,)/VLOOKUP($D125,$C$5:$AJ$644,4,))*$F125))</f>
        <v>0</v>
      </c>
      <c r="X125" s="101">
        <f>IF(VLOOKUP($D125,$C$5:$AJ$644,22,)=0,0,((VLOOKUP($D125,$C$5:$AJ$644,22,)/VLOOKUP($D125,$C$5:$AJ$644,4,))*$F125))</f>
        <v>0</v>
      </c>
      <c r="Y125" s="101">
        <f>IF(VLOOKUP($D125,$C$5:$AJ$644,23,)=0,0,((VLOOKUP($D125,$C$5:$AJ$644,23,)/VLOOKUP($D125,$C$5:$AJ$644,4,))*$F125))</f>
        <v>0</v>
      </c>
      <c r="Z125" s="101">
        <f>IF(VLOOKUP($D125,$C$5:$AJ$644,24,)=0,0,((VLOOKUP($D125,$C$5:$AJ$644,24,)/VLOOKUP($D125,$C$5:$AJ$644,4,))*$F125))</f>
        <v>0</v>
      </c>
      <c r="AA125" s="101">
        <f>IF(VLOOKUP($D125,$C$5:$AJ$644,25,)=0,0,((VLOOKUP($D125,$C$5:$AJ$644,25,)/VLOOKUP($D125,$C$5:$AJ$644,4,))*$F125))</f>
        <v>0</v>
      </c>
      <c r="AB125" s="101">
        <f>IF(VLOOKUP($D125,$C$5:$AJ$644,26,)=0,0,((VLOOKUP($D125,$C$5:$AJ$644,26,)/VLOOKUP($D125,$C$5:$AJ$644,4,))*$F125))</f>
        <v>0</v>
      </c>
      <c r="AC125" s="101">
        <f>IF(VLOOKUP($D125,$C$5:$AJ$644,27,)=0,0,((VLOOKUP($D125,$C$5:$AJ$644,27,)/VLOOKUP($D125,$C$5:$AJ$644,4,))*$F125))</f>
        <v>0</v>
      </c>
      <c r="AD125" s="101">
        <f>IF(VLOOKUP($D125,$C$5:$AJ$644,28,)=0,0,((VLOOKUP($D125,$C$5:$AJ$644,28,)/VLOOKUP($D125,$C$5:$AJ$644,4,))*$F125))</f>
        <v>0</v>
      </c>
      <c r="AE125" s="101"/>
      <c r="AF125" s="101">
        <f>IF(VLOOKUP($D125,$C$5:$AJ$644,30,)=0,0,((VLOOKUP($D125,$C$5:$AJ$644,30,)/VLOOKUP($D125,$C$5:$AJ$644,4,))*$F125))</f>
        <v>0</v>
      </c>
      <c r="AG125" s="101"/>
      <c r="AH125" s="101">
        <f>IF(VLOOKUP($D125,$C$5:$AJ$644,32,)=0,0,((VLOOKUP($D125,$C$5:$AJ$644,32,)/VLOOKUP($D125,$C$5:$AJ$644,4,))*$F125))</f>
        <v>0</v>
      </c>
      <c r="AI125" s="101"/>
      <c r="AJ125" s="101">
        <f>IF(VLOOKUP($D125,$C$5:$AJ$644,34,)=0,0,((VLOOKUP($D125,$C$5:$AJ$644,34,)/VLOOKUP($D125,$C$5:$AJ$644,4,))*$F125))</f>
        <v>0</v>
      </c>
      <c r="AK125" s="101">
        <f>SUM(H125:AJ125)</f>
        <v>129909095.26860818</v>
      </c>
      <c r="AL125" s="98" t="str">
        <f t="shared" si="77"/>
        <v>ok</v>
      </c>
    </row>
    <row r="126" spans="1:39" ht="15.6" x14ac:dyDescent="0.3">
      <c r="A126" s="33" t="s">
        <v>713</v>
      </c>
      <c r="C126" s="97" t="s">
        <v>708</v>
      </c>
      <c r="D126" s="97" t="s">
        <v>115</v>
      </c>
      <c r="F126" s="101">
        <f>'Jurisdictional Study'!F881-1902370.82</f>
        <v>241830055.19248328</v>
      </c>
      <c r="H126" s="101">
        <f>IF(VLOOKUP($D126,$C$5:$AJ$644,6,)=0,0,((VLOOKUP($D126,$C$5:$AJ$644,6,)/VLOOKUP($D126,$C$5:$AJ$644,4,))*$F126))</f>
        <v>0</v>
      </c>
      <c r="I126" s="101">
        <f>IF(VLOOKUP($D126,$C$5:$AJ$644,7,)=0,0,((VLOOKUP($D126,$C$5:$AJ$644,7,)/VLOOKUP($D126,$C$5:$AJ$644,4,))*$F126))</f>
        <v>0</v>
      </c>
      <c r="J126" s="101">
        <f>IF(VLOOKUP($D126,$C$5:$AJ$644,8,)=0,0,((VLOOKUP($D126,$C$5:$AJ$644,8,)/VLOOKUP($D126,$C$5:$AJ$644,4,))*$F126))</f>
        <v>0</v>
      </c>
      <c r="K126" s="101">
        <f>IF(VLOOKUP($D126,$C$5:$AJ$644,9,)=0,0,((VLOOKUP($D126,$C$5:$AJ$644,9,)/VLOOKUP($D126,$C$5:$AJ$644,4,))*$F126))</f>
        <v>0</v>
      </c>
      <c r="L126" s="101">
        <f>IF(VLOOKUP($D126,$C$5:$AJ$644,10,)=0,0,((VLOOKUP($D126,$C$5:$AJ$644,10,)/VLOOKUP($D126,$C$5:$AJ$644,4,))*$F126))</f>
        <v>0</v>
      </c>
      <c r="M126" s="101">
        <f>IF(VLOOKUP($D126,$C$5:$AJ$644,11,)=0,0,((VLOOKUP($D126,$C$5:$AJ$644,11,)/VLOOKUP($D126,$C$5:$AJ$644,4,))*$F126))</f>
        <v>0</v>
      </c>
      <c r="N126" s="101"/>
      <c r="O126" s="101">
        <f>IF(VLOOKUP($D126,$C$5:$AJ$644,13,)=0,0,((VLOOKUP($D126,$C$5:$AJ$644,13,)/VLOOKUP($D126,$C$5:$AJ$644,4,))*$F126))</f>
        <v>0</v>
      </c>
      <c r="P126" s="101">
        <f>IF(VLOOKUP($D126,$C$5:$AJ$644,14,)=0,0,((VLOOKUP($D126,$C$5:$AJ$644,14,)/VLOOKUP($D126,$C$5:$AJ$644,4,))*$F126))</f>
        <v>0</v>
      </c>
      <c r="Q126" s="101">
        <f>IF(VLOOKUP($D126,$C$5:$AJ$644,15,)=0,0,((VLOOKUP($D126,$C$5:$AJ$644,15,)/VLOOKUP($D126,$C$5:$AJ$644,4,))*$F126))</f>
        <v>0</v>
      </c>
      <c r="R126" s="101"/>
      <c r="S126" s="101">
        <f>IF(VLOOKUP($D126,$C$5:$AJ$644,17,)=0,0,((VLOOKUP($D126,$C$5:$AJ$644,17,)/VLOOKUP($D126,$C$5:$AJ$644,4,))*$F126))</f>
        <v>0</v>
      </c>
      <c r="T126" s="101">
        <f>IF(VLOOKUP($D126,$C$5:$AJ$644,18,)=0,0,((VLOOKUP($D126,$C$5:$AJ$644,18,)/VLOOKUP($D126,$C$5:$AJ$644,4,))*$F126))</f>
        <v>29279162.351359949</v>
      </c>
      <c r="U126" s="101">
        <f>IF(VLOOKUP($D126,$C$5:$AJ$644,19,)=0,0,((VLOOKUP($D126,$C$5:$AJ$644,19,)/VLOOKUP($D126,$C$5:$AJ$644,4,))*$F126))</f>
        <v>0</v>
      </c>
      <c r="V126" s="101">
        <f>IF(VLOOKUP($D126,$C$5:$AJ$644,20,)=0,0,((VLOOKUP($D126,$C$5:$AJ$644,20,)/VLOOKUP($D126,$C$5:$AJ$644,4,))*$F126))</f>
        <v>31905267.488438372</v>
      </c>
      <c r="W126" s="101">
        <f>IF(VLOOKUP($D126,$C$5:$AJ$644,21,)=0,0,((VLOOKUP($D126,$C$5:$AJ$644,21,)/VLOOKUP($D126,$C$5:$AJ$644,4,))*$F126))</f>
        <v>59165445.877040967</v>
      </c>
      <c r="X126" s="101">
        <f>IF(VLOOKUP($D126,$C$5:$AJ$644,22,)=0,0,((VLOOKUP($D126,$C$5:$AJ$644,22,)/VLOOKUP($D126,$C$5:$AJ$644,4,))*$F126))</f>
        <v>14687790.637994811</v>
      </c>
      <c r="Y126" s="101">
        <f>IF(VLOOKUP($D126,$C$5:$AJ$644,23,)=0,0,((VLOOKUP($D126,$C$5:$AJ$644,23,)/VLOOKUP($D126,$C$5:$AJ$644,4,))*$F126))</f>
        <v>22452801.479118027</v>
      </c>
      <c r="Z126" s="101">
        <f>IF(VLOOKUP($D126,$C$5:$AJ$644,24,)=0,0,((VLOOKUP($D126,$C$5:$AJ$644,24,)/VLOOKUP($D126,$C$5:$AJ$644,4,))*$F126))</f>
        <v>22800555.357016373</v>
      </c>
      <c r="AA126" s="101">
        <f>IF(VLOOKUP($D126,$C$5:$AJ$644,25,)=0,0,((VLOOKUP($D126,$C$5:$AJ$644,25,)/VLOOKUP($D126,$C$5:$AJ$644,4,))*$F126))</f>
        <v>20289744.97053241</v>
      </c>
      <c r="AB126" s="101">
        <f>IF(VLOOKUP($D126,$C$5:$AJ$644,26,)=0,0,((VLOOKUP($D126,$C$5:$AJ$644,26,)/VLOOKUP($D126,$C$5:$AJ$644,4,))*$F126))</f>
        <v>13583422.780664422</v>
      </c>
      <c r="AC126" s="101">
        <f>IF(VLOOKUP($D126,$C$5:$AJ$644,27,)=0,0,((VLOOKUP($D126,$C$5:$AJ$644,27,)/VLOOKUP($D126,$C$5:$AJ$644,4,))*$F126))</f>
        <v>11589837.021134455</v>
      </c>
      <c r="AD126" s="101">
        <f>IF(VLOOKUP($D126,$C$5:$AJ$644,28,)=0,0,((VLOOKUP($D126,$C$5:$AJ$644,28,)/VLOOKUP($D126,$C$5:$AJ$644,4,))*$F126))</f>
        <v>16076027.22918348</v>
      </c>
      <c r="AE126" s="101"/>
      <c r="AF126" s="101">
        <f>IF(VLOOKUP($D126,$C$5:$AJ$644,30,)=0,0,((VLOOKUP($D126,$C$5:$AJ$644,30,)/VLOOKUP($D126,$C$5:$AJ$644,4,))*$F126))</f>
        <v>0</v>
      </c>
      <c r="AG126" s="101"/>
      <c r="AH126" s="101">
        <f>IF(VLOOKUP($D126,$C$5:$AJ$644,32,)=0,0,((VLOOKUP($D126,$C$5:$AJ$644,32,)/VLOOKUP($D126,$C$5:$AJ$644,4,))*$F126))</f>
        <v>0</v>
      </c>
      <c r="AI126" s="101"/>
      <c r="AJ126" s="101">
        <f>IF(VLOOKUP($D126,$C$5:$AJ$644,34,)=0,0,((VLOOKUP($D126,$C$5:$AJ$644,34,)/VLOOKUP($D126,$C$5:$AJ$644,4,))*$F126))</f>
        <v>0</v>
      </c>
      <c r="AK126" s="101">
        <f>SUM(H126:AJ126)</f>
        <v>241830055.19248325</v>
      </c>
      <c r="AL126" s="98" t="str">
        <f t="shared" si="77"/>
        <v>ok</v>
      </c>
    </row>
    <row r="127" spans="1:39" ht="15.6" x14ac:dyDescent="0.3">
      <c r="A127" s="33" t="s">
        <v>714</v>
      </c>
      <c r="C127" s="97" t="s">
        <v>709</v>
      </c>
      <c r="D127" s="97" t="s">
        <v>493</v>
      </c>
      <c r="F127" s="101">
        <f>'Jurisdictional Study'!F883</f>
        <v>27628082.510315478</v>
      </c>
      <c r="H127" s="101">
        <f>IF(VLOOKUP($D127,$C$5:$AJ$644,6,)=0,0,((VLOOKUP($D127,$C$5:$AJ$644,6,)/VLOOKUP($D127,$C$5:$AJ$644,4,))*$F127))</f>
        <v>5788689.2961541004</v>
      </c>
      <c r="I127" s="101">
        <f>IF(VLOOKUP($D127,$C$5:$AJ$644,7,)=0,0,((VLOOKUP($D127,$C$5:$AJ$644,7,)/VLOOKUP($D127,$C$5:$AJ$644,4,))*$F127))</f>
        <v>6064018.4288896471</v>
      </c>
      <c r="J127" s="101">
        <f>IF(VLOOKUP($D127,$C$5:$AJ$644,8,)=0,0,((VLOOKUP($D127,$C$5:$AJ$644,8,)/VLOOKUP($D127,$C$5:$AJ$644,4,))*$F127))</f>
        <v>4984602.7005520146</v>
      </c>
      <c r="K127" s="101">
        <f>IF(VLOOKUP($D127,$C$5:$AJ$644,9,)=0,0,((VLOOKUP($D127,$C$5:$AJ$644,9,)/VLOOKUP($D127,$C$5:$AJ$644,4,))*$F127))</f>
        <v>0</v>
      </c>
      <c r="L127" s="101">
        <f>IF(VLOOKUP($D127,$C$5:$AJ$644,10,)=0,0,((VLOOKUP($D127,$C$5:$AJ$644,10,)/VLOOKUP($D127,$C$5:$AJ$644,4,))*$F127))</f>
        <v>0</v>
      </c>
      <c r="M127" s="101">
        <f>IF(VLOOKUP($D127,$C$5:$AJ$644,11,)=0,0,((VLOOKUP($D127,$C$5:$AJ$644,11,)/VLOOKUP($D127,$C$5:$AJ$644,4,))*$F127))</f>
        <v>0</v>
      </c>
      <c r="N127" s="101"/>
      <c r="O127" s="101">
        <f>IF(VLOOKUP($D127,$C$5:$AJ$644,13,)=0,0,((VLOOKUP($D127,$C$5:$AJ$644,13,)/VLOOKUP($D127,$C$5:$AJ$644,4,))*$F127))</f>
        <v>3639433.8506587055</v>
      </c>
      <c r="P127" s="101">
        <f>IF(VLOOKUP($D127,$C$5:$AJ$644,14,)=0,0,((VLOOKUP($D127,$C$5:$AJ$644,14,)/VLOOKUP($D127,$C$5:$AJ$644,4,))*$F127))</f>
        <v>0</v>
      </c>
      <c r="Q127" s="101">
        <f>IF(VLOOKUP($D127,$C$5:$AJ$644,15,)=0,0,((VLOOKUP($D127,$C$5:$AJ$644,15,)/VLOOKUP($D127,$C$5:$AJ$644,4,))*$F127))</f>
        <v>0</v>
      </c>
      <c r="R127" s="101"/>
      <c r="S127" s="101">
        <f>IF(VLOOKUP($D127,$C$5:$AJ$644,17,)=0,0,((VLOOKUP($D127,$C$5:$AJ$644,17,)/VLOOKUP($D127,$C$5:$AJ$644,4,))*$F127))</f>
        <v>0</v>
      </c>
      <c r="T127" s="101">
        <f>IF(VLOOKUP($D127,$C$5:$AJ$644,18,)=0,0,((VLOOKUP($D127,$C$5:$AJ$644,18,)/VLOOKUP($D127,$C$5:$AJ$644,4,))*$F127))</f>
        <v>865836.10551592137</v>
      </c>
      <c r="U127" s="101">
        <f>IF(VLOOKUP($D127,$C$5:$AJ$644,19,)=0,0,((VLOOKUP($D127,$C$5:$AJ$644,19,)/VLOOKUP($D127,$C$5:$AJ$644,4,))*$F127))</f>
        <v>0</v>
      </c>
      <c r="V127" s="101">
        <f>IF(VLOOKUP($D127,$C$5:$AJ$644,20,)=0,0,((VLOOKUP($D127,$C$5:$AJ$644,20,)/VLOOKUP($D127,$C$5:$AJ$644,4,))*$F127))</f>
        <v>943494.63335484103</v>
      </c>
      <c r="W127" s="101">
        <f>IF(VLOOKUP($D127,$C$5:$AJ$644,21,)=0,0,((VLOOKUP($D127,$C$5:$AJ$644,21,)/VLOOKUP($D127,$C$5:$AJ$644,4,))*$F127))</f>
        <v>1749625.8473702813</v>
      </c>
      <c r="X127" s="101">
        <f>IF(VLOOKUP($D127,$C$5:$AJ$644,22,)=0,0,((VLOOKUP($D127,$C$5:$AJ$644,22,)/VLOOKUP($D127,$C$5:$AJ$644,4,))*$F127))</f>
        <v>434343.69098486024</v>
      </c>
      <c r="Y127" s="101">
        <f>IF(VLOOKUP($D127,$C$5:$AJ$644,23,)=0,0,((VLOOKUP($D127,$C$5:$AJ$644,23,)/VLOOKUP($D127,$C$5:$AJ$644,4,))*$F127))</f>
        <v>663968.65994011983</v>
      </c>
      <c r="Z127" s="101">
        <f>IF(VLOOKUP($D127,$C$5:$AJ$644,24,)=0,0,((VLOOKUP($D127,$C$5:$AJ$644,24,)/VLOOKUP($D127,$C$5:$AJ$644,4,))*$F127))</f>
        <v>674252.35110943287</v>
      </c>
      <c r="AA127" s="101">
        <f>IF(VLOOKUP($D127,$C$5:$AJ$644,25,)=0,0,((VLOOKUP($D127,$C$5:$AJ$644,25,)/VLOOKUP($D127,$C$5:$AJ$644,4,))*$F127))</f>
        <v>600003.29095415736</v>
      </c>
      <c r="AB127" s="101">
        <f>IF(VLOOKUP($D127,$C$5:$AJ$644,26,)=0,0,((VLOOKUP($D127,$C$5:$AJ$644,26,)/VLOOKUP($D127,$C$5:$AJ$644,4,))*$F127))</f>
        <v>401685.59943247354</v>
      </c>
      <c r="AC127" s="101">
        <f>IF(VLOOKUP($D127,$C$5:$AJ$644,27,)=0,0,((VLOOKUP($D127,$C$5:$AJ$644,27,)/VLOOKUP($D127,$C$5:$AJ$644,4,))*$F127))</f>
        <v>342731.77727972833</v>
      </c>
      <c r="AD127" s="101">
        <f>IF(VLOOKUP($D127,$C$5:$AJ$644,28,)=0,0,((VLOOKUP($D127,$C$5:$AJ$644,28,)/VLOOKUP($D127,$C$5:$AJ$644,4,))*$F127))</f>
        <v>475396.27811919345</v>
      </c>
      <c r="AE127" s="101"/>
      <c r="AF127" s="101">
        <f>IF(VLOOKUP($D127,$C$5:$AJ$644,30,)=0,0,((VLOOKUP($D127,$C$5:$AJ$644,30,)/VLOOKUP($D127,$C$5:$AJ$644,4,))*$F127))</f>
        <v>0</v>
      </c>
      <c r="AG127" s="101"/>
      <c r="AH127" s="101">
        <f>IF(VLOOKUP($D127,$C$5:$AJ$644,32,)=0,0,((VLOOKUP($D127,$C$5:$AJ$644,32,)/VLOOKUP($D127,$C$5:$AJ$644,4,))*$F127))</f>
        <v>0</v>
      </c>
      <c r="AI127" s="101"/>
      <c r="AJ127" s="101">
        <f>IF(VLOOKUP($D127,$C$5:$AJ$644,34,)=0,0,((VLOOKUP($D127,$C$5:$AJ$644,34,)/VLOOKUP($D127,$C$5:$AJ$644,4,))*$F127))</f>
        <v>0</v>
      </c>
      <c r="AK127" s="101">
        <f>SUM(H127:AJ127)</f>
        <v>27628082.510315478</v>
      </c>
      <c r="AL127" s="98" t="str">
        <f t="shared" si="77"/>
        <v>ok</v>
      </c>
    </row>
    <row r="128" spans="1:39" ht="15.6" x14ac:dyDescent="0.3">
      <c r="A128" s="34"/>
      <c r="F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98"/>
    </row>
    <row r="129" spans="1:38" ht="15.6" x14ac:dyDescent="0.3">
      <c r="A129" s="94" t="s">
        <v>716</v>
      </c>
      <c r="C129" s="97" t="s">
        <v>715</v>
      </c>
      <c r="F129" s="101">
        <f>SUM(F124:F128)</f>
        <v>910427697.99599195</v>
      </c>
      <c r="H129" s="101">
        <f t="shared" ref="H129:M129" si="78">SUM(H124:H128)</f>
        <v>181491944.07953647</v>
      </c>
      <c r="I129" s="101">
        <f t="shared" si="78"/>
        <v>190124298.83298749</v>
      </c>
      <c r="J129" s="101">
        <f t="shared" si="78"/>
        <v>156281532.53765678</v>
      </c>
      <c r="K129" s="101">
        <f t="shared" si="78"/>
        <v>0</v>
      </c>
      <c r="L129" s="101">
        <f t="shared" si="78"/>
        <v>0</v>
      </c>
      <c r="M129" s="101">
        <f t="shared" si="78"/>
        <v>0</v>
      </c>
      <c r="N129" s="101"/>
      <c r="O129" s="101">
        <f>SUM(O124:O128)</f>
        <v>133548529.11926688</v>
      </c>
      <c r="P129" s="101">
        <f>SUM(P124:P128)</f>
        <v>0</v>
      </c>
      <c r="Q129" s="101">
        <f>SUM(Q124:Q128)</f>
        <v>0</v>
      </c>
      <c r="R129" s="101"/>
      <c r="S129" s="101">
        <f t="shared" ref="S129:AD129" si="79">SUM(S124:S128)</f>
        <v>0</v>
      </c>
      <c r="T129" s="101">
        <f t="shared" si="79"/>
        <v>30144998.456875868</v>
      </c>
      <c r="U129" s="101">
        <f t="shared" si="79"/>
        <v>0</v>
      </c>
      <c r="V129" s="101">
        <f t="shared" si="79"/>
        <v>32848762.121793214</v>
      </c>
      <c r="W129" s="101">
        <f t="shared" si="79"/>
        <v>60915071.724411249</v>
      </c>
      <c r="X129" s="101">
        <f t="shared" si="79"/>
        <v>15122134.328979671</v>
      </c>
      <c r="Y129" s="101">
        <f t="shared" si="79"/>
        <v>23116770.139058147</v>
      </c>
      <c r="Z129" s="101">
        <f t="shared" si="79"/>
        <v>23474807.708125807</v>
      </c>
      <c r="AA129" s="101">
        <f t="shared" si="79"/>
        <v>20889748.261486568</v>
      </c>
      <c r="AB129" s="101">
        <f t="shared" si="79"/>
        <v>13985108.380096896</v>
      </c>
      <c r="AC129" s="101">
        <f t="shared" si="79"/>
        <v>11932568.798414184</v>
      </c>
      <c r="AD129" s="101">
        <f t="shared" si="79"/>
        <v>16551423.507302674</v>
      </c>
      <c r="AE129" s="101"/>
      <c r="AF129" s="101">
        <f>SUM(AF124:AF128)</f>
        <v>0</v>
      </c>
      <c r="AG129" s="101"/>
      <c r="AH129" s="101">
        <f>SUM(AH124:AH128)</f>
        <v>0</v>
      </c>
      <c r="AI129" s="101"/>
      <c r="AJ129" s="101">
        <f>SUM(AJ124:AJ128)</f>
        <v>0</v>
      </c>
      <c r="AK129" s="101">
        <f>SUM(AK124:AK128)</f>
        <v>910427697.99599195</v>
      </c>
      <c r="AL129" s="98" t="str">
        <f t="shared" si="77"/>
        <v>ok</v>
      </c>
    </row>
    <row r="130" spans="1:38" ht="15.6" x14ac:dyDescent="0.3">
      <c r="A130" s="110"/>
      <c r="F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98"/>
    </row>
    <row r="131" spans="1:38" ht="15.6" x14ac:dyDescent="0.3">
      <c r="A131" s="33" t="s">
        <v>724</v>
      </c>
      <c r="F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98"/>
    </row>
    <row r="132" spans="1:38" ht="15.6" x14ac:dyDescent="0.3">
      <c r="A132" s="33" t="s">
        <v>725</v>
      </c>
      <c r="C132" s="97" t="s">
        <v>717</v>
      </c>
      <c r="D132" s="97" t="s">
        <v>733</v>
      </c>
      <c r="F132" s="100">
        <f>'Jurisdictional Study'!F888</f>
        <v>81185411.398252815</v>
      </c>
      <c r="H132" s="101">
        <f t="shared" ref="H132:H137" si="80">IF(VLOOKUP($D132,$C$5:$AJ$644,6,)=0,0,((VLOOKUP($D132,$C$5:$AJ$644,6,)/VLOOKUP($D132,$C$5:$AJ$644,4,))*$F132))</f>
        <v>27911650.3815546</v>
      </c>
      <c r="I132" s="101">
        <f t="shared" ref="I132:I137" si="81">IF(VLOOKUP($D132,$C$5:$AJ$644,7,)=0,0,((VLOOKUP($D132,$C$5:$AJ$644,7,)/VLOOKUP($D132,$C$5:$AJ$644,4,))*$F132))</f>
        <v>29239220.423684325</v>
      </c>
      <c r="J132" s="101">
        <f t="shared" ref="J132:J137" si="82">IF(VLOOKUP($D132,$C$5:$AJ$644,8,)=0,0,((VLOOKUP($D132,$C$5:$AJ$644,8,)/VLOOKUP($D132,$C$5:$AJ$644,4,))*$F132))</f>
        <v>24034540.59301389</v>
      </c>
      <c r="K132" s="101">
        <f t="shared" ref="K132:K137" si="83">IF(VLOOKUP($D132,$C$5:$AJ$644,9,)=0,0,((VLOOKUP($D132,$C$5:$AJ$644,9,)/VLOOKUP($D132,$C$5:$AJ$644,4,))*$F132))</f>
        <v>0</v>
      </c>
      <c r="L132" s="101">
        <f t="shared" ref="L132:L137" si="84">IF(VLOOKUP($D132,$C$5:$AJ$644,10,)=0,0,((VLOOKUP($D132,$C$5:$AJ$644,10,)/VLOOKUP($D132,$C$5:$AJ$644,4,))*$F132))</f>
        <v>0</v>
      </c>
      <c r="M132" s="101">
        <f t="shared" ref="M132:M137" si="85">IF(VLOOKUP($D132,$C$5:$AJ$644,11,)=0,0,((VLOOKUP($D132,$C$5:$AJ$644,11,)/VLOOKUP($D132,$C$5:$AJ$644,4,))*$F132))</f>
        <v>0</v>
      </c>
      <c r="N132" s="101"/>
      <c r="O132" s="101">
        <f t="shared" ref="O132:O137" si="86">IF(VLOOKUP($D132,$C$5:$AJ$644,13,)=0,0,((VLOOKUP($D132,$C$5:$AJ$644,13,)/VLOOKUP($D132,$C$5:$AJ$644,4,))*$F132))</f>
        <v>0</v>
      </c>
      <c r="P132" s="101">
        <f t="shared" ref="P132:P137" si="87">IF(VLOOKUP($D132,$C$5:$AJ$644,14,)=0,0,((VLOOKUP($D132,$C$5:$AJ$644,14,)/VLOOKUP($D132,$C$5:$AJ$644,4,))*$F132))</f>
        <v>0</v>
      </c>
      <c r="Q132" s="101">
        <f t="shared" ref="Q132:Q137" si="88">IF(VLOOKUP($D132,$C$5:$AJ$644,15,)=0,0,((VLOOKUP($D132,$C$5:$AJ$644,15,)/VLOOKUP($D132,$C$5:$AJ$644,4,))*$F132))</f>
        <v>0</v>
      </c>
      <c r="R132" s="101"/>
      <c r="S132" s="101">
        <f t="shared" ref="S132:S137" si="89">IF(VLOOKUP($D132,$C$5:$AJ$644,17,)=0,0,((VLOOKUP($D132,$C$5:$AJ$644,17,)/VLOOKUP($D132,$C$5:$AJ$644,4,))*$F132))</f>
        <v>0</v>
      </c>
      <c r="T132" s="101">
        <f t="shared" ref="T132:T137" si="90">IF(VLOOKUP($D132,$C$5:$AJ$644,18,)=0,0,((VLOOKUP($D132,$C$5:$AJ$644,18,)/VLOOKUP($D132,$C$5:$AJ$644,4,))*$F132))</f>
        <v>0</v>
      </c>
      <c r="U132" s="101">
        <f t="shared" ref="U132:U137" si="91">IF(VLOOKUP($D132,$C$5:$AJ$644,19,)=0,0,((VLOOKUP($D132,$C$5:$AJ$644,19,)/VLOOKUP($D132,$C$5:$AJ$644,4,))*$F132))</f>
        <v>0</v>
      </c>
      <c r="V132" s="101">
        <f t="shared" ref="V132:V137" si="92">IF(VLOOKUP($D132,$C$5:$AJ$644,20,)=0,0,((VLOOKUP($D132,$C$5:$AJ$644,20,)/VLOOKUP($D132,$C$5:$AJ$644,4,))*$F132))</f>
        <v>0</v>
      </c>
      <c r="W132" s="101">
        <f t="shared" ref="W132:W137" si="93">IF(VLOOKUP($D132,$C$5:$AJ$644,21,)=0,0,((VLOOKUP($D132,$C$5:$AJ$644,21,)/VLOOKUP($D132,$C$5:$AJ$644,4,))*$F132))</f>
        <v>0</v>
      </c>
      <c r="X132" s="101">
        <f t="shared" ref="X132:X137" si="94">IF(VLOOKUP($D132,$C$5:$AJ$644,22,)=0,0,((VLOOKUP($D132,$C$5:$AJ$644,22,)/VLOOKUP($D132,$C$5:$AJ$644,4,))*$F132))</f>
        <v>0</v>
      </c>
      <c r="Y132" s="101">
        <f t="shared" ref="Y132:Y137" si="95">IF(VLOOKUP($D132,$C$5:$AJ$644,23,)=0,0,((VLOOKUP($D132,$C$5:$AJ$644,23,)/VLOOKUP($D132,$C$5:$AJ$644,4,))*$F132))</f>
        <v>0</v>
      </c>
      <c r="Z132" s="101">
        <f t="shared" ref="Z132:Z137" si="96">IF(VLOOKUP($D132,$C$5:$AJ$644,24,)=0,0,((VLOOKUP($D132,$C$5:$AJ$644,24,)/VLOOKUP($D132,$C$5:$AJ$644,4,))*$F132))</f>
        <v>0</v>
      </c>
      <c r="AA132" s="101">
        <f t="shared" ref="AA132:AA137" si="97">IF(VLOOKUP($D132,$C$5:$AJ$644,25,)=0,0,((VLOOKUP($D132,$C$5:$AJ$644,25,)/VLOOKUP($D132,$C$5:$AJ$644,4,))*$F132))</f>
        <v>0</v>
      </c>
      <c r="AB132" s="101">
        <f t="shared" ref="AB132:AB137" si="98">IF(VLOOKUP($D132,$C$5:$AJ$644,26,)=0,0,((VLOOKUP($D132,$C$5:$AJ$644,26,)/VLOOKUP($D132,$C$5:$AJ$644,4,))*$F132))</f>
        <v>0</v>
      </c>
      <c r="AC132" s="101">
        <f t="shared" ref="AC132:AC137" si="99">IF(VLOOKUP($D132,$C$5:$AJ$644,27,)=0,0,((VLOOKUP($D132,$C$5:$AJ$644,27,)/VLOOKUP($D132,$C$5:$AJ$644,4,))*$F132))</f>
        <v>0</v>
      </c>
      <c r="AD132" s="101">
        <f t="shared" ref="AD132:AD137" si="100">IF(VLOOKUP($D132,$C$5:$AJ$644,28,)=0,0,((VLOOKUP($D132,$C$5:$AJ$644,28,)/VLOOKUP($D132,$C$5:$AJ$644,4,))*$F132))</f>
        <v>0</v>
      </c>
      <c r="AE132" s="101"/>
      <c r="AF132" s="101">
        <f t="shared" ref="AF132:AF137" si="101">IF(VLOOKUP($D132,$C$5:$AJ$644,30,)=0,0,((VLOOKUP($D132,$C$5:$AJ$644,30,)/VLOOKUP($D132,$C$5:$AJ$644,4,))*$F132))</f>
        <v>0</v>
      </c>
      <c r="AG132" s="101"/>
      <c r="AH132" s="101">
        <f t="shared" ref="AH132:AH137" si="102">IF(VLOOKUP($D132,$C$5:$AJ$644,32,)=0,0,((VLOOKUP($D132,$C$5:$AJ$644,32,)/VLOOKUP($D132,$C$5:$AJ$644,4,))*$F132))</f>
        <v>0</v>
      </c>
      <c r="AI132" s="101"/>
      <c r="AJ132" s="101">
        <f t="shared" ref="AJ132:AJ137" si="103">IF(VLOOKUP($D132,$C$5:$AJ$644,34,)=0,0,((VLOOKUP($D132,$C$5:$AJ$644,34,)/VLOOKUP($D132,$C$5:$AJ$644,4,))*$F132))</f>
        <v>0</v>
      </c>
      <c r="AK132" s="101">
        <f t="shared" ref="AK132:AK137" si="104">SUM(H132:AJ132)</f>
        <v>81185411.398252815</v>
      </c>
      <c r="AL132" s="98" t="str">
        <f t="shared" ref="AL132:AL139" si="105">IF(ABS(AK132-F132)&lt;1,"ok","err")</f>
        <v>ok</v>
      </c>
    </row>
    <row r="133" spans="1:38" ht="15.6" x14ac:dyDescent="0.3">
      <c r="A133" s="33" t="s">
        <v>726</v>
      </c>
      <c r="C133" s="97" t="s">
        <v>722</v>
      </c>
      <c r="D133" s="97" t="s">
        <v>492</v>
      </c>
      <c r="F133" s="101">
        <f>'Jurisdictional Study'!F889</f>
        <v>0</v>
      </c>
      <c r="H133" s="101">
        <f t="shared" si="80"/>
        <v>0</v>
      </c>
      <c r="I133" s="101">
        <f t="shared" si="81"/>
        <v>0</v>
      </c>
      <c r="J133" s="101">
        <f t="shared" si="82"/>
        <v>0</v>
      </c>
      <c r="K133" s="101">
        <f t="shared" si="83"/>
        <v>0</v>
      </c>
      <c r="L133" s="101">
        <f t="shared" si="84"/>
        <v>0</v>
      </c>
      <c r="M133" s="101">
        <f t="shared" si="85"/>
        <v>0</v>
      </c>
      <c r="N133" s="101"/>
      <c r="O133" s="101">
        <f t="shared" si="86"/>
        <v>0</v>
      </c>
      <c r="P133" s="101">
        <f t="shared" si="87"/>
        <v>0</v>
      </c>
      <c r="Q133" s="101">
        <f t="shared" si="88"/>
        <v>0</v>
      </c>
      <c r="R133" s="101"/>
      <c r="S133" s="101">
        <f t="shared" si="89"/>
        <v>0</v>
      </c>
      <c r="T133" s="101">
        <f t="shared" si="90"/>
        <v>0</v>
      </c>
      <c r="U133" s="101">
        <f t="shared" si="91"/>
        <v>0</v>
      </c>
      <c r="V133" s="101">
        <f t="shared" si="92"/>
        <v>0</v>
      </c>
      <c r="W133" s="101">
        <f t="shared" si="93"/>
        <v>0</v>
      </c>
      <c r="X133" s="101">
        <f t="shared" si="94"/>
        <v>0</v>
      </c>
      <c r="Y133" s="101">
        <f t="shared" si="95"/>
        <v>0</v>
      </c>
      <c r="Z133" s="101">
        <f t="shared" si="96"/>
        <v>0</v>
      </c>
      <c r="AA133" s="101">
        <f t="shared" si="97"/>
        <v>0</v>
      </c>
      <c r="AB133" s="101">
        <f t="shared" si="98"/>
        <v>0</v>
      </c>
      <c r="AC133" s="101">
        <f t="shared" si="99"/>
        <v>0</v>
      </c>
      <c r="AD133" s="101">
        <f t="shared" si="100"/>
        <v>0</v>
      </c>
      <c r="AE133" s="101"/>
      <c r="AF133" s="101">
        <f t="shared" si="101"/>
        <v>0</v>
      </c>
      <c r="AG133" s="101"/>
      <c r="AH133" s="101">
        <f t="shared" si="102"/>
        <v>0</v>
      </c>
      <c r="AI133" s="101"/>
      <c r="AJ133" s="101">
        <f t="shared" si="103"/>
        <v>0</v>
      </c>
      <c r="AK133" s="101">
        <f t="shared" si="104"/>
        <v>0</v>
      </c>
      <c r="AL133" s="98" t="str">
        <f t="shared" si="105"/>
        <v>ok</v>
      </c>
    </row>
    <row r="134" spans="1:38" ht="15.6" x14ac:dyDescent="0.3">
      <c r="A134" s="33" t="s">
        <v>727</v>
      </c>
      <c r="C134" s="97" t="s">
        <v>723</v>
      </c>
      <c r="D134" s="97" t="s">
        <v>492</v>
      </c>
      <c r="F134" s="101">
        <f>'Jurisdictional Study'!F890</f>
        <v>0</v>
      </c>
      <c r="H134" s="101">
        <f t="shared" si="80"/>
        <v>0</v>
      </c>
      <c r="I134" s="101">
        <f t="shared" si="81"/>
        <v>0</v>
      </c>
      <c r="J134" s="101">
        <f t="shared" si="82"/>
        <v>0</v>
      </c>
      <c r="K134" s="101">
        <f t="shared" si="83"/>
        <v>0</v>
      </c>
      <c r="L134" s="101">
        <f t="shared" si="84"/>
        <v>0</v>
      </c>
      <c r="M134" s="101">
        <f t="shared" si="85"/>
        <v>0</v>
      </c>
      <c r="N134" s="101"/>
      <c r="O134" s="101">
        <f t="shared" si="86"/>
        <v>0</v>
      </c>
      <c r="P134" s="101">
        <f t="shared" si="87"/>
        <v>0</v>
      </c>
      <c r="Q134" s="101">
        <f t="shared" si="88"/>
        <v>0</v>
      </c>
      <c r="R134" s="101"/>
      <c r="S134" s="101">
        <f t="shared" si="89"/>
        <v>0</v>
      </c>
      <c r="T134" s="101">
        <f t="shared" si="90"/>
        <v>0</v>
      </c>
      <c r="U134" s="101">
        <f t="shared" si="91"/>
        <v>0</v>
      </c>
      <c r="V134" s="101">
        <f t="shared" si="92"/>
        <v>0</v>
      </c>
      <c r="W134" s="101">
        <f t="shared" si="93"/>
        <v>0</v>
      </c>
      <c r="X134" s="101">
        <f t="shared" si="94"/>
        <v>0</v>
      </c>
      <c r="Y134" s="101">
        <f t="shared" si="95"/>
        <v>0</v>
      </c>
      <c r="Z134" s="101">
        <f t="shared" si="96"/>
        <v>0</v>
      </c>
      <c r="AA134" s="101">
        <f t="shared" si="97"/>
        <v>0</v>
      </c>
      <c r="AB134" s="101">
        <f t="shared" si="98"/>
        <v>0</v>
      </c>
      <c r="AC134" s="101">
        <f t="shared" si="99"/>
        <v>0</v>
      </c>
      <c r="AD134" s="101">
        <f t="shared" si="100"/>
        <v>0</v>
      </c>
      <c r="AE134" s="101"/>
      <c r="AF134" s="101">
        <f t="shared" si="101"/>
        <v>0</v>
      </c>
      <c r="AG134" s="101"/>
      <c r="AH134" s="101">
        <f t="shared" si="102"/>
        <v>0</v>
      </c>
      <c r="AI134" s="101"/>
      <c r="AJ134" s="101">
        <f t="shared" si="103"/>
        <v>0</v>
      </c>
      <c r="AK134" s="101">
        <f t="shared" si="104"/>
        <v>0</v>
      </c>
      <c r="AL134" s="98" t="str">
        <f t="shared" si="105"/>
        <v>ok</v>
      </c>
    </row>
    <row r="135" spans="1:38" ht="15.6" x14ac:dyDescent="0.3">
      <c r="A135" s="33" t="s">
        <v>728</v>
      </c>
      <c r="C135" s="97" t="s">
        <v>721</v>
      </c>
      <c r="D135" s="97" t="s">
        <v>115</v>
      </c>
      <c r="F135" s="101">
        <f>'Jurisdictional Study'!F891</f>
        <v>0</v>
      </c>
      <c r="H135" s="101">
        <f t="shared" si="80"/>
        <v>0</v>
      </c>
      <c r="I135" s="101">
        <f t="shared" si="81"/>
        <v>0</v>
      </c>
      <c r="J135" s="101">
        <f t="shared" si="82"/>
        <v>0</v>
      </c>
      <c r="K135" s="101">
        <f t="shared" si="83"/>
        <v>0</v>
      </c>
      <c r="L135" s="101">
        <f t="shared" si="84"/>
        <v>0</v>
      </c>
      <c r="M135" s="101">
        <f t="shared" si="85"/>
        <v>0</v>
      </c>
      <c r="N135" s="101"/>
      <c r="O135" s="101">
        <f t="shared" si="86"/>
        <v>0</v>
      </c>
      <c r="P135" s="101">
        <f t="shared" si="87"/>
        <v>0</v>
      </c>
      <c r="Q135" s="101">
        <f t="shared" si="88"/>
        <v>0</v>
      </c>
      <c r="R135" s="101"/>
      <c r="S135" s="101">
        <f t="shared" si="89"/>
        <v>0</v>
      </c>
      <c r="T135" s="101">
        <f t="shared" si="90"/>
        <v>0</v>
      </c>
      <c r="U135" s="101">
        <f t="shared" si="91"/>
        <v>0</v>
      </c>
      <c r="V135" s="101">
        <f t="shared" si="92"/>
        <v>0</v>
      </c>
      <c r="W135" s="101">
        <f t="shared" si="93"/>
        <v>0</v>
      </c>
      <c r="X135" s="101">
        <f t="shared" si="94"/>
        <v>0</v>
      </c>
      <c r="Y135" s="101">
        <f t="shared" si="95"/>
        <v>0</v>
      </c>
      <c r="Z135" s="101">
        <f t="shared" si="96"/>
        <v>0</v>
      </c>
      <c r="AA135" s="101">
        <f t="shared" si="97"/>
        <v>0</v>
      </c>
      <c r="AB135" s="101">
        <f t="shared" si="98"/>
        <v>0</v>
      </c>
      <c r="AC135" s="101">
        <f t="shared" si="99"/>
        <v>0</v>
      </c>
      <c r="AD135" s="101">
        <f t="shared" si="100"/>
        <v>0</v>
      </c>
      <c r="AE135" s="101"/>
      <c r="AF135" s="101">
        <f t="shared" si="101"/>
        <v>0</v>
      </c>
      <c r="AG135" s="101"/>
      <c r="AH135" s="101">
        <f t="shared" si="102"/>
        <v>0</v>
      </c>
      <c r="AI135" s="101"/>
      <c r="AJ135" s="101">
        <f t="shared" si="103"/>
        <v>0</v>
      </c>
      <c r="AK135" s="101">
        <f t="shared" si="104"/>
        <v>0</v>
      </c>
      <c r="AL135" s="98" t="str">
        <f t="shared" si="105"/>
        <v>ok</v>
      </c>
    </row>
    <row r="136" spans="1:38" ht="15.6" x14ac:dyDescent="0.3">
      <c r="A136" s="33" t="s">
        <v>730</v>
      </c>
      <c r="C136" s="97" t="s">
        <v>720</v>
      </c>
      <c r="D136" s="97" t="s">
        <v>115</v>
      </c>
      <c r="F136" s="101">
        <f>'Jurisdictional Study'!F892</f>
        <v>0</v>
      </c>
      <c r="H136" s="101">
        <f t="shared" si="80"/>
        <v>0</v>
      </c>
      <c r="I136" s="101">
        <f t="shared" si="81"/>
        <v>0</v>
      </c>
      <c r="J136" s="101">
        <f t="shared" si="82"/>
        <v>0</v>
      </c>
      <c r="K136" s="101">
        <f t="shared" si="83"/>
        <v>0</v>
      </c>
      <c r="L136" s="101">
        <f t="shared" si="84"/>
        <v>0</v>
      </c>
      <c r="M136" s="101">
        <f t="shared" si="85"/>
        <v>0</v>
      </c>
      <c r="N136" s="101"/>
      <c r="O136" s="101">
        <f t="shared" si="86"/>
        <v>0</v>
      </c>
      <c r="P136" s="101">
        <f t="shared" si="87"/>
        <v>0</v>
      </c>
      <c r="Q136" s="101">
        <f t="shared" si="88"/>
        <v>0</v>
      </c>
      <c r="R136" s="101"/>
      <c r="S136" s="101">
        <f t="shared" si="89"/>
        <v>0</v>
      </c>
      <c r="T136" s="101">
        <f t="shared" si="90"/>
        <v>0</v>
      </c>
      <c r="U136" s="101">
        <f t="shared" si="91"/>
        <v>0</v>
      </c>
      <c r="V136" s="101">
        <f t="shared" si="92"/>
        <v>0</v>
      </c>
      <c r="W136" s="101">
        <f t="shared" si="93"/>
        <v>0</v>
      </c>
      <c r="X136" s="101">
        <f t="shared" si="94"/>
        <v>0</v>
      </c>
      <c r="Y136" s="101">
        <f t="shared" si="95"/>
        <v>0</v>
      </c>
      <c r="Z136" s="101">
        <f t="shared" si="96"/>
        <v>0</v>
      </c>
      <c r="AA136" s="101">
        <f t="shared" si="97"/>
        <v>0</v>
      </c>
      <c r="AB136" s="101">
        <f t="shared" si="98"/>
        <v>0</v>
      </c>
      <c r="AC136" s="101">
        <f t="shared" si="99"/>
        <v>0</v>
      </c>
      <c r="AD136" s="101">
        <f t="shared" si="100"/>
        <v>0</v>
      </c>
      <c r="AE136" s="101"/>
      <c r="AF136" s="101">
        <f t="shared" si="101"/>
        <v>0</v>
      </c>
      <c r="AG136" s="101"/>
      <c r="AH136" s="101">
        <f t="shared" si="102"/>
        <v>0</v>
      </c>
      <c r="AI136" s="101"/>
      <c r="AJ136" s="101">
        <f t="shared" si="103"/>
        <v>0</v>
      </c>
      <c r="AK136" s="101">
        <f t="shared" si="104"/>
        <v>0</v>
      </c>
      <c r="AL136" s="98" t="str">
        <f t="shared" si="105"/>
        <v>ok</v>
      </c>
    </row>
    <row r="137" spans="1:38" ht="15.6" x14ac:dyDescent="0.3">
      <c r="A137" s="33" t="s">
        <v>159</v>
      </c>
      <c r="C137" s="97" t="s">
        <v>719</v>
      </c>
      <c r="D137" s="97" t="s">
        <v>493</v>
      </c>
      <c r="F137" s="101">
        <f>'Jurisdictional Study'!F893</f>
        <v>0</v>
      </c>
      <c r="H137" s="101">
        <f t="shared" si="80"/>
        <v>0</v>
      </c>
      <c r="I137" s="101">
        <f t="shared" si="81"/>
        <v>0</v>
      </c>
      <c r="J137" s="101">
        <f t="shared" si="82"/>
        <v>0</v>
      </c>
      <c r="K137" s="101">
        <f t="shared" si="83"/>
        <v>0</v>
      </c>
      <c r="L137" s="101">
        <f t="shared" si="84"/>
        <v>0</v>
      </c>
      <c r="M137" s="101">
        <f t="shared" si="85"/>
        <v>0</v>
      </c>
      <c r="N137" s="101"/>
      <c r="O137" s="101">
        <f t="shared" si="86"/>
        <v>0</v>
      </c>
      <c r="P137" s="101">
        <f t="shared" si="87"/>
        <v>0</v>
      </c>
      <c r="Q137" s="101">
        <f t="shared" si="88"/>
        <v>0</v>
      </c>
      <c r="R137" s="101"/>
      <c r="S137" s="101">
        <f t="shared" si="89"/>
        <v>0</v>
      </c>
      <c r="T137" s="101">
        <f t="shared" si="90"/>
        <v>0</v>
      </c>
      <c r="U137" s="101">
        <f t="shared" si="91"/>
        <v>0</v>
      </c>
      <c r="V137" s="101">
        <f t="shared" si="92"/>
        <v>0</v>
      </c>
      <c r="W137" s="101">
        <f t="shared" si="93"/>
        <v>0</v>
      </c>
      <c r="X137" s="101">
        <f t="shared" si="94"/>
        <v>0</v>
      </c>
      <c r="Y137" s="101">
        <f t="shared" si="95"/>
        <v>0</v>
      </c>
      <c r="Z137" s="101">
        <f t="shared" si="96"/>
        <v>0</v>
      </c>
      <c r="AA137" s="101">
        <f t="shared" si="97"/>
        <v>0</v>
      </c>
      <c r="AB137" s="101">
        <f t="shared" si="98"/>
        <v>0</v>
      </c>
      <c r="AC137" s="101">
        <f t="shared" si="99"/>
        <v>0</v>
      </c>
      <c r="AD137" s="101">
        <f t="shared" si="100"/>
        <v>0</v>
      </c>
      <c r="AE137" s="101"/>
      <c r="AF137" s="101">
        <f t="shared" si="101"/>
        <v>0</v>
      </c>
      <c r="AG137" s="101"/>
      <c r="AH137" s="101">
        <f t="shared" si="102"/>
        <v>0</v>
      </c>
      <c r="AI137" s="101"/>
      <c r="AJ137" s="101">
        <f t="shared" si="103"/>
        <v>0</v>
      </c>
      <c r="AK137" s="101">
        <f t="shared" si="104"/>
        <v>0</v>
      </c>
      <c r="AL137" s="98" t="str">
        <f t="shared" si="105"/>
        <v>ok</v>
      </c>
    </row>
    <row r="138" spans="1:38" ht="15.6" x14ac:dyDescent="0.3">
      <c r="A138" s="33"/>
      <c r="F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98"/>
    </row>
    <row r="139" spans="1:38" ht="15.6" x14ac:dyDescent="0.3">
      <c r="A139" s="94" t="s">
        <v>729</v>
      </c>
      <c r="C139" s="97" t="s">
        <v>718</v>
      </c>
      <c r="F139" s="101">
        <f>SUM(F132:F138)</f>
        <v>81185411.398252815</v>
      </c>
      <c r="H139" s="101">
        <f t="shared" ref="H139:M139" si="106">SUM(H132:H138)</f>
        <v>27911650.3815546</v>
      </c>
      <c r="I139" s="101">
        <f t="shared" si="106"/>
        <v>29239220.423684325</v>
      </c>
      <c r="J139" s="101">
        <f t="shared" si="106"/>
        <v>24034540.59301389</v>
      </c>
      <c r="K139" s="101">
        <f t="shared" si="106"/>
        <v>0</v>
      </c>
      <c r="L139" s="101">
        <f t="shared" si="106"/>
        <v>0</v>
      </c>
      <c r="M139" s="101">
        <f t="shared" si="106"/>
        <v>0</v>
      </c>
      <c r="N139" s="101"/>
      <c r="O139" s="101">
        <f>SUM(O132:O138)</f>
        <v>0</v>
      </c>
      <c r="P139" s="101">
        <f>SUM(P132:P138)</f>
        <v>0</v>
      </c>
      <c r="Q139" s="101">
        <f>SUM(Q132:Q138)</f>
        <v>0</v>
      </c>
      <c r="R139" s="101"/>
      <c r="S139" s="101">
        <f t="shared" ref="S139:AD139" si="107">SUM(S132:S138)</f>
        <v>0</v>
      </c>
      <c r="T139" s="101">
        <f t="shared" si="107"/>
        <v>0</v>
      </c>
      <c r="U139" s="101">
        <f t="shared" si="107"/>
        <v>0</v>
      </c>
      <c r="V139" s="101">
        <f t="shared" si="107"/>
        <v>0</v>
      </c>
      <c r="W139" s="101">
        <f t="shared" si="107"/>
        <v>0</v>
      </c>
      <c r="X139" s="101">
        <f t="shared" si="107"/>
        <v>0</v>
      </c>
      <c r="Y139" s="101">
        <f t="shared" si="107"/>
        <v>0</v>
      </c>
      <c r="Z139" s="101">
        <f t="shared" si="107"/>
        <v>0</v>
      </c>
      <c r="AA139" s="101">
        <f t="shared" si="107"/>
        <v>0</v>
      </c>
      <c r="AB139" s="101">
        <f t="shared" si="107"/>
        <v>0</v>
      </c>
      <c r="AC139" s="101">
        <f t="shared" si="107"/>
        <v>0</v>
      </c>
      <c r="AD139" s="101">
        <f t="shared" si="107"/>
        <v>0</v>
      </c>
      <c r="AE139" s="101"/>
      <c r="AF139" s="101">
        <f>SUM(AF132:AF138)</f>
        <v>0</v>
      </c>
      <c r="AG139" s="101"/>
      <c r="AH139" s="101">
        <f>SUM(AH132:AH138)</f>
        <v>0</v>
      </c>
      <c r="AI139" s="101"/>
      <c r="AJ139" s="101">
        <f>SUM(AJ132:AJ138)</f>
        <v>0</v>
      </c>
      <c r="AK139" s="101">
        <f>SUM(AK132:AK138)</f>
        <v>81185411.398252815</v>
      </c>
      <c r="AL139" s="98" t="str">
        <f t="shared" si="105"/>
        <v>ok</v>
      </c>
    </row>
    <row r="140" spans="1:38" x14ac:dyDescent="0.25"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98"/>
    </row>
    <row r="141" spans="1:38" x14ac:dyDescent="0.25">
      <c r="A141" s="97" t="s">
        <v>472</v>
      </c>
      <c r="F141" s="102">
        <f>F129+F139</f>
        <v>991613109.39424479</v>
      </c>
      <c r="G141" s="102"/>
      <c r="H141" s="102">
        <f t="shared" ref="H141:M141" si="108">H129+H139</f>
        <v>209403594.46109107</v>
      </c>
      <c r="I141" s="102">
        <f t="shared" si="108"/>
        <v>219363519.25667182</v>
      </c>
      <c r="J141" s="102">
        <f t="shared" si="108"/>
        <v>180316073.13067067</v>
      </c>
      <c r="K141" s="102">
        <f t="shared" si="108"/>
        <v>0</v>
      </c>
      <c r="L141" s="102">
        <f t="shared" si="108"/>
        <v>0</v>
      </c>
      <c r="M141" s="102">
        <f t="shared" si="108"/>
        <v>0</v>
      </c>
      <c r="N141" s="102"/>
      <c r="O141" s="102">
        <f>O129+O139</f>
        <v>133548529.11926688</v>
      </c>
      <c r="P141" s="102">
        <f>P129+P139</f>
        <v>0</v>
      </c>
      <c r="Q141" s="102">
        <f>Q129+Q139</f>
        <v>0</v>
      </c>
      <c r="R141" s="102"/>
      <c r="S141" s="102">
        <f t="shared" ref="S141:AD141" si="109">S129+S139</f>
        <v>0</v>
      </c>
      <c r="T141" s="102">
        <f t="shared" si="109"/>
        <v>30144998.456875868</v>
      </c>
      <c r="U141" s="102">
        <f t="shared" si="109"/>
        <v>0</v>
      </c>
      <c r="V141" s="102">
        <f t="shared" si="109"/>
        <v>32848762.121793214</v>
      </c>
      <c r="W141" s="102">
        <f t="shared" si="109"/>
        <v>60915071.724411249</v>
      </c>
      <c r="X141" s="102">
        <f t="shared" si="109"/>
        <v>15122134.328979671</v>
      </c>
      <c r="Y141" s="102">
        <f t="shared" si="109"/>
        <v>23116770.139058147</v>
      </c>
      <c r="Z141" s="102">
        <f t="shared" si="109"/>
        <v>23474807.708125807</v>
      </c>
      <c r="AA141" s="102">
        <f t="shared" si="109"/>
        <v>20889748.261486568</v>
      </c>
      <c r="AB141" s="102">
        <f t="shared" si="109"/>
        <v>13985108.380096896</v>
      </c>
      <c r="AC141" s="102">
        <f t="shared" si="109"/>
        <v>11932568.798414184</v>
      </c>
      <c r="AD141" s="102">
        <f t="shared" si="109"/>
        <v>16551423.507302674</v>
      </c>
      <c r="AE141" s="102"/>
      <c r="AF141" s="102">
        <f>AF129+AF139</f>
        <v>0</v>
      </c>
      <c r="AG141" s="102"/>
      <c r="AH141" s="102">
        <f>AH129+AH139</f>
        <v>0</v>
      </c>
      <c r="AI141" s="102"/>
      <c r="AJ141" s="102">
        <f>AJ129+AJ139</f>
        <v>0</v>
      </c>
      <c r="AK141" s="102">
        <f>AK129+AK139</f>
        <v>991613109.39424479</v>
      </c>
      <c r="AL141" s="98" t="str">
        <f>IF(ABS(AK141-F141)&lt;1,"ok","err")</f>
        <v>ok</v>
      </c>
    </row>
    <row r="142" spans="1:38" x14ac:dyDescent="0.25">
      <c r="A142" s="97" t="s">
        <v>1304</v>
      </c>
      <c r="C142" s="97" t="s">
        <v>802</v>
      </c>
      <c r="D142" s="97" t="s">
        <v>574</v>
      </c>
      <c r="F142" s="100">
        <f>'Jurisdictional Study'!F896</f>
        <v>1549703.6162990497</v>
      </c>
      <c r="H142" s="101">
        <f>IF(VLOOKUP($D142,$C$5:$AJ$644,6,)=0,0,((VLOOKUP($D142,$C$5:$AJ$644,6,)/VLOOKUP($D142,$C$5:$AJ$644,4,))*$F142))</f>
        <v>0</v>
      </c>
      <c r="I142" s="101">
        <f>IF(VLOOKUP($D142,$C$5:$AJ$644,7,)=0,0,((VLOOKUP($D142,$C$5:$AJ$644,7,)/VLOOKUP($D142,$C$5:$AJ$644,4,))*$F142))</f>
        <v>0</v>
      </c>
      <c r="J142" s="101">
        <f>IF(VLOOKUP($D142,$C$5:$AJ$644,8,)=0,0,((VLOOKUP($D142,$C$5:$AJ$644,8,)/VLOOKUP($D142,$C$5:$AJ$644,4,))*$F142))</f>
        <v>0</v>
      </c>
      <c r="K142" s="101">
        <f>IF(VLOOKUP($D142,$C$5:$AJ$644,9,)=0,0,((VLOOKUP($D142,$C$5:$AJ$644,9,)/VLOOKUP($D142,$C$5:$AJ$644,4,))*$F142))</f>
        <v>0</v>
      </c>
      <c r="L142" s="101">
        <f>IF(VLOOKUP($D142,$C$5:$AJ$644,10,)=0,0,((VLOOKUP($D142,$C$5:$AJ$644,10,)/VLOOKUP($D142,$C$5:$AJ$644,4,))*$F142))</f>
        <v>0</v>
      </c>
      <c r="M142" s="101">
        <f>IF(VLOOKUP($D142,$C$5:$AJ$644,11,)=0,0,((VLOOKUP($D142,$C$5:$AJ$644,11,)/VLOOKUP($D142,$C$5:$AJ$644,4,))*$F142))</f>
        <v>0</v>
      </c>
      <c r="N142" s="101"/>
      <c r="O142" s="101">
        <f>IF(VLOOKUP($D142,$C$5:$AJ$644,13,)=0,0,((VLOOKUP($D142,$C$5:$AJ$644,13,)/VLOOKUP($D142,$C$5:$AJ$644,4,))*$F142))</f>
        <v>0</v>
      </c>
      <c r="P142" s="101">
        <f>IF(VLOOKUP($D142,$C$5:$AJ$644,14,)=0,0,((VLOOKUP($D142,$C$5:$AJ$644,14,)/VLOOKUP($D142,$C$5:$AJ$644,4,))*$F142))</f>
        <v>0</v>
      </c>
      <c r="Q142" s="101">
        <f>IF(VLOOKUP($D142,$C$5:$AJ$644,15,)=0,0,((VLOOKUP($D142,$C$5:$AJ$644,15,)/VLOOKUP($D142,$C$5:$AJ$644,4,))*$F142))</f>
        <v>0</v>
      </c>
      <c r="R142" s="101"/>
      <c r="S142" s="101">
        <f>IF(VLOOKUP($D142,$C$5:$AJ$644,17,)=0,0,((VLOOKUP($D142,$C$5:$AJ$644,17,)/VLOOKUP($D142,$C$5:$AJ$644,4,))*$F142))</f>
        <v>0</v>
      </c>
      <c r="T142" s="101">
        <f>IF(VLOOKUP($D142,$C$5:$AJ$644,18,)=0,0,((VLOOKUP($D142,$C$5:$AJ$644,18,)/VLOOKUP($D142,$C$5:$AJ$644,4,))*$F142))</f>
        <v>0</v>
      </c>
      <c r="U142" s="101">
        <f>IF(VLOOKUP($D142,$C$5:$AJ$644,19,)=0,0,((VLOOKUP($D142,$C$5:$AJ$644,19,)/VLOOKUP($D142,$C$5:$AJ$644,4,))*$F142))</f>
        <v>0</v>
      </c>
      <c r="V142" s="101">
        <f>IF(VLOOKUP($D142,$C$5:$AJ$644,20,)=0,0,((VLOOKUP($D142,$C$5:$AJ$644,20,)/VLOOKUP($D142,$C$5:$AJ$644,4,))*$F142))</f>
        <v>385642.34425126133</v>
      </c>
      <c r="W142" s="101">
        <f>IF(VLOOKUP($D142,$C$5:$AJ$644,21,)=0,0,((VLOOKUP($D142,$C$5:$AJ$644,21,)/VLOOKUP($D142,$C$5:$AJ$644,4,))*$F142))</f>
        <v>715139.00502358668</v>
      </c>
      <c r="X142" s="101">
        <f>IF(VLOOKUP($D142,$C$5:$AJ$644,22,)=0,0,((VLOOKUP($D142,$C$5:$AJ$644,22,)/VLOOKUP($D142,$C$5:$AJ$644,4,))*$F142))</f>
        <v>177532.8796588406</v>
      </c>
      <c r="Y142" s="101">
        <f>IF(VLOOKUP($D142,$C$5:$AJ$644,23,)=0,0,((VLOOKUP($D142,$C$5:$AJ$644,23,)/VLOOKUP($D142,$C$5:$AJ$644,4,))*$F142))</f>
        <v>271389.38736536115</v>
      </c>
      <c r="Z142" s="101">
        <f>IF(VLOOKUP($D142,$C$5:$AJ$644,24,)=0,0,((VLOOKUP($D142,$C$5:$AJ$644,24,)/VLOOKUP($D142,$C$5:$AJ$644,4,))*$F142))</f>
        <v>0</v>
      </c>
      <c r="AA142" s="101">
        <f>IF(VLOOKUP($D142,$C$5:$AJ$644,25,)=0,0,((VLOOKUP($D142,$C$5:$AJ$644,25,)/VLOOKUP($D142,$C$5:$AJ$644,4,))*$F142))</f>
        <v>0</v>
      </c>
      <c r="AB142" s="101">
        <f>IF(VLOOKUP($D142,$C$5:$AJ$644,26,)=0,0,((VLOOKUP($D142,$C$5:$AJ$644,26,)/VLOOKUP($D142,$C$5:$AJ$644,4,))*$F142))</f>
        <v>0</v>
      </c>
      <c r="AC142" s="101">
        <f>IF(VLOOKUP($D142,$C$5:$AJ$644,27,)=0,0,((VLOOKUP($D142,$C$5:$AJ$644,27,)/VLOOKUP($D142,$C$5:$AJ$644,4,))*$F142))</f>
        <v>0</v>
      </c>
      <c r="AD142" s="101">
        <f>IF(VLOOKUP($D142,$C$5:$AJ$644,28,)=0,0,((VLOOKUP($D142,$C$5:$AJ$644,28,)/VLOOKUP($D142,$C$5:$AJ$644,4,))*$F142))</f>
        <v>0</v>
      </c>
      <c r="AE142" s="101"/>
      <c r="AF142" s="101">
        <f>IF(VLOOKUP($D142,$C$5:$AJ$644,30,)=0,0,((VLOOKUP($D142,$C$5:$AJ$644,30,)/VLOOKUP($D142,$C$5:$AJ$644,4,))*$F142))</f>
        <v>0</v>
      </c>
      <c r="AG142" s="101"/>
      <c r="AH142" s="101">
        <f>IF(VLOOKUP($D142,$C$5:$AJ$644,32,)=0,0,((VLOOKUP($D142,$C$5:$AJ$644,32,)/VLOOKUP($D142,$C$5:$AJ$644,4,))*$F142))</f>
        <v>0</v>
      </c>
      <c r="AI142" s="101"/>
      <c r="AJ142" s="101">
        <f>IF(VLOOKUP($D142,$C$5:$AJ$644,34,)=0,0,((VLOOKUP($D142,$C$5:$AJ$644,34,)/VLOOKUP($D142,$C$5:$AJ$644,4,))*$F142))</f>
        <v>0</v>
      </c>
      <c r="AK142" s="101">
        <f>SUM(H142:AJ142)</f>
        <v>1549703.6162990499</v>
      </c>
      <c r="AL142" s="98" t="str">
        <f>IF(ABS(AK142-F142)&lt;1,"ok","err")</f>
        <v>ok</v>
      </c>
    </row>
    <row r="143" spans="1:38" x14ac:dyDescent="0.25">
      <c r="A143" s="97" t="s">
        <v>1874</v>
      </c>
      <c r="D143" s="97" t="s">
        <v>733</v>
      </c>
      <c r="F143" s="100"/>
      <c r="H143" s="101">
        <f>IF(VLOOKUP($D143,$C$5:$AJ$644,6,)=0,0,((VLOOKUP($D143,$C$5:$AJ$644,6,)/VLOOKUP($D143,$C$5:$AJ$644,4,))*$F143))</f>
        <v>0</v>
      </c>
      <c r="I143" s="101">
        <f>IF(VLOOKUP($D143,$C$5:$AJ$644,7,)=0,0,((VLOOKUP($D143,$C$5:$AJ$644,7,)/VLOOKUP($D143,$C$5:$AJ$644,4,))*$F143))</f>
        <v>0</v>
      </c>
      <c r="J143" s="101">
        <f>IF(VLOOKUP($D143,$C$5:$AJ$644,8,)=0,0,((VLOOKUP($D143,$C$5:$AJ$644,8,)/VLOOKUP($D143,$C$5:$AJ$644,4,))*$F143))</f>
        <v>0</v>
      </c>
      <c r="K143" s="101">
        <f>IF(VLOOKUP($D143,$C$5:$AJ$644,9,)=0,0,((VLOOKUP($D143,$C$5:$AJ$644,9,)/VLOOKUP($D143,$C$5:$AJ$644,4,))*$F143))</f>
        <v>0</v>
      </c>
      <c r="L143" s="101">
        <f>IF(VLOOKUP($D143,$C$5:$AJ$644,10,)=0,0,((VLOOKUP($D143,$C$5:$AJ$644,10,)/VLOOKUP($D143,$C$5:$AJ$644,4,))*$F143))</f>
        <v>0</v>
      </c>
      <c r="M143" s="101">
        <f>IF(VLOOKUP($D143,$C$5:$AJ$644,11,)=0,0,((VLOOKUP($D143,$C$5:$AJ$644,11,)/VLOOKUP($D143,$C$5:$AJ$644,4,))*$F143))</f>
        <v>0</v>
      </c>
      <c r="N143" s="101"/>
      <c r="O143" s="101">
        <f>IF(VLOOKUP($D143,$C$5:$AJ$644,13,)=0,0,((VLOOKUP($D143,$C$5:$AJ$644,13,)/VLOOKUP($D143,$C$5:$AJ$644,4,))*$F143))</f>
        <v>0</v>
      </c>
      <c r="P143" s="101">
        <f>IF(VLOOKUP($D143,$C$5:$AJ$644,14,)=0,0,((VLOOKUP($D143,$C$5:$AJ$644,14,)/VLOOKUP($D143,$C$5:$AJ$644,4,))*$F143))</f>
        <v>0</v>
      </c>
      <c r="Q143" s="101">
        <f>IF(VLOOKUP($D143,$C$5:$AJ$644,15,)=0,0,((VLOOKUP($D143,$C$5:$AJ$644,15,)/VLOOKUP($D143,$C$5:$AJ$644,4,))*$F143))</f>
        <v>0</v>
      </c>
      <c r="R143" s="101"/>
      <c r="S143" s="101">
        <f>IF(VLOOKUP($D143,$C$5:$AJ$644,17,)=0,0,((VLOOKUP($D143,$C$5:$AJ$644,17,)/VLOOKUP($D143,$C$5:$AJ$644,4,))*$F143))</f>
        <v>0</v>
      </c>
      <c r="T143" s="101">
        <f>IF(VLOOKUP($D143,$C$5:$AJ$644,18,)=0,0,((VLOOKUP($D143,$C$5:$AJ$644,18,)/VLOOKUP($D143,$C$5:$AJ$644,4,))*$F143))</f>
        <v>0</v>
      </c>
      <c r="U143" s="101">
        <f>IF(VLOOKUP($D143,$C$5:$AJ$644,19,)=0,0,((VLOOKUP($D143,$C$5:$AJ$644,19,)/VLOOKUP($D143,$C$5:$AJ$644,4,))*$F143))</f>
        <v>0</v>
      </c>
      <c r="V143" s="101">
        <f>IF(VLOOKUP($D143,$C$5:$AJ$644,20,)=0,0,((VLOOKUP($D143,$C$5:$AJ$644,20,)/VLOOKUP($D143,$C$5:$AJ$644,4,))*$F143))</f>
        <v>0</v>
      </c>
      <c r="W143" s="101">
        <f>IF(VLOOKUP($D143,$C$5:$AJ$644,21,)=0,0,((VLOOKUP($D143,$C$5:$AJ$644,21,)/VLOOKUP($D143,$C$5:$AJ$644,4,))*$F143))</f>
        <v>0</v>
      </c>
      <c r="X143" s="101">
        <f>IF(VLOOKUP($D143,$C$5:$AJ$644,22,)=0,0,((VLOOKUP($D143,$C$5:$AJ$644,22,)/VLOOKUP($D143,$C$5:$AJ$644,4,))*$F143))</f>
        <v>0</v>
      </c>
      <c r="Y143" s="101">
        <f>IF(VLOOKUP($D143,$C$5:$AJ$644,23,)=0,0,((VLOOKUP($D143,$C$5:$AJ$644,23,)/VLOOKUP($D143,$C$5:$AJ$644,4,))*$F143))</f>
        <v>0</v>
      </c>
      <c r="Z143" s="101">
        <f>IF(VLOOKUP($D143,$C$5:$AJ$644,24,)=0,0,((VLOOKUP($D143,$C$5:$AJ$644,24,)/VLOOKUP($D143,$C$5:$AJ$644,4,))*$F143))</f>
        <v>0</v>
      </c>
      <c r="AA143" s="101">
        <f>IF(VLOOKUP($D143,$C$5:$AJ$644,25,)=0,0,((VLOOKUP($D143,$C$5:$AJ$644,25,)/VLOOKUP($D143,$C$5:$AJ$644,4,))*$F143))</f>
        <v>0</v>
      </c>
      <c r="AB143" s="101">
        <f>IF(VLOOKUP($D143,$C$5:$AJ$644,26,)=0,0,((VLOOKUP($D143,$C$5:$AJ$644,26,)/VLOOKUP($D143,$C$5:$AJ$644,4,))*$F143))</f>
        <v>0</v>
      </c>
      <c r="AC143" s="101">
        <f>IF(VLOOKUP($D143,$C$5:$AJ$644,27,)=0,0,((VLOOKUP($D143,$C$5:$AJ$644,27,)/VLOOKUP($D143,$C$5:$AJ$644,4,))*$F143))</f>
        <v>0</v>
      </c>
      <c r="AD143" s="101">
        <f>IF(VLOOKUP($D143,$C$5:$AJ$644,28,)=0,0,((VLOOKUP($D143,$C$5:$AJ$644,28,)/VLOOKUP($D143,$C$5:$AJ$644,4,))*$F143))</f>
        <v>0</v>
      </c>
      <c r="AE143" s="101"/>
      <c r="AF143" s="101">
        <f>IF(VLOOKUP($D143,$C$5:$AJ$644,30,)=0,0,((VLOOKUP($D143,$C$5:$AJ$644,30,)/VLOOKUP($D143,$C$5:$AJ$644,4,))*$F143))</f>
        <v>0</v>
      </c>
      <c r="AG143" s="101"/>
      <c r="AH143" s="101">
        <f>IF(VLOOKUP($D143,$C$5:$AJ$644,32,)=0,0,((VLOOKUP($D143,$C$5:$AJ$644,32,)/VLOOKUP($D143,$C$5:$AJ$644,4,))*$F143))</f>
        <v>0</v>
      </c>
      <c r="AI143" s="101"/>
      <c r="AJ143" s="101">
        <f>IF(VLOOKUP($D143,$C$5:$AJ$644,34,)=0,0,((VLOOKUP($D143,$C$5:$AJ$644,34,)/VLOOKUP($D143,$C$5:$AJ$644,4,))*$F143))</f>
        <v>0</v>
      </c>
      <c r="AK143" s="101">
        <f>SUM(H143:AJ143)</f>
        <v>0</v>
      </c>
      <c r="AL143" s="98" t="str">
        <f>IF(ABS(AK143-F143)&lt;1,"ok","err")</f>
        <v>ok</v>
      </c>
    </row>
    <row r="144" spans="1:38" x14ac:dyDescent="0.25">
      <c r="F144" s="100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98"/>
    </row>
    <row r="145" spans="1:39" x14ac:dyDescent="0.25">
      <c r="A145" s="24" t="s">
        <v>803</v>
      </c>
      <c r="C145" s="97" t="s">
        <v>804</v>
      </c>
      <c r="F145" s="102">
        <f>F96-F108+F117-F142+F119-F141-F143</f>
        <v>3639079759.3610187</v>
      </c>
      <c r="G145" s="102">
        <f>G96-G108+G117-G142+G119-G141</f>
        <v>0</v>
      </c>
      <c r="H145" s="102">
        <f t="shared" ref="H145:AJ145" si="110">H96-H108+H117-H142+H119-H141-H143</f>
        <v>711137998.01659751</v>
      </c>
      <c r="I145" s="102">
        <f t="shared" si="110"/>
        <v>744544986.77898896</v>
      </c>
      <c r="J145" s="102">
        <f t="shared" si="110"/>
        <v>612781961.00732768</v>
      </c>
      <c r="K145" s="102">
        <f t="shared" si="110"/>
        <v>71897457.403322741</v>
      </c>
      <c r="L145" s="102">
        <f t="shared" si="110"/>
        <v>0</v>
      </c>
      <c r="M145" s="102">
        <f t="shared" si="110"/>
        <v>0</v>
      </c>
      <c r="N145" s="102">
        <f t="shared" si="110"/>
        <v>0</v>
      </c>
      <c r="O145" s="102">
        <f t="shared" si="110"/>
        <v>519102553.3642441</v>
      </c>
      <c r="P145" s="102">
        <f t="shared" si="110"/>
        <v>0</v>
      </c>
      <c r="Q145" s="102">
        <f t="shared" si="110"/>
        <v>0</v>
      </c>
      <c r="R145" s="102">
        <f t="shared" si="110"/>
        <v>0</v>
      </c>
      <c r="S145" s="102">
        <f t="shared" si="110"/>
        <v>0</v>
      </c>
      <c r="T145" s="102">
        <f t="shared" si="110"/>
        <v>117629774.59232309</v>
      </c>
      <c r="U145" s="102">
        <f t="shared" si="110"/>
        <v>0</v>
      </c>
      <c r="V145" s="102">
        <f t="shared" si="110"/>
        <v>128503614.63788348</v>
      </c>
      <c r="W145" s="102">
        <f t="shared" si="110"/>
        <v>237784208.72506231</v>
      </c>
      <c r="X145" s="102">
        <f t="shared" si="110"/>
        <v>59250540.333276063</v>
      </c>
      <c r="Y145" s="102">
        <f t="shared" si="110"/>
        <v>90521434.52698794</v>
      </c>
      <c r="Z145" s="102">
        <f t="shared" si="110"/>
        <v>91089035.518814862</v>
      </c>
      <c r="AA145" s="102">
        <f t="shared" si="110"/>
        <v>81058258.070884496</v>
      </c>
      <c r="AB145" s="102">
        <f t="shared" si="110"/>
        <v>54260568.084280506</v>
      </c>
      <c r="AC145" s="102">
        <f t="shared" si="110"/>
        <v>48373891.661168471</v>
      </c>
      <c r="AD145" s="102">
        <f t="shared" si="110"/>
        <v>64200371.729934186</v>
      </c>
      <c r="AE145" s="102">
        <f t="shared" si="110"/>
        <v>0</v>
      </c>
      <c r="AF145" s="102">
        <f t="shared" si="110"/>
        <v>6169535.4203289226</v>
      </c>
      <c r="AG145" s="102">
        <f t="shared" si="110"/>
        <v>0</v>
      </c>
      <c r="AH145" s="102">
        <f t="shared" si="110"/>
        <v>773569.48959236697</v>
      </c>
      <c r="AI145" s="102">
        <f t="shared" si="110"/>
        <v>0</v>
      </c>
      <c r="AJ145" s="102">
        <f t="shared" si="110"/>
        <v>0</v>
      </c>
      <c r="AK145" s="101">
        <f>SUM(H145:AJ145)</f>
        <v>3639079759.3610191</v>
      </c>
      <c r="AL145" s="98" t="str">
        <f>IF(ABS(AK145-F145)&lt;1,"ok","err")</f>
        <v>ok</v>
      </c>
      <c r="AM145" s="109">
        <f>+AK145-F145</f>
        <v>0</v>
      </c>
    </row>
    <row r="146" spans="1:39" x14ac:dyDescent="0.25">
      <c r="Y146" s="97"/>
      <c r="AL146" s="98"/>
    </row>
    <row r="147" spans="1:39" x14ac:dyDescent="0.25">
      <c r="Y147" s="97"/>
      <c r="AL147" s="98"/>
    </row>
    <row r="148" spans="1:39" x14ac:dyDescent="0.25">
      <c r="A148" s="23" t="s">
        <v>795</v>
      </c>
      <c r="Y148" s="97"/>
      <c r="AL148" s="98"/>
    </row>
    <row r="149" spans="1:39" x14ac:dyDescent="0.25">
      <c r="A149" s="23"/>
      <c r="Y149" s="97"/>
      <c r="AL149" s="98"/>
    </row>
    <row r="150" spans="1:39" x14ac:dyDescent="0.25">
      <c r="A150" s="24" t="s">
        <v>1563</v>
      </c>
      <c r="Y150" s="97"/>
      <c r="AL150" s="98"/>
    </row>
    <row r="151" spans="1:39" x14ac:dyDescent="0.25">
      <c r="A151" s="97">
        <v>500</v>
      </c>
      <c r="B151" s="97" t="s">
        <v>1555</v>
      </c>
      <c r="C151" s="97" t="s">
        <v>1556</v>
      </c>
      <c r="D151" s="97" t="s">
        <v>734</v>
      </c>
      <c r="F151" s="100">
        <f>'Jurisdictional Study'!F951</f>
        <v>9442701.0434221886</v>
      </c>
      <c r="H151" s="101">
        <f>IF(VLOOKUP($D151,$C$5:$AJ$644,6,)=0,0,((VLOOKUP($D151,$C$5:$AJ$644,6,)/VLOOKUP($D151,$C$5:$AJ$644,4,))*$F151))</f>
        <v>2799390.7471453883</v>
      </c>
      <c r="I151" s="101">
        <f>IF(VLOOKUP($D151,$C$5:$AJ$644,7,)=0,0,((VLOOKUP($D151,$C$5:$AJ$644,7,)/VLOOKUP($D151,$C$5:$AJ$644,4,))*$F151))</f>
        <v>2638923.3670901801</v>
      </c>
      <c r="J151" s="101">
        <f>IF(VLOOKUP($D151,$C$5:$AJ$644,8,)=0,0,((VLOOKUP($D151,$C$5:$AJ$644,8,)/VLOOKUP($D151,$C$5:$AJ$644,4,))*$F151))</f>
        <v>2710192.5155422199</v>
      </c>
      <c r="K151" s="101">
        <f>IF(VLOOKUP($D151,$C$5:$AJ$644,9,)=0,0,((VLOOKUP($D151,$C$5:$AJ$644,9,)/VLOOKUP($D151,$C$5:$AJ$644,4,))*$F151))</f>
        <v>1294194.4136444018</v>
      </c>
      <c r="L151" s="101">
        <f>IF(VLOOKUP($D151,$C$5:$AJ$644,10,)=0,0,((VLOOKUP($D151,$C$5:$AJ$644,10,)/VLOOKUP($D151,$C$5:$AJ$644,4,))*$F151))</f>
        <v>0</v>
      </c>
      <c r="M151" s="101">
        <f>IF(VLOOKUP($D151,$C$5:$AJ$644,11,)=0,0,((VLOOKUP($D151,$C$5:$AJ$644,11,)/VLOOKUP($D151,$C$5:$AJ$644,4,))*$F151))</f>
        <v>0</v>
      </c>
      <c r="N151" s="101"/>
      <c r="O151" s="101">
        <f>IF(VLOOKUP($D151,$C$5:$AJ$644,13,)=0,0,((VLOOKUP($D151,$C$5:$AJ$644,13,)/VLOOKUP($D151,$C$5:$AJ$644,4,))*$F151))</f>
        <v>0</v>
      </c>
      <c r="P151" s="101">
        <f>IF(VLOOKUP($D151,$C$5:$AJ$644,14,)=0,0,((VLOOKUP($D151,$C$5:$AJ$644,14,)/VLOOKUP($D151,$C$5:$AJ$644,4,))*$F151))</f>
        <v>0</v>
      </c>
      <c r="Q151" s="101">
        <f>IF(VLOOKUP($D151,$C$5:$AJ$644,15,)=0,0,((VLOOKUP($D151,$C$5:$AJ$644,15,)/VLOOKUP($D151,$C$5:$AJ$644,4,))*$F151))</f>
        <v>0</v>
      </c>
      <c r="R151" s="101"/>
      <c r="S151" s="101">
        <f>IF(VLOOKUP($D151,$C$5:$AJ$644,17,)=0,0,((VLOOKUP($D151,$C$5:$AJ$644,17,)/VLOOKUP($D151,$C$5:$AJ$644,4,))*$F151))</f>
        <v>0</v>
      </c>
      <c r="T151" s="101">
        <f>IF(VLOOKUP($D151,$C$5:$AJ$644,18,)=0,0,((VLOOKUP($D151,$C$5:$AJ$644,18,)/VLOOKUP($D151,$C$5:$AJ$644,4,))*$F151))</f>
        <v>0</v>
      </c>
      <c r="U151" s="101">
        <f>IF(VLOOKUP($D151,$C$5:$AJ$644,19,)=0,0,((VLOOKUP($D151,$C$5:$AJ$644,19,)/VLOOKUP($D151,$C$5:$AJ$644,4,))*$F151))</f>
        <v>0</v>
      </c>
      <c r="V151" s="101">
        <f>IF(VLOOKUP($D151,$C$5:$AJ$644,20,)=0,0,((VLOOKUP($D151,$C$5:$AJ$644,20,)/VLOOKUP($D151,$C$5:$AJ$644,4,))*$F151))</f>
        <v>0</v>
      </c>
      <c r="W151" s="101">
        <f>IF(VLOOKUP($D151,$C$5:$AJ$644,21,)=0,0,((VLOOKUP($D151,$C$5:$AJ$644,21,)/VLOOKUP($D151,$C$5:$AJ$644,4,))*$F151))</f>
        <v>0</v>
      </c>
      <c r="X151" s="101">
        <f>IF(VLOOKUP($D151,$C$5:$AJ$644,22,)=0,0,((VLOOKUP($D151,$C$5:$AJ$644,22,)/VLOOKUP($D151,$C$5:$AJ$644,4,))*$F151))</f>
        <v>0</v>
      </c>
      <c r="Y151" s="101">
        <f>IF(VLOOKUP($D151,$C$5:$AJ$644,23,)=0,0,((VLOOKUP($D151,$C$5:$AJ$644,23,)/VLOOKUP($D151,$C$5:$AJ$644,4,))*$F151))</f>
        <v>0</v>
      </c>
      <c r="Z151" s="101">
        <f>IF(VLOOKUP($D151,$C$5:$AJ$644,24,)=0,0,((VLOOKUP($D151,$C$5:$AJ$644,24,)/VLOOKUP($D151,$C$5:$AJ$644,4,))*$F151))</f>
        <v>0</v>
      </c>
      <c r="AA151" s="101">
        <f>IF(VLOOKUP($D151,$C$5:$AJ$644,25,)=0,0,((VLOOKUP($D151,$C$5:$AJ$644,25,)/VLOOKUP($D151,$C$5:$AJ$644,4,))*$F151))</f>
        <v>0</v>
      </c>
      <c r="AB151" s="101">
        <f>IF(VLOOKUP($D151,$C$5:$AJ$644,26,)=0,0,((VLOOKUP($D151,$C$5:$AJ$644,26,)/VLOOKUP($D151,$C$5:$AJ$644,4,))*$F151))</f>
        <v>0</v>
      </c>
      <c r="AC151" s="101">
        <f>IF(VLOOKUP($D151,$C$5:$AJ$644,27,)=0,0,((VLOOKUP($D151,$C$5:$AJ$644,27,)/VLOOKUP($D151,$C$5:$AJ$644,4,))*$F151))</f>
        <v>0</v>
      </c>
      <c r="AD151" s="101">
        <f>IF(VLOOKUP($D151,$C$5:$AJ$644,28,)=0,0,((VLOOKUP($D151,$C$5:$AJ$644,28,)/VLOOKUP($D151,$C$5:$AJ$644,4,))*$F151))</f>
        <v>0</v>
      </c>
      <c r="AE151" s="101"/>
      <c r="AF151" s="101">
        <f>IF(VLOOKUP($D151,$C$5:$AJ$644,30,)=0,0,((VLOOKUP($D151,$C$5:$AJ$644,30,)/VLOOKUP($D151,$C$5:$AJ$644,4,))*$F151))</f>
        <v>0</v>
      </c>
      <c r="AG151" s="101"/>
      <c r="AH151" s="101">
        <f>IF(VLOOKUP($D151,$C$5:$AJ$644,32,)=0,0,((VLOOKUP($D151,$C$5:$AJ$644,32,)/VLOOKUP($D151,$C$5:$AJ$644,4,))*$F151))</f>
        <v>0</v>
      </c>
      <c r="AI151" s="101"/>
      <c r="AJ151" s="101">
        <f>IF(VLOOKUP($D151,$C$5:$AJ$644,34,)=0,0,((VLOOKUP($D151,$C$5:$AJ$644,34,)/VLOOKUP($D151,$C$5:$AJ$644,4,))*$F151))</f>
        <v>0</v>
      </c>
      <c r="AK151" s="101">
        <f t="shared" ref="AK151:AK156" si="111">SUM(H151:AJ151)</f>
        <v>9442701.0434221905</v>
      </c>
      <c r="AL151" s="98" t="str">
        <f t="shared" ref="AL151:AL156" si="112">IF(ABS(AK151-F151)&lt;1,"ok","err")</f>
        <v>ok</v>
      </c>
    </row>
    <row r="152" spans="1:39" x14ac:dyDescent="0.25">
      <c r="A152" s="111">
        <v>501</v>
      </c>
      <c r="B152" s="97" t="s">
        <v>1557</v>
      </c>
      <c r="C152" s="97" t="s">
        <v>1558</v>
      </c>
      <c r="D152" s="97" t="s">
        <v>110</v>
      </c>
      <c r="F152" s="101">
        <f>'Jurisdictional Study'!F952+52964415</f>
        <v>372621658.94834697</v>
      </c>
      <c r="H152" s="101">
        <f>IF(VLOOKUP($D152,$C$5:$AJ$644,6,)=0,0,((VLOOKUP($D152,$C$5:$AJ$644,6,)/VLOOKUP($D152,$C$5:$AJ$644,4,))*$F152))</f>
        <v>0</v>
      </c>
      <c r="I152" s="101">
        <f>IF(VLOOKUP($D152,$C$5:$AJ$644,7,)=0,0,((VLOOKUP($D152,$C$5:$AJ$644,7,)/VLOOKUP($D152,$C$5:$AJ$644,4,))*$F152))</f>
        <v>0</v>
      </c>
      <c r="J152" s="101">
        <f>IF(VLOOKUP($D152,$C$5:$AJ$644,8,)=0,0,((VLOOKUP($D152,$C$5:$AJ$644,8,)/VLOOKUP($D152,$C$5:$AJ$644,4,))*$F152))</f>
        <v>0</v>
      </c>
      <c r="K152" s="101">
        <f>IF(VLOOKUP($D152,$C$5:$AJ$644,9,)=0,0,((VLOOKUP($D152,$C$5:$AJ$644,9,)/VLOOKUP($D152,$C$5:$AJ$644,4,))*$F152))</f>
        <v>372621658.94834697</v>
      </c>
      <c r="L152" s="101">
        <f>IF(VLOOKUP($D152,$C$5:$AJ$644,10,)=0,0,((VLOOKUP($D152,$C$5:$AJ$644,10,)/VLOOKUP($D152,$C$5:$AJ$644,4,))*$F152))</f>
        <v>0</v>
      </c>
      <c r="M152" s="101">
        <f>IF(VLOOKUP($D152,$C$5:$AJ$644,11,)=0,0,((VLOOKUP($D152,$C$5:$AJ$644,11,)/VLOOKUP($D152,$C$5:$AJ$644,4,))*$F152))</f>
        <v>0</v>
      </c>
      <c r="N152" s="101"/>
      <c r="O152" s="101">
        <f>IF(VLOOKUP($D152,$C$5:$AJ$644,13,)=0,0,((VLOOKUP($D152,$C$5:$AJ$644,13,)/VLOOKUP($D152,$C$5:$AJ$644,4,))*$F152))</f>
        <v>0</v>
      </c>
      <c r="P152" s="101">
        <f>IF(VLOOKUP($D152,$C$5:$AJ$644,14,)=0,0,((VLOOKUP($D152,$C$5:$AJ$644,14,)/VLOOKUP($D152,$C$5:$AJ$644,4,))*$F152))</f>
        <v>0</v>
      </c>
      <c r="Q152" s="101">
        <f>IF(VLOOKUP($D152,$C$5:$AJ$644,15,)=0,0,((VLOOKUP($D152,$C$5:$AJ$644,15,)/VLOOKUP($D152,$C$5:$AJ$644,4,))*$F152))</f>
        <v>0</v>
      </c>
      <c r="R152" s="101"/>
      <c r="S152" s="101">
        <f>IF(VLOOKUP($D152,$C$5:$AJ$644,17,)=0,0,((VLOOKUP($D152,$C$5:$AJ$644,17,)/VLOOKUP($D152,$C$5:$AJ$644,4,))*$F152))</f>
        <v>0</v>
      </c>
      <c r="T152" s="101">
        <f>IF(VLOOKUP($D152,$C$5:$AJ$644,18,)=0,0,((VLOOKUP($D152,$C$5:$AJ$644,18,)/VLOOKUP($D152,$C$5:$AJ$644,4,))*$F152))</f>
        <v>0</v>
      </c>
      <c r="U152" s="101">
        <f>IF(VLOOKUP($D152,$C$5:$AJ$644,19,)=0,0,((VLOOKUP($D152,$C$5:$AJ$644,19,)/VLOOKUP($D152,$C$5:$AJ$644,4,))*$F152))</f>
        <v>0</v>
      </c>
      <c r="V152" s="101">
        <f>IF(VLOOKUP($D152,$C$5:$AJ$644,20,)=0,0,((VLOOKUP($D152,$C$5:$AJ$644,20,)/VLOOKUP($D152,$C$5:$AJ$644,4,))*$F152))</f>
        <v>0</v>
      </c>
      <c r="W152" s="101">
        <f>IF(VLOOKUP($D152,$C$5:$AJ$644,21,)=0,0,((VLOOKUP($D152,$C$5:$AJ$644,21,)/VLOOKUP($D152,$C$5:$AJ$644,4,))*$F152))</f>
        <v>0</v>
      </c>
      <c r="X152" s="101">
        <f>IF(VLOOKUP($D152,$C$5:$AJ$644,22,)=0,0,((VLOOKUP($D152,$C$5:$AJ$644,22,)/VLOOKUP($D152,$C$5:$AJ$644,4,))*$F152))</f>
        <v>0</v>
      </c>
      <c r="Y152" s="101">
        <f>IF(VLOOKUP($D152,$C$5:$AJ$644,23,)=0,0,((VLOOKUP($D152,$C$5:$AJ$644,23,)/VLOOKUP($D152,$C$5:$AJ$644,4,))*$F152))</f>
        <v>0</v>
      </c>
      <c r="Z152" s="101">
        <f>IF(VLOOKUP($D152,$C$5:$AJ$644,24,)=0,0,((VLOOKUP($D152,$C$5:$AJ$644,24,)/VLOOKUP($D152,$C$5:$AJ$644,4,))*$F152))</f>
        <v>0</v>
      </c>
      <c r="AA152" s="101">
        <f>IF(VLOOKUP($D152,$C$5:$AJ$644,25,)=0,0,((VLOOKUP($D152,$C$5:$AJ$644,25,)/VLOOKUP($D152,$C$5:$AJ$644,4,))*$F152))</f>
        <v>0</v>
      </c>
      <c r="AB152" s="101">
        <f>IF(VLOOKUP($D152,$C$5:$AJ$644,26,)=0,0,((VLOOKUP($D152,$C$5:$AJ$644,26,)/VLOOKUP($D152,$C$5:$AJ$644,4,))*$F152))</f>
        <v>0</v>
      </c>
      <c r="AC152" s="101">
        <f>IF(VLOOKUP($D152,$C$5:$AJ$644,27,)=0,0,((VLOOKUP($D152,$C$5:$AJ$644,27,)/VLOOKUP($D152,$C$5:$AJ$644,4,))*$F152))</f>
        <v>0</v>
      </c>
      <c r="AD152" s="101">
        <f>IF(VLOOKUP($D152,$C$5:$AJ$644,28,)=0,0,((VLOOKUP($D152,$C$5:$AJ$644,28,)/VLOOKUP($D152,$C$5:$AJ$644,4,))*$F152))</f>
        <v>0</v>
      </c>
      <c r="AE152" s="101"/>
      <c r="AF152" s="101">
        <f>IF(VLOOKUP($D152,$C$5:$AJ$644,30,)=0,0,((VLOOKUP($D152,$C$5:$AJ$644,30,)/VLOOKUP($D152,$C$5:$AJ$644,4,))*$F152))</f>
        <v>0</v>
      </c>
      <c r="AG152" s="101"/>
      <c r="AH152" s="101">
        <f>IF(VLOOKUP($D152,$C$5:$AJ$644,32,)=0,0,((VLOOKUP($D152,$C$5:$AJ$644,32,)/VLOOKUP($D152,$C$5:$AJ$644,4,))*$F152))</f>
        <v>0</v>
      </c>
      <c r="AI152" s="101"/>
      <c r="AJ152" s="101">
        <f>IF(VLOOKUP($D152,$C$5:$AJ$644,34,)=0,0,((VLOOKUP($D152,$C$5:$AJ$644,34,)/VLOOKUP($D152,$C$5:$AJ$644,4,))*$F152))</f>
        <v>0</v>
      </c>
      <c r="AK152" s="101">
        <f t="shared" si="111"/>
        <v>372621658.94834697</v>
      </c>
      <c r="AL152" s="98" t="str">
        <f t="shared" si="112"/>
        <v>ok</v>
      </c>
    </row>
    <row r="153" spans="1:39" x14ac:dyDescent="0.25">
      <c r="A153" s="97">
        <v>502</v>
      </c>
      <c r="B153" s="97" t="s">
        <v>1559</v>
      </c>
      <c r="C153" s="97" t="s">
        <v>1560</v>
      </c>
      <c r="F153" s="101">
        <f>'Jurisdictional Study'!F953-4793230</f>
        <v>15516428.646901891</v>
      </c>
      <c r="H153" s="101">
        <f t="shared" ref="H153:J154" si="113">H361</f>
        <v>2836708.4205598361</v>
      </c>
      <c r="I153" s="101">
        <f t="shared" si="113"/>
        <v>2674101.9074490941</v>
      </c>
      <c r="J153" s="101">
        <f t="shared" si="113"/>
        <v>2746321.1193423206</v>
      </c>
      <c r="K153" s="101">
        <f>F153-H153-I153-J153</f>
        <v>7259297.1995506389</v>
      </c>
      <c r="L153" s="101">
        <v>0</v>
      </c>
      <c r="M153" s="101">
        <v>0</v>
      </c>
      <c r="N153" s="101"/>
      <c r="O153" s="101">
        <v>0</v>
      </c>
      <c r="P153" s="101">
        <v>0</v>
      </c>
      <c r="Q153" s="101">
        <v>0</v>
      </c>
      <c r="R153" s="101"/>
      <c r="S153" s="101">
        <v>0</v>
      </c>
      <c r="T153" s="101">
        <v>0</v>
      </c>
      <c r="U153" s="101">
        <v>0</v>
      </c>
      <c r="V153" s="101">
        <v>0</v>
      </c>
      <c r="W153" s="101">
        <v>0</v>
      </c>
      <c r="X153" s="101">
        <v>0</v>
      </c>
      <c r="Y153" s="101">
        <v>0</v>
      </c>
      <c r="Z153" s="101">
        <v>0</v>
      </c>
      <c r="AA153" s="101">
        <v>0</v>
      </c>
      <c r="AB153" s="101">
        <v>0</v>
      </c>
      <c r="AC153" s="101">
        <v>0</v>
      </c>
      <c r="AD153" s="101">
        <v>0</v>
      </c>
      <c r="AE153" s="101"/>
      <c r="AF153" s="101">
        <v>0</v>
      </c>
      <c r="AG153" s="101"/>
      <c r="AH153" s="101">
        <v>0</v>
      </c>
      <c r="AI153" s="101"/>
      <c r="AJ153" s="101">
        <v>0</v>
      </c>
      <c r="AK153" s="101">
        <f t="shared" si="111"/>
        <v>15516428.646901891</v>
      </c>
      <c r="AL153" s="98" t="str">
        <f t="shared" si="112"/>
        <v>ok</v>
      </c>
    </row>
    <row r="154" spans="1:39" x14ac:dyDescent="0.25">
      <c r="A154" s="97">
        <v>505</v>
      </c>
      <c r="B154" s="97" t="s">
        <v>1561</v>
      </c>
      <c r="C154" s="97" t="s">
        <v>1562</v>
      </c>
      <c r="F154" s="101">
        <f>'Jurisdictional Study'!F955</f>
        <v>7214387.5946459835</v>
      </c>
      <c r="H154" s="101">
        <f t="shared" si="113"/>
        <v>2023579.3654843117</v>
      </c>
      <c r="I154" s="101">
        <f t="shared" si="113"/>
        <v>1907583.2404545445</v>
      </c>
      <c r="J154" s="101">
        <f t="shared" si="113"/>
        <v>1959101.1567548143</v>
      </c>
      <c r="K154" s="101">
        <f>F154-H154-I154-J154</f>
        <v>1324123.8319523137</v>
      </c>
      <c r="L154" s="101">
        <v>0</v>
      </c>
      <c r="M154" s="101">
        <v>0</v>
      </c>
      <c r="N154" s="101"/>
      <c r="O154" s="101">
        <v>0</v>
      </c>
      <c r="P154" s="101">
        <v>0</v>
      </c>
      <c r="Q154" s="101">
        <v>0</v>
      </c>
      <c r="R154" s="101"/>
      <c r="S154" s="101">
        <v>0</v>
      </c>
      <c r="T154" s="101">
        <v>0</v>
      </c>
      <c r="U154" s="101">
        <v>0</v>
      </c>
      <c r="V154" s="101">
        <v>0</v>
      </c>
      <c r="W154" s="101">
        <v>0</v>
      </c>
      <c r="X154" s="101">
        <v>0</v>
      </c>
      <c r="Y154" s="101">
        <v>0</v>
      </c>
      <c r="Z154" s="101">
        <v>0</v>
      </c>
      <c r="AA154" s="101">
        <v>0</v>
      </c>
      <c r="AB154" s="101">
        <v>0</v>
      </c>
      <c r="AC154" s="101">
        <v>0</v>
      </c>
      <c r="AD154" s="101">
        <v>0</v>
      </c>
      <c r="AE154" s="101"/>
      <c r="AF154" s="101">
        <v>0</v>
      </c>
      <c r="AG154" s="101"/>
      <c r="AH154" s="101">
        <v>0</v>
      </c>
      <c r="AI154" s="101"/>
      <c r="AJ154" s="101">
        <v>0</v>
      </c>
      <c r="AK154" s="101">
        <f t="shared" si="111"/>
        <v>7214387.5946459845</v>
      </c>
      <c r="AL154" s="98" t="str">
        <f t="shared" si="112"/>
        <v>ok</v>
      </c>
    </row>
    <row r="155" spans="1:39" x14ac:dyDescent="0.25">
      <c r="A155" s="97">
        <v>506</v>
      </c>
      <c r="B155" s="97" t="s">
        <v>1564</v>
      </c>
      <c r="C155" s="97" t="s">
        <v>1565</v>
      </c>
      <c r="D155" s="97" t="s">
        <v>736</v>
      </c>
      <c r="F155" s="101">
        <f>'Jurisdictional Study'!F956-12241843</f>
        <v>14444590.015824649</v>
      </c>
      <c r="H155" s="101">
        <f>IF(VLOOKUP($D155,$C$5:$AJ$644,6,)=0,0,((VLOOKUP($D155,$C$5:$AJ$644,6,)/VLOOKUP($D155,$C$5:$AJ$644,4,))*$F155))</f>
        <v>4962388.0146135306</v>
      </c>
      <c r="I155" s="101">
        <f>IF(VLOOKUP($D155,$C$5:$AJ$644,7,)=0,0,((VLOOKUP($D155,$C$5:$AJ$644,7,)/VLOOKUP($D155,$C$5:$AJ$644,4,))*$F155))</f>
        <v>4677932.7615073277</v>
      </c>
      <c r="J155" s="101">
        <f>IF(VLOOKUP($D155,$C$5:$AJ$644,8,)=0,0,((VLOOKUP($D155,$C$5:$AJ$644,8,)/VLOOKUP($D155,$C$5:$AJ$644,4,))*$F155))</f>
        <v>4804269.2397037912</v>
      </c>
      <c r="K155" s="101">
        <f>IF(VLOOKUP($D155,$C$5:$AJ$644,9,)=0,0,((VLOOKUP($D155,$C$5:$AJ$644,9,)/VLOOKUP($D155,$C$5:$AJ$644,4,))*$F155))</f>
        <v>0</v>
      </c>
      <c r="L155" s="101">
        <f>IF(VLOOKUP($D155,$C$5:$AJ$644,10,)=0,0,((VLOOKUP($D155,$C$5:$AJ$644,10,)/VLOOKUP($D155,$C$5:$AJ$644,4,))*$F155))</f>
        <v>0</v>
      </c>
      <c r="M155" s="101">
        <f>IF(VLOOKUP($D155,$C$5:$AJ$644,11,)=0,0,((VLOOKUP($D155,$C$5:$AJ$644,11,)/VLOOKUP($D155,$C$5:$AJ$644,4,))*$F155))</f>
        <v>0</v>
      </c>
      <c r="N155" s="101"/>
      <c r="O155" s="101">
        <f>IF(VLOOKUP($D155,$C$5:$AJ$644,13,)=0,0,((VLOOKUP($D155,$C$5:$AJ$644,13,)/VLOOKUP($D155,$C$5:$AJ$644,4,))*$F155))</f>
        <v>0</v>
      </c>
      <c r="P155" s="101">
        <f>IF(VLOOKUP($D155,$C$5:$AJ$644,14,)=0,0,((VLOOKUP($D155,$C$5:$AJ$644,14,)/VLOOKUP($D155,$C$5:$AJ$644,4,))*$F155))</f>
        <v>0</v>
      </c>
      <c r="Q155" s="101">
        <f>IF(VLOOKUP($D155,$C$5:$AJ$644,15,)=0,0,((VLOOKUP($D155,$C$5:$AJ$644,15,)/VLOOKUP($D155,$C$5:$AJ$644,4,))*$F155))</f>
        <v>0</v>
      </c>
      <c r="R155" s="101"/>
      <c r="S155" s="101">
        <f>IF(VLOOKUP($D155,$C$5:$AJ$644,17,)=0,0,((VLOOKUP($D155,$C$5:$AJ$644,17,)/VLOOKUP($D155,$C$5:$AJ$644,4,))*$F155))</f>
        <v>0</v>
      </c>
      <c r="T155" s="101">
        <f>IF(VLOOKUP($D155,$C$5:$AJ$644,18,)=0,0,((VLOOKUP($D155,$C$5:$AJ$644,18,)/VLOOKUP($D155,$C$5:$AJ$644,4,))*$F155))</f>
        <v>0</v>
      </c>
      <c r="U155" s="101">
        <f>IF(VLOOKUP($D155,$C$5:$AJ$644,19,)=0,0,((VLOOKUP($D155,$C$5:$AJ$644,19,)/VLOOKUP($D155,$C$5:$AJ$644,4,))*$F155))</f>
        <v>0</v>
      </c>
      <c r="V155" s="101">
        <f>IF(VLOOKUP($D155,$C$5:$AJ$644,20,)=0,0,((VLOOKUP($D155,$C$5:$AJ$644,20,)/VLOOKUP($D155,$C$5:$AJ$644,4,))*$F155))</f>
        <v>0</v>
      </c>
      <c r="W155" s="101">
        <f>IF(VLOOKUP($D155,$C$5:$AJ$644,21,)=0,0,((VLOOKUP($D155,$C$5:$AJ$644,21,)/VLOOKUP($D155,$C$5:$AJ$644,4,))*$F155))</f>
        <v>0</v>
      </c>
      <c r="X155" s="101">
        <f>IF(VLOOKUP($D155,$C$5:$AJ$644,22,)=0,0,((VLOOKUP($D155,$C$5:$AJ$644,22,)/VLOOKUP($D155,$C$5:$AJ$644,4,))*$F155))</f>
        <v>0</v>
      </c>
      <c r="Y155" s="101">
        <f>IF(VLOOKUP($D155,$C$5:$AJ$644,23,)=0,0,((VLOOKUP($D155,$C$5:$AJ$644,23,)/VLOOKUP($D155,$C$5:$AJ$644,4,))*$F155))</f>
        <v>0</v>
      </c>
      <c r="Z155" s="101">
        <f>IF(VLOOKUP($D155,$C$5:$AJ$644,24,)=0,0,((VLOOKUP($D155,$C$5:$AJ$644,24,)/VLOOKUP($D155,$C$5:$AJ$644,4,))*$F155))</f>
        <v>0</v>
      </c>
      <c r="AA155" s="101">
        <f>IF(VLOOKUP($D155,$C$5:$AJ$644,25,)=0,0,((VLOOKUP($D155,$C$5:$AJ$644,25,)/VLOOKUP($D155,$C$5:$AJ$644,4,))*$F155))</f>
        <v>0</v>
      </c>
      <c r="AB155" s="101">
        <f>IF(VLOOKUP($D155,$C$5:$AJ$644,26,)=0,0,((VLOOKUP($D155,$C$5:$AJ$644,26,)/VLOOKUP($D155,$C$5:$AJ$644,4,))*$F155))</f>
        <v>0</v>
      </c>
      <c r="AC155" s="101">
        <f>IF(VLOOKUP($D155,$C$5:$AJ$644,27,)=0,0,((VLOOKUP($D155,$C$5:$AJ$644,27,)/VLOOKUP($D155,$C$5:$AJ$644,4,))*$F155))</f>
        <v>0</v>
      </c>
      <c r="AD155" s="101">
        <f>IF(VLOOKUP($D155,$C$5:$AJ$644,28,)=0,0,((VLOOKUP($D155,$C$5:$AJ$644,28,)/VLOOKUP($D155,$C$5:$AJ$644,4,))*$F155))</f>
        <v>0</v>
      </c>
      <c r="AE155" s="101"/>
      <c r="AF155" s="101">
        <f>IF(VLOOKUP($D155,$C$5:$AJ$644,30,)=0,0,((VLOOKUP($D155,$C$5:$AJ$644,30,)/VLOOKUP($D155,$C$5:$AJ$644,4,))*$F155))</f>
        <v>0</v>
      </c>
      <c r="AG155" s="101"/>
      <c r="AH155" s="101">
        <f>IF(VLOOKUP($D155,$C$5:$AJ$644,32,)=0,0,((VLOOKUP($D155,$C$5:$AJ$644,32,)/VLOOKUP($D155,$C$5:$AJ$644,4,))*$F155))</f>
        <v>0</v>
      </c>
      <c r="AI155" s="101"/>
      <c r="AJ155" s="101">
        <f>IF(VLOOKUP($D155,$C$5:$AJ$644,34,)=0,0,((VLOOKUP($D155,$C$5:$AJ$644,34,)/VLOOKUP($D155,$C$5:$AJ$644,4,))*$F155))</f>
        <v>0</v>
      </c>
      <c r="AK155" s="101">
        <f t="shared" si="111"/>
        <v>14444590.015824649</v>
      </c>
      <c r="AL155" s="98" t="str">
        <f t="shared" si="112"/>
        <v>ok</v>
      </c>
    </row>
    <row r="156" spans="1:39" x14ac:dyDescent="0.25">
      <c r="A156" s="97">
        <v>507</v>
      </c>
      <c r="B156" s="97" t="s">
        <v>373</v>
      </c>
      <c r="C156" s="97" t="s">
        <v>1690</v>
      </c>
      <c r="D156" s="97" t="s">
        <v>736</v>
      </c>
      <c r="F156" s="101">
        <f>'Jurisdictional Study'!F957</f>
        <v>0</v>
      </c>
      <c r="H156" s="101">
        <f>IF(VLOOKUP($D156,$C$5:$AJ$644,6,)=0,0,((VLOOKUP($D156,$C$5:$AJ$644,6,)/VLOOKUP($D156,$C$5:$AJ$644,4,))*$F156))</f>
        <v>0</v>
      </c>
      <c r="I156" s="101">
        <f>IF(VLOOKUP($D156,$C$5:$AJ$644,7,)=0,0,((VLOOKUP($D156,$C$5:$AJ$644,7,)/VLOOKUP($D156,$C$5:$AJ$644,4,))*$F156))</f>
        <v>0</v>
      </c>
      <c r="J156" s="101">
        <f>IF(VLOOKUP($D156,$C$5:$AJ$644,8,)=0,0,((VLOOKUP($D156,$C$5:$AJ$644,8,)/VLOOKUP($D156,$C$5:$AJ$644,4,))*$F156))</f>
        <v>0</v>
      </c>
      <c r="K156" s="101">
        <f>IF(VLOOKUP($D156,$C$5:$AJ$644,9,)=0,0,((VLOOKUP($D156,$C$5:$AJ$644,9,)/VLOOKUP($D156,$C$5:$AJ$644,4,))*$F156))</f>
        <v>0</v>
      </c>
      <c r="L156" s="101">
        <f>IF(VLOOKUP($D156,$C$5:$AJ$644,10,)=0,0,((VLOOKUP($D156,$C$5:$AJ$644,10,)/VLOOKUP($D156,$C$5:$AJ$644,4,))*$F156))</f>
        <v>0</v>
      </c>
      <c r="M156" s="101">
        <f>IF(VLOOKUP($D156,$C$5:$AJ$644,11,)=0,0,((VLOOKUP($D156,$C$5:$AJ$644,11,)/VLOOKUP($D156,$C$5:$AJ$644,4,))*$F156))</f>
        <v>0</v>
      </c>
      <c r="N156" s="101"/>
      <c r="O156" s="101">
        <f>IF(VLOOKUP($D156,$C$5:$AJ$644,13,)=0,0,((VLOOKUP($D156,$C$5:$AJ$644,13,)/VLOOKUP($D156,$C$5:$AJ$644,4,))*$F156))</f>
        <v>0</v>
      </c>
      <c r="P156" s="101">
        <f>IF(VLOOKUP($D156,$C$5:$AJ$644,14,)=0,0,((VLOOKUP($D156,$C$5:$AJ$644,14,)/VLOOKUP($D156,$C$5:$AJ$644,4,))*$F156))</f>
        <v>0</v>
      </c>
      <c r="Q156" s="101">
        <f>IF(VLOOKUP($D156,$C$5:$AJ$644,15,)=0,0,((VLOOKUP($D156,$C$5:$AJ$644,15,)/VLOOKUP($D156,$C$5:$AJ$644,4,))*$F156))</f>
        <v>0</v>
      </c>
      <c r="R156" s="101"/>
      <c r="S156" s="101">
        <f>IF(VLOOKUP($D156,$C$5:$AJ$644,17,)=0,0,((VLOOKUP($D156,$C$5:$AJ$644,17,)/VLOOKUP($D156,$C$5:$AJ$644,4,))*$F156))</f>
        <v>0</v>
      </c>
      <c r="T156" s="101">
        <f>IF(VLOOKUP($D156,$C$5:$AJ$644,18,)=0,0,((VLOOKUP($D156,$C$5:$AJ$644,18,)/VLOOKUP($D156,$C$5:$AJ$644,4,))*$F156))</f>
        <v>0</v>
      </c>
      <c r="U156" s="101">
        <f>IF(VLOOKUP($D156,$C$5:$AJ$644,19,)=0,0,((VLOOKUP($D156,$C$5:$AJ$644,19,)/VLOOKUP($D156,$C$5:$AJ$644,4,))*$F156))</f>
        <v>0</v>
      </c>
      <c r="V156" s="101">
        <f>IF(VLOOKUP($D156,$C$5:$AJ$644,20,)=0,0,((VLOOKUP($D156,$C$5:$AJ$644,20,)/VLOOKUP($D156,$C$5:$AJ$644,4,))*$F156))</f>
        <v>0</v>
      </c>
      <c r="W156" s="101">
        <f>IF(VLOOKUP($D156,$C$5:$AJ$644,21,)=0,0,((VLOOKUP($D156,$C$5:$AJ$644,21,)/VLOOKUP($D156,$C$5:$AJ$644,4,))*$F156))</f>
        <v>0</v>
      </c>
      <c r="X156" s="101">
        <f>IF(VLOOKUP($D156,$C$5:$AJ$644,22,)=0,0,((VLOOKUP($D156,$C$5:$AJ$644,22,)/VLOOKUP($D156,$C$5:$AJ$644,4,))*$F156))</f>
        <v>0</v>
      </c>
      <c r="Y156" s="101">
        <f>IF(VLOOKUP($D156,$C$5:$AJ$644,23,)=0,0,((VLOOKUP($D156,$C$5:$AJ$644,23,)/VLOOKUP($D156,$C$5:$AJ$644,4,))*$F156))</f>
        <v>0</v>
      </c>
      <c r="Z156" s="101">
        <f>IF(VLOOKUP($D156,$C$5:$AJ$644,24,)=0,0,((VLOOKUP($D156,$C$5:$AJ$644,24,)/VLOOKUP($D156,$C$5:$AJ$644,4,))*$F156))</f>
        <v>0</v>
      </c>
      <c r="AA156" s="101">
        <f>IF(VLOOKUP($D156,$C$5:$AJ$644,25,)=0,0,((VLOOKUP($D156,$C$5:$AJ$644,25,)/VLOOKUP($D156,$C$5:$AJ$644,4,))*$F156))</f>
        <v>0</v>
      </c>
      <c r="AB156" s="101">
        <f>IF(VLOOKUP($D156,$C$5:$AJ$644,26,)=0,0,((VLOOKUP($D156,$C$5:$AJ$644,26,)/VLOOKUP($D156,$C$5:$AJ$644,4,))*$F156))</f>
        <v>0</v>
      </c>
      <c r="AC156" s="101">
        <f>IF(VLOOKUP($D156,$C$5:$AJ$644,27,)=0,0,((VLOOKUP($D156,$C$5:$AJ$644,27,)/VLOOKUP($D156,$C$5:$AJ$644,4,))*$F156))</f>
        <v>0</v>
      </c>
      <c r="AD156" s="101">
        <f>IF(VLOOKUP($D156,$C$5:$AJ$644,28,)=0,0,((VLOOKUP($D156,$C$5:$AJ$644,28,)/VLOOKUP($D156,$C$5:$AJ$644,4,))*$F156))</f>
        <v>0</v>
      </c>
      <c r="AE156" s="101"/>
      <c r="AF156" s="101">
        <f>IF(VLOOKUP($D156,$C$5:$AJ$644,30,)=0,0,((VLOOKUP($D156,$C$5:$AJ$644,30,)/VLOOKUP($D156,$C$5:$AJ$644,4,))*$F156))</f>
        <v>0</v>
      </c>
      <c r="AG156" s="101"/>
      <c r="AH156" s="101">
        <f>IF(VLOOKUP($D156,$C$5:$AJ$644,32,)=0,0,((VLOOKUP($D156,$C$5:$AJ$644,32,)/VLOOKUP($D156,$C$5:$AJ$644,4,))*$F156))</f>
        <v>0</v>
      </c>
      <c r="AI156" s="101"/>
      <c r="AJ156" s="101">
        <f>IF(VLOOKUP($D156,$C$5:$AJ$644,34,)=0,0,((VLOOKUP($D156,$C$5:$AJ$644,34,)/VLOOKUP($D156,$C$5:$AJ$644,4,))*$F156))</f>
        <v>0</v>
      </c>
      <c r="AK156" s="101">
        <f t="shared" si="111"/>
        <v>0</v>
      </c>
      <c r="AL156" s="98" t="str">
        <f t="shared" si="112"/>
        <v>ok</v>
      </c>
    </row>
    <row r="157" spans="1:39" x14ac:dyDescent="0.25">
      <c r="A157" s="97">
        <v>509</v>
      </c>
      <c r="B157" s="97" t="s">
        <v>2381</v>
      </c>
      <c r="C157" s="97" t="s">
        <v>2380</v>
      </c>
      <c r="D157" s="97" t="s">
        <v>736</v>
      </c>
      <c r="F157" s="101">
        <v>0</v>
      </c>
      <c r="H157" s="101">
        <f>IF(VLOOKUP($D157,$C$5:$AJ$644,6,)=0,0,((VLOOKUP($D157,$C$5:$AJ$644,6,)/VLOOKUP($D157,$C$5:$AJ$644,4,))*$F157))</f>
        <v>0</v>
      </c>
      <c r="I157" s="101">
        <f>IF(VLOOKUP($D157,$C$5:$AJ$644,7,)=0,0,((VLOOKUP($D157,$C$5:$AJ$644,7,)/VLOOKUP($D157,$C$5:$AJ$644,4,))*$F157))</f>
        <v>0</v>
      </c>
      <c r="J157" s="101">
        <f>IF(VLOOKUP($D157,$C$5:$AJ$644,8,)=0,0,((VLOOKUP($D157,$C$5:$AJ$644,8,)/VLOOKUP($D157,$C$5:$AJ$644,4,))*$F157))</f>
        <v>0</v>
      </c>
      <c r="K157" s="101">
        <f>IF(VLOOKUP($D157,$C$5:$AJ$644,9,)=0,0,((VLOOKUP($D157,$C$5:$AJ$644,9,)/VLOOKUP($D157,$C$5:$AJ$644,4,))*$F157))</f>
        <v>0</v>
      </c>
      <c r="L157" s="101">
        <f>IF(VLOOKUP($D157,$C$5:$AJ$644,10,)=0,0,((VLOOKUP($D157,$C$5:$AJ$644,10,)/VLOOKUP($D157,$C$5:$AJ$644,4,))*$F157))</f>
        <v>0</v>
      </c>
      <c r="M157" s="101">
        <f>IF(VLOOKUP($D157,$C$5:$AJ$644,11,)=0,0,((VLOOKUP($D157,$C$5:$AJ$644,11,)/VLOOKUP($D157,$C$5:$AJ$644,4,))*$F157))</f>
        <v>0</v>
      </c>
      <c r="N157" s="101"/>
      <c r="O157" s="101">
        <f>IF(VLOOKUP($D157,$C$5:$AJ$644,13,)=0,0,((VLOOKUP($D157,$C$5:$AJ$644,13,)/VLOOKUP($D157,$C$5:$AJ$644,4,))*$F157))</f>
        <v>0</v>
      </c>
      <c r="P157" s="101">
        <f>IF(VLOOKUP($D157,$C$5:$AJ$644,14,)=0,0,((VLOOKUP($D157,$C$5:$AJ$644,14,)/VLOOKUP($D157,$C$5:$AJ$644,4,))*$F157))</f>
        <v>0</v>
      </c>
      <c r="Q157" s="101">
        <f>IF(VLOOKUP($D157,$C$5:$AJ$644,15,)=0,0,((VLOOKUP($D157,$C$5:$AJ$644,15,)/VLOOKUP($D157,$C$5:$AJ$644,4,))*$F157))</f>
        <v>0</v>
      </c>
      <c r="R157" s="101"/>
      <c r="S157" s="101">
        <f>IF(VLOOKUP($D157,$C$5:$AJ$644,17,)=0,0,((VLOOKUP($D157,$C$5:$AJ$644,17,)/VLOOKUP($D157,$C$5:$AJ$644,4,))*$F157))</f>
        <v>0</v>
      </c>
      <c r="T157" s="101">
        <f>IF(VLOOKUP($D157,$C$5:$AJ$644,18,)=0,0,((VLOOKUP($D157,$C$5:$AJ$644,18,)/VLOOKUP($D157,$C$5:$AJ$644,4,))*$F157))</f>
        <v>0</v>
      </c>
      <c r="U157" s="101">
        <f>IF(VLOOKUP($D157,$C$5:$AJ$644,19,)=0,0,((VLOOKUP($D157,$C$5:$AJ$644,19,)/VLOOKUP($D157,$C$5:$AJ$644,4,))*$F157))</f>
        <v>0</v>
      </c>
      <c r="V157" s="101">
        <f>IF(VLOOKUP($D157,$C$5:$AJ$644,20,)=0,0,((VLOOKUP($D157,$C$5:$AJ$644,20,)/VLOOKUP($D157,$C$5:$AJ$644,4,))*$F157))</f>
        <v>0</v>
      </c>
      <c r="W157" s="101">
        <f>IF(VLOOKUP($D157,$C$5:$AJ$644,21,)=0,0,((VLOOKUP($D157,$C$5:$AJ$644,21,)/VLOOKUP($D157,$C$5:$AJ$644,4,))*$F157))</f>
        <v>0</v>
      </c>
      <c r="X157" s="101">
        <f>IF(VLOOKUP($D157,$C$5:$AJ$644,22,)=0,0,((VLOOKUP($D157,$C$5:$AJ$644,22,)/VLOOKUP($D157,$C$5:$AJ$644,4,))*$F157))</f>
        <v>0</v>
      </c>
      <c r="Y157" s="101">
        <f>IF(VLOOKUP($D157,$C$5:$AJ$644,23,)=0,0,((VLOOKUP($D157,$C$5:$AJ$644,23,)/VLOOKUP($D157,$C$5:$AJ$644,4,))*$F157))</f>
        <v>0</v>
      </c>
      <c r="Z157" s="101">
        <f>IF(VLOOKUP($D157,$C$5:$AJ$644,24,)=0,0,((VLOOKUP($D157,$C$5:$AJ$644,24,)/VLOOKUP($D157,$C$5:$AJ$644,4,))*$F157))</f>
        <v>0</v>
      </c>
      <c r="AA157" s="101">
        <f>IF(VLOOKUP($D157,$C$5:$AJ$644,25,)=0,0,((VLOOKUP($D157,$C$5:$AJ$644,25,)/VLOOKUP($D157,$C$5:$AJ$644,4,))*$F157))</f>
        <v>0</v>
      </c>
      <c r="AB157" s="101">
        <f>IF(VLOOKUP($D157,$C$5:$AJ$644,26,)=0,0,((VLOOKUP($D157,$C$5:$AJ$644,26,)/VLOOKUP($D157,$C$5:$AJ$644,4,))*$F157))</f>
        <v>0</v>
      </c>
      <c r="AC157" s="101">
        <f>IF(VLOOKUP($D157,$C$5:$AJ$644,27,)=0,0,((VLOOKUP($D157,$C$5:$AJ$644,27,)/VLOOKUP($D157,$C$5:$AJ$644,4,))*$F157))</f>
        <v>0</v>
      </c>
      <c r="AD157" s="101">
        <f>IF(VLOOKUP($D157,$C$5:$AJ$644,28,)=0,0,((VLOOKUP($D157,$C$5:$AJ$644,28,)/VLOOKUP($D157,$C$5:$AJ$644,4,))*$F157))</f>
        <v>0</v>
      </c>
      <c r="AE157" s="101"/>
      <c r="AF157" s="101">
        <f>IF(VLOOKUP($D157,$C$5:$AJ$644,30,)=0,0,((VLOOKUP($D157,$C$5:$AJ$644,30,)/VLOOKUP($D157,$C$5:$AJ$644,4,))*$F157))</f>
        <v>0</v>
      </c>
      <c r="AG157" s="101"/>
      <c r="AH157" s="101">
        <f>IF(VLOOKUP($D157,$C$5:$AJ$644,32,)=0,0,((VLOOKUP($D157,$C$5:$AJ$644,32,)/VLOOKUP($D157,$C$5:$AJ$644,4,))*$F157))</f>
        <v>0</v>
      </c>
      <c r="AI157" s="101"/>
      <c r="AJ157" s="101">
        <f>IF(VLOOKUP($D157,$C$5:$AJ$644,34,)=0,0,((VLOOKUP($D157,$C$5:$AJ$644,34,)/VLOOKUP($D157,$C$5:$AJ$644,4,))*$F157))</f>
        <v>0</v>
      </c>
      <c r="AK157" s="101">
        <f>SUM(H157:AJ157)</f>
        <v>0</v>
      </c>
      <c r="AL157" s="98" t="str">
        <f>IF(ABS(AK157-F157)&lt;1,"ok","err")</f>
        <v>ok</v>
      </c>
    </row>
    <row r="158" spans="1:39" x14ac:dyDescent="0.25">
      <c r="F158" s="100"/>
      <c r="Y158" s="97"/>
      <c r="AL158" s="98"/>
    </row>
    <row r="159" spans="1:39" x14ac:dyDescent="0.25">
      <c r="B159" s="97" t="s">
        <v>1566</v>
      </c>
      <c r="F159" s="100">
        <f>SUM(F151:F158)</f>
        <v>419239766.24914169</v>
      </c>
      <c r="H159" s="100">
        <f>SUM(H151:H158)</f>
        <v>12622066.547803067</v>
      </c>
      <c r="I159" s="100">
        <f t="shared" ref="I159:AK159" si="114">SUM(I151:I158)</f>
        <v>11898541.276501145</v>
      </c>
      <c r="J159" s="100">
        <f t="shared" si="114"/>
        <v>12219884.031343145</v>
      </c>
      <c r="K159" s="100">
        <f t="shared" si="114"/>
        <v>382499274.39349431</v>
      </c>
      <c r="L159" s="100">
        <f t="shared" si="114"/>
        <v>0</v>
      </c>
      <c r="M159" s="100">
        <f t="shared" si="114"/>
        <v>0</v>
      </c>
      <c r="O159" s="100">
        <f t="shared" si="114"/>
        <v>0</v>
      </c>
      <c r="P159" s="100">
        <f>SUM(P151:P158)</f>
        <v>0</v>
      </c>
      <c r="Q159" s="100">
        <f>SUM(Q151:Q158)</f>
        <v>0</v>
      </c>
      <c r="S159" s="100">
        <f t="shared" si="114"/>
        <v>0</v>
      </c>
      <c r="T159" s="100">
        <f t="shared" si="114"/>
        <v>0</v>
      </c>
      <c r="U159" s="100">
        <f t="shared" si="114"/>
        <v>0</v>
      </c>
      <c r="V159" s="100">
        <f t="shared" si="114"/>
        <v>0</v>
      </c>
      <c r="W159" s="100">
        <f>SUM(W151:W158)</f>
        <v>0</v>
      </c>
      <c r="X159" s="100">
        <f>SUM(X151:X158)</f>
        <v>0</v>
      </c>
      <c r="Y159" s="100">
        <f>SUM(Y151:Y158)</f>
        <v>0</v>
      </c>
      <c r="Z159" s="100">
        <f t="shared" si="114"/>
        <v>0</v>
      </c>
      <c r="AA159" s="100">
        <f t="shared" si="114"/>
        <v>0</v>
      </c>
      <c r="AB159" s="100">
        <f>SUM(AB151:AB158)</f>
        <v>0</v>
      </c>
      <c r="AC159" s="100">
        <f>SUM(AC151:AC158)</f>
        <v>0</v>
      </c>
      <c r="AD159" s="100">
        <f t="shared" si="114"/>
        <v>0</v>
      </c>
      <c r="AF159" s="100">
        <f t="shared" si="114"/>
        <v>0</v>
      </c>
      <c r="AH159" s="100">
        <f t="shared" si="114"/>
        <v>0</v>
      </c>
      <c r="AJ159" s="100">
        <f t="shared" si="114"/>
        <v>0</v>
      </c>
      <c r="AK159" s="100">
        <f t="shared" si="114"/>
        <v>419239766.24914169</v>
      </c>
      <c r="AL159" s="98" t="str">
        <f>IF(ABS(AK159-F159)&lt;1,"ok","err")</f>
        <v>ok</v>
      </c>
    </row>
    <row r="160" spans="1:39" x14ac:dyDescent="0.25">
      <c r="F160" s="100"/>
      <c r="Y160" s="97"/>
      <c r="AL160" s="98"/>
    </row>
    <row r="161" spans="1:38" x14ac:dyDescent="0.25">
      <c r="A161" s="24" t="s">
        <v>1567</v>
      </c>
      <c r="F161" s="100"/>
      <c r="Y161" s="97"/>
      <c r="AL161" s="98"/>
    </row>
    <row r="162" spans="1:38" x14ac:dyDescent="0.25">
      <c r="A162" s="97">
        <v>510</v>
      </c>
      <c r="B162" s="97" t="s">
        <v>587</v>
      </c>
      <c r="C162" s="97" t="s">
        <v>1568</v>
      </c>
      <c r="D162" s="97" t="s">
        <v>1042</v>
      </c>
      <c r="F162" s="100">
        <f>'Jurisdictional Study'!F960</f>
        <v>10261750.042761102</v>
      </c>
      <c r="H162" s="101">
        <f>IF(VLOOKUP($D162,$C$5:$AJ$644,6,)=0,0,((VLOOKUP($D162,$C$5:$AJ$644,6,)/VLOOKUP($D162,$C$5:$AJ$644,4,))*$F162))</f>
        <v>340085.39038957364</v>
      </c>
      <c r="I162" s="101">
        <f>IF(VLOOKUP($D162,$C$5:$AJ$644,7,)=0,0,((VLOOKUP($D162,$C$5:$AJ$644,7,)/VLOOKUP($D162,$C$5:$AJ$644,4,))*$F162))</f>
        <v>320590.93015871197</v>
      </c>
      <c r="J162" s="101">
        <f>IF(VLOOKUP($D162,$C$5:$AJ$644,8,)=0,0,((VLOOKUP($D162,$C$5:$AJ$644,8,)/VLOOKUP($D162,$C$5:$AJ$644,4,))*$F162))</f>
        <v>329249.098440064</v>
      </c>
      <c r="K162" s="101">
        <f>IF(VLOOKUP($D162,$C$5:$AJ$644,9,)=0,0,((VLOOKUP($D162,$C$5:$AJ$644,9,)/VLOOKUP($D162,$C$5:$AJ$644,4,))*$F162))</f>
        <v>9271824.6237727515</v>
      </c>
      <c r="L162" s="101">
        <f>IF(VLOOKUP($D162,$C$5:$AJ$644,10,)=0,0,((VLOOKUP($D162,$C$5:$AJ$644,10,)/VLOOKUP($D162,$C$5:$AJ$644,4,))*$F162))</f>
        <v>0</v>
      </c>
      <c r="M162" s="101">
        <f>IF(VLOOKUP($D162,$C$5:$AJ$644,11,)=0,0,((VLOOKUP($D162,$C$5:$AJ$644,11,)/VLOOKUP($D162,$C$5:$AJ$644,4,))*$F162))</f>
        <v>0</v>
      </c>
      <c r="N162" s="101"/>
      <c r="O162" s="101">
        <f>IF(VLOOKUP($D162,$C$5:$AJ$644,13,)=0,0,((VLOOKUP($D162,$C$5:$AJ$644,13,)/VLOOKUP($D162,$C$5:$AJ$644,4,))*$F162))</f>
        <v>0</v>
      </c>
      <c r="P162" s="101">
        <f>IF(VLOOKUP($D162,$C$5:$AJ$644,14,)=0,0,((VLOOKUP($D162,$C$5:$AJ$644,14,)/VLOOKUP($D162,$C$5:$AJ$644,4,))*$F162))</f>
        <v>0</v>
      </c>
      <c r="Q162" s="101">
        <f>IF(VLOOKUP($D162,$C$5:$AJ$644,15,)=0,0,((VLOOKUP($D162,$C$5:$AJ$644,15,)/VLOOKUP($D162,$C$5:$AJ$644,4,))*$F162))</f>
        <v>0</v>
      </c>
      <c r="R162" s="101"/>
      <c r="S162" s="101">
        <f>IF(VLOOKUP($D162,$C$5:$AJ$644,17,)=0,0,((VLOOKUP($D162,$C$5:$AJ$644,17,)/VLOOKUP($D162,$C$5:$AJ$644,4,))*$F162))</f>
        <v>0</v>
      </c>
      <c r="T162" s="101">
        <f>IF(VLOOKUP($D162,$C$5:$AJ$644,18,)=0,0,((VLOOKUP($D162,$C$5:$AJ$644,18,)/VLOOKUP($D162,$C$5:$AJ$644,4,))*$F162))</f>
        <v>0</v>
      </c>
      <c r="U162" s="101">
        <f>IF(VLOOKUP($D162,$C$5:$AJ$644,19,)=0,0,((VLOOKUP($D162,$C$5:$AJ$644,19,)/VLOOKUP($D162,$C$5:$AJ$644,4,))*$F162))</f>
        <v>0</v>
      </c>
      <c r="V162" s="101">
        <f>IF(VLOOKUP($D162,$C$5:$AJ$644,20,)=0,0,((VLOOKUP($D162,$C$5:$AJ$644,20,)/VLOOKUP($D162,$C$5:$AJ$644,4,))*$F162))</f>
        <v>0</v>
      </c>
      <c r="W162" s="101">
        <f>IF(VLOOKUP($D162,$C$5:$AJ$644,21,)=0,0,((VLOOKUP($D162,$C$5:$AJ$644,21,)/VLOOKUP($D162,$C$5:$AJ$644,4,))*$F162))</f>
        <v>0</v>
      </c>
      <c r="X162" s="101">
        <f>IF(VLOOKUP($D162,$C$5:$AJ$644,22,)=0,0,((VLOOKUP($D162,$C$5:$AJ$644,22,)/VLOOKUP($D162,$C$5:$AJ$644,4,))*$F162))</f>
        <v>0</v>
      </c>
      <c r="Y162" s="101">
        <f>IF(VLOOKUP($D162,$C$5:$AJ$644,23,)=0,0,((VLOOKUP($D162,$C$5:$AJ$644,23,)/VLOOKUP($D162,$C$5:$AJ$644,4,))*$F162))</f>
        <v>0</v>
      </c>
      <c r="Z162" s="101">
        <f>IF(VLOOKUP($D162,$C$5:$AJ$644,24,)=0,0,((VLOOKUP($D162,$C$5:$AJ$644,24,)/VLOOKUP($D162,$C$5:$AJ$644,4,))*$F162))</f>
        <v>0</v>
      </c>
      <c r="AA162" s="101">
        <f>IF(VLOOKUP($D162,$C$5:$AJ$644,25,)=0,0,((VLOOKUP($D162,$C$5:$AJ$644,25,)/VLOOKUP($D162,$C$5:$AJ$644,4,))*$F162))</f>
        <v>0</v>
      </c>
      <c r="AB162" s="101">
        <f>IF(VLOOKUP($D162,$C$5:$AJ$644,26,)=0,0,((VLOOKUP($D162,$C$5:$AJ$644,26,)/VLOOKUP($D162,$C$5:$AJ$644,4,))*$F162))</f>
        <v>0</v>
      </c>
      <c r="AC162" s="101">
        <f>IF(VLOOKUP($D162,$C$5:$AJ$644,27,)=0,0,((VLOOKUP($D162,$C$5:$AJ$644,27,)/VLOOKUP($D162,$C$5:$AJ$644,4,))*$F162))</f>
        <v>0</v>
      </c>
      <c r="AD162" s="101">
        <f>IF(VLOOKUP($D162,$C$5:$AJ$644,28,)=0,0,((VLOOKUP($D162,$C$5:$AJ$644,28,)/VLOOKUP($D162,$C$5:$AJ$644,4,))*$F162))</f>
        <v>0</v>
      </c>
      <c r="AE162" s="101"/>
      <c r="AF162" s="101">
        <f>IF(VLOOKUP($D162,$C$5:$AJ$644,30,)=0,0,((VLOOKUP($D162,$C$5:$AJ$644,30,)/VLOOKUP($D162,$C$5:$AJ$644,4,))*$F162))</f>
        <v>0</v>
      </c>
      <c r="AG162" s="101"/>
      <c r="AH162" s="101">
        <f>IF(VLOOKUP($D162,$C$5:$AJ$644,32,)=0,0,((VLOOKUP($D162,$C$5:$AJ$644,32,)/VLOOKUP($D162,$C$5:$AJ$644,4,))*$F162))</f>
        <v>0</v>
      </c>
      <c r="AI162" s="101"/>
      <c r="AJ162" s="101">
        <f>IF(VLOOKUP($D162,$C$5:$AJ$644,34,)=0,0,((VLOOKUP($D162,$C$5:$AJ$644,34,)/VLOOKUP($D162,$C$5:$AJ$644,4,))*$F162))</f>
        <v>0</v>
      </c>
      <c r="AK162" s="101">
        <f>SUM(H162:AJ162)</f>
        <v>10261750.0427611</v>
      </c>
      <c r="AL162" s="98" t="str">
        <f>IF(ABS(AK162-F162)&lt;1,"ok","err")</f>
        <v>ok</v>
      </c>
    </row>
    <row r="163" spans="1:38" x14ac:dyDescent="0.25">
      <c r="A163" s="97">
        <v>511</v>
      </c>
      <c r="B163" s="97" t="s">
        <v>586</v>
      </c>
      <c r="C163" s="97" t="s">
        <v>1569</v>
      </c>
      <c r="D163" s="97" t="s">
        <v>736</v>
      </c>
      <c r="F163" s="101">
        <f>'Jurisdictional Study'!F961</f>
        <v>5959887.1456335718</v>
      </c>
      <c r="H163" s="101">
        <f>IF(VLOOKUP($D163,$C$5:$AJ$644,6,)=0,0,((VLOOKUP($D163,$C$5:$AJ$644,6,)/VLOOKUP($D163,$C$5:$AJ$644,4,))*$F163))</f>
        <v>2047498.2334244405</v>
      </c>
      <c r="I163" s="101">
        <f>IF(VLOOKUP($D163,$C$5:$AJ$644,7,)=0,0,((VLOOKUP($D163,$C$5:$AJ$644,7,)/VLOOKUP($D163,$C$5:$AJ$644,4,))*$F163))</f>
        <v>1930131.0250344269</v>
      </c>
      <c r="J163" s="101">
        <f>IF(VLOOKUP($D163,$C$5:$AJ$644,8,)=0,0,((VLOOKUP($D163,$C$5:$AJ$644,8,)/VLOOKUP($D163,$C$5:$AJ$644,4,))*$F163))</f>
        <v>1982257.8871747043</v>
      </c>
      <c r="K163" s="101">
        <f>IF(VLOOKUP($D163,$C$5:$AJ$644,9,)=0,0,((VLOOKUP($D163,$C$5:$AJ$644,9,)/VLOOKUP($D163,$C$5:$AJ$644,4,))*$F163))</f>
        <v>0</v>
      </c>
      <c r="L163" s="101">
        <f>IF(VLOOKUP($D163,$C$5:$AJ$644,10,)=0,0,((VLOOKUP($D163,$C$5:$AJ$644,10,)/VLOOKUP($D163,$C$5:$AJ$644,4,))*$F163))</f>
        <v>0</v>
      </c>
      <c r="M163" s="101">
        <f>IF(VLOOKUP($D163,$C$5:$AJ$644,11,)=0,0,((VLOOKUP($D163,$C$5:$AJ$644,11,)/VLOOKUP($D163,$C$5:$AJ$644,4,))*$F163))</f>
        <v>0</v>
      </c>
      <c r="N163" s="101"/>
      <c r="O163" s="101">
        <f>IF(VLOOKUP($D163,$C$5:$AJ$644,13,)=0,0,((VLOOKUP($D163,$C$5:$AJ$644,13,)/VLOOKUP($D163,$C$5:$AJ$644,4,))*$F163))</f>
        <v>0</v>
      </c>
      <c r="P163" s="101">
        <f>IF(VLOOKUP($D163,$C$5:$AJ$644,14,)=0,0,((VLOOKUP($D163,$C$5:$AJ$644,14,)/VLOOKUP($D163,$C$5:$AJ$644,4,))*$F163))</f>
        <v>0</v>
      </c>
      <c r="Q163" s="101">
        <f>IF(VLOOKUP($D163,$C$5:$AJ$644,15,)=0,0,((VLOOKUP($D163,$C$5:$AJ$644,15,)/VLOOKUP($D163,$C$5:$AJ$644,4,))*$F163))</f>
        <v>0</v>
      </c>
      <c r="R163" s="101"/>
      <c r="S163" s="101">
        <f>IF(VLOOKUP($D163,$C$5:$AJ$644,17,)=0,0,((VLOOKUP($D163,$C$5:$AJ$644,17,)/VLOOKUP($D163,$C$5:$AJ$644,4,))*$F163))</f>
        <v>0</v>
      </c>
      <c r="T163" s="101">
        <f>IF(VLOOKUP($D163,$C$5:$AJ$644,18,)=0,0,((VLOOKUP($D163,$C$5:$AJ$644,18,)/VLOOKUP($D163,$C$5:$AJ$644,4,))*$F163))</f>
        <v>0</v>
      </c>
      <c r="U163" s="101">
        <f>IF(VLOOKUP($D163,$C$5:$AJ$644,19,)=0,0,((VLOOKUP($D163,$C$5:$AJ$644,19,)/VLOOKUP($D163,$C$5:$AJ$644,4,))*$F163))</f>
        <v>0</v>
      </c>
      <c r="V163" s="101">
        <f>IF(VLOOKUP($D163,$C$5:$AJ$644,20,)=0,0,((VLOOKUP($D163,$C$5:$AJ$644,20,)/VLOOKUP($D163,$C$5:$AJ$644,4,))*$F163))</f>
        <v>0</v>
      </c>
      <c r="W163" s="101">
        <f>IF(VLOOKUP($D163,$C$5:$AJ$644,21,)=0,0,((VLOOKUP($D163,$C$5:$AJ$644,21,)/VLOOKUP($D163,$C$5:$AJ$644,4,))*$F163))</f>
        <v>0</v>
      </c>
      <c r="X163" s="101">
        <f>IF(VLOOKUP($D163,$C$5:$AJ$644,22,)=0,0,((VLOOKUP($D163,$C$5:$AJ$644,22,)/VLOOKUP($D163,$C$5:$AJ$644,4,))*$F163))</f>
        <v>0</v>
      </c>
      <c r="Y163" s="101">
        <f>IF(VLOOKUP($D163,$C$5:$AJ$644,23,)=0,0,((VLOOKUP($D163,$C$5:$AJ$644,23,)/VLOOKUP($D163,$C$5:$AJ$644,4,))*$F163))</f>
        <v>0</v>
      </c>
      <c r="Z163" s="101">
        <f>IF(VLOOKUP($D163,$C$5:$AJ$644,24,)=0,0,((VLOOKUP($D163,$C$5:$AJ$644,24,)/VLOOKUP($D163,$C$5:$AJ$644,4,))*$F163))</f>
        <v>0</v>
      </c>
      <c r="AA163" s="101">
        <f>IF(VLOOKUP($D163,$C$5:$AJ$644,25,)=0,0,((VLOOKUP($D163,$C$5:$AJ$644,25,)/VLOOKUP($D163,$C$5:$AJ$644,4,))*$F163))</f>
        <v>0</v>
      </c>
      <c r="AB163" s="101">
        <f>IF(VLOOKUP($D163,$C$5:$AJ$644,26,)=0,0,((VLOOKUP($D163,$C$5:$AJ$644,26,)/VLOOKUP($D163,$C$5:$AJ$644,4,))*$F163))</f>
        <v>0</v>
      </c>
      <c r="AC163" s="101">
        <f>IF(VLOOKUP($D163,$C$5:$AJ$644,27,)=0,0,((VLOOKUP($D163,$C$5:$AJ$644,27,)/VLOOKUP($D163,$C$5:$AJ$644,4,))*$F163))</f>
        <v>0</v>
      </c>
      <c r="AD163" s="101">
        <f>IF(VLOOKUP($D163,$C$5:$AJ$644,28,)=0,0,((VLOOKUP($D163,$C$5:$AJ$644,28,)/VLOOKUP($D163,$C$5:$AJ$644,4,))*$F163))</f>
        <v>0</v>
      </c>
      <c r="AE163" s="101"/>
      <c r="AF163" s="101">
        <f>IF(VLOOKUP($D163,$C$5:$AJ$644,30,)=0,0,((VLOOKUP($D163,$C$5:$AJ$644,30,)/VLOOKUP($D163,$C$5:$AJ$644,4,))*$F163))</f>
        <v>0</v>
      </c>
      <c r="AG163" s="101"/>
      <c r="AH163" s="101">
        <f>IF(VLOOKUP($D163,$C$5:$AJ$644,32,)=0,0,((VLOOKUP($D163,$C$5:$AJ$644,32,)/VLOOKUP($D163,$C$5:$AJ$644,4,))*$F163))</f>
        <v>0</v>
      </c>
      <c r="AI163" s="101"/>
      <c r="AJ163" s="101">
        <f>IF(VLOOKUP($D163,$C$5:$AJ$644,34,)=0,0,((VLOOKUP($D163,$C$5:$AJ$644,34,)/VLOOKUP($D163,$C$5:$AJ$644,4,))*$F163))</f>
        <v>0</v>
      </c>
      <c r="AK163" s="101">
        <f>SUM(H163:AJ163)</f>
        <v>5959887.1456335718</v>
      </c>
      <c r="AL163" s="98" t="str">
        <f>IF(ABS(AK163-F163)&lt;1,"ok","err")</f>
        <v>ok</v>
      </c>
    </row>
    <row r="164" spans="1:38" x14ac:dyDescent="0.25">
      <c r="A164" s="97">
        <v>512</v>
      </c>
      <c r="B164" s="97" t="s">
        <v>1570</v>
      </c>
      <c r="C164" s="97" t="s">
        <v>1572</v>
      </c>
      <c r="D164" s="97" t="s">
        <v>110</v>
      </c>
      <c r="F164" s="101">
        <f>'Jurisdictional Study'!F962-3952858</f>
        <v>40186142.419223778</v>
      </c>
      <c r="H164" s="101">
        <f>IF(VLOOKUP($D164,$C$5:$AJ$644,6,)=0,0,((VLOOKUP($D164,$C$5:$AJ$644,6,)/VLOOKUP($D164,$C$5:$AJ$644,4,))*$F164))</f>
        <v>0</v>
      </c>
      <c r="I164" s="101">
        <f>IF(VLOOKUP($D164,$C$5:$AJ$644,7,)=0,0,((VLOOKUP($D164,$C$5:$AJ$644,7,)/VLOOKUP($D164,$C$5:$AJ$644,4,))*$F164))</f>
        <v>0</v>
      </c>
      <c r="J164" s="101">
        <f>IF(VLOOKUP($D164,$C$5:$AJ$644,8,)=0,0,((VLOOKUP($D164,$C$5:$AJ$644,8,)/VLOOKUP($D164,$C$5:$AJ$644,4,))*$F164))</f>
        <v>0</v>
      </c>
      <c r="K164" s="101">
        <f>IF(VLOOKUP($D164,$C$5:$AJ$644,9,)=0,0,((VLOOKUP($D164,$C$5:$AJ$644,9,)/VLOOKUP($D164,$C$5:$AJ$644,4,))*$F164))</f>
        <v>40186142.419223778</v>
      </c>
      <c r="L164" s="101">
        <f>IF(VLOOKUP($D164,$C$5:$AJ$644,10,)=0,0,((VLOOKUP($D164,$C$5:$AJ$644,10,)/VLOOKUP($D164,$C$5:$AJ$644,4,))*$F164))</f>
        <v>0</v>
      </c>
      <c r="M164" s="101">
        <f>IF(VLOOKUP($D164,$C$5:$AJ$644,11,)=0,0,((VLOOKUP($D164,$C$5:$AJ$644,11,)/VLOOKUP($D164,$C$5:$AJ$644,4,))*$F164))</f>
        <v>0</v>
      </c>
      <c r="N164" s="101"/>
      <c r="O164" s="101">
        <f>IF(VLOOKUP($D164,$C$5:$AJ$644,13,)=0,0,((VLOOKUP($D164,$C$5:$AJ$644,13,)/VLOOKUP($D164,$C$5:$AJ$644,4,))*$F164))</f>
        <v>0</v>
      </c>
      <c r="P164" s="101">
        <f>IF(VLOOKUP($D164,$C$5:$AJ$644,14,)=0,0,((VLOOKUP($D164,$C$5:$AJ$644,14,)/VLOOKUP($D164,$C$5:$AJ$644,4,))*$F164))</f>
        <v>0</v>
      </c>
      <c r="Q164" s="101">
        <f>IF(VLOOKUP($D164,$C$5:$AJ$644,15,)=0,0,((VLOOKUP($D164,$C$5:$AJ$644,15,)/VLOOKUP($D164,$C$5:$AJ$644,4,))*$F164))</f>
        <v>0</v>
      </c>
      <c r="R164" s="101"/>
      <c r="S164" s="101">
        <f>IF(VLOOKUP($D164,$C$5:$AJ$644,17,)=0,0,((VLOOKUP($D164,$C$5:$AJ$644,17,)/VLOOKUP($D164,$C$5:$AJ$644,4,))*$F164))</f>
        <v>0</v>
      </c>
      <c r="T164" s="101">
        <f>IF(VLOOKUP($D164,$C$5:$AJ$644,18,)=0,0,((VLOOKUP($D164,$C$5:$AJ$644,18,)/VLOOKUP($D164,$C$5:$AJ$644,4,))*$F164))</f>
        <v>0</v>
      </c>
      <c r="U164" s="101">
        <f>IF(VLOOKUP($D164,$C$5:$AJ$644,19,)=0,0,((VLOOKUP($D164,$C$5:$AJ$644,19,)/VLOOKUP($D164,$C$5:$AJ$644,4,))*$F164))</f>
        <v>0</v>
      </c>
      <c r="V164" s="101">
        <f>IF(VLOOKUP($D164,$C$5:$AJ$644,20,)=0,0,((VLOOKUP($D164,$C$5:$AJ$644,20,)/VLOOKUP($D164,$C$5:$AJ$644,4,))*$F164))</f>
        <v>0</v>
      </c>
      <c r="W164" s="101">
        <f>IF(VLOOKUP($D164,$C$5:$AJ$644,21,)=0,0,((VLOOKUP($D164,$C$5:$AJ$644,21,)/VLOOKUP($D164,$C$5:$AJ$644,4,))*$F164))</f>
        <v>0</v>
      </c>
      <c r="X164" s="101">
        <f>IF(VLOOKUP($D164,$C$5:$AJ$644,22,)=0,0,((VLOOKUP($D164,$C$5:$AJ$644,22,)/VLOOKUP($D164,$C$5:$AJ$644,4,))*$F164))</f>
        <v>0</v>
      </c>
      <c r="Y164" s="101">
        <f>IF(VLOOKUP($D164,$C$5:$AJ$644,23,)=0,0,((VLOOKUP($D164,$C$5:$AJ$644,23,)/VLOOKUP($D164,$C$5:$AJ$644,4,))*$F164))</f>
        <v>0</v>
      </c>
      <c r="Z164" s="101">
        <f>IF(VLOOKUP($D164,$C$5:$AJ$644,24,)=0,0,((VLOOKUP($D164,$C$5:$AJ$644,24,)/VLOOKUP($D164,$C$5:$AJ$644,4,))*$F164))</f>
        <v>0</v>
      </c>
      <c r="AA164" s="101">
        <f>IF(VLOOKUP($D164,$C$5:$AJ$644,25,)=0,0,((VLOOKUP($D164,$C$5:$AJ$644,25,)/VLOOKUP($D164,$C$5:$AJ$644,4,))*$F164))</f>
        <v>0</v>
      </c>
      <c r="AB164" s="101">
        <f>IF(VLOOKUP($D164,$C$5:$AJ$644,26,)=0,0,((VLOOKUP($D164,$C$5:$AJ$644,26,)/VLOOKUP($D164,$C$5:$AJ$644,4,))*$F164))</f>
        <v>0</v>
      </c>
      <c r="AC164" s="101">
        <f>IF(VLOOKUP($D164,$C$5:$AJ$644,27,)=0,0,((VLOOKUP($D164,$C$5:$AJ$644,27,)/VLOOKUP($D164,$C$5:$AJ$644,4,))*$F164))</f>
        <v>0</v>
      </c>
      <c r="AD164" s="101">
        <f>IF(VLOOKUP($D164,$C$5:$AJ$644,28,)=0,0,((VLOOKUP($D164,$C$5:$AJ$644,28,)/VLOOKUP($D164,$C$5:$AJ$644,4,))*$F164))</f>
        <v>0</v>
      </c>
      <c r="AE164" s="101"/>
      <c r="AF164" s="101">
        <f>IF(VLOOKUP($D164,$C$5:$AJ$644,30,)=0,0,((VLOOKUP($D164,$C$5:$AJ$644,30,)/VLOOKUP($D164,$C$5:$AJ$644,4,))*$F164))</f>
        <v>0</v>
      </c>
      <c r="AG164" s="101"/>
      <c r="AH164" s="101">
        <f>IF(VLOOKUP($D164,$C$5:$AJ$644,32,)=0,0,((VLOOKUP($D164,$C$5:$AJ$644,32,)/VLOOKUP($D164,$C$5:$AJ$644,4,))*$F164))</f>
        <v>0</v>
      </c>
      <c r="AI164" s="101"/>
      <c r="AJ164" s="101">
        <f>IF(VLOOKUP($D164,$C$5:$AJ$644,34,)=0,0,((VLOOKUP($D164,$C$5:$AJ$644,34,)/VLOOKUP($D164,$C$5:$AJ$644,4,))*$F164))</f>
        <v>0</v>
      </c>
      <c r="AK164" s="101">
        <f>SUM(H164:AJ164)</f>
        <v>40186142.419223778</v>
      </c>
      <c r="AL164" s="98" t="str">
        <f>IF(ABS(AK164-F164)&lt;1,"ok","err")</f>
        <v>ok</v>
      </c>
    </row>
    <row r="165" spans="1:38" x14ac:dyDescent="0.25">
      <c r="A165" s="97">
        <v>513</v>
      </c>
      <c r="B165" s="97" t="s">
        <v>1571</v>
      </c>
      <c r="C165" s="97" t="s">
        <v>1573</v>
      </c>
      <c r="D165" s="97" t="s">
        <v>110</v>
      </c>
      <c r="F165" s="101">
        <f>'Jurisdictional Study'!F963</f>
        <v>8270033.1162846461</v>
      </c>
      <c r="H165" s="101">
        <f>IF(VLOOKUP($D165,$C$5:$AJ$644,6,)=0,0,((VLOOKUP($D165,$C$5:$AJ$644,6,)/VLOOKUP($D165,$C$5:$AJ$644,4,))*$F165))</f>
        <v>0</v>
      </c>
      <c r="I165" s="101">
        <f>IF(VLOOKUP($D165,$C$5:$AJ$644,7,)=0,0,((VLOOKUP($D165,$C$5:$AJ$644,7,)/VLOOKUP($D165,$C$5:$AJ$644,4,))*$F165))</f>
        <v>0</v>
      </c>
      <c r="J165" s="101">
        <f>IF(VLOOKUP($D165,$C$5:$AJ$644,8,)=0,0,((VLOOKUP($D165,$C$5:$AJ$644,8,)/VLOOKUP($D165,$C$5:$AJ$644,4,))*$F165))</f>
        <v>0</v>
      </c>
      <c r="K165" s="101">
        <f>IF(VLOOKUP($D165,$C$5:$AJ$644,9,)=0,0,((VLOOKUP($D165,$C$5:$AJ$644,9,)/VLOOKUP($D165,$C$5:$AJ$644,4,))*$F165))</f>
        <v>8270033.1162846461</v>
      </c>
      <c r="L165" s="101">
        <f>IF(VLOOKUP($D165,$C$5:$AJ$644,10,)=0,0,((VLOOKUP($D165,$C$5:$AJ$644,10,)/VLOOKUP($D165,$C$5:$AJ$644,4,))*$F165))</f>
        <v>0</v>
      </c>
      <c r="M165" s="101">
        <f>IF(VLOOKUP($D165,$C$5:$AJ$644,11,)=0,0,((VLOOKUP($D165,$C$5:$AJ$644,11,)/VLOOKUP($D165,$C$5:$AJ$644,4,))*$F165))</f>
        <v>0</v>
      </c>
      <c r="N165" s="101"/>
      <c r="O165" s="101">
        <f>IF(VLOOKUP($D165,$C$5:$AJ$644,13,)=0,0,((VLOOKUP($D165,$C$5:$AJ$644,13,)/VLOOKUP($D165,$C$5:$AJ$644,4,))*$F165))</f>
        <v>0</v>
      </c>
      <c r="P165" s="101">
        <f>IF(VLOOKUP($D165,$C$5:$AJ$644,14,)=0,0,((VLOOKUP($D165,$C$5:$AJ$644,14,)/VLOOKUP($D165,$C$5:$AJ$644,4,))*$F165))</f>
        <v>0</v>
      </c>
      <c r="Q165" s="101">
        <f>IF(VLOOKUP($D165,$C$5:$AJ$644,15,)=0,0,((VLOOKUP($D165,$C$5:$AJ$644,15,)/VLOOKUP($D165,$C$5:$AJ$644,4,))*$F165))</f>
        <v>0</v>
      </c>
      <c r="R165" s="101"/>
      <c r="S165" s="101">
        <f>IF(VLOOKUP($D165,$C$5:$AJ$644,17,)=0,0,((VLOOKUP($D165,$C$5:$AJ$644,17,)/VLOOKUP($D165,$C$5:$AJ$644,4,))*$F165))</f>
        <v>0</v>
      </c>
      <c r="T165" s="101">
        <f>IF(VLOOKUP($D165,$C$5:$AJ$644,18,)=0,0,((VLOOKUP($D165,$C$5:$AJ$644,18,)/VLOOKUP($D165,$C$5:$AJ$644,4,))*$F165))</f>
        <v>0</v>
      </c>
      <c r="U165" s="101">
        <f>IF(VLOOKUP($D165,$C$5:$AJ$644,19,)=0,0,((VLOOKUP($D165,$C$5:$AJ$644,19,)/VLOOKUP($D165,$C$5:$AJ$644,4,))*$F165))</f>
        <v>0</v>
      </c>
      <c r="V165" s="101">
        <f>IF(VLOOKUP($D165,$C$5:$AJ$644,20,)=0,0,((VLOOKUP($D165,$C$5:$AJ$644,20,)/VLOOKUP($D165,$C$5:$AJ$644,4,))*$F165))</f>
        <v>0</v>
      </c>
      <c r="W165" s="101">
        <f>IF(VLOOKUP($D165,$C$5:$AJ$644,21,)=0,0,((VLOOKUP($D165,$C$5:$AJ$644,21,)/VLOOKUP($D165,$C$5:$AJ$644,4,))*$F165))</f>
        <v>0</v>
      </c>
      <c r="X165" s="101">
        <f>IF(VLOOKUP($D165,$C$5:$AJ$644,22,)=0,0,((VLOOKUP($D165,$C$5:$AJ$644,22,)/VLOOKUP($D165,$C$5:$AJ$644,4,))*$F165))</f>
        <v>0</v>
      </c>
      <c r="Y165" s="101">
        <f>IF(VLOOKUP($D165,$C$5:$AJ$644,23,)=0,0,((VLOOKUP($D165,$C$5:$AJ$644,23,)/VLOOKUP($D165,$C$5:$AJ$644,4,))*$F165))</f>
        <v>0</v>
      </c>
      <c r="Z165" s="101">
        <f>IF(VLOOKUP($D165,$C$5:$AJ$644,24,)=0,0,((VLOOKUP($D165,$C$5:$AJ$644,24,)/VLOOKUP($D165,$C$5:$AJ$644,4,))*$F165))</f>
        <v>0</v>
      </c>
      <c r="AA165" s="101">
        <f>IF(VLOOKUP($D165,$C$5:$AJ$644,25,)=0,0,((VLOOKUP($D165,$C$5:$AJ$644,25,)/VLOOKUP($D165,$C$5:$AJ$644,4,))*$F165))</f>
        <v>0</v>
      </c>
      <c r="AB165" s="101">
        <f>IF(VLOOKUP($D165,$C$5:$AJ$644,26,)=0,0,((VLOOKUP($D165,$C$5:$AJ$644,26,)/VLOOKUP($D165,$C$5:$AJ$644,4,))*$F165))</f>
        <v>0</v>
      </c>
      <c r="AC165" s="101">
        <f>IF(VLOOKUP($D165,$C$5:$AJ$644,27,)=0,0,((VLOOKUP($D165,$C$5:$AJ$644,27,)/VLOOKUP($D165,$C$5:$AJ$644,4,))*$F165))</f>
        <v>0</v>
      </c>
      <c r="AD165" s="101">
        <f>IF(VLOOKUP($D165,$C$5:$AJ$644,28,)=0,0,((VLOOKUP($D165,$C$5:$AJ$644,28,)/VLOOKUP($D165,$C$5:$AJ$644,4,))*$F165))</f>
        <v>0</v>
      </c>
      <c r="AE165" s="101"/>
      <c r="AF165" s="101">
        <f>IF(VLOOKUP($D165,$C$5:$AJ$644,30,)=0,0,((VLOOKUP($D165,$C$5:$AJ$644,30,)/VLOOKUP($D165,$C$5:$AJ$644,4,))*$F165))</f>
        <v>0</v>
      </c>
      <c r="AG165" s="101"/>
      <c r="AH165" s="101">
        <f>IF(VLOOKUP($D165,$C$5:$AJ$644,32,)=0,0,((VLOOKUP($D165,$C$5:$AJ$644,32,)/VLOOKUP($D165,$C$5:$AJ$644,4,))*$F165))</f>
        <v>0</v>
      </c>
      <c r="AI165" s="101"/>
      <c r="AJ165" s="101">
        <f>IF(VLOOKUP($D165,$C$5:$AJ$644,34,)=0,0,((VLOOKUP($D165,$C$5:$AJ$644,34,)/VLOOKUP($D165,$C$5:$AJ$644,4,))*$F165))</f>
        <v>0</v>
      </c>
      <c r="AK165" s="101">
        <f>SUM(H165:AJ165)</f>
        <v>8270033.1162846461</v>
      </c>
      <c r="AL165" s="98" t="str">
        <f>IF(ABS(AK165-F165)&lt;1,"ok","err")</f>
        <v>ok</v>
      </c>
    </row>
    <row r="166" spans="1:38" x14ac:dyDescent="0.25">
      <c r="A166" s="97">
        <v>514</v>
      </c>
      <c r="B166" s="97" t="s">
        <v>1574</v>
      </c>
      <c r="C166" s="97" t="s">
        <v>1575</v>
      </c>
      <c r="D166" s="97" t="s">
        <v>110</v>
      </c>
      <c r="F166" s="101">
        <f>'Jurisdictional Study'!F964</f>
        <v>2439522.2018849053</v>
      </c>
      <c r="H166" s="101">
        <f>IF(VLOOKUP($D166,$C$5:$AJ$644,6,)=0,0,((VLOOKUP($D166,$C$5:$AJ$644,6,)/VLOOKUP($D166,$C$5:$AJ$644,4,))*$F166))</f>
        <v>0</v>
      </c>
      <c r="I166" s="101">
        <f>IF(VLOOKUP($D166,$C$5:$AJ$644,7,)=0,0,((VLOOKUP($D166,$C$5:$AJ$644,7,)/VLOOKUP($D166,$C$5:$AJ$644,4,))*$F166))</f>
        <v>0</v>
      </c>
      <c r="J166" s="101">
        <f>IF(VLOOKUP($D166,$C$5:$AJ$644,8,)=0,0,((VLOOKUP($D166,$C$5:$AJ$644,8,)/VLOOKUP($D166,$C$5:$AJ$644,4,))*$F166))</f>
        <v>0</v>
      </c>
      <c r="K166" s="101">
        <f>IF(VLOOKUP($D166,$C$5:$AJ$644,9,)=0,0,((VLOOKUP($D166,$C$5:$AJ$644,9,)/VLOOKUP($D166,$C$5:$AJ$644,4,))*$F166))</f>
        <v>2439522.2018849053</v>
      </c>
      <c r="L166" s="101">
        <f>IF(VLOOKUP($D166,$C$5:$AJ$644,10,)=0,0,((VLOOKUP($D166,$C$5:$AJ$644,10,)/VLOOKUP($D166,$C$5:$AJ$644,4,))*$F166))</f>
        <v>0</v>
      </c>
      <c r="M166" s="101">
        <f>IF(VLOOKUP($D166,$C$5:$AJ$644,11,)=0,0,((VLOOKUP($D166,$C$5:$AJ$644,11,)/VLOOKUP($D166,$C$5:$AJ$644,4,))*$F166))</f>
        <v>0</v>
      </c>
      <c r="N166" s="101"/>
      <c r="O166" s="101">
        <f>IF(VLOOKUP($D166,$C$5:$AJ$644,13,)=0,0,((VLOOKUP($D166,$C$5:$AJ$644,13,)/VLOOKUP($D166,$C$5:$AJ$644,4,))*$F166))</f>
        <v>0</v>
      </c>
      <c r="P166" s="101">
        <f>IF(VLOOKUP($D166,$C$5:$AJ$644,14,)=0,0,((VLOOKUP($D166,$C$5:$AJ$644,14,)/VLOOKUP($D166,$C$5:$AJ$644,4,))*$F166))</f>
        <v>0</v>
      </c>
      <c r="Q166" s="101">
        <f>IF(VLOOKUP($D166,$C$5:$AJ$644,15,)=0,0,((VLOOKUP($D166,$C$5:$AJ$644,15,)/VLOOKUP($D166,$C$5:$AJ$644,4,))*$F166))</f>
        <v>0</v>
      </c>
      <c r="R166" s="101"/>
      <c r="S166" s="101">
        <f>IF(VLOOKUP($D166,$C$5:$AJ$644,17,)=0,0,((VLOOKUP($D166,$C$5:$AJ$644,17,)/VLOOKUP($D166,$C$5:$AJ$644,4,))*$F166))</f>
        <v>0</v>
      </c>
      <c r="T166" s="101">
        <f>IF(VLOOKUP($D166,$C$5:$AJ$644,18,)=0,0,((VLOOKUP($D166,$C$5:$AJ$644,18,)/VLOOKUP($D166,$C$5:$AJ$644,4,))*$F166))</f>
        <v>0</v>
      </c>
      <c r="U166" s="101">
        <f>IF(VLOOKUP($D166,$C$5:$AJ$644,19,)=0,0,((VLOOKUP($D166,$C$5:$AJ$644,19,)/VLOOKUP($D166,$C$5:$AJ$644,4,))*$F166))</f>
        <v>0</v>
      </c>
      <c r="V166" s="101">
        <f>IF(VLOOKUP($D166,$C$5:$AJ$644,20,)=0,0,((VLOOKUP($D166,$C$5:$AJ$644,20,)/VLOOKUP($D166,$C$5:$AJ$644,4,))*$F166))</f>
        <v>0</v>
      </c>
      <c r="W166" s="101">
        <f>IF(VLOOKUP($D166,$C$5:$AJ$644,21,)=0,0,((VLOOKUP($D166,$C$5:$AJ$644,21,)/VLOOKUP($D166,$C$5:$AJ$644,4,))*$F166))</f>
        <v>0</v>
      </c>
      <c r="X166" s="101">
        <f>IF(VLOOKUP($D166,$C$5:$AJ$644,22,)=0,0,((VLOOKUP($D166,$C$5:$AJ$644,22,)/VLOOKUP($D166,$C$5:$AJ$644,4,))*$F166))</f>
        <v>0</v>
      </c>
      <c r="Y166" s="101">
        <f>IF(VLOOKUP($D166,$C$5:$AJ$644,23,)=0,0,((VLOOKUP($D166,$C$5:$AJ$644,23,)/VLOOKUP($D166,$C$5:$AJ$644,4,))*$F166))</f>
        <v>0</v>
      </c>
      <c r="Z166" s="101">
        <f>IF(VLOOKUP($D166,$C$5:$AJ$644,24,)=0,0,((VLOOKUP($D166,$C$5:$AJ$644,24,)/VLOOKUP($D166,$C$5:$AJ$644,4,))*$F166))</f>
        <v>0</v>
      </c>
      <c r="AA166" s="101">
        <f>IF(VLOOKUP($D166,$C$5:$AJ$644,25,)=0,0,((VLOOKUP($D166,$C$5:$AJ$644,25,)/VLOOKUP($D166,$C$5:$AJ$644,4,))*$F166))</f>
        <v>0</v>
      </c>
      <c r="AB166" s="101">
        <f>IF(VLOOKUP($D166,$C$5:$AJ$644,26,)=0,0,((VLOOKUP($D166,$C$5:$AJ$644,26,)/VLOOKUP($D166,$C$5:$AJ$644,4,))*$F166))</f>
        <v>0</v>
      </c>
      <c r="AC166" s="101">
        <f>IF(VLOOKUP($D166,$C$5:$AJ$644,27,)=0,0,((VLOOKUP($D166,$C$5:$AJ$644,27,)/VLOOKUP($D166,$C$5:$AJ$644,4,))*$F166))</f>
        <v>0</v>
      </c>
      <c r="AD166" s="101">
        <f>IF(VLOOKUP($D166,$C$5:$AJ$644,28,)=0,0,((VLOOKUP($D166,$C$5:$AJ$644,28,)/VLOOKUP($D166,$C$5:$AJ$644,4,))*$F166))</f>
        <v>0</v>
      </c>
      <c r="AE166" s="101"/>
      <c r="AF166" s="101">
        <f>IF(VLOOKUP($D166,$C$5:$AJ$644,30,)=0,0,((VLOOKUP($D166,$C$5:$AJ$644,30,)/VLOOKUP($D166,$C$5:$AJ$644,4,))*$F166))</f>
        <v>0</v>
      </c>
      <c r="AG166" s="101"/>
      <c r="AH166" s="101">
        <f>IF(VLOOKUP($D166,$C$5:$AJ$644,32,)=0,0,((VLOOKUP($D166,$C$5:$AJ$644,32,)/VLOOKUP($D166,$C$5:$AJ$644,4,))*$F166))</f>
        <v>0</v>
      </c>
      <c r="AI166" s="101"/>
      <c r="AJ166" s="101">
        <f>IF(VLOOKUP($D166,$C$5:$AJ$644,34,)=0,0,((VLOOKUP($D166,$C$5:$AJ$644,34,)/VLOOKUP($D166,$C$5:$AJ$644,4,))*$F166))</f>
        <v>0</v>
      </c>
      <c r="AK166" s="101">
        <f>SUM(H166:AJ166)</f>
        <v>2439522.2018849053</v>
      </c>
      <c r="AL166" s="98" t="str">
        <f>IF(ABS(AK166-F166)&lt;1,"ok","err")</f>
        <v>ok</v>
      </c>
    </row>
    <row r="167" spans="1:38" x14ac:dyDescent="0.25">
      <c r="F167" s="100"/>
      <c r="Y167" s="97"/>
      <c r="AK167" s="101"/>
      <c r="AL167" s="98"/>
    </row>
    <row r="168" spans="1:38" x14ac:dyDescent="0.25">
      <c r="B168" s="97" t="s">
        <v>1576</v>
      </c>
      <c r="F168" s="100">
        <f>SUM(F162:F167)</f>
        <v>67117334.925788</v>
      </c>
      <c r="H168" s="100">
        <f t="shared" ref="H168:M168" si="115">SUM(H162:H167)</f>
        <v>2387583.6238140143</v>
      </c>
      <c r="I168" s="100">
        <f t="shared" si="115"/>
        <v>2250721.9551931387</v>
      </c>
      <c r="J168" s="100">
        <f t="shared" si="115"/>
        <v>2311506.9856147682</v>
      </c>
      <c r="K168" s="100">
        <f t="shared" si="115"/>
        <v>60167522.361166075</v>
      </c>
      <c r="L168" s="100">
        <f t="shared" si="115"/>
        <v>0</v>
      </c>
      <c r="M168" s="100">
        <f t="shared" si="115"/>
        <v>0</v>
      </c>
      <c r="O168" s="100">
        <f>SUM(O162:O167)</f>
        <v>0</v>
      </c>
      <c r="P168" s="100">
        <f>SUM(P162:P167)</f>
        <v>0</v>
      </c>
      <c r="Q168" s="100">
        <f>SUM(Q162:Q167)</f>
        <v>0</v>
      </c>
      <c r="S168" s="100">
        <f t="shared" ref="S168:AD168" si="116">SUM(S162:S167)</f>
        <v>0</v>
      </c>
      <c r="T168" s="100">
        <f t="shared" si="116"/>
        <v>0</v>
      </c>
      <c r="U168" s="100">
        <f t="shared" si="116"/>
        <v>0</v>
      </c>
      <c r="V168" s="100">
        <f t="shared" si="116"/>
        <v>0</v>
      </c>
      <c r="W168" s="100">
        <f t="shared" si="116"/>
        <v>0</v>
      </c>
      <c r="X168" s="100">
        <f t="shared" si="116"/>
        <v>0</v>
      </c>
      <c r="Y168" s="100">
        <f t="shared" si="116"/>
        <v>0</v>
      </c>
      <c r="Z168" s="100">
        <f t="shared" si="116"/>
        <v>0</v>
      </c>
      <c r="AA168" s="100">
        <f t="shared" si="116"/>
        <v>0</v>
      </c>
      <c r="AB168" s="100">
        <f t="shared" si="116"/>
        <v>0</v>
      </c>
      <c r="AC168" s="100">
        <f t="shared" si="116"/>
        <v>0</v>
      </c>
      <c r="AD168" s="100">
        <f t="shared" si="116"/>
        <v>0</v>
      </c>
      <c r="AF168" s="100">
        <f>SUM(AF162:AF167)</f>
        <v>0</v>
      </c>
      <c r="AH168" s="100">
        <f>SUM(AH162:AH167)</f>
        <v>0</v>
      </c>
      <c r="AJ168" s="100">
        <f>SUM(AJ162:AJ167)</f>
        <v>0</v>
      </c>
      <c r="AK168" s="101">
        <f>SUM(H168:AJ168)</f>
        <v>67117334.925788</v>
      </c>
      <c r="AL168" s="98" t="str">
        <f>IF(ABS(AK168-F168)&lt;1,"ok","err")</f>
        <v>ok</v>
      </c>
    </row>
    <row r="169" spans="1:38" x14ac:dyDescent="0.25">
      <c r="F169" s="100"/>
      <c r="H169" s="100"/>
      <c r="I169" s="100"/>
      <c r="J169" s="100"/>
      <c r="K169" s="100"/>
      <c r="L169" s="100"/>
      <c r="M169" s="100"/>
      <c r="O169" s="100"/>
      <c r="P169" s="100"/>
      <c r="Q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F169" s="100"/>
      <c r="AH169" s="100"/>
      <c r="AJ169" s="100"/>
      <c r="AK169" s="101"/>
      <c r="AL169" s="98"/>
    </row>
    <row r="170" spans="1:38" x14ac:dyDescent="0.25">
      <c r="B170" s="97" t="s">
        <v>1577</v>
      </c>
      <c r="F170" s="100">
        <f>F159+F168</f>
        <v>486357101.17492968</v>
      </c>
      <c r="H170" s="100">
        <f t="shared" ref="H170:M170" si="117">H159+H168</f>
        <v>15009650.171617081</v>
      </c>
      <c r="I170" s="100">
        <f t="shared" si="117"/>
        <v>14149263.231694285</v>
      </c>
      <c r="J170" s="100">
        <f t="shared" si="117"/>
        <v>14531391.016957913</v>
      </c>
      <c r="K170" s="100">
        <f t="shared" si="117"/>
        <v>442666796.75466037</v>
      </c>
      <c r="L170" s="100">
        <f t="shared" si="117"/>
        <v>0</v>
      </c>
      <c r="M170" s="100">
        <f t="shared" si="117"/>
        <v>0</v>
      </c>
      <c r="O170" s="100">
        <f>O159+O168</f>
        <v>0</v>
      </c>
      <c r="P170" s="100">
        <f>P159+P168</f>
        <v>0</v>
      </c>
      <c r="Q170" s="100">
        <f>Q159+Q168</f>
        <v>0</v>
      </c>
      <c r="S170" s="100">
        <f t="shared" ref="S170:AD170" si="118">S159+S168</f>
        <v>0</v>
      </c>
      <c r="T170" s="100">
        <f t="shared" si="118"/>
        <v>0</v>
      </c>
      <c r="U170" s="100">
        <f t="shared" si="118"/>
        <v>0</v>
      </c>
      <c r="V170" s="100">
        <f t="shared" si="118"/>
        <v>0</v>
      </c>
      <c r="W170" s="100">
        <f t="shared" si="118"/>
        <v>0</v>
      </c>
      <c r="X170" s="100">
        <f t="shared" si="118"/>
        <v>0</v>
      </c>
      <c r="Y170" s="100">
        <f t="shared" si="118"/>
        <v>0</v>
      </c>
      <c r="Z170" s="100">
        <f t="shared" si="118"/>
        <v>0</v>
      </c>
      <c r="AA170" s="100">
        <f t="shared" si="118"/>
        <v>0</v>
      </c>
      <c r="AB170" s="100">
        <f t="shared" si="118"/>
        <v>0</v>
      </c>
      <c r="AC170" s="100">
        <f t="shared" si="118"/>
        <v>0</v>
      </c>
      <c r="AD170" s="100">
        <f t="shared" si="118"/>
        <v>0</v>
      </c>
      <c r="AF170" s="100">
        <f>AF159+AF168</f>
        <v>0</v>
      </c>
      <c r="AH170" s="100">
        <f>AH159+AH168</f>
        <v>0</v>
      </c>
      <c r="AJ170" s="100">
        <f>AJ159+AJ168</f>
        <v>0</v>
      </c>
      <c r="AK170" s="101">
        <f>SUM(H170:AJ170)</f>
        <v>486357101.17492962</v>
      </c>
      <c r="AL170" s="98" t="str">
        <f>IF(ABS(AK170-F170)&lt;1,"ok","err")</f>
        <v>ok</v>
      </c>
    </row>
    <row r="171" spans="1:38" x14ac:dyDescent="0.25">
      <c r="F171" s="100"/>
      <c r="Y171" s="97"/>
      <c r="AL171" s="98"/>
    </row>
    <row r="172" spans="1:38" x14ac:dyDescent="0.25">
      <c r="A172" s="24" t="s">
        <v>1667</v>
      </c>
      <c r="Y172" s="97"/>
      <c r="AL172" s="98"/>
    </row>
    <row r="173" spans="1:38" x14ac:dyDescent="0.25">
      <c r="A173" s="112">
        <v>535</v>
      </c>
      <c r="B173" s="97" t="s">
        <v>1555</v>
      </c>
      <c r="C173" s="97" t="s">
        <v>1676</v>
      </c>
      <c r="D173" s="97" t="s">
        <v>737</v>
      </c>
      <c r="F173" s="100">
        <f>'Jurisdictional Study'!F970</f>
        <v>0</v>
      </c>
      <c r="H173" s="101">
        <f t="shared" ref="H173:H178" si="119">IF(VLOOKUP($D173,$C$5:$AJ$644,6,)=0,0,((VLOOKUP($D173,$C$5:$AJ$644,6,)/VLOOKUP($D173,$C$5:$AJ$644,4,))*$F173))</f>
        <v>0</v>
      </c>
      <c r="I173" s="101">
        <f t="shared" ref="I173:I178" si="120">IF(VLOOKUP($D173,$C$5:$AJ$644,7,)=0,0,((VLOOKUP($D173,$C$5:$AJ$644,7,)/VLOOKUP($D173,$C$5:$AJ$644,4,))*$F173))</f>
        <v>0</v>
      </c>
      <c r="J173" s="101">
        <f t="shared" ref="J173:J178" si="121">IF(VLOOKUP($D173,$C$5:$AJ$644,8,)=0,0,((VLOOKUP($D173,$C$5:$AJ$644,8,)/VLOOKUP($D173,$C$5:$AJ$644,4,))*$F173))</f>
        <v>0</v>
      </c>
      <c r="K173" s="101">
        <f t="shared" ref="K173:K178" si="122">IF(VLOOKUP($D173,$C$5:$AJ$644,9,)=0,0,((VLOOKUP($D173,$C$5:$AJ$644,9,)/VLOOKUP($D173,$C$5:$AJ$644,4,))*$F173))</f>
        <v>0</v>
      </c>
      <c r="L173" s="101">
        <f t="shared" ref="L173:L178" si="123">IF(VLOOKUP($D173,$C$5:$AJ$644,10,)=0,0,((VLOOKUP($D173,$C$5:$AJ$644,10,)/VLOOKUP($D173,$C$5:$AJ$644,4,))*$F173))</f>
        <v>0</v>
      </c>
      <c r="M173" s="101">
        <f t="shared" ref="M173:M178" si="124">IF(VLOOKUP($D173,$C$5:$AJ$644,11,)=0,0,((VLOOKUP($D173,$C$5:$AJ$644,11,)/VLOOKUP($D173,$C$5:$AJ$644,4,))*$F173))</f>
        <v>0</v>
      </c>
      <c r="N173" s="101"/>
      <c r="O173" s="101">
        <f t="shared" ref="O173:O178" si="125">IF(VLOOKUP($D173,$C$5:$AJ$644,13,)=0,0,((VLOOKUP($D173,$C$5:$AJ$644,13,)/VLOOKUP($D173,$C$5:$AJ$644,4,))*$F173))</f>
        <v>0</v>
      </c>
      <c r="P173" s="101">
        <f t="shared" ref="P173:P178" si="126">IF(VLOOKUP($D173,$C$5:$AJ$644,14,)=0,0,((VLOOKUP($D173,$C$5:$AJ$644,14,)/VLOOKUP($D173,$C$5:$AJ$644,4,))*$F173))</f>
        <v>0</v>
      </c>
      <c r="Q173" s="101">
        <f t="shared" ref="Q173:Q178" si="127">IF(VLOOKUP($D173,$C$5:$AJ$644,15,)=0,0,((VLOOKUP($D173,$C$5:$AJ$644,15,)/VLOOKUP($D173,$C$5:$AJ$644,4,))*$F173))</f>
        <v>0</v>
      </c>
      <c r="R173" s="101"/>
      <c r="S173" s="101">
        <f t="shared" ref="S173:S178" si="128">IF(VLOOKUP($D173,$C$5:$AJ$644,17,)=0,0,((VLOOKUP($D173,$C$5:$AJ$644,17,)/VLOOKUP($D173,$C$5:$AJ$644,4,))*$F173))</f>
        <v>0</v>
      </c>
      <c r="T173" s="101">
        <f t="shared" ref="T173:T178" si="129">IF(VLOOKUP($D173,$C$5:$AJ$644,18,)=0,0,((VLOOKUP($D173,$C$5:$AJ$644,18,)/VLOOKUP($D173,$C$5:$AJ$644,4,))*$F173))</f>
        <v>0</v>
      </c>
      <c r="U173" s="101">
        <f t="shared" ref="U173:U178" si="130">IF(VLOOKUP($D173,$C$5:$AJ$644,19,)=0,0,((VLOOKUP($D173,$C$5:$AJ$644,19,)/VLOOKUP($D173,$C$5:$AJ$644,4,))*$F173))</f>
        <v>0</v>
      </c>
      <c r="V173" s="101">
        <f t="shared" ref="V173:V178" si="131">IF(VLOOKUP($D173,$C$5:$AJ$644,20,)=0,0,((VLOOKUP($D173,$C$5:$AJ$644,20,)/VLOOKUP($D173,$C$5:$AJ$644,4,))*$F173))</f>
        <v>0</v>
      </c>
      <c r="W173" s="101">
        <f t="shared" ref="W173:W178" si="132">IF(VLOOKUP($D173,$C$5:$AJ$644,21,)=0,0,((VLOOKUP($D173,$C$5:$AJ$644,21,)/VLOOKUP($D173,$C$5:$AJ$644,4,))*$F173))</f>
        <v>0</v>
      </c>
      <c r="X173" s="101">
        <f t="shared" ref="X173:X178" si="133">IF(VLOOKUP($D173,$C$5:$AJ$644,22,)=0,0,((VLOOKUP($D173,$C$5:$AJ$644,22,)/VLOOKUP($D173,$C$5:$AJ$644,4,))*$F173))</f>
        <v>0</v>
      </c>
      <c r="Y173" s="101">
        <f t="shared" ref="Y173:Y178" si="134">IF(VLOOKUP($D173,$C$5:$AJ$644,23,)=0,0,((VLOOKUP($D173,$C$5:$AJ$644,23,)/VLOOKUP($D173,$C$5:$AJ$644,4,))*$F173))</f>
        <v>0</v>
      </c>
      <c r="Z173" s="101">
        <f t="shared" ref="Z173:Z178" si="135">IF(VLOOKUP($D173,$C$5:$AJ$644,24,)=0,0,((VLOOKUP($D173,$C$5:$AJ$644,24,)/VLOOKUP($D173,$C$5:$AJ$644,4,))*$F173))</f>
        <v>0</v>
      </c>
      <c r="AA173" s="101">
        <f t="shared" ref="AA173:AA178" si="136">IF(VLOOKUP($D173,$C$5:$AJ$644,25,)=0,0,((VLOOKUP($D173,$C$5:$AJ$644,25,)/VLOOKUP($D173,$C$5:$AJ$644,4,))*$F173))</f>
        <v>0</v>
      </c>
      <c r="AB173" s="101">
        <f t="shared" ref="AB173:AB178" si="137">IF(VLOOKUP($D173,$C$5:$AJ$644,26,)=0,0,((VLOOKUP($D173,$C$5:$AJ$644,26,)/VLOOKUP($D173,$C$5:$AJ$644,4,))*$F173))</f>
        <v>0</v>
      </c>
      <c r="AC173" s="101">
        <f t="shared" ref="AC173:AC178" si="138">IF(VLOOKUP($D173,$C$5:$AJ$644,27,)=0,0,((VLOOKUP($D173,$C$5:$AJ$644,27,)/VLOOKUP($D173,$C$5:$AJ$644,4,))*$F173))</f>
        <v>0</v>
      </c>
      <c r="AD173" s="101">
        <f t="shared" ref="AD173:AD178" si="139">IF(VLOOKUP($D173,$C$5:$AJ$644,28,)=0,0,((VLOOKUP($D173,$C$5:$AJ$644,28,)/VLOOKUP($D173,$C$5:$AJ$644,4,))*$F173))</f>
        <v>0</v>
      </c>
      <c r="AE173" s="101"/>
      <c r="AF173" s="101">
        <f t="shared" ref="AF173:AF178" si="140">IF(VLOOKUP($D173,$C$5:$AJ$644,30,)=0,0,((VLOOKUP($D173,$C$5:$AJ$644,30,)/VLOOKUP($D173,$C$5:$AJ$644,4,))*$F173))</f>
        <v>0</v>
      </c>
      <c r="AG173" s="101"/>
      <c r="AH173" s="101">
        <f t="shared" ref="AH173:AH178" si="141">IF(VLOOKUP($D173,$C$5:$AJ$644,32,)=0,0,((VLOOKUP($D173,$C$5:$AJ$644,32,)/VLOOKUP($D173,$C$5:$AJ$644,4,))*$F173))</f>
        <v>0</v>
      </c>
      <c r="AI173" s="101"/>
      <c r="AJ173" s="101">
        <f t="shared" ref="AJ173:AJ178" si="142">IF(VLOOKUP($D173,$C$5:$AJ$644,34,)=0,0,((VLOOKUP($D173,$C$5:$AJ$644,34,)/VLOOKUP($D173,$C$5:$AJ$644,4,))*$F173))</f>
        <v>0</v>
      </c>
      <c r="AK173" s="101">
        <f t="shared" ref="AK173:AK178" si="143">SUM(H173:AJ173)</f>
        <v>0</v>
      </c>
      <c r="AL173" s="98" t="str">
        <f t="shared" ref="AL173:AL178" si="144">IF(ABS(AK173-F173)&lt;1,"ok","err")</f>
        <v>ok</v>
      </c>
    </row>
    <row r="174" spans="1:38" x14ac:dyDescent="0.25">
      <c r="A174" s="113">
        <v>536</v>
      </c>
      <c r="B174" s="97" t="s">
        <v>1674</v>
      </c>
      <c r="C174" s="97" t="s">
        <v>1677</v>
      </c>
      <c r="D174" s="97" t="s">
        <v>736</v>
      </c>
      <c r="F174" s="101">
        <f>'Jurisdictional Study'!F971</f>
        <v>0</v>
      </c>
      <c r="H174" s="101">
        <f t="shared" si="119"/>
        <v>0</v>
      </c>
      <c r="I174" s="101">
        <f t="shared" si="120"/>
        <v>0</v>
      </c>
      <c r="J174" s="101">
        <f t="shared" si="121"/>
        <v>0</v>
      </c>
      <c r="K174" s="101">
        <f t="shared" si="122"/>
        <v>0</v>
      </c>
      <c r="L174" s="101">
        <f t="shared" si="123"/>
        <v>0</v>
      </c>
      <c r="M174" s="101">
        <f t="shared" si="124"/>
        <v>0</v>
      </c>
      <c r="N174" s="101"/>
      <c r="O174" s="101">
        <f t="shared" si="125"/>
        <v>0</v>
      </c>
      <c r="P174" s="101">
        <f t="shared" si="126"/>
        <v>0</v>
      </c>
      <c r="Q174" s="101">
        <f t="shared" si="127"/>
        <v>0</v>
      </c>
      <c r="R174" s="101"/>
      <c r="S174" s="101">
        <f t="shared" si="128"/>
        <v>0</v>
      </c>
      <c r="T174" s="101">
        <f t="shared" si="129"/>
        <v>0</v>
      </c>
      <c r="U174" s="101">
        <f t="shared" si="130"/>
        <v>0</v>
      </c>
      <c r="V174" s="101">
        <f t="shared" si="131"/>
        <v>0</v>
      </c>
      <c r="W174" s="101">
        <f t="shared" si="132"/>
        <v>0</v>
      </c>
      <c r="X174" s="101">
        <f t="shared" si="133"/>
        <v>0</v>
      </c>
      <c r="Y174" s="101">
        <f t="shared" si="134"/>
        <v>0</v>
      </c>
      <c r="Z174" s="101">
        <f t="shared" si="135"/>
        <v>0</v>
      </c>
      <c r="AA174" s="101">
        <f t="shared" si="136"/>
        <v>0</v>
      </c>
      <c r="AB174" s="101">
        <f t="shared" si="137"/>
        <v>0</v>
      </c>
      <c r="AC174" s="101">
        <f t="shared" si="138"/>
        <v>0</v>
      </c>
      <c r="AD174" s="101">
        <f t="shared" si="139"/>
        <v>0</v>
      </c>
      <c r="AE174" s="101"/>
      <c r="AF174" s="101">
        <f t="shared" si="140"/>
        <v>0</v>
      </c>
      <c r="AG174" s="101"/>
      <c r="AH174" s="101">
        <f t="shared" si="141"/>
        <v>0</v>
      </c>
      <c r="AI174" s="101"/>
      <c r="AJ174" s="101">
        <f t="shared" si="142"/>
        <v>0</v>
      </c>
      <c r="AK174" s="101">
        <f t="shared" si="143"/>
        <v>0</v>
      </c>
      <c r="AL174" s="98" t="str">
        <f t="shared" si="144"/>
        <v>ok</v>
      </c>
    </row>
    <row r="175" spans="1:38" x14ac:dyDescent="0.25">
      <c r="A175" s="97">
        <v>537</v>
      </c>
      <c r="B175" s="97" t="s">
        <v>1673</v>
      </c>
      <c r="C175" s="97" t="s">
        <v>1678</v>
      </c>
      <c r="D175" s="97" t="s">
        <v>736</v>
      </c>
      <c r="F175" s="101">
        <f>'Jurisdictional Study'!F972</f>
        <v>0</v>
      </c>
      <c r="H175" s="101">
        <f t="shared" si="119"/>
        <v>0</v>
      </c>
      <c r="I175" s="101">
        <f t="shared" si="120"/>
        <v>0</v>
      </c>
      <c r="J175" s="101">
        <f t="shared" si="121"/>
        <v>0</v>
      </c>
      <c r="K175" s="101">
        <f t="shared" si="122"/>
        <v>0</v>
      </c>
      <c r="L175" s="101">
        <f t="shared" si="123"/>
        <v>0</v>
      </c>
      <c r="M175" s="101">
        <f t="shared" si="124"/>
        <v>0</v>
      </c>
      <c r="N175" s="101"/>
      <c r="O175" s="101">
        <f t="shared" si="125"/>
        <v>0</v>
      </c>
      <c r="P175" s="101">
        <f t="shared" si="126"/>
        <v>0</v>
      </c>
      <c r="Q175" s="101">
        <f t="shared" si="127"/>
        <v>0</v>
      </c>
      <c r="R175" s="101"/>
      <c r="S175" s="101">
        <f t="shared" si="128"/>
        <v>0</v>
      </c>
      <c r="T175" s="101">
        <f t="shared" si="129"/>
        <v>0</v>
      </c>
      <c r="U175" s="101">
        <f t="shared" si="130"/>
        <v>0</v>
      </c>
      <c r="V175" s="101">
        <f t="shared" si="131"/>
        <v>0</v>
      </c>
      <c r="W175" s="101">
        <f t="shared" si="132"/>
        <v>0</v>
      </c>
      <c r="X175" s="101">
        <f t="shared" si="133"/>
        <v>0</v>
      </c>
      <c r="Y175" s="101">
        <f t="shared" si="134"/>
        <v>0</v>
      </c>
      <c r="Z175" s="101">
        <f t="shared" si="135"/>
        <v>0</v>
      </c>
      <c r="AA175" s="101">
        <f t="shared" si="136"/>
        <v>0</v>
      </c>
      <c r="AB175" s="101">
        <f t="shared" si="137"/>
        <v>0</v>
      </c>
      <c r="AC175" s="101">
        <f t="shared" si="138"/>
        <v>0</v>
      </c>
      <c r="AD175" s="101">
        <f t="shared" si="139"/>
        <v>0</v>
      </c>
      <c r="AE175" s="101"/>
      <c r="AF175" s="101">
        <f t="shared" si="140"/>
        <v>0</v>
      </c>
      <c r="AG175" s="101"/>
      <c r="AH175" s="101">
        <f t="shared" si="141"/>
        <v>0</v>
      </c>
      <c r="AI175" s="101"/>
      <c r="AJ175" s="101">
        <f t="shared" si="142"/>
        <v>0</v>
      </c>
      <c r="AK175" s="101">
        <f t="shared" si="143"/>
        <v>0</v>
      </c>
      <c r="AL175" s="98" t="str">
        <f t="shared" si="144"/>
        <v>ok</v>
      </c>
    </row>
    <row r="176" spans="1:38" x14ac:dyDescent="0.25">
      <c r="A176" s="111">
        <v>538</v>
      </c>
      <c r="B176" s="97" t="s">
        <v>1561</v>
      </c>
      <c r="C176" s="97" t="s">
        <v>1679</v>
      </c>
      <c r="D176" s="97" t="s">
        <v>736</v>
      </c>
      <c r="F176" s="101">
        <f>'Jurisdictional Study'!F973</f>
        <v>0</v>
      </c>
      <c r="H176" s="101">
        <f t="shared" si="119"/>
        <v>0</v>
      </c>
      <c r="I176" s="101">
        <f t="shared" si="120"/>
        <v>0</v>
      </c>
      <c r="J176" s="101">
        <f t="shared" si="121"/>
        <v>0</v>
      </c>
      <c r="K176" s="101">
        <f t="shared" si="122"/>
        <v>0</v>
      </c>
      <c r="L176" s="101">
        <f t="shared" si="123"/>
        <v>0</v>
      </c>
      <c r="M176" s="101">
        <f t="shared" si="124"/>
        <v>0</v>
      </c>
      <c r="N176" s="101"/>
      <c r="O176" s="101">
        <f t="shared" si="125"/>
        <v>0</v>
      </c>
      <c r="P176" s="101">
        <f t="shared" si="126"/>
        <v>0</v>
      </c>
      <c r="Q176" s="101">
        <f t="shared" si="127"/>
        <v>0</v>
      </c>
      <c r="R176" s="101"/>
      <c r="S176" s="101">
        <f t="shared" si="128"/>
        <v>0</v>
      </c>
      <c r="T176" s="101">
        <f t="shared" si="129"/>
        <v>0</v>
      </c>
      <c r="U176" s="101">
        <f t="shared" si="130"/>
        <v>0</v>
      </c>
      <c r="V176" s="101">
        <f t="shared" si="131"/>
        <v>0</v>
      </c>
      <c r="W176" s="101">
        <f t="shared" si="132"/>
        <v>0</v>
      </c>
      <c r="X176" s="101">
        <f t="shared" si="133"/>
        <v>0</v>
      </c>
      <c r="Y176" s="101">
        <f t="shared" si="134"/>
        <v>0</v>
      </c>
      <c r="Z176" s="101">
        <f t="shared" si="135"/>
        <v>0</v>
      </c>
      <c r="AA176" s="101">
        <f t="shared" si="136"/>
        <v>0</v>
      </c>
      <c r="AB176" s="101">
        <f t="shared" si="137"/>
        <v>0</v>
      </c>
      <c r="AC176" s="101">
        <f t="shared" si="138"/>
        <v>0</v>
      </c>
      <c r="AD176" s="101">
        <f t="shared" si="139"/>
        <v>0</v>
      </c>
      <c r="AE176" s="101"/>
      <c r="AF176" s="101">
        <f t="shared" si="140"/>
        <v>0</v>
      </c>
      <c r="AG176" s="101"/>
      <c r="AH176" s="101">
        <f t="shared" si="141"/>
        <v>0</v>
      </c>
      <c r="AI176" s="101"/>
      <c r="AJ176" s="101">
        <f t="shared" si="142"/>
        <v>0</v>
      </c>
      <c r="AK176" s="101">
        <f>SUM(H176:AJ176)</f>
        <v>0</v>
      </c>
      <c r="AL176" s="98" t="str">
        <f>IF(ABS(AK176-F176)&lt;1,"ok","err")</f>
        <v>ok</v>
      </c>
    </row>
    <row r="177" spans="1:38" x14ac:dyDescent="0.25">
      <c r="A177" s="97">
        <v>539</v>
      </c>
      <c r="B177" s="97" t="s">
        <v>676</v>
      </c>
      <c r="C177" s="97" t="s">
        <v>1680</v>
      </c>
      <c r="D177" s="97" t="s">
        <v>736</v>
      </c>
      <c r="F177" s="101">
        <f>'Jurisdictional Study'!F974</f>
        <v>8522.7845649540959</v>
      </c>
      <c r="H177" s="101">
        <f t="shared" si="119"/>
        <v>2927.9726132709379</v>
      </c>
      <c r="I177" s="101">
        <f t="shared" si="120"/>
        <v>2760.1346311656876</v>
      </c>
      <c r="J177" s="101">
        <f t="shared" si="121"/>
        <v>2834.6773205174704</v>
      </c>
      <c r="K177" s="101">
        <f t="shared" si="122"/>
        <v>0</v>
      </c>
      <c r="L177" s="101">
        <f t="shared" si="123"/>
        <v>0</v>
      </c>
      <c r="M177" s="101">
        <f t="shared" si="124"/>
        <v>0</v>
      </c>
      <c r="N177" s="101"/>
      <c r="O177" s="101">
        <f t="shared" si="125"/>
        <v>0</v>
      </c>
      <c r="P177" s="101">
        <f t="shared" si="126"/>
        <v>0</v>
      </c>
      <c r="Q177" s="101">
        <f t="shared" si="127"/>
        <v>0</v>
      </c>
      <c r="R177" s="101"/>
      <c r="S177" s="101">
        <f t="shared" si="128"/>
        <v>0</v>
      </c>
      <c r="T177" s="101">
        <f t="shared" si="129"/>
        <v>0</v>
      </c>
      <c r="U177" s="101">
        <f t="shared" si="130"/>
        <v>0</v>
      </c>
      <c r="V177" s="101">
        <f t="shared" si="131"/>
        <v>0</v>
      </c>
      <c r="W177" s="101">
        <f t="shared" si="132"/>
        <v>0</v>
      </c>
      <c r="X177" s="101">
        <f t="shared" si="133"/>
        <v>0</v>
      </c>
      <c r="Y177" s="101">
        <f t="shared" si="134"/>
        <v>0</v>
      </c>
      <c r="Z177" s="101">
        <f t="shared" si="135"/>
        <v>0</v>
      </c>
      <c r="AA177" s="101">
        <f t="shared" si="136"/>
        <v>0</v>
      </c>
      <c r="AB177" s="101">
        <f t="shared" si="137"/>
        <v>0</v>
      </c>
      <c r="AC177" s="101">
        <f t="shared" si="138"/>
        <v>0</v>
      </c>
      <c r="AD177" s="101">
        <f t="shared" si="139"/>
        <v>0</v>
      </c>
      <c r="AE177" s="101"/>
      <c r="AF177" s="101">
        <f t="shared" si="140"/>
        <v>0</v>
      </c>
      <c r="AG177" s="101"/>
      <c r="AH177" s="101">
        <f t="shared" si="141"/>
        <v>0</v>
      </c>
      <c r="AI177" s="101"/>
      <c r="AJ177" s="101">
        <f t="shared" si="142"/>
        <v>0</v>
      </c>
      <c r="AK177" s="101">
        <f t="shared" si="143"/>
        <v>8522.7845649540959</v>
      </c>
      <c r="AL177" s="98" t="str">
        <f t="shared" si="144"/>
        <v>ok</v>
      </c>
    </row>
    <row r="178" spans="1:38" x14ac:dyDescent="0.25">
      <c r="A178" s="111">
        <v>540</v>
      </c>
      <c r="B178" s="97" t="s">
        <v>373</v>
      </c>
      <c r="D178" s="97" t="s">
        <v>736</v>
      </c>
      <c r="F178" s="101">
        <f>'Jurisdictional Study'!F975</f>
        <v>0</v>
      </c>
      <c r="H178" s="101">
        <f t="shared" si="119"/>
        <v>0</v>
      </c>
      <c r="I178" s="101">
        <f t="shared" si="120"/>
        <v>0</v>
      </c>
      <c r="J178" s="101">
        <f t="shared" si="121"/>
        <v>0</v>
      </c>
      <c r="K178" s="101">
        <f t="shared" si="122"/>
        <v>0</v>
      </c>
      <c r="L178" s="101">
        <f t="shared" si="123"/>
        <v>0</v>
      </c>
      <c r="M178" s="101">
        <f t="shared" si="124"/>
        <v>0</v>
      </c>
      <c r="N178" s="101"/>
      <c r="O178" s="101">
        <f t="shared" si="125"/>
        <v>0</v>
      </c>
      <c r="P178" s="101">
        <f t="shared" si="126"/>
        <v>0</v>
      </c>
      <c r="Q178" s="101">
        <f t="shared" si="127"/>
        <v>0</v>
      </c>
      <c r="R178" s="101"/>
      <c r="S178" s="101">
        <f t="shared" si="128"/>
        <v>0</v>
      </c>
      <c r="T178" s="101">
        <f t="shared" si="129"/>
        <v>0</v>
      </c>
      <c r="U178" s="101">
        <f t="shared" si="130"/>
        <v>0</v>
      </c>
      <c r="V178" s="101">
        <f t="shared" si="131"/>
        <v>0</v>
      </c>
      <c r="W178" s="101">
        <f t="shared" si="132"/>
        <v>0</v>
      </c>
      <c r="X178" s="101">
        <f t="shared" si="133"/>
        <v>0</v>
      </c>
      <c r="Y178" s="101">
        <f t="shared" si="134"/>
        <v>0</v>
      </c>
      <c r="Z178" s="101">
        <f t="shared" si="135"/>
        <v>0</v>
      </c>
      <c r="AA178" s="101">
        <f t="shared" si="136"/>
        <v>0</v>
      </c>
      <c r="AB178" s="101">
        <f t="shared" si="137"/>
        <v>0</v>
      </c>
      <c r="AC178" s="101">
        <f t="shared" si="138"/>
        <v>0</v>
      </c>
      <c r="AD178" s="101">
        <f t="shared" si="139"/>
        <v>0</v>
      </c>
      <c r="AE178" s="101"/>
      <c r="AF178" s="101">
        <f t="shared" si="140"/>
        <v>0</v>
      </c>
      <c r="AG178" s="101"/>
      <c r="AH178" s="101">
        <f t="shared" si="141"/>
        <v>0</v>
      </c>
      <c r="AI178" s="101"/>
      <c r="AJ178" s="101">
        <f t="shared" si="142"/>
        <v>0</v>
      </c>
      <c r="AK178" s="101">
        <f t="shared" si="143"/>
        <v>0</v>
      </c>
      <c r="AL178" s="98" t="str">
        <f t="shared" si="144"/>
        <v>ok</v>
      </c>
    </row>
    <row r="179" spans="1:38" x14ac:dyDescent="0.25">
      <c r="F179" s="100"/>
      <c r="Y179" s="97"/>
      <c r="AK179" s="101"/>
      <c r="AL179" s="98"/>
    </row>
    <row r="180" spans="1:38" x14ac:dyDescent="0.25">
      <c r="B180" s="97" t="s">
        <v>1670</v>
      </c>
      <c r="F180" s="100">
        <f>SUM(F173:F179)</f>
        <v>8522.7845649540959</v>
      </c>
      <c r="H180" s="100">
        <f t="shared" ref="H180:M180" si="145">SUM(H173:H179)</f>
        <v>2927.9726132709379</v>
      </c>
      <c r="I180" s="100">
        <f t="shared" si="145"/>
        <v>2760.1346311656876</v>
      </c>
      <c r="J180" s="100">
        <f t="shared" si="145"/>
        <v>2834.6773205174704</v>
      </c>
      <c r="K180" s="100">
        <f t="shared" si="145"/>
        <v>0</v>
      </c>
      <c r="L180" s="100">
        <f t="shared" si="145"/>
        <v>0</v>
      </c>
      <c r="M180" s="100">
        <f t="shared" si="145"/>
        <v>0</v>
      </c>
      <c r="O180" s="100">
        <f>SUM(O173:O179)</f>
        <v>0</v>
      </c>
      <c r="P180" s="100">
        <f>SUM(P173:P179)</f>
        <v>0</v>
      </c>
      <c r="Q180" s="100">
        <f>SUM(Q173:Q179)</f>
        <v>0</v>
      </c>
      <c r="S180" s="100">
        <f t="shared" ref="S180:AD180" si="146">SUM(S173:S179)</f>
        <v>0</v>
      </c>
      <c r="T180" s="100">
        <f t="shared" si="146"/>
        <v>0</v>
      </c>
      <c r="U180" s="100">
        <f t="shared" si="146"/>
        <v>0</v>
      </c>
      <c r="V180" s="100">
        <f t="shared" si="146"/>
        <v>0</v>
      </c>
      <c r="W180" s="100">
        <f t="shared" si="146"/>
        <v>0</v>
      </c>
      <c r="X180" s="100">
        <f t="shared" si="146"/>
        <v>0</v>
      </c>
      <c r="Y180" s="100">
        <f t="shared" si="146"/>
        <v>0</v>
      </c>
      <c r="Z180" s="100">
        <f t="shared" si="146"/>
        <v>0</v>
      </c>
      <c r="AA180" s="100">
        <f t="shared" si="146"/>
        <v>0</v>
      </c>
      <c r="AB180" s="100">
        <f t="shared" si="146"/>
        <v>0</v>
      </c>
      <c r="AC180" s="100">
        <f t="shared" si="146"/>
        <v>0</v>
      </c>
      <c r="AD180" s="100">
        <f t="shared" si="146"/>
        <v>0</v>
      </c>
      <c r="AF180" s="100">
        <f>SUM(AF173:AF179)</f>
        <v>0</v>
      </c>
      <c r="AH180" s="100">
        <f>SUM(AH173:AH179)</f>
        <v>0</v>
      </c>
      <c r="AJ180" s="100">
        <f>SUM(AJ173:AJ179)</f>
        <v>0</v>
      </c>
      <c r="AK180" s="101">
        <f>SUM(H180:AJ180)</f>
        <v>8522.7845649540959</v>
      </c>
      <c r="AL180" s="98" t="str">
        <f>IF(ABS(AK180-F180)&lt;1,"ok","err")</f>
        <v>ok</v>
      </c>
    </row>
    <row r="181" spans="1:38" x14ac:dyDescent="0.25">
      <c r="F181" s="100"/>
      <c r="Y181" s="97"/>
      <c r="AL181" s="98"/>
    </row>
    <row r="182" spans="1:38" x14ac:dyDescent="0.25">
      <c r="A182" s="24" t="s">
        <v>1668</v>
      </c>
      <c r="F182" s="100"/>
      <c r="Y182" s="97"/>
      <c r="AL182" s="98"/>
    </row>
    <row r="183" spans="1:38" x14ac:dyDescent="0.25">
      <c r="A183" s="112">
        <v>541</v>
      </c>
      <c r="B183" s="97" t="s">
        <v>587</v>
      </c>
      <c r="C183" s="97" t="s">
        <v>1681</v>
      </c>
      <c r="D183" s="97" t="s">
        <v>738</v>
      </c>
      <c r="F183" s="100">
        <f>'Jurisdictional Study'!F977</f>
        <v>186494.00636960182</v>
      </c>
      <c r="H183" s="101">
        <f>IF(VLOOKUP($D183,$C$5:$AJ$644,6,)=0,0,((VLOOKUP($D183,$C$5:$AJ$644,6,)/VLOOKUP($D183,$C$5:$AJ$644,4,))*$F183))</f>
        <v>64069.358908206901</v>
      </c>
      <c r="I183" s="101">
        <f>IF(VLOOKUP($D183,$C$5:$AJ$644,7,)=0,0,((VLOOKUP($D183,$C$5:$AJ$644,7,)/VLOOKUP($D183,$C$5:$AJ$644,4,))*$F183))</f>
        <v>60396.759012568655</v>
      </c>
      <c r="J183" s="101">
        <f>IF(VLOOKUP($D183,$C$5:$AJ$644,8,)=0,0,((VLOOKUP($D183,$C$5:$AJ$644,8,)/VLOOKUP($D183,$C$5:$AJ$644,4,))*$F183))</f>
        <v>62027.888448826263</v>
      </c>
      <c r="K183" s="101">
        <f>IF(VLOOKUP($D183,$C$5:$AJ$644,9,)=0,0,((VLOOKUP($D183,$C$5:$AJ$644,9,)/VLOOKUP($D183,$C$5:$AJ$644,4,))*$F183))</f>
        <v>0</v>
      </c>
      <c r="L183" s="101">
        <f>IF(VLOOKUP($D183,$C$5:$AJ$644,10,)=0,0,((VLOOKUP($D183,$C$5:$AJ$644,10,)/VLOOKUP($D183,$C$5:$AJ$644,4,))*$F183))</f>
        <v>0</v>
      </c>
      <c r="M183" s="101">
        <f>IF(VLOOKUP($D183,$C$5:$AJ$644,11,)=0,0,((VLOOKUP($D183,$C$5:$AJ$644,11,)/VLOOKUP($D183,$C$5:$AJ$644,4,))*$F183))</f>
        <v>0</v>
      </c>
      <c r="N183" s="101"/>
      <c r="O183" s="101">
        <f>IF(VLOOKUP($D183,$C$5:$AJ$644,13,)=0,0,((VLOOKUP($D183,$C$5:$AJ$644,13,)/VLOOKUP($D183,$C$5:$AJ$644,4,))*$F183))</f>
        <v>0</v>
      </c>
      <c r="P183" s="101">
        <f>IF(VLOOKUP($D183,$C$5:$AJ$644,14,)=0,0,((VLOOKUP($D183,$C$5:$AJ$644,14,)/VLOOKUP($D183,$C$5:$AJ$644,4,))*$F183))</f>
        <v>0</v>
      </c>
      <c r="Q183" s="101">
        <f>IF(VLOOKUP($D183,$C$5:$AJ$644,15,)=0,0,((VLOOKUP($D183,$C$5:$AJ$644,15,)/VLOOKUP($D183,$C$5:$AJ$644,4,))*$F183))</f>
        <v>0</v>
      </c>
      <c r="R183" s="101"/>
      <c r="S183" s="101">
        <f>IF(VLOOKUP($D183,$C$5:$AJ$644,17,)=0,0,((VLOOKUP($D183,$C$5:$AJ$644,17,)/VLOOKUP($D183,$C$5:$AJ$644,4,))*$F183))</f>
        <v>0</v>
      </c>
      <c r="T183" s="101">
        <f>IF(VLOOKUP($D183,$C$5:$AJ$644,18,)=0,0,((VLOOKUP($D183,$C$5:$AJ$644,18,)/VLOOKUP($D183,$C$5:$AJ$644,4,))*$F183))</f>
        <v>0</v>
      </c>
      <c r="U183" s="101">
        <f>IF(VLOOKUP($D183,$C$5:$AJ$644,19,)=0,0,((VLOOKUP($D183,$C$5:$AJ$644,19,)/VLOOKUP($D183,$C$5:$AJ$644,4,))*$F183))</f>
        <v>0</v>
      </c>
      <c r="V183" s="101">
        <f>IF(VLOOKUP($D183,$C$5:$AJ$644,20,)=0,0,((VLOOKUP($D183,$C$5:$AJ$644,20,)/VLOOKUP($D183,$C$5:$AJ$644,4,))*$F183))</f>
        <v>0</v>
      </c>
      <c r="W183" s="101">
        <f>IF(VLOOKUP($D183,$C$5:$AJ$644,21,)=0,0,((VLOOKUP($D183,$C$5:$AJ$644,21,)/VLOOKUP($D183,$C$5:$AJ$644,4,))*$F183))</f>
        <v>0</v>
      </c>
      <c r="X183" s="101">
        <f>IF(VLOOKUP($D183,$C$5:$AJ$644,22,)=0,0,((VLOOKUP($D183,$C$5:$AJ$644,22,)/VLOOKUP($D183,$C$5:$AJ$644,4,))*$F183))</f>
        <v>0</v>
      </c>
      <c r="Y183" s="101">
        <f>IF(VLOOKUP($D183,$C$5:$AJ$644,23,)=0,0,((VLOOKUP($D183,$C$5:$AJ$644,23,)/VLOOKUP($D183,$C$5:$AJ$644,4,))*$F183))</f>
        <v>0</v>
      </c>
      <c r="Z183" s="101">
        <f>IF(VLOOKUP($D183,$C$5:$AJ$644,24,)=0,0,((VLOOKUP($D183,$C$5:$AJ$644,24,)/VLOOKUP($D183,$C$5:$AJ$644,4,))*$F183))</f>
        <v>0</v>
      </c>
      <c r="AA183" s="101">
        <f>IF(VLOOKUP($D183,$C$5:$AJ$644,25,)=0,0,((VLOOKUP($D183,$C$5:$AJ$644,25,)/VLOOKUP($D183,$C$5:$AJ$644,4,))*$F183))</f>
        <v>0</v>
      </c>
      <c r="AB183" s="101">
        <f>IF(VLOOKUP($D183,$C$5:$AJ$644,26,)=0,0,((VLOOKUP($D183,$C$5:$AJ$644,26,)/VLOOKUP($D183,$C$5:$AJ$644,4,))*$F183))</f>
        <v>0</v>
      </c>
      <c r="AC183" s="101">
        <f>IF(VLOOKUP($D183,$C$5:$AJ$644,27,)=0,0,((VLOOKUP($D183,$C$5:$AJ$644,27,)/VLOOKUP($D183,$C$5:$AJ$644,4,))*$F183))</f>
        <v>0</v>
      </c>
      <c r="AD183" s="101">
        <f>IF(VLOOKUP($D183,$C$5:$AJ$644,28,)=0,0,((VLOOKUP($D183,$C$5:$AJ$644,28,)/VLOOKUP($D183,$C$5:$AJ$644,4,))*$F183))</f>
        <v>0</v>
      </c>
      <c r="AE183" s="101"/>
      <c r="AF183" s="101">
        <f>IF(VLOOKUP($D183,$C$5:$AJ$644,30,)=0,0,((VLOOKUP($D183,$C$5:$AJ$644,30,)/VLOOKUP($D183,$C$5:$AJ$644,4,))*$F183))</f>
        <v>0</v>
      </c>
      <c r="AG183" s="101"/>
      <c r="AH183" s="101">
        <f>IF(VLOOKUP($D183,$C$5:$AJ$644,32,)=0,0,((VLOOKUP($D183,$C$5:$AJ$644,32,)/VLOOKUP($D183,$C$5:$AJ$644,4,))*$F183))</f>
        <v>0</v>
      </c>
      <c r="AI183" s="101"/>
      <c r="AJ183" s="101">
        <f>IF(VLOOKUP($D183,$C$5:$AJ$644,34,)=0,0,((VLOOKUP($D183,$C$5:$AJ$644,34,)/VLOOKUP($D183,$C$5:$AJ$644,4,))*$F183))</f>
        <v>0</v>
      </c>
      <c r="AK183" s="101">
        <f>SUM(H183:AJ183)</f>
        <v>186494.00636960182</v>
      </c>
      <c r="AL183" s="98" t="str">
        <f>IF(ABS(AK183-F183)&lt;1,"ok","err")</f>
        <v>ok</v>
      </c>
    </row>
    <row r="184" spans="1:38" x14ac:dyDescent="0.25">
      <c r="A184" s="112">
        <v>542</v>
      </c>
      <c r="B184" s="97" t="s">
        <v>586</v>
      </c>
      <c r="C184" s="97" t="s">
        <v>1682</v>
      </c>
      <c r="D184" s="97" t="s">
        <v>736</v>
      </c>
      <c r="F184" s="101">
        <f>'Jurisdictional Study'!F978</f>
        <v>116900.87529150238</v>
      </c>
      <c r="H184" s="101">
        <f>IF(VLOOKUP($D184,$C$5:$AJ$644,6,)=0,0,((VLOOKUP($D184,$C$5:$AJ$644,6,)/VLOOKUP($D184,$C$5:$AJ$644,4,))*$F184))</f>
        <v>40160.883888628923</v>
      </c>
      <c r="I184" s="101">
        <f>IF(VLOOKUP($D184,$C$5:$AJ$644,7,)=0,0,((VLOOKUP($D184,$C$5:$AJ$644,7,)/VLOOKUP($D184,$C$5:$AJ$644,4,))*$F184))</f>
        <v>37858.771607633011</v>
      </c>
      <c r="J184" s="101">
        <f>IF(VLOOKUP($D184,$C$5:$AJ$644,8,)=0,0,((VLOOKUP($D184,$C$5:$AJ$644,8,)/VLOOKUP($D184,$C$5:$AJ$644,4,))*$F184))</f>
        <v>38881.219795240446</v>
      </c>
      <c r="K184" s="101">
        <f>IF(VLOOKUP($D184,$C$5:$AJ$644,9,)=0,0,((VLOOKUP($D184,$C$5:$AJ$644,9,)/VLOOKUP($D184,$C$5:$AJ$644,4,))*$F184))</f>
        <v>0</v>
      </c>
      <c r="L184" s="101">
        <f>IF(VLOOKUP($D184,$C$5:$AJ$644,10,)=0,0,((VLOOKUP($D184,$C$5:$AJ$644,10,)/VLOOKUP($D184,$C$5:$AJ$644,4,))*$F184))</f>
        <v>0</v>
      </c>
      <c r="M184" s="101">
        <f>IF(VLOOKUP($D184,$C$5:$AJ$644,11,)=0,0,((VLOOKUP($D184,$C$5:$AJ$644,11,)/VLOOKUP($D184,$C$5:$AJ$644,4,))*$F184))</f>
        <v>0</v>
      </c>
      <c r="N184" s="101"/>
      <c r="O184" s="101">
        <f>IF(VLOOKUP($D184,$C$5:$AJ$644,13,)=0,0,((VLOOKUP($D184,$C$5:$AJ$644,13,)/VLOOKUP($D184,$C$5:$AJ$644,4,))*$F184))</f>
        <v>0</v>
      </c>
      <c r="P184" s="101">
        <f>IF(VLOOKUP($D184,$C$5:$AJ$644,14,)=0,0,((VLOOKUP($D184,$C$5:$AJ$644,14,)/VLOOKUP($D184,$C$5:$AJ$644,4,))*$F184))</f>
        <v>0</v>
      </c>
      <c r="Q184" s="101">
        <f>IF(VLOOKUP($D184,$C$5:$AJ$644,15,)=0,0,((VLOOKUP($D184,$C$5:$AJ$644,15,)/VLOOKUP($D184,$C$5:$AJ$644,4,))*$F184))</f>
        <v>0</v>
      </c>
      <c r="R184" s="101"/>
      <c r="S184" s="101">
        <f>IF(VLOOKUP($D184,$C$5:$AJ$644,17,)=0,0,((VLOOKUP($D184,$C$5:$AJ$644,17,)/VLOOKUP($D184,$C$5:$AJ$644,4,))*$F184))</f>
        <v>0</v>
      </c>
      <c r="T184" s="101">
        <f>IF(VLOOKUP($D184,$C$5:$AJ$644,18,)=0,0,((VLOOKUP($D184,$C$5:$AJ$644,18,)/VLOOKUP($D184,$C$5:$AJ$644,4,))*$F184))</f>
        <v>0</v>
      </c>
      <c r="U184" s="101">
        <f>IF(VLOOKUP($D184,$C$5:$AJ$644,19,)=0,0,((VLOOKUP($D184,$C$5:$AJ$644,19,)/VLOOKUP($D184,$C$5:$AJ$644,4,))*$F184))</f>
        <v>0</v>
      </c>
      <c r="V184" s="101">
        <f>IF(VLOOKUP($D184,$C$5:$AJ$644,20,)=0,0,((VLOOKUP($D184,$C$5:$AJ$644,20,)/VLOOKUP($D184,$C$5:$AJ$644,4,))*$F184))</f>
        <v>0</v>
      </c>
      <c r="W184" s="101">
        <f>IF(VLOOKUP($D184,$C$5:$AJ$644,21,)=0,0,((VLOOKUP($D184,$C$5:$AJ$644,21,)/VLOOKUP($D184,$C$5:$AJ$644,4,))*$F184))</f>
        <v>0</v>
      </c>
      <c r="X184" s="101">
        <f>IF(VLOOKUP($D184,$C$5:$AJ$644,22,)=0,0,((VLOOKUP($D184,$C$5:$AJ$644,22,)/VLOOKUP($D184,$C$5:$AJ$644,4,))*$F184))</f>
        <v>0</v>
      </c>
      <c r="Y184" s="101">
        <f>IF(VLOOKUP($D184,$C$5:$AJ$644,23,)=0,0,((VLOOKUP($D184,$C$5:$AJ$644,23,)/VLOOKUP($D184,$C$5:$AJ$644,4,))*$F184))</f>
        <v>0</v>
      </c>
      <c r="Z184" s="101">
        <f>IF(VLOOKUP($D184,$C$5:$AJ$644,24,)=0,0,((VLOOKUP($D184,$C$5:$AJ$644,24,)/VLOOKUP($D184,$C$5:$AJ$644,4,))*$F184))</f>
        <v>0</v>
      </c>
      <c r="AA184" s="101">
        <f>IF(VLOOKUP($D184,$C$5:$AJ$644,25,)=0,0,((VLOOKUP($D184,$C$5:$AJ$644,25,)/VLOOKUP($D184,$C$5:$AJ$644,4,))*$F184))</f>
        <v>0</v>
      </c>
      <c r="AB184" s="101">
        <f>IF(VLOOKUP($D184,$C$5:$AJ$644,26,)=0,0,((VLOOKUP($D184,$C$5:$AJ$644,26,)/VLOOKUP($D184,$C$5:$AJ$644,4,))*$F184))</f>
        <v>0</v>
      </c>
      <c r="AC184" s="101">
        <f>IF(VLOOKUP($D184,$C$5:$AJ$644,27,)=0,0,((VLOOKUP($D184,$C$5:$AJ$644,27,)/VLOOKUP($D184,$C$5:$AJ$644,4,))*$F184))</f>
        <v>0</v>
      </c>
      <c r="AD184" s="101">
        <f>IF(VLOOKUP($D184,$C$5:$AJ$644,28,)=0,0,((VLOOKUP($D184,$C$5:$AJ$644,28,)/VLOOKUP($D184,$C$5:$AJ$644,4,))*$F184))</f>
        <v>0</v>
      </c>
      <c r="AE184" s="101"/>
      <c r="AF184" s="101">
        <f>IF(VLOOKUP($D184,$C$5:$AJ$644,30,)=0,0,((VLOOKUP($D184,$C$5:$AJ$644,30,)/VLOOKUP($D184,$C$5:$AJ$644,4,))*$F184))</f>
        <v>0</v>
      </c>
      <c r="AG184" s="101"/>
      <c r="AH184" s="101">
        <f>IF(VLOOKUP($D184,$C$5:$AJ$644,32,)=0,0,((VLOOKUP($D184,$C$5:$AJ$644,32,)/VLOOKUP($D184,$C$5:$AJ$644,4,))*$F184))</f>
        <v>0</v>
      </c>
      <c r="AI184" s="101"/>
      <c r="AJ184" s="101">
        <f>IF(VLOOKUP($D184,$C$5:$AJ$644,34,)=0,0,((VLOOKUP($D184,$C$5:$AJ$644,34,)/VLOOKUP($D184,$C$5:$AJ$644,4,))*$F184))</f>
        <v>0</v>
      </c>
      <c r="AK184" s="101">
        <f>SUM(H184:AJ184)</f>
        <v>116900.87529150237</v>
      </c>
      <c r="AL184" s="98" t="str">
        <f>IF(ABS(AK184-F184)&lt;1,"ok","err")</f>
        <v>ok</v>
      </c>
    </row>
    <row r="185" spans="1:38" x14ac:dyDescent="0.25">
      <c r="A185" s="112">
        <v>543</v>
      </c>
      <c r="B185" s="97" t="s">
        <v>1669</v>
      </c>
      <c r="C185" s="97" t="s">
        <v>1683</v>
      </c>
      <c r="D185" s="97" t="s">
        <v>736</v>
      </c>
      <c r="F185" s="101">
        <f>'Jurisdictional Study'!F979</f>
        <v>22496.79664992803</v>
      </c>
      <c r="H185" s="101">
        <f>IF(VLOOKUP($D185,$C$5:$AJ$644,6,)=0,0,((VLOOKUP($D185,$C$5:$AJ$644,6,)/VLOOKUP($D185,$C$5:$AJ$644,4,))*$F185))</f>
        <v>7728.6952374900766</v>
      </c>
      <c r="I185" s="101">
        <f>IF(VLOOKUP($D185,$C$5:$AJ$644,7,)=0,0,((VLOOKUP($D185,$C$5:$AJ$644,7,)/VLOOKUP($D185,$C$5:$AJ$644,4,))*$F185))</f>
        <v>7285.669026422589</v>
      </c>
      <c r="J185" s="101">
        <f>IF(VLOOKUP($D185,$C$5:$AJ$644,8,)=0,0,((VLOOKUP($D185,$C$5:$AJ$644,8,)/VLOOKUP($D185,$C$5:$AJ$644,4,))*$F185))</f>
        <v>7482.4323860153636</v>
      </c>
      <c r="K185" s="101">
        <f>IF(VLOOKUP($D185,$C$5:$AJ$644,9,)=0,0,((VLOOKUP($D185,$C$5:$AJ$644,9,)/VLOOKUP($D185,$C$5:$AJ$644,4,))*$F185))</f>
        <v>0</v>
      </c>
      <c r="L185" s="101">
        <f>IF(VLOOKUP($D185,$C$5:$AJ$644,10,)=0,0,((VLOOKUP($D185,$C$5:$AJ$644,10,)/VLOOKUP($D185,$C$5:$AJ$644,4,))*$F185))</f>
        <v>0</v>
      </c>
      <c r="M185" s="101">
        <f>IF(VLOOKUP($D185,$C$5:$AJ$644,11,)=0,0,((VLOOKUP($D185,$C$5:$AJ$644,11,)/VLOOKUP($D185,$C$5:$AJ$644,4,))*$F185))</f>
        <v>0</v>
      </c>
      <c r="N185" s="101"/>
      <c r="O185" s="101">
        <f>IF(VLOOKUP($D185,$C$5:$AJ$644,13,)=0,0,((VLOOKUP($D185,$C$5:$AJ$644,13,)/VLOOKUP($D185,$C$5:$AJ$644,4,))*$F185))</f>
        <v>0</v>
      </c>
      <c r="P185" s="101">
        <f>IF(VLOOKUP($D185,$C$5:$AJ$644,14,)=0,0,((VLOOKUP($D185,$C$5:$AJ$644,14,)/VLOOKUP($D185,$C$5:$AJ$644,4,))*$F185))</f>
        <v>0</v>
      </c>
      <c r="Q185" s="101">
        <f>IF(VLOOKUP($D185,$C$5:$AJ$644,15,)=0,0,((VLOOKUP($D185,$C$5:$AJ$644,15,)/VLOOKUP($D185,$C$5:$AJ$644,4,))*$F185))</f>
        <v>0</v>
      </c>
      <c r="R185" s="101"/>
      <c r="S185" s="101">
        <f>IF(VLOOKUP($D185,$C$5:$AJ$644,17,)=0,0,((VLOOKUP($D185,$C$5:$AJ$644,17,)/VLOOKUP($D185,$C$5:$AJ$644,4,))*$F185))</f>
        <v>0</v>
      </c>
      <c r="T185" s="101">
        <f>IF(VLOOKUP($D185,$C$5:$AJ$644,18,)=0,0,((VLOOKUP($D185,$C$5:$AJ$644,18,)/VLOOKUP($D185,$C$5:$AJ$644,4,))*$F185))</f>
        <v>0</v>
      </c>
      <c r="U185" s="101">
        <f>IF(VLOOKUP($D185,$C$5:$AJ$644,19,)=0,0,((VLOOKUP($D185,$C$5:$AJ$644,19,)/VLOOKUP($D185,$C$5:$AJ$644,4,))*$F185))</f>
        <v>0</v>
      </c>
      <c r="V185" s="101">
        <f>IF(VLOOKUP($D185,$C$5:$AJ$644,20,)=0,0,((VLOOKUP($D185,$C$5:$AJ$644,20,)/VLOOKUP($D185,$C$5:$AJ$644,4,))*$F185))</f>
        <v>0</v>
      </c>
      <c r="W185" s="101">
        <f>IF(VLOOKUP($D185,$C$5:$AJ$644,21,)=0,0,((VLOOKUP($D185,$C$5:$AJ$644,21,)/VLOOKUP($D185,$C$5:$AJ$644,4,))*$F185))</f>
        <v>0</v>
      </c>
      <c r="X185" s="101">
        <f>IF(VLOOKUP($D185,$C$5:$AJ$644,22,)=0,0,((VLOOKUP($D185,$C$5:$AJ$644,22,)/VLOOKUP($D185,$C$5:$AJ$644,4,))*$F185))</f>
        <v>0</v>
      </c>
      <c r="Y185" s="101">
        <f>IF(VLOOKUP($D185,$C$5:$AJ$644,23,)=0,0,((VLOOKUP($D185,$C$5:$AJ$644,23,)/VLOOKUP($D185,$C$5:$AJ$644,4,))*$F185))</f>
        <v>0</v>
      </c>
      <c r="Z185" s="101">
        <f>IF(VLOOKUP($D185,$C$5:$AJ$644,24,)=0,0,((VLOOKUP($D185,$C$5:$AJ$644,24,)/VLOOKUP($D185,$C$5:$AJ$644,4,))*$F185))</f>
        <v>0</v>
      </c>
      <c r="AA185" s="101">
        <f>IF(VLOOKUP($D185,$C$5:$AJ$644,25,)=0,0,((VLOOKUP($D185,$C$5:$AJ$644,25,)/VLOOKUP($D185,$C$5:$AJ$644,4,))*$F185))</f>
        <v>0</v>
      </c>
      <c r="AB185" s="101">
        <f>IF(VLOOKUP($D185,$C$5:$AJ$644,26,)=0,0,((VLOOKUP($D185,$C$5:$AJ$644,26,)/VLOOKUP($D185,$C$5:$AJ$644,4,))*$F185))</f>
        <v>0</v>
      </c>
      <c r="AC185" s="101">
        <f>IF(VLOOKUP($D185,$C$5:$AJ$644,27,)=0,0,((VLOOKUP($D185,$C$5:$AJ$644,27,)/VLOOKUP($D185,$C$5:$AJ$644,4,))*$F185))</f>
        <v>0</v>
      </c>
      <c r="AD185" s="101">
        <f>IF(VLOOKUP($D185,$C$5:$AJ$644,28,)=0,0,((VLOOKUP($D185,$C$5:$AJ$644,28,)/VLOOKUP($D185,$C$5:$AJ$644,4,))*$F185))</f>
        <v>0</v>
      </c>
      <c r="AE185" s="101"/>
      <c r="AF185" s="101">
        <f>IF(VLOOKUP($D185,$C$5:$AJ$644,30,)=0,0,((VLOOKUP($D185,$C$5:$AJ$644,30,)/VLOOKUP($D185,$C$5:$AJ$644,4,))*$F185))</f>
        <v>0</v>
      </c>
      <c r="AG185" s="101"/>
      <c r="AH185" s="101">
        <f>IF(VLOOKUP($D185,$C$5:$AJ$644,32,)=0,0,((VLOOKUP($D185,$C$5:$AJ$644,32,)/VLOOKUP($D185,$C$5:$AJ$644,4,))*$F185))</f>
        <v>0</v>
      </c>
      <c r="AI185" s="101"/>
      <c r="AJ185" s="101">
        <f>IF(VLOOKUP($D185,$C$5:$AJ$644,34,)=0,0,((VLOOKUP($D185,$C$5:$AJ$644,34,)/VLOOKUP($D185,$C$5:$AJ$644,4,))*$F185))</f>
        <v>0</v>
      </c>
      <c r="AK185" s="101">
        <f>SUM(H185:AJ185)</f>
        <v>22496.79664992803</v>
      </c>
      <c r="AL185" s="98" t="str">
        <f>IF(ABS(AK185-F185)&lt;1,"ok","err")</f>
        <v>ok</v>
      </c>
    </row>
    <row r="186" spans="1:38" x14ac:dyDescent="0.25">
      <c r="A186" s="97">
        <v>544</v>
      </c>
      <c r="B186" s="97" t="s">
        <v>1571</v>
      </c>
      <c r="C186" s="97" t="s">
        <v>1684</v>
      </c>
      <c r="D186" s="97" t="s">
        <v>110</v>
      </c>
      <c r="F186" s="101">
        <f>'Jurisdictional Study'!F980</f>
        <v>33029.604004650209</v>
      </c>
      <c r="H186" s="101">
        <f>IF(VLOOKUP($D186,$C$5:$AJ$644,6,)=0,0,((VLOOKUP($D186,$C$5:$AJ$644,6,)/VLOOKUP($D186,$C$5:$AJ$644,4,))*$F186))</f>
        <v>0</v>
      </c>
      <c r="I186" s="101">
        <f>IF(VLOOKUP($D186,$C$5:$AJ$644,7,)=0,0,((VLOOKUP($D186,$C$5:$AJ$644,7,)/VLOOKUP($D186,$C$5:$AJ$644,4,))*$F186))</f>
        <v>0</v>
      </c>
      <c r="J186" s="101">
        <f>IF(VLOOKUP($D186,$C$5:$AJ$644,8,)=0,0,((VLOOKUP($D186,$C$5:$AJ$644,8,)/VLOOKUP($D186,$C$5:$AJ$644,4,))*$F186))</f>
        <v>0</v>
      </c>
      <c r="K186" s="101">
        <f>IF(VLOOKUP($D186,$C$5:$AJ$644,9,)=0,0,((VLOOKUP($D186,$C$5:$AJ$644,9,)/VLOOKUP($D186,$C$5:$AJ$644,4,))*$F186))</f>
        <v>33029.604004650209</v>
      </c>
      <c r="L186" s="101">
        <f>IF(VLOOKUP($D186,$C$5:$AJ$644,10,)=0,0,((VLOOKUP($D186,$C$5:$AJ$644,10,)/VLOOKUP($D186,$C$5:$AJ$644,4,))*$F186))</f>
        <v>0</v>
      </c>
      <c r="M186" s="101">
        <f>IF(VLOOKUP($D186,$C$5:$AJ$644,11,)=0,0,((VLOOKUP($D186,$C$5:$AJ$644,11,)/VLOOKUP($D186,$C$5:$AJ$644,4,))*$F186))</f>
        <v>0</v>
      </c>
      <c r="N186" s="101"/>
      <c r="O186" s="101">
        <f>IF(VLOOKUP($D186,$C$5:$AJ$644,13,)=0,0,((VLOOKUP($D186,$C$5:$AJ$644,13,)/VLOOKUP($D186,$C$5:$AJ$644,4,))*$F186))</f>
        <v>0</v>
      </c>
      <c r="P186" s="101">
        <f>IF(VLOOKUP($D186,$C$5:$AJ$644,14,)=0,0,((VLOOKUP($D186,$C$5:$AJ$644,14,)/VLOOKUP($D186,$C$5:$AJ$644,4,))*$F186))</f>
        <v>0</v>
      </c>
      <c r="Q186" s="101">
        <f>IF(VLOOKUP($D186,$C$5:$AJ$644,15,)=0,0,((VLOOKUP($D186,$C$5:$AJ$644,15,)/VLOOKUP($D186,$C$5:$AJ$644,4,))*$F186))</f>
        <v>0</v>
      </c>
      <c r="R186" s="101"/>
      <c r="S186" s="101">
        <f>IF(VLOOKUP($D186,$C$5:$AJ$644,17,)=0,0,((VLOOKUP($D186,$C$5:$AJ$644,17,)/VLOOKUP($D186,$C$5:$AJ$644,4,))*$F186))</f>
        <v>0</v>
      </c>
      <c r="T186" s="101">
        <f>IF(VLOOKUP($D186,$C$5:$AJ$644,18,)=0,0,((VLOOKUP($D186,$C$5:$AJ$644,18,)/VLOOKUP($D186,$C$5:$AJ$644,4,))*$F186))</f>
        <v>0</v>
      </c>
      <c r="U186" s="101">
        <f>IF(VLOOKUP($D186,$C$5:$AJ$644,19,)=0,0,((VLOOKUP($D186,$C$5:$AJ$644,19,)/VLOOKUP($D186,$C$5:$AJ$644,4,))*$F186))</f>
        <v>0</v>
      </c>
      <c r="V186" s="101">
        <f>IF(VLOOKUP($D186,$C$5:$AJ$644,20,)=0,0,((VLOOKUP($D186,$C$5:$AJ$644,20,)/VLOOKUP($D186,$C$5:$AJ$644,4,))*$F186))</f>
        <v>0</v>
      </c>
      <c r="W186" s="101">
        <f>IF(VLOOKUP($D186,$C$5:$AJ$644,21,)=0,0,((VLOOKUP($D186,$C$5:$AJ$644,21,)/VLOOKUP($D186,$C$5:$AJ$644,4,))*$F186))</f>
        <v>0</v>
      </c>
      <c r="X186" s="101">
        <f>IF(VLOOKUP($D186,$C$5:$AJ$644,22,)=0,0,((VLOOKUP($D186,$C$5:$AJ$644,22,)/VLOOKUP($D186,$C$5:$AJ$644,4,))*$F186))</f>
        <v>0</v>
      </c>
      <c r="Y186" s="101">
        <f>IF(VLOOKUP($D186,$C$5:$AJ$644,23,)=0,0,((VLOOKUP($D186,$C$5:$AJ$644,23,)/VLOOKUP($D186,$C$5:$AJ$644,4,))*$F186))</f>
        <v>0</v>
      </c>
      <c r="Z186" s="101">
        <f>IF(VLOOKUP($D186,$C$5:$AJ$644,24,)=0,0,((VLOOKUP($D186,$C$5:$AJ$644,24,)/VLOOKUP($D186,$C$5:$AJ$644,4,))*$F186))</f>
        <v>0</v>
      </c>
      <c r="AA186" s="101">
        <f>IF(VLOOKUP($D186,$C$5:$AJ$644,25,)=0,0,((VLOOKUP($D186,$C$5:$AJ$644,25,)/VLOOKUP($D186,$C$5:$AJ$644,4,))*$F186))</f>
        <v>0</v>
      </c>
      <c r="AB186" s="101">
        <f>IF(VLOOKUP($D186,$C$5:$AJ$644,26,)=0,0,((VLOOKUP($D186,$C$5:$AJ$644,26,)/VLOOKUP($D186,$C$5:$AJ$644,4,))*$F186))</f>
        <v>0</v>
      </c>
      <c r="AC186" s="101">
        <f>IF(VLOOKUP($D186,$C$5:$AJ$644,27,)=0,0,((VLOOKUP($D186,$C$5:$AJ$644,27,)/VLOOKUP($D186,$C$5:$AJ$644,4,))*$F186))</f>
        <v>0</v>
      </c>
      <c r="AD186" s="101">
        <f>IF(VLOOKUP($D186,$C$5:$AJ$644,28,)=0,0,((VLOOKUP($D186,$C$5:$AJ$644,28,)/VLOOKUP($D186,$C$5:$AJ$644,4,))*$F186))</f>
        <v>0</v>
      </c>
      <c r="AE186" s="101"/>
      <c r="AF186" s="101">
        <f>IF(VLOOKUP($D186,$C$5:$AJ$644,30,)=0,0,((VLOOKUP($D186,$C$5:$AJ$644,30,)/VLOOKUP($D186,$C$5:$AJ$644,4,))*$F186))</f>
        <v>0</v>
      </c>
      <c r="AG186" s="101"/>
      <c r="AH186" s="101">
        <f>IF(VLOOKUP($D186,$C$5:$AJ$644,32,)=0,0,((VLOOKUP($D186,$C$5:$AJ$644,32,)/VLOOKUP($D186,$C$5:$AJ$644,4,))*$F186))</f>
        <v>0</v>
      </c>
      <c r="AI186" s="101"/>
      <c r="AJ186" s="101">
        <f>IF(VLOOKUP($D186,$C$5:$AJ$644,34,)=0,0,((VLOOKUP($D186,$C$5:$AJ$644,34,)/VLOOKUP($D186,$C$5:$AJ$644,4,))*$F186))</f>
        <v>0</v>
      </c>
      <c r="AK186" s="101">
        <f>SUM(H186:AJ186)</f>
        <v>33029.604004650209</v>
      </c>
      <c r="AL186" s="98" t="str">
        <f>IF(ABS(AK186-F186)&lt;1,"ok","err")</f>
        <v>ok</v>
      </c>
    </row>
    <row r="187" spans="1:38" x14ac:dyDescent="0.25">
      <c r="A187" s="97">
        <v>545</v>
      </c>
      <c r="B187" s="97" t="s">
        <v>1675</v>
      </c>
      <c r="C187" s="97" t="s">
        <v>1685</v>
      </c>
      <c r="D187" s="97" t="s">
        <v>110</v>
      </c>
      <c r="F187" s="101">
        <f>'Jurisdictional Study'!F981</f>
        <v>9592.0638092655918</v>
      </c>
      <c r="H187" s="101">
        <f>IF(VLOOKUP($D187,$C$5:$AJ$644,6,)=0,0,((VLOOKUP($D187,$C$5:$AJ$644,6,)/VLOOKUP($D187,$C$5:$AJ$644,4,))*$F187))</f>
        <v>0</v>
      </c>
      <c r="I187" s="101">
        <f>IF(VLOOKUP($D187,$C$5:$AJ$644,7,)=0,0,((VLOOKUP($D187,$C$5:$AJ$644,7,)/VLOOKUP($D187,$C$5:$AJ$644,4,))*$F187))</f>
        <v>0</v>
      </c>
      <c r="J187" s="101">
        <f>IF(VLOOKUP($D187,$C$5:$AJ$644,8,)=0,0,((VLOOKUP($D187,$C$5:$AJ$644,8,)/VLOOKUP($D187,$C$5:$AJ$644,4,))*$F187))</f>
        <v>0</v>
      </c>
      <c r="K187" s="101">
        <f>IF(VLOOKUP($D187,$C$5:$AJ$644,9,)=0,0,((VLOOKUP($D187,$C$5:$AJ$644,9,)/VLOOKUP($D187,$C$5:$AJ$644,4,))*$F187))</f>
        <v>9592.0638092655918</v>
      </c>
      <c r="L187" s="101">
        <f>IF(VLOOKUP($D187,$C$5:$AJ$644,10,)=0,0,((VLOOKUP($D187,$C$5:$AJ$644,10,)/VLOOKUP($D187,$C$5:$AJ$644,4,))*$F187))</f>
        <v>0</v>
      </c>
      <c r="M187" s="101">
        <f>IF(VLOOKUP($D187,$C$5:$AJ$644,11,)=0,0,((VLOOKUP($D187,$C$5:$AJ$644,11,)/VLOOKUP($D187,$C$5:$AJ$644,4,))*$F187))</f>
        <v>0</v>
      </c>
      <c r="N187" s="101"/>
      <c r="O187" s="101">
        <f>IF(VLOOKUP($D187,$C$5:$AJ$644,13,)=0,0,((VLOOKUP($D187,$C$5:$AJ$644,13,)/VLOOKUP($D187,$C$5:$AJ$644,4,))*$F187))</f>
        <v>0</v>
      </c>
      <c r="P187" s="101">
        <f>IF(VLOOKUP($D187,$C$5:$AJ$644,14,)=0,0,((VLOOKUP($D187,$C$5:$AJ$644,14,)/VLOOKUP($D187,$C$5:$AJ$644,4,))*$F187))</f>
        <v>0</v>
      </c>
      <c r="Q187" s="101">
        <f>IF(VLOOKUP($D187,$C$5:$AJ$644,15,)=0,0,((VLOOKUP($D187,$C$5:$AJ$644,15,)/VLOOKUP($D187,$C$5:$AJ$644,4,))*$F187))</f>
        <v>0</v>
      </c>
      <c r="R187" s="101"/>
      <c r="S187" s="101">
        <f>IF(VLOOKUP($D187,$C$5:$AJ$644,17,)=0,0,((VLOOKUP($D187,$C$5:$AJ$644,17,)/VLOOKUP($D187,$C$5:$AJ$644,4,))*$F187))</f>
        <v>0</v>
      </c>
      <c r="T187" s="101">
        <f>IF(VLOOKUP($D187,$C$5:$AJ$644,18,)=0,0,((VLOOKUP($D187,$C$5:$AJ$644,18,)/VLOOKUP($D187,$C$5:$AJ$644,4,))*$F187))</f>
        <v>0</v>
      </c>
      <c r="U187" s="101">
        <f>IF(VLOOKUP($D187,$C$5:$AJ$644,19,)=0,0,((VLOOKUP($D187,$C$5:$AJ$644,19,)/VLOOKUP($D187,$C$5:$AJ$644,4,))*$F187))</f>
        <v>0</v>
      </c>
      <c r="V187" s="101">
        <f>IF(VLOOKUP($D187,$C$5:$AJ$644,20,)=0,0,((VLOOKUP($D187,$C$5:$AJ$644,20,)/VLOOKUP($D187,$C$5:$AJ$644,4,))*$F187))</f>
        <v>0</v>
      </c>
      <c r="W187" s="101">
        <f>IF(VLOOKUP($D187,$C$5:$AJ$644,21,)=0,0,((VLOOKUP($D187,$C$5:$AJ$644,21,)/VLOOKUP($D187,$C$5:$AJ$644,4,))*$F187))</f>
        <v>0</v>
      </c>
      <c r="X187" s="101">
        <f>IF(VLOOKUP($D187,$C$5:$AJ$644,22,)=0,0,((VLOOKUP($D187,$C$5:$AJ$644,22,)/VLOOKUP($D187,$C$5:$AJ$644,4,))*$F187))</f>
        <v>0</v>
      </c>
      <c r="Y187" s="101">
        <f>IF(VLOOKUP($D187,$C$5:$AJ$644,23,)=0,0,((VLOOKUP($D187,$C$5:$AJ$644,23,)/VLOOKUP($D187,$C$5:$AJ$644,4,))*$F187))</f>
        <v>0</v>
      </c>
      <c r="Z187" s="101">
        <f>IF(VLOOKUP($D187,$C$5:$AJ$644,24,)=0,0,((VLOOKUP($D187,$C$5:$AJ$644,24,)/VLOOKUP($D187,$C$5:$AJ$644,4,))*$F187))</f>
        <v>0</v>
      </c>
      <c r="AA187" s="101">
        <f>IF(VLOOKUP($D187,$C$5:$AJ$644,25,)=0,0,((VLOOKUP($D187,$C$5:$AJ$644,25,)/VLOOKUP($D187,$C$5:$AJ$644,4,))*$F187))</f>
        <v>0</v>
      </c>
      <c r="AB187" s="101">
        <f>IF(VLOOKUP($D187,$C$5:$AJ$644,26,)=0,0,((VLOOKUP($D187,$C$5:$AJ$644,26,)/VLOOKUP($D187,$C$5:$AJ$644,4,))*$F187))</f>
        <v>0</v>
      </c>
      <c r="AC187" s="101">
        <f>IF(VLOOKUP($D187,$C$5:$AJ$644,27,)=0,0,((VLOOKUP($D187,$C$5:$AJ$644,27,)/VLOOKUP($D187,$C$5:$AJ$644,4,))*$F187))</f>
        <v>0</v>
      </c>
      <c r="AD187" s="101">
        <f>IF(VLOOKUP($D187,$C$5:$AJ$644,28,)=0,0,((VLOOKUP($D187,$C$5:$AJ$644,28,)/VLOOKUP($D187,$C$5:$AJ$644,4,))*$F187))</f>
        <v>0</v>
      </c>
      <c r="AE187" s="101"/>
      <c r="AF187" s="101">
        <f>IF(VLOOKUP($D187,$C$5:$AJ$644,30,)=0,0,((VLOOKUP($D187,$C$5:$AJ$644,30,)/VLOOKUP($D187,$C$5:$AJ$644,4,))*$F187))</f>
        <v>0</v>
      </c>
      <c r="AG187" s="101"/>
      <c r="AH187" s="101">
        <f>IF(VLOOKUP($D187,$C$5:$AJ$644,32,)=0,0,((VLOOKUP($D187,$C$5:$AJ$644,32,)/VLOOKUP($D187,$C$5:$AJ$644,4,))*$F187))</f>
        <v>0</v>
      </c>
      <c r="AI187" s="101"/>
      <c r="AJ187" s="101">
        <f>IF(VLOOKUP($D187,$C$5:$AJ$644,34,)=0,0,((VLOOKUP($D187,$C$5:$AJ$644,34,)/VLOOKUP($D187,$C$5:$AJ$644,4,))*$F187))</f>
        <v>0</v>
      </c>
      <c r="AK187" s="101">
        <f>SUM(H187:AJ187)</f>
        <v>9592.0638092655918</v>
      </c>
      <c r="AL187" s="98" t="str">
        <f>IF(ABS(AK187-F187)&lt;1,"ok","err")</f>
        <v>ok</v>
      </c>
    </row>
    <row r="188" spans="1:38" x14ac:dyDescent="0.25">
      <c r="F188" s="100"/>
      <c r="Y188" s="97"/>
      <c r="AL188" s="98"/>
    </row>
    <row r="189" spans="1:38" x14ac:dyDescent="0.25">
      <c r="B189" s="97" t="s">
        <v>1672</v>
      </c>
      <c r="F189" s="100">
        <f>SUM(F183:F188)</f>
        <v>368513.34612494806</v>
      </c>
      <c r="H189" s="100">
        <f t="shared" ref="H189:M189" si="147">SUM(H183:H188)</f>
        <v>111958.9380343259</v>
      </c>
      <c r="I189" s="100">
        <f t="shared" si="147"/>
        <v>105541.19964662426</v>
      </c>
      <c r="J189" s="100">
        <f t="shared" si="147"/>
        <v>108391.54063008208</v>
      </c>
      <c r="K189" s="100">
        <f t="shared" si="147"/>
        <v>42621.667813915803</v>
      </c>
      <c r="L189" s="100">
        <f t="shared" si="147"/>
        <v>0</v>
      </c>
      <c r="M189" s="100">
        <f t="shared" si="147"/>
        <v>0</v>
      </c>
      <c r="O189" s="100">
        <f>SUM(O183:O188)</f>
        <v>0</v>
      </c>
      <c r="P189" s="100">
        <f>SUM(P183:P188)</f>
        <v>0</v>
      </c>
      <c r="Q189" s="100">
        <f>SUM(Q183:Q188)</f>
        <v>0</v>
      </c>
      <c r="S189" s="100">
        <f t="shared" ref="S189:AD189" si="148">SUM(S183:S188)</f>
        <v>0</v>
      </c>
      <c r="T189" s="100">
        <f t="shared" si="148"/>
        <v>0</v>
      </c>
      <c r="U189" s="100">
        <f t="shared" si="148"/>
        <v>0</v>
      </c>
      <c r="V189" s="100">
        <f t="shared" si="148"/>
        <v>0</v>
      </c>
      <c r="W189" s="100">
        <f t="shared" si="148"/>
        <v>0</v>
      </c>
      <c r="X189" s="100">
        <f t="shared" si="148"/>
        <v>0</v>
      </c>
      <c r="Y189" s="100">
        <f t="shared" si="148"/>
        <v>0</v>
      </c>
      <c r="Z189" s="100">
        <f t="shared" si="148"/>
        <v>0</v>
      </c>
      <c r="AA189" s="100">
        <f t="shared" si="148"/>
        <v>0</v>
      </c>
      <c r="AB189" s="100">
        <f t="shared" si="148"/>
        <v>0</v>
      </c>
      <c r="AC189" s="100">
        <f t="shared" si="148"/>
        <v>0</v>
      </c>
      <c r="AD189" s="100">
        <f t="shared" si="148"/>
        <v>0</v>
      </c>
      <c r="AF189" s="100">
        <f>SUM(AF183:AF188)</f>
        <v>0</v>
      </c>
      <c r="AH189" s="100">
        <f>SUM(AH183:AH188)</f>
        <v>0</v>
      </c>
      <c r="AJ189" s="100">
        <f>SUM(AJ183:AJ188)</f>
        <v>0</v>
      </c>
      <c r="AK189" s="101">
        <f>SUM(H189:AJ189)</f>
        <v>368513.34612494806</v>
      </c>
      <c r="AL189" s="98" t="str">
        <f>IF(ABS(AK189-F189)&lt;1,"ok","err")</f>
        <v>ok</v>
      </c>
    </row>
    <row r="190" spans="1:38" x14ac:dyDescent="0.25">
      <c r="F190" s="100"/>
      <c r="H190" s="100"/>
      <c r="I190" s="100"/>
      <c r="J190" s="100"/>
      <c r="K190" s="100"/>
      <c r="L190" s="100"/>
      <c r="M190" s="100"/>
      <c r="O190" s="100"/>
      <c r="P190" s="100"/>
      <c r="Q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F190" s="100"/>
      <c r="AH190" s="100"/>
      <c r="AJ190" s="100"/>
      <c r="AK190" s="101"/>
      <c r="AL190" s="98"/>
    </row>
    <row r="191" spans="1:38" x14ac:dyDescent="0.25">
      <c r="B191" s="97" t="s">
        <v>1671</v>
      </c>
      <c r="F191" s="100">
        <f>F180+F189</f>
        <v>377036.13068990217</v>
      </c>
      <c r="H191" s="100">
        <f t="shared" ref="H191:M191" si="149">H180+H189</f>
        <v>114886.91064759683</v>
      </c>
      <c r="I191" s="100">
        <f t="shared" si="149"/>
        <v>108301.33427778994</v>
      </c>
      <c r="J191" s="100">
        <f t="shared" si="149"/>
        <v>111226.21795059954</v>
      </c>
      <c r="K191" s="100">
        <f t="shared" si="149"/>
        <v>42621.667813915803</v>
      </c>
      <c r="L191" s="100">
        <f t="shared" si="149"/>
        <v>0</v>
      </c>
      <c r="M191" s="100">
        <f t="shared" si="149"/>
        <v>0</v>
      </c>
      <c r="O191" s="100">
        <f>O180+O189</f>
        <v>0</v>
      </c>
      <c r="P191" s="100">
        <f>P180+P189</f>
        <v>0</v>
      </c>
      <c r="Q191" s="100">
        <f>Q180+Q189</f>
        <v>0</v>
      </c>
      <c r="S191" s="100">
        <f t="shared" ref="S191:AD191" si="150">S180+S189</f>
        <v>0</v>
      </c>
      <c r="T191" s="100">
        <f t="shared" si="150"/>
        <v>0</v>
      </c>
      <c r="U191" s="100">
        <f t="shared" si="150"/>
        <v>0</v>
      </c>
      <c r="V191" s="100">
        <f t="shared" si="150"/>
        <v>0</v>
      </c>
      <c r="W191" s="100">
        <f t="shared" si="150"/>
        <v>0</v>
      </c>
      <c r="X191" s="100">
        <f t="shared" si="150"/>
        <v>0</v>
      </c>
      <c r="Y191" s="100">
        <f t="shared" si="150"/>
        <v>0</v>
      </c>
      <c r="Z191" s="100">
        <f t="shared" si="150"/>
        <v>0</v>
      </c>
      <c r="AA191" s="100">
        <f t="shared" si="150"/>
        <v>0</v>
      </c>
      <c r="AB191" s="100">
        <f t="shared" si="150"/>
        <v>0</v>
      </c>
      <c r="AC191" s="100">
        <f t="shared" si="150"/>
        <v>0</v>
      </c>
      <c r="AD191" s="100">
        <f t="shared" si="150"/>
        <v>0</v>
      </c>
      <c r="AF191" s="100">
        <f>AF180+AF189</f>
        <v>0</v>
      </c>
      <c r="AH191" s="100">
        <f>AH180+AH189</f>
        <v>0</v>
      </c>
      <c r="AJ191" s="100">
        <f>AJ180+AJ189</f>
        <v>0</v>
      </c>
      <c r="AK191" s="101">
        <f>SUM(H191:AJ191)</f>
        <v>377036.13068990211</v>
      </c>
      <c r="AL191" s="98" t="str">
        <f>IF(ABS(AK191-F191)&lt;1,"ok","err")</f>
        <v>ok</v>
      </c>
    </row>
    <row r="192" spans="1:38" x14ac:dyDescent="0.25">
      <c r="F192" s="100"/>
      <c r="Y192" s="97"/>
      <c r="AL192" s="98"/>
    </row>
    <row r="193" spans="1:38" x14ac:dyDescent="0.25">
      <c r="A193" s="24" t="s">
        <v>1578</v>
      </c>
      <c r="F193" s="100"/>
      <c r="Y193" s="97"/>
      <c r="AL193" s="98"/>
    </row>
    <row r="194" spans="1:38" x14ac:dyDescent="0.25">
      <c r="A194" s="97">
        <v>546</v>
      </c>
      <c r="B194" s="97" t="s">
        <v>1555</v>
      </c>
      <c r="C194" s="97" t="s">
        <v>1579</v>
      </c>
      <c r="D194" s="97" t="s">
        <v>739</v>
      </c>
      <c r="F194" s="100">
        <f>'Jurisdictional Study'!F987</f>
        <v>1071395.3885709851</v>
      </c>
      <c r="H194" s="101">
        <f>IF(VLOOKUP($D194,$C$5:$AJ$644,6,)=0,0,((VLOOKUP($D194,$C$5:$AJ$644,6,)/VLOOKUP($D194,$C$5:$AJ$644,4,))*$F194))</f>
        <v>368074.11143772304</v>
      </c>
      <c r="I194" s="101">
        <f>IF(VLOOKUP($D194,$C$5:$AJ$644,7,)=0,0,((VLOOKUP($D194,$C$5:$AJ$644,7,)/VLOOKUP($D194,$C$5:$AJ$644,4,))*$F194))</f>
        <v>346975.2747037696</v>
      </c>
      <c r="J194" s="101">
        <f>IF(VLOOKUP($D194,$C$5:$AJ$644,8,)=0,0,((VLOOKUP($D194,$C$5:$AJ$644,8,)/VLOOKUP($D194,$C$5:$AJ$644,4,))*$F194))</f>
        <v>356346.00242949254</v>
      </c>
      <c r="K194" s="101">
        <f>IF(VLOOKUP($D194,$C$5:$AJ$644,9,)=0,0,((VLOOKUP($D194,$C$5:$AJ$644,9,)/VLOOKUP($D194,$C$5:$AJ$644,4,))*$F194))</f>
        <v>0</v>
      </c>
      <c r="L194" s="101">
        <f>IF(VLOOKUP($D194,$C$5:$AJ$644,10,)=0,0,((VLOOKUP($D194,$C$5:$AJ$644,10,)/VLOOKUP($D194,$C$5:$AJ$644,4,))*$F194))</f>
        <v>0</v>
      </c>
      <c r="M194" s="101">
        <f>IF(VLOOKUP($D194,$C$5:$AJ$644,11,)=0,0,((VLOOKUP($D194,$C$5:$AJ$644,11,)/VLOOKUP($D194,$C$5:$AJ$644,4,))*$F194))</f>
        <v>0</v>
      </c>
      <c r="N194" s="101"/>
      <c r="O194" s="101">
        <f>IF(VLOOKUP($D194,$C$5:$AJ$644,13,)=0,0,((VLOOKUP($D194,$C$5:$AJ$644,13,)/VLOOKUP($D194,$C$5:$AJ$644,4,))*$F194))</f>
        <v>0</v>
      </c>
      <c r="P194" s="101">
        <f>IF(VLOOKUP($D194,$C$5:$AJ$644,14,)=0,0,((VLOOKUP($D194,$C$5:$AJ$644,14,)/VLOOKUP($D194,$C$5:$AJ$644,4,))*$F194))</f>
        <v>0</v>
      </c>
      <c r="Q194" s="101">
        <f>IF(VLOOKUP($D194,$C$5:$AJ$644,15,)=0,0,((VLOOKUP($D194,$C$5:$AJ$644,15,)/VLOOKUP($D194,$C$5:$AJ$644,4,))*$F194))</f>
        <v>0</v>
      </c>
      <c r="R194" s="101"/>
      <c r="S194" s="101">
        <f>IF(VLOOKUP($D194,$C$5:$AJ$644,17,)=0,0,((VLOOKUP($D194,$C$5:$AJ$644,17,)/VLOOKUP($D194,$C$5:$AJ$644,4,))*$F194))</f>
        <v>0</v>
      </c>
      <c r="T194" s="101">
        <f>IF(VLOOKUP($D194,$C$5:$AJ$644,18,)=0,0,((VLOOKUP($D194,$C$5:$AJ$644,18,)/VLOOKUP($D194,$C$5:$AJ$644,4,))*$F194))</f>
        <v>0</v>
      </c>
      <c r="U194" s="101">
        <f>IF(VLOOKUP($D194,$C$5:$AJ$644,19,)=0,0,((VLOOKUP($D194,$C$5:$AJ$644,19,)/VLOOKUP($D194,$C$5:$AJ$644,4,))*$F194))</f>
        <v>0</v>
      </c>
      <c r="V194" s="101">
        <f>IF(VLOOKUP($D194,$C$5:$AJ$644,20,)=0,0,((VLOOKUP($D194,$C$5:$AJ$644,20,)/VLOOKUP($D194,$C$5:$AJ$644,4,))*$F194))</f>
        <v>0</v>
      </c>
      <c r="W194" s="101">
        <f>IF(VLOOKUP($D194,$C$5:$AJ$644,21,)=0,0,((VLOOKUP($D194,$C$5:$AJ$644,21,)/VLOOKUP($D194,$C$5:$AJ$644,4,))*$F194))</f>
        <v>0</v>
      </c>
      <c r="X194" s="101">
        <f>IF(VLOOKUP($D194,$C$5:$AJ$644,22,)=0,0,((VLOOKUP($D194,$C$5:$AJ$644,22,)/VLOOKUP($D194,$C$5:$AJ$644,4,))*$F194))</f>
        <v>0</v>
      </c>
      <c r="Y194" s="101">
        <f>IF(VLOOKUP($D194,$C$5:$AJ$644,23,)=0,0,((VLOOKUP($D194,$C$5:$AJ$644,23,)/VLOOKUP($D194,$C$5:$AJ$644,4,))*$F194))</f>
        <v>0</v>
      </c>
      <c r="Z194" s="101">
        <f>IF(VLOOKUP($D194,$C$5:$AJ$644,24,)=0,0,((VLOOKUP($D194,$C$5:$AJ$644,24,)/VLOOKUP($D194,$C$5:$AJ$644,4,))*$F194))</f>
        <v>0</v>
      </c>
      <c r="AA194" s="101">
        <f>IF(VLOOKUP($D194,$C$5:$AJ$644,25,)=0,0,((VLOOKUP($D194,$C$5:$AJ$644,25,)/VLOOKUP($D194,$C$5:$AJ$644,4,))*$F194))</f>
        <v>0</v>
      </c>
      <c r="AB194" s="101">
        <f>IF(VLOOKUP($D194,$C$5:$AJ$644,26,)=0,0,((VLOOKUP($D194,$C$5:$AJ$644,26,)/VLOOKUP($D194,$C$5:$AJ$644,4,))*$F194))</f>
        <v>0</v>
      </c>
      <c r="AC194" s="101">
        <f>IF(VLOOKUP($D194,$C$5:$AJ$644,27,)=0,0,((VLOOKUP($D194,$C$5:$AJ$644,27,)/VLOOKUP($D194,$C$5:$AJ$644,4,))*$F194))</f>
        <v>0</v>
      </c>
      <c r="AD194" s="101">
        <f>IF(VLOOKUP($D194,$C$5:$AJ$644,28,)=0,0,((VLOOKUP($D194,$C$5:$AJ$644,28,)/VLOOKUP($D194,$C$5:$AJ$644,4,))*$F194))</f>
        <v>0</v>
      </c>
      <c r="AE194" s="101"/>
      <c r="AF194" s="101">
        <f>IF(VLOOKUP($D194,$C$5:$AJ$644,30,)=0,0,((VLOOKUP($D194,$C$5:$AJ$644,30,)/VLOOKUP($D194,$C$5:$AJ$644,4,))*$F194))</f>
        <v>0</v>
      </c>
      <c r="AG194" s="101"/>
      <c r="AH194" s="101">
        <f>IF(VLOOKUP($D194,$C$5:$AJ$644,32,)=0,0,((VLOOKUP($D194,$C$5:$AJ$644,32,)/VLOOKUP($D194,$C$5:$AJ$644,4,))*$F194))</f>
        <v>0</v>
      </c>
      <c r="AI194" s="101"/>
      <c r="AJ194" s="101">
        <f>IF(VLOOKUP($D194,$C$5:$AJ$644,34,)=0,0,((VLOOKUP($D194,$C$5:$AJ$644,34,)/VLOOKUP($D194,$C$5:$AJ$644,4,))*$F194))</f>
        <v>0</v>
      </c>
      <c r="AK194" s="101">
        <f>SUM(H194:AJ194)</f>
        <v>1071395.3885709853</v>
      </c>
      <c r="AL194" s="98" t="str">
        <f>IF(ABS(AK194-F194)&lt;1,"ok","err")</f>
        <v>ok</v>
      </c>
    </row>
    <row r="195" spans="1:38" x14ac:dyDescent="0.25">
      <c r="A195" s="97">
        <v>547</v>
      </c>
      <c r="B195" s="97" t="s">
        <v>1557</v>
      </c>
      <c r="C195" s="97" t="s">
        <v>1580</v>
      </c>
      <c r="D195" s="97" t="s">
        <v>110</v>
      </c>
      <c r="F195" s="101">
        <f>'Jurisdictional Study'!F988</f>
        <v>130769641.49540326</v>
      </c>
      <c r="H195" s="101">
        <f>IF(VLOOKUP($D195,$C$5:$AJ$644,6,)=0,0,((VLOOKUP($D195,$C$5:$AJ$644,6,)/VLOOKUP($D195,$C$5:$AJ$644,4,))*$F195))</f>
        <v>0</v>
      </c>
      <c r="I195" s="101">
        <f>IF(VLOOKUP($D195,$C$5:$AJ$644,7,)=0,0,((VLOOKUP($D195,$C$5:$AJ$644,7,)/VLOOKUP($D195,$C$5:$AJ$644,4,))*$F195))</f>
        <v>0</v>
      </c>
      <c r="J195" s="101">
        <f>IF(VLOOKUP($D195,$C$5:$AJ$644,8,)=0,0,((VLOOKUP($D195,$C$5:$AJ$644,8,)/VLOOKUP($D195,$C$5:$AJ$644,4,))*$F195))</f>
        <v>0</v>
      </c>
      <c r="K195" s="101">
        <f>IF(VLOOKUP($D195,$C$5:$AJ$644,9,)=0,0,((VLOOKUP($D195,$C$5:$AJ$644,9,)/VLOOKUP($D195,$C$5:$AJ$644,4,))*$F195))</f>
        <v>130769641.49540326</v>
      </c>
      <c r="L195" s="101">
        <f>IF(VLOOKUP($D195,$C$5:$AJ$644,10,)=0,0,((VLOOKUP($D195,$C$5:$AJ$644,10,)/VLOOKUP($D195,$C$5:$AJ$644,4,))*$F195))</f>
        <v>0</v>
      </c>
      <c r="M195" s="101">
        <f>IF(VLOOKUP($D195,$C$5:$AJ$644,11,)=0,0,((VLOOKUP($D195,$C$5:$AJ$644,11,)/VLOOKUP($D195,$C$5:$AJ$644,4,))*$F195))</f>
        <v>0</v>
      </c>
      <c r="N195" s="101"/>
      <c r="O195" s="101">
        <f>IF(VLOOKUP($D195,$C$5:$AJ$644,13,)=0,0,((VLOOKUP($D195,$C$5:$AJ$644,13,)/VLOOKUP($D195,$C$5:$AJ$644,4,))*$F195))</f>
        <v>0</v>
      </c>
      <c r="P195" s="101">
        <f>IF(VLOOKUP($D195,$C$5:$AJ$644,14,)=0,0,((VLOOKUP($D195,$C$5:$AJ$644,14,)/VLOOKUP($D195,$C$5:$AJ$644,4,))*$F195))</f>
        <v>0</v>
      </c>
      <c r="Q195" s="101">
        <f>IF(VLOOKUP($D195,$C$5:$AJ$644,15,)=0,0,((VLOOKUP($D195,$C$5:$AJ$644,15,)/VLOOKUP($D195,$C$5:$AJ$644,4,))*$F195))</f>
        <v>0</v>
      </c>
      <c r="R195" s="101"/>
      <c r="S195" s="101">
        <f>IF(VLOOKUP($D195,$C$5:$AJ$644,17,)=0,0,((VLOOKUP($D195,$C$5:$AJ$644,17,)/VLOOKUP($D195,$C$5:$AJ$644,4,))*$F195))</f>
        <v>0</v>
      </c>
      <c r="T195" s="101">
        <f>IF(VLOOKUP($D195,$C$5:$AJ$644,18,)=0,0,((VLOOKUP($D195,$C$5:$AJ$644,18,)/VLOOKUP($D195,$C$5:$AJ$644,4,))*$F195))</f>
        <v>0</v>
      </c>
      <c r="U195" s="101">
        <f>IF(VLOOKUP($D195,$C$5:$AJ$644,19,)=0,0,((VLOOKUP($D195,$C$5:$AJ$644,19,)/VLOOKUP($D195,$C$5:$AJ$644,4,))*$F195))</f>
        <v>0</v>
      </c>
      <c r="V195" s="101">
        <f>IF(VLOOKUP($D195,$C$5:$AJ$644,20,)=0,0,((VLOOKUP($D195,$C$5:$AJ$644,20,)/VLOOKUP($D195,$C$5:$AJ$644,4,))*$F195))</f>
        <v>0</v>
      </c>
      <c r="W195" s="101">
        <f>IF(VLOOKUP($D195,$C$5:$AJ$644,21,)=0,0,((VLOOKUP($D195,$C$5:$AJ$644,21,)/VLOOKUP($D195,$C$5:$AJ$644,4,))*$F195))</f>
        <v>0</v>
      </c>
      <c r="X195" s="101">
        <f>IF(VLOOKUP($D195,$C$5:$AJ$644,22,)=0,0,((VLOOKUP($D195,$C$5:$AJ$644,22,)/VLOOKUP($D195,$C$5:$AJ$644,4,))*$F195))</f>
        <v>0</v>
      </c>
      <c r="Y195" s="101">
        <f>IF(VLOOKUP($D195,$C$5:$AJ$644,23,)=0,0,((VLOOKUP($D195,$C$5:$AJ$644,23,)/VLOOKUP($D195,$C$5:$AJ$644,4,))*$F195))</f>
        <v>0</v>
      </c>
      <c r="Z195" s="101">
        <f>IF(VLOOKUP($D195,$C$5:$AJ$644,24,)=0,0,((VLOOKUP($D195,$C$5:$AJ$644,24,)/VLOOKUP($D195,$C$5:$AJ$644,4,))*$F195))</f>
        <v>0</v>
      </c>
      <c r="AA195" s="101">
        <f>IF(VLOOKUP($D195,$C$5:$AJ$644,25,)=0,0,((VLOOKUP($D195,$C$5:$AJ$644,25,)/VLOOKUP($D195,$C$5:$AJ$644,4,))*$F195))</f>
        <v>0</v>
      </c>
      <c r="AB195" s="101">
        <f>IF(VLOOKUP($D195,$C$5:$AJ$644,26,)=0,0,((VLOOKUP($D195,$C$5:$AJ$644,26,)/VLOOKUP($D195,$C$5:$AJ$644,4,))*$F195))</f>
        <v>0</v>
      </c>
      <c r="AC195" s="101">
        <f>IF(VLOOKUP($D195,$C$5:$AJ$644,27,)=0,0,((VLOOKUP($D195,$C$5:$AJ$644,27,)/VLOOKUP($D195,$C$5:$AJ$644,4,))*$F195))</f>
        <v>0</v>
      </c>
      <c r="AD195" s="101">
        <f>IF(VLOOKUP($D195,$C$5:$AJ$644,28,)=0,0,((VLOOKUP($D195,$C$5:$AJ$644,28,)/VLOOKUP($D195,$C$5:$AJ$644,4,))*$F195))</f>
        <v>0</v>
      </c>
      <c r="AE195" s="101"/>
      <c r="AF195" s="101">
        <f>IF(VLOOKUP($D195,$C$5:$AJ$644,30,)=0,0,((VLOOKUP($D195,$C$5:$AJ$644,30,)/VLOOKUP($D195,$C$5:$AJ$644,4,))*$F195))</f>
        <v>0</v>
      </c>
      <c r="AG195" s="101"/>
      <c r="AH195" s="101">
        <f>IF(VLOOKUP($D195,$C$5:$AJ$644,32,)=0,0,((VLOOKUP($D195,$C$5:$AJ$644,32,)/VLOOKUP($D195,$C$5:$AJ$644,4,))*$F195))</f>
        <v>0</v>
      </c>
      <c r="AI195" s="101"/>
      <c r="AJ195" s="101">
        <f>IF(VLOOKUP($D195,$C$5:$AJ$644,34,)=0,0,((VLOOKUP($D195,$C$5:$AJ$644,34,)/VLOOKUP($D195,$C$5:$AJ$644,4,))*$F195))</f>
        <v>0</v>
      </c>
      <c r="AK195" s="101">
        <f>SUM(H195:AJ195)</f>
        <v>130769641.49540326</v>
      </c>
      <c r="AL195" s="98" t="str">
        <f>IF(ABS(AK195-F195)&lt;1,"ok","err")</f>
        <v>ok</v>
      </c>
    </row>
    <row r="196" spans="1:38" x14ac:dyDescent="0.25">
      <c r="A196" s="97">
        <v>548</v>
      </c>
      <c r="B196" s="97" t="s">
        <v>1581</v>
      </c>
      <c r="C196" s="97" t="s">
        <v>1582</v>
      </c>
      <c r="D196" s="97" t="s">
        <v>736</v>
      </c>
      <c r="F196" s="101">
        <f>'Jurisdictional Study'!F989</f>
        <v>611306.46293846227</v>
      </c>
      <c r="H196" s="101">
        <f>IF(VLOOKUP($D196,$C$5:$AJ$644,6,)=0,0,((VLOOKUP($D196,$C$5:$AJ$644,6,)/VLOOKUP($D196,$C$5:$AJ$644,4,))*$F196))</f>
        <v>210012.18183543088</v>
      </c>
      <c r="I196" s="101">
        <f>IF(VLOOKUP($D196,$C$5:$AJ$644,7,)=0,0,((VLOOKUP($D196,$C$5:$AJ$644,7,)/VLOOKUP($D196,$C$5:$AJ$644,4,))*$F196))</f>
        <v>197973.81076016222</v>
      </c>
      <c r="J196" s="101">
        <f>IF(VLOOKUP($D196,$C$5:$AJ$644,8,)=0,0,((VLOOKUP($D196,$C$5:$AJ$644,8,)/VLOOKUP($D196,$C$5:$AJ$644,4,))*$F196))</f>
        <v>203320.4703428692</v>
      </c>
      <c r="K196" s="101">
        <f>IF(VLOOKUP($D196,$C$5:$AJ$644,9,)=0,0,((VLOOKUP($D196,$C$5:$AJ$644,9,)/VLOOKUP($D196,$C$5:$AJ$644,4,))*$F196))</f>
        <v>0</v>
      </c>
      <c r="L196" s="101">
        <f>IF(VLOOKUP($D196,$C$5:$AJ$644,10,)=0,0,((VLOOKUP($D196,$C$5:$AJ$644,10,)/VLOOKUP($D196,$C$5:$AJ$644,4,))*$F196))</f>
        <v>0</v>
      </c>
      <c r="M196" s="101">
        <f>IF(VLOOKUP($D196,$C$5:$AJ$644,11,)=0,0,((VLOOKUP($D196,$C$5:$AJ$644,11,)/VLOOKUP($D196,$C$5:$AJ$644,4,))*$F196))</f>
        <v>0</v>
      </c>
      <c r="N196" s="101"/>
      <c r="O196" s="101">
        <f>IF(VLOOKUP($D196,$C$5:$AJ$644,13,)=0,0,((VLOOKUP($D196,$C$5:$AJ$644,13,)/VLOOKUP($D196,$C$5:$AJ$644,4,))*$F196))</f>
        <v>0</v>
      </c>
      <c r="P196" s="101">
        <f>IF(VLOOKUP($D196,$C$5:$AJ$644,14,)=0,0,((VLOOKUP($D196,$C$5:$AJ$644,14,)/VLOOKUP($D196,$C$5:$AJ$644,4,))*$F196))</f>
        <v>0</v>
      </c>
      <c r="Q196" s="101">
        <f>IF(VLOOKUP($D196,$C$5:$AJ$644,15,)=0,0,((VLOOKUP($D196,$C$5:$AJ$644,15,)/VLOOKUP($D196,$C$5:$AJ$644,4,))*$F196))</f>
        <v>0</v>
      </c>
      <c r="R196" s="101"/>
      <c r="S196" s="101">
        <f>IF(VLOOKUP($D196,$C$5:$AJ$644,17,)=0,0,((VLOOKUP($D196,$C$5:$AJ$644,17,)/VLOOKUP($D196,$C$5:$AJ$644,4,))*$F196))</f>
        <v>0</v>
      </c>
      <c r="T196" s="101">
        <f>IF(VLOOKUP($D196,$C$5:$AJ$644,18,)=0,0,((VLOOKUP($D196,$C$5:$AJ$644,18,)/VLOOKUP($D196,$C$5:$AJ$644,4,))*$F196))</f>
        <v>0</v>
      </c>
      <c r="U196" s="101">
        <f>IF(VLOOKUP($D196,$C$5:$AJ$644,19,)=0,0,((VLOOKUP($D196,$C$5:$AJ$644,19,)/VLOOKUP($D196,$C$5:$AJ$644,4,))*$F196))</f>
        <v>0</v>
      </c>
      <c r="V196" s="101">
        <f>IF(VLOOKUP($D196,$C$5:$AJ$644,20,)=0,0,((VLOOKUP($D196,$C$5:$AJ$644,20,)/VLOOKUP($D196,$C$5:$AJ$644,4,))*$F196))</f>
        <v>0</v>
      </c>
      <c r="W196" s="101">
        <f>IF(VLOOKUP($D196,$C$5:$AJ$644,21,)=0,0,((VLOOKUP($D196,$C$5:$AJ$644,21,)/VLOOKUP($D196,$C$5:$AJ$644,4,))*$F196))</f>
        <v>0</v>
      </c>
      <c r="X196" s="101">
        <f>IF(VLOOKUP($D196,$C$5:$AJ$644,22,)=0,0,((VLOOKUP($D196,$C$5:$AJ$644,22,)/VLOOKUP($D196,$C$5:$AJ$644,4,))*$F196))</f>
        <v>0</v>
      </c>
      <c r="Y196" s="101">
        <f>IF(VLOOKUP($D196,$C$5:$AJ$644,23,)=0,0,((VLOOKUP($D196,$C$5:$AJ$644,23,)/VLOOKUP($D196,$C$5:$AJ$644,4,))*$F196))</f>
        <v>0</v>
      </c>
      <c r="Z196" s="101">
        <f>IF(VLOOKUP($D196,$C$5:$AJ$644,24,)=0,0,((VLOOKUP($D196,$C$5:$AJ$644,24,)/VLOOKUP($D196,$C$5:$AJ$644,4,))*$F196))</f>
        <v>0</v>
      </c>
      <c r="AA196" s="101">
        <f>IF(VLOOKUP($D196,$C$5:$AJ$644,25,)=0,0,((VLOOKUP($D196,$C$5:$AJ$644,25,)/VLOOKUP($D196,$C$5:$AJ$644,4,))*$F196))</f>
        <v>0</v>
      </c>
      <c r="AB196" s="101">
        <f>IF(VLOOKUP($D196,$C$5:$AJ$644,26,)=0,0,((VLOOKUP($D196,$C$5:$AJ$644,26,)/VLOOKUP($D196,$C$5:$AJ$644,4,))*$F196))</f>
        <v>0</v>
      </c>
      <c r="AC196" s="101">
        <f>IF(VLOOKUP($D196,$C$5:$AJ$644,27,)=0,0,((VLOOKUP($D196,$C$5:$AJ$644,27,)/VLOOKUP($D196,$C$5:$AJ$644,4,))*$F196))</f>
        <v>0</v>
      </c>
      <c r="AD196" s="101">
        <f>IF(VLOOKUP($D196,$C$5:$AJ$644,28,)=0,0,((VLOOKUP($D196,$C$5:$AJ$644,28,)/VLOOKUP($D196,$C$5:$AJ$644,4,))*$F196))</f>
        <v>0</v>
      </c>
      <c r="AE196" s="101"/>
      <c r="AF196" s="101">
        <f>IF(VLOOKUP($D196,$C$5:$AJ$644,30,)=0,0,((VLOOKUP($D196,$C$5:$AJ$644,30,)/VLOOKUP($D196,$C$5:$AJ$644,4,))*$F196))</f>
        <v>0</v>
      </c>
      <c r="AG196" s="101"/>
      <c r="AH196" s="101">
        <f>IF(VLOOKUP($D196,$C$5:$AJ$644,32,)=0,0,((VLOOKUP($D196,$C$5:$AJ$644,32,)/VLOOKUP($D196,$C$5:$AJ$644,4,))*$F196))</f>
        <v>0</v>
      </c>
      <c r="AI196" s="101"/>
      <c r="AJ196" s="101">
        <f>IF(VLOOKUP($D196,$C$5:$AJ$644,34,)=0,0,((VLOOKUP($D196,$C$5:$AJ$644,34,)/VLOOKUP($D196,$C$5:$AJ$644,4,))*$F196))</f>
        <v>0</v>
      </c>
      <c r="AK196" s="101">
        <f>SUM(H196:AJ196)</f>
        <v>611306.46293846227</v>
      </c>
      <c r="AL196" s="98" t="str">
        <f>IF(ABS(AK196-F196)&lt;1,"ok","err")</f>
        <v>ok</v>
      </c>
    </row>
    <row r="197" spans="1:38" x14ac:dyDescent="0.25">
      <c r="A197" s="97">
        <v>549</v>
      </c>
      <c r="B197" s="97" t="s">
        <v>1583</v>
      </c>
      <c r="C197" s="97" t="s">
        <v>1584</v>
      </c>
      <c r="D197" s="97" t="s">
        <v>736</v>
      </c>
      <c r="F197" s="101">
        <f>'Jurisdictional Study'!F990</f>
        <v>3639051.9187894785</v>
      </c>
      <c r="H197" s="101">
        <f>IF(VLOOKUP($D197,$C$5:$AJ$644,6,)=0,0,((VLOOKUP($D197,$C$5:$AJ$644,6,)/VLOOKUP($D197,$C$5:$AJ$644,4,))*$F197))</f>
        <v>1250183.4670678477</v>
      </c>
      <c r="I197" s="101">
        <f>IF(VLOOKUP($D197,$C$5:$AJ$644,7,)=0,0,((VLOOKUP($D197,$C$5:$AJ$644,7,)/VLOOKUP($D197,$C$5:$AJ$644,4,))*$F197))</f>
        <v>1178520.1361258253</v>
      </c>
      <c r="J197" s="101">
        <f>IF(VLOOKUP($D197,$C$5:$AJ$644,8,)=0,0,((VLOOKUP($D197,$C$5:$AJ$644,8,)/VLOOKUP($D197,$C$5:$AJ$644,4,))*$F197))</f>
        <v>1210348.3155958052</v>
      </c>
      <c r="K197" s="101">
        <f>IF(VLOOKUP($D197,$C$5:$AJ$644,9,)=0,0,((VLOOKUP($D197,$C$5:$AJ$644,9,)/VLOOKUP($D197,$C$5:$AJ$644,4,))*$F197))</f>
        <v>0</v>
      </c>
      <c r="L197" s="101">
        <f>IF(VLOOKUP($D197,$C$5:$AJ$644,10,)=0,0,((VLOOKUP($D197,$C$5:$AJ$644,10,)/VLOOKUP($D197,$C$5:$AJ$644,4,))*$F197))</f>
        <v>0</v>
      </c>
      <c r="M197" s="101">
        <f>IF(VLOOKUP($D197,$C$5:$AJ$644,11,)=0,0,((VLOOKUP($D197,$C$5:$AJ$644,11,)/VLOOKUP($D197,$C$5:$AJ$644,4,))*$F197))</f>
        <v>0</v>
      </c>
      <c r="N197" s="101"/>
      <c r="O197" s="101">
        <f>IF(VLOOKUP($D197,$C$5:$AJ$644,13,)=0,0,((VLOOKUP($D197,$C$5:$AJ$644,13,)/VLOOKUP($D197,$C$5:$AJ$644,4,))*$F197))</f>
        <v>0</v>
      </c>
      <c r="P197" s="101">
        <f>IF(VLOOKUP($D197,$C$5:$AJ$644,14,)=0,0,((VLOOKUP($D197,$C$5:$AJ$644,14,)/VLOOKUP($D197,$C$5:$AJ$644,4,))*$F197))</f>
        <v>0</v>
      </c>
      <c r="Q197" s="101">
        <f>IF(VLOOKUP($D197,$C$5:$AJ$644,15,)=0,0,((VLOOKUP($D197,$C$5:$AJ$644,15,)/VLOOKUP($D197,$C$5:$AJ$644,4,))*$F197))</f>
        <v>0</v>
      </c>
      <c r="R197" s="101"/>
      <c r="S197" s="101">
        <f>IF(VLOOKUP($D197,$C$5:$AJ$644,17,)=0,0,((VLOOKUP($D197,$C$5:$AJ$644,17,)/VLOOKUP($D197,$C$5:$AJ$644,4,))*$F197))</f>
        <v>0</v>
      </c>
      <c r="T197" s="101">
        <f>IF(VLOOKUP($D197,$C$5:$AJ$644,18,)=0,0,((VLOOKUP($D197,$C$5:$AJ$644,18,)/VLOOKUP($D197,$C$5:$AJ$644,4,))*$F197))</f>
        <v>0</v>
      </c>
      <c r="U197" s="101">
        <f>IF(VLOOKUP($D197,$C$5:$AJ$644,19,)=0,0,((VLOOKUP($D197,$C$5:$AJ$644,19,)/VLOOKUP($D197,$C$5:$AJ$644,4,))*$F197))</f>
        <v>0</v>
      </c>
      <c r="V197" s="101">
        <f>IF(VLOOKUP($D197,$C$5:$AJ$644,20,)=0,0,((VLOOKUP($D197,$C$5:$AJ$644,20,)/VLOOKUP($D197,$C$5:$AJ$644,4,))*$F197))</f>
        <v>0</v>
      </c>
      <c r="W197" s="101">
        <f>IF(VLOOKUP($D197,$C$5:$AJ$644,21,)=0,0,((VLOOKUP($D197,$C$5:$AJ$644,21,)/VLOOKUP($D197,$C$5:$AJ$644,4,))*$F197))</f>
        <v>0</v>
      </c>
      <c r="X197" s="101">
        <f>IF(VLOOKUP($D197,$C$5:$AJ$644,22,)=0,0,((VLOOKUP($D197,$C$5:$AJ$644,22,)/VLOOKUP($D197,$C$5:$AJ$644,4,))*$F197))</f>
        <v>0</v>
      </c>
      <c r="Y197" s="101">
        <f>IF(VLOOKUP($D197,$C$5:$AJ$644,23,)=0,0,((VLOOKUP($D197,$C$5:$AJ$644,23,)/VLOOKUP($D197,$C$5:$AJ$644,4,))*$F197))</f>
        <v>0</v>
      </c>
      <c r="Z197" s="101">
        <f>IF(VLOOKUP($D197,$C$5:$AJ$644,24,)=0,0,((VLOOKUP($D197,$C$5:$AJ$644,24,)/VLOOKUP($D197,$C$5:$AJ$644,4,))*$F197))</f>
        <v>0</v>
      </c>
      <c r="AA197" s="101">
        <f>IF(VLOOKUP($D197,$C$5:$AJ$644,25,)=0,0,((VLOOKUP($D197,$C$5:$AJ$644,25,)/VLOOKUP($D197,$C$5:$AJ$644,4,))*$F197))</f>
        <v>0</v>
      </c>
      <c r="AB197" s="101">
        <f>IF(VLOOKUP($D197,$C$5:$AJ$644,26,)=0,0,((VLOOKUP($D197,$C$5:$AJ$644,26,)/VLOOKUP($D197,$C$5:$AJ$644,4,))*$F197))</f>
        <v>0</v>
      </c>
      <c r="AC197" s="101">
        <f>IF(VLOOKUP($D197,$C$5:$AJ$644,27,)=0,0,((VLOOKUP($D197,$C$5:$AJ$644,27,)/VLOOKUP($D197,$C$5:$AJ$644,4,))*$F197))</f>
        <v>0</v>
      </c>
      <c r="AD197" s="101">
        <f>IF(VLOOKUP($D197,$C$5:$AJ$644,28,)=0,0,((VLOOKUP($D197,$C$5:$AJ$644,28,)/VLOOKUP($D197,$C$5:$AJ$644,4,))*$F197))</f>
        <v>0</v>
      </c>
      <c r="AE197" s="101"/>
      <c r="AF197" s="101">
        <f>IF(VLOOKUP($D197,$C$5:$AJ$644,30,)=0,0,((VLOOKUP($D197,$C$5:$AJ$644,30,)/VLOOKUP($D197,$C$5:$AJ$644,4,))*$F197))</f>
        <v>0</v>
      </c>
      <c r="AG197" s="101"/>
      <c r="AH197" s="101">
        <f>IF(VLOOKUP($D197,$C$5:$AJ$644,32,)=0,0,((VLOOKUP($D197,$C$5:$AJ$644,32,)/VLOOKUP($D197,$C$5:$AJ$644,4,))*$F197))</f>
        <v>0</v>
      </c>
      <c r="AI197" s="101"/>
      <c r="AJ197" s="101">
        <f>IF(VLOOKUP($D197,$C$5:$AJ$644,34,)=0,0,((VLOOKUP($D197,$C$5:$AJ$644,34,)/VLOOKUP($D197,$C$5:$AJ$644,4,))*$F197))</f>
        <v>0</v>
      </c>
      <c r="AK197" s="101">
        <f>SUM(H197:AJ197)</f>
        <v>3639051.9187894785</v>
      </c>
      <c r="AL197" s="98" t="str">
        <f>IF(ABS(AK197-F197)&lt;1,"ok","err")</f>
        <v>ok</v>
      </c>
    </row>
    <row r="198" spans="1:38" x14ac:dyDescent="0.25">
      <c r="A198" s="97">
        <v>550</v>
      </c>
      <c r="B198" s="97" t="s">
        <v>373</v>
      </c>
      <c r="C198" s="97" t="s">
        <v>1585</v>
      </c>
      <c r="D198" s="97" t="s">
        <v>736</v>
      </c>
      <c r="F198" s="101">
        <f>'Jurisdictional Study'!F991</f>
        <v>4420.8140642232192</v>
      </c>
      <c r="H198" s="101">
        <f>IF(VLOOKUP($D198,$C$5:$AJ$644,6,)=0,0,((VLOOKUP($D198,$C$5:$AJ$644,6,)/VLOOKUP($D198,$C$5:$AJ$644,4,))*$F198))</f>
        <v>1518.7550981441818</v>
      </c>
      <c r="I198" s="101">
        <f>IF(VLOOKUP($D198,$C$5:$AJ$644,7,)=0,0,((VLOOKUP($D198,$C$5:$AJ$644,7,)/VLOOKUP($D198,$C$5:$AJ$644,4,))*$F198))</f>
        <v>1431.6966366581578</v>
      </c>
      <c r="J198" s="101">
        <f>IF(VLOOKUP($D198,$C$5:$AJ$644,8,)=0,0,((VLOOKUP($D198,$C$5:$AJ$644,8,)/VLOOKUP($D198,$C$5:$AJ$644,4,))*$F198))</f>
        <v>1470.3623294208796</v>
      </c>
      <c r="K198" s="101">
        <f>IF(VLOOKUP($D198,$C$5:$AJ$644,9,)=0,0,((VLOOKUP($D198,$C$5:$AJ$644,9,)/VLOOKUP($D198,$C$5:$AJ$644,4,))*$F198))</f>
        <v>0</v>
      </c>
      <c r="L198" s="101">
        <f>IF(VLOOKUP($D198,$C$5:$AJ$644,10,)=0,0,((VLOOKUP($D198,$C$5:$AJ$644,10,)/VLOOKUP($D198,$C$5:$AJ$644,4,))*$F198))</f>
        <v>0</v>
      </c>
      <c r="M198" s="101">
        <f>IF(VLOOKUP($D198,$C$5:$AJ$644,11,)=0,0,((VLOOKUP($D198,$C$5:$AJ$644,11,)/VLOOKUP($D198,$C$5:$AJ$644,4,))*$F198))</f>
        <v>0</v>
      </c>
      <c r="N198" s="101"/>
      <c r="O198" s="101">
        <f>IF(VLOOKUP($D198,$C$5:$AJ$644,13,)=0,0,((VLOOKUP($D198,$C$5:$AJ$644,13,)/VLOOKUP($D198,$C$5:$AJ$644,4,))*$F198))</f>
        <v>0</v>
      </c>
      <c r="P198" s="101">
        <f>IF(VLOOKUP($D198,$C$5:$AJ$644,14,)=0,0,((VLOOKUP($D198,$C$5:$AJ$644,14,)/VLOOKUP($D198,$C$5:$AJ$644,4,))*$F198))</f>
        <v>0</v>
      </c>
      <c r="Q198" s="101">
        <f>IF(VLOOKUP($D198,$C$5:$AJ$644,15,)=0,0,((VLOOKUP($D198,$C$5:$AJ$644,15,)/VLOOKUP($D198,$C$5:$AJ$644,4,))*$F198))</f>
        <v>0</v>
      </c>
      <c r="R198" s="101"/>
      <c r="S198" s="101">
        <f>IF(VLOOKUP($D198,$C$5:$AJ$644,17,)=0,0,((VLOOKUP($D198,$C$5:$AJ$644,17,)/VLOOKUP($D198,$C$5:$AJ$644,4,))*$F198))</f>
        <v>0</v>
      </c>
      <c r="T198" s="101">
        <f>IF(VLOOKUP($D198,$C$5:$AJ$644,18,)=0,0,((VLOOKUP($D198,$C$5:$AJ$644,18,)/VLOOKUP($D198,$C$5:$AJ$644,4,))*$F198))</f>
        <v>0</v>
      </c>
      <c r="U198" s="101">
        <f>IF(VLOOKUP($D198,$C$5:$AJ$644,19,)=0,0,((VLOOKUP($D198,$C$5:$AJ$644,19,)/VLOOKUP($D198,$C$5:$AJ$644,4,))*$F198))</f>
        <v>0</v>
      </c>
      <c r="V198" s="101">
        <f>IF(VLOOKUP($D198,$C$5:$AJ$644,20,)=0,0,((VLOOKUP($D198,$C$5:$AJ$644,20,)/VLOOKUP($D198,$C$5:$AJ$644,4,))*$F198))</f>
        <v>0</v>
      </c>
      <c r="W198" s="101">
        <f>IF(VLOOKUP($D198,$C$5:$AJ$644,21,)=0,0,((VLOOKUP($D198,$C$5:$AJ$644,21,)/VLOOKUP($D198,$C$5:$AJ$644,4,))*$F198))</f>
        <v>0</v>
      </c>
      <c r="X198" s="101">
        <f>IF(VLOOKUP($D198,$C$5:$AJ$644,22,)=0,0,((VLOOKUP($D198,$C$5:$AJ$644,22,)/VLOOKUP($D198,$C$5:$AJ$644,4,))*$F198))</f>
        <v>0</v>
      </c>
      <c r="Y198" s="101">
        <f>IF(VLOOKUP($D198,$C$5:$AJ$644,23,)=0,0,((VLOOKUP($D198,$C$5:$AJ$644,23,)/VLOOKUP($D198,$C$5:$AJ$644,4,))*$F198))</f>
        <v>0</v>
      </c>
      <c r="Z198" s="101">
        <f>IF(VLOOKUP($D198,$C$5:$AJ$644,24,)=0,0,((VLOOKUP($D198,$C$5:$AJ$644,24,)/VLOOKUP($D198,$C$5:$AJ$644,4,))*$F198))</f>
        <v>0</v>
      </c>
      <c r="AA198" s="101">
        <f>IF(VLOOKUP($D198,$C$5:$AJ$644,25,)=0,0,((VLOOKUP($D198,$C$5:$AJ$644,25,)/VLOOKUP($D198,$C$5:$AJ$644,4,))*$F198))</f>
        <v>0</v>
      </c>
      <c r="AB198" s="101">
        <f>IF(VLOOKUP($D198,$C$5:$AJ$644,26,)=0,0,((VLOOKUP($D198,$C$5:$AJ$644,26,)/VLOOKUP($D198,$C$5:$AJ$644,4,))*$F198))</f>
        <v>0</v>
      </c>
      <c r="AC198" s="101">
        <f>IF(VLOOKUP($D198,$C$5:$AJ$644,27,)=0,0,((VLOOKUP($D198,$C$5:$AJ$644,27,)/VLOOKUP($D198,$C$5:$AJ$644,4,))*$F198))</f>
        <v>0</v>
      </c>
      <c r="AD198" s="101">
        <f>IF(VLOOKUP($D198,$C$5:$AJ$644,28,)=0,0,((VLOOKUP($D198,$C$5:$AJ$644,28,)/VLOOKUP($D198,$C$5:$AJ$644,4,))*$F198))</f>
        <v>0</v>
      </c>
      <c r="AE198" s="101"/>
      <c r="AF198" s="101">
        <f>IF(VLOOKUP($D198,$C$5:$AJ$644,30,)=0,0,((VLOOKUP($D198,$C$5:$AJ$644,30,)/VLOOKUP($D198,$C$5:$AJ$644,4,))*$F198))</f>
        <v>0</v>
      </c>
      <c r="AG198" s="101"/>
      <c r="AH198" s="101">
        <f>IF(VLOOKUP($D198,$C$5:$AJ$644,32,)=0,0,((VLOOKUP($D198,$C$5:$AJ$644,32,)/VLOOKUP($D198,$C$5:$AJ$644,4,))*$F198))</f>
        <v>0</v>
      </c>
      <c r="AI198" s="101"/>
      <c r="AJ198" s="101">
        <f>IF(VLOOKUP($D198,$C$5:$AJ$644,34,)=0,0,((VLOOKUP($D198,$C$5:$AJ$644,34,)/VLOOKUP($D198,$C$5:$AJ$644,4,))*$F198))</f>
        <v>0</v>
      </c>
      <c r="AK198" s="101">
        <f>SUM(H198:AJ198)</f>
        <v>4420.8140642232192</v>
      </c>
      <c r="AL198" s="98" t="str">
        <f>IF(ABS(AK198-F198)&lt;1,"ok","err")</f>
        <v>ok</v>
      </c>
    </row>
    <row r="199" spans="1:38" x14ac:dyDescent="0.25">
      <c r="F199" s="100"/>
      <c r="Y199" s="97"/>
      <c r="AK199" s="101"/>
      <c r="AL199" s="98"/>
    </row>
    <row r="200" spans="1:38" x14ac:dyDescent="0.25">
      <c r="B200" s="97" t="s">
        <v>1586</v>
      </c>
      <c r="F200" s="100">
        <f>SUM(F194:F199)</f>
        <v>136095816.07976642</v>
      </c>
      <c r="H200" s="100">
        <f t="shared" ref="H200:M200" si="151">SUM(H194:H199)</f>
        <v>1829788.515439146</v>
      </c>
      <c r="I200" s="100">
        <f t="shared" si="151"/>
        <v>1724900.9182264153</v>
      </c>
      <c r="J200" s="100">
        <f t="shared" si="151"/>
        <v>1771485.1506975878</v>
      </c>
      <c r="K200" s="100">
        <f t="shared" si="151"/>
        <v>130769641.49540326</v>
      </c>
      <c r="L200" s="100">
        <f t="shared" si="151"/>
        <v>0</v>
      </c>
      <c r="M200" s="100">
        <f t="shared" si="151"/>
        <v>0</v>
      </c>
      <c r="O200" s="100">
        <f>SUM(O194:O199)</f>
        <v>0</v>
      </c>
      <c r="P200" s="100">
        <f>SUM(P194:P199)</f>
        <v>0</v>
      </c>
      <c r="Q200" s="100">
        <f>SUM(Q194:Q199)</f>
        <v>0</v>
      </c>
      <c r="S200" s="100">
        <f t="shared" ref="S200:AD200" si="152">SUM(S194:S199)</f>
        <v>0</v>
      </c>
      <c r="T200" s="100">
        <f t="shared" si="152"/>
        <v>0</v>
      </c>
      <c r="U200" s="100">
        <f t="shared" si="152"/>
        <v>0</v>
      </c>
      <c r="V200" s="100">
        <f t="shared" si="152"/>
        <v>0</v>
      </c>
      <c r="W200" s="100">
        <f t="shared" si="152"/>
        <v>0</v>
      </c>
      <c r="X200" s="100">
        <f t="shared" si="152"/>
        <v>0</v>
      </c>
      <c r="Y200" s="100">
        <f t="shared" si="152"/>
        <v>0</v>
      </c>
      <c r="Z200" s="100">
        <f t="shared" si="152"/>
        <v>0</v>
      </c>
      <c r="AA200" s="100">
        <f t="shared" si="152"/>
        <v>0</v>
      </c>
      <c r="AB200" s="100">
        <f t="shared" si="152"/>
        <v>0</v>
      </c>
      <c r="AC200" s="100">
        <f t="shared" si="152"/>
        <v>0</v>
      </c>
      <c r="AD200" s="100">
        <f t="shared" si="152"/>
        <v>0</v>
      </c>
      <c r="AF200" s="100">
        <f>SUM(AF194:AF199)</f>
        <v>0</v>
      </c>
      <c r="AH200" s="100">
        <f>SUM(AH194:AH199)</f>
        <v>0</v>
      </c>
      <c r="AJ200" s="100">
        <f>SUM(AJ194:AJ199)</f>
        <v>0</v>
      </c>
      <c r="AK200" s="101">
        <f>SUM(H200:AJ200)</f>
        <v>136095816.07976642</v>
      </c>
      <c r="AL200" s="98" t="str">
        <f>IF(ABS(AK200-F200)&lt;1,"ok","err")</f>
        <v>ok</v>
      </c>
    </row>
    <row r="201" spans="1:38" x14ac:dyDescent="0.25">
      <c r="F201" s="100"/>
      <c r="Y201" s="97"/>
      <c r="AL201" s="98"/>
    </row>
    <row r="202" spans="1:38" x14ac:dyDescent="0.25">
      <c r="A202" s="24" t="s">
        <v>1587</v>
      </c>
      <c r="F202" s="100"/>
      <c r="Y202" s="97"/>
      <c r="AL202" s="98"/>
    </row>
    <row r="203" spans="1:38" x14ac:dyDescent="0.25">
      <c r="A203" s="97">
        <v>551</v>
      </c>
      <c r="B203" s="97" t="s">
        <v>587</v>
      </c>
      <c r="C203" s="97" t="s">
        <v>1588</v>
      </c>
      <c r="D203" s="97" t="s">
        <v>736</v>
      </c>
      <c r="F203" s="100">
        <f>'Jurisdictional Study'!F993</f>
        <v>257199.08158935679</v>
      </c>
      <c r="H203" s="101">
        <f>IF(VLOOKUP($D203,$C$5:$AJ$644,6,)=0,0,((VLOOKUP($D203,$C$5:$AJ$644,6,)/VLOOKUP($D203,$C$5:$AJ$644,4,))*$F203))</f>
        <v>88359.838420499873</v>
      </c>
      <c r="I203" s="101">
        <f>IF(VLOOKUP($D203,$C$5:$AJ$644,7,)=0,0,((VLOOKUP($D203,$C$5:$AJ$644,7,)/VLOOKUP($D203,$C$5:$AJ$644,4,))*$F203))</f>
        <v>83294.853552668268</v>
      </c>
      <c r="J203" s="101">
        <f>IF(VLOOKUP($D203,$C$5:$AJ$644,8,)=0,0,((VLOOKUP($D203,$C$5:$AJ$644,8,)/VLOOKUP($D203,$C$5:$AJ$644,4,))*$F203))</f>
        <v>85544.389616188666</v>
      </c>
      <c r="K203" s="101">
        <f>IF(VLOOKUP($D203,$C$5:$AJ$644,9,)=0,0,((VLOOKUP($D203,$C$5:$AJ$644,9,)/VLOOKUP($D203,$C$5:$AJ$644,4,))*$F203))</f>
        <v>0</v>
      </c>
      <c r="L203" s="101">
        <f>IF(VLOOKUP($D203,$C$5:$AJ$644,10,)=0,0,((VLOOKUP($D203,$C$5:$AJ$644,10,)/VLOOKUP($D203,$C$5:$AJ$644,4,))*$F203))</f>
        <v>0</v>
      </c>
      <c r="M203" s="101">
        <f>IF(VLOOKUP($D203,$C$5:$AJ$644,11,)=0,0,((VLOOKUP($D203,$C$5:$AJ$644,11,)/VLOOKUP($D203,$C$5:$AJ$644,4,))*$F203))</f>
        <v>0</v>
      </c>
      <c r="N203" s="101"/>
      <c r="O203" s="101">
        <f>IF(VLOOKUP($D203,$C$5:$AJ$644,13,)=0,0,((VLOOKUP($D203,$C$5:$AJ$644,13,)/VLOOKUP($D203,$C$5:$AJ$644,4,))*$F203))</f>
        <v>0</v>
      </c>
      <c r="P203" s="101">
        <f>IF(VLOOKUP($D203,$C$5:$AJ$644,14,)=0,0,((VLOOKUP($D203,$C$5:$AJ$644,14,)/VLOOKUP($D203,$C$5:$AJ$644,4,))*$F203))</f>
        <v>0</v>
      </c>
      <c r="Q203" s="101">
        <f>IF(VLOOKUP($D203,$C$5:$AJ$644,15,)=0,0,((VLOOKUP($D203,$C$5:$AJ$644,15,)/VLOOKUP($D203,$C$5:$AJ$644,4,))*$F203))</f>
        <v>0</v>
      </c>
      <c r="R203" s="101"/>
      <c r="S203" s="101">
        <f>IF(VLOOKUP($D203,$C$5:$AJ$644,17,)=0,0,((VLOOKUP($D203,$C$5:$AJ$644,17,)/VLOOKUP($D203,$C$5:$AJ$644,4,))*$F203))</f>
        <v>0</v>
      </c>
      <c r="T203" s="101">
        <f>IF(VLOOKUP($D203,$C$5:$AJ$644,18,)=0,0,((VLOOKUP($D203,$C$5:$AJ$644,18,)/VLOOKUP($D203,$C$5:$AJ$644,4,))*$F203))</f>
        <v>0</v>
      </c>
      <c r="U203" s="101">
        <f>IF(VLOOKUP($D203,$C$5:$AJ$644,19,)=0,0,((VLOOKUP($D203,$C$5:$AJ$644,19,)/VLOOKUP($D203,$C$5:$AJ$644,4,))*$F203))</f>
        <v>0</v>
      </c>
      <c r="V203" s="101">
        <f>IF(VLOOKUP($D203,$C$5:$AJ$644,20,)=0,0,((VLOOKUP($D203,$C$5:$AJ$644,20,)/VLOOKUP($D203,$C$5:$AJ$644,4,))*$F203))</f>
        <v>0</v>
      </c>
      <c r="W203" s="101">
        <f>IF(VLOOKUP($D203,$C$5:$AJ$644,21,)=0,0,((VLOOKUP($D203,$C$5:$AJ$644,21,)/VLOOKUP($D203,$C$5:$AJ$644,4,))*$F203))</f>
        <v>0</v>
      </c>
      <c r="X203" s="101">
        <f>IF(VLOOKUP($D203,$C$5:$AJ$644,22,)=0,0,((VLOOKUP($D203,$C$5:$AJ$644,22,)/VLOOKUP($D203,$C$5:$AJ$644,4,))*$F203))</f>
        <v>0</v>
      </c>
      <c r="Y203" s="101">
        <f>IF(VLOOKUP($D203,$C$5:$AJ$644,23,)=0,0,((VLOOKUP($D203,$C$5:$AJ$644,23,)/VLOOKUP($D203,$C$5:$AJ$644,4,))*$F203))</f>
        <v>0</v>
      </c>
      <c r="Z203" s="101">
        <f>IF(VLOOKUP($D203,$C$5:$AJ$644,24,)=0,0,((VLOOKUP($D203,$C$5:$AJ$644,24,)/VLOOKUP($D203,$C$5:$AJ$644,4,))*$F203))</f>
        <v>0</v>
      </c>
      <c r="AA203" s="101">
        <f>IF(VLOOKUP($D203,$C$5:$AJ$644,25,)=0,0,((VLOOKUP($D203,$C$5:$AJ$644,25,)/VLOOKUP($D203,$C$5:$AJ$644,4,))*$F203))</f>
        <v>0</v>
      </c>
      <c r="AB203" s="101">
        <f>IF(VLOOKUP($D203,$C$5:$AJ$644,26,)=0,0,((VLOOKUP($D203,$C$5:$AJ$644,26,)/VLOOKUP($D203,$C$5:$AJ$644,4,))*$F203))</f>
        <v>0</v>
      </c>
      <c r="AC203" s="101">
        <f>IF(VLOOKUP($D203,$C$5:$AJ$644,27,)=0,0,((VLOOKUP($D203,$C$5:$AJ$644,27,)/VLOOKUP($D203,$C$5:$AJ$644,4,))*$F203))</f>
        <v>0</v>
      </c>
      <c r="AD203" s="101">
        <f>IF(VLOOKUP($D203,$C$5:$AJ$644,28,)=0,0,((VLOOKUP($D203,$C$5:$AJ$644,28,)/VLOOKUP($D203,$C$5:$AJ$644,4,))*$F203))</f>
        <v>0</v>
      </c>
      <c r="AE203" s="101"/>
      <c r="AF203" s="101">
        <f>IF(VLOOKUP($D203,$C$5:$AJ$644,30,)=0,0,((VLOOKUP($D203,$C$5:$AJ$644,30,)/VLOOKUP($D203,$C$5:$AJ$644,4,))*$F203))</f>
        <v>0</v>
      </c>
      <c r="AG203" s="101"/>
      <c r="AH203" s="101">
        <f>IF(VLOOKUP($D203,$C$5:$AJ$644,32,)=0,0,((VLOOKUP($D203,$C$5:$AJ$644,32,)/VLOOKUP($D203,$C$5:$AJ$644,4,))*$F203))</f>
        <v>0</v>
      </c>
      <c r="AI203" s="101"/>
      <c r="AJ203" s="101">
        <f>IF(VLOOKUP($D203,$C$5:$AJ$644,34,)=0,0,((VLOOKUP($D203,$C$5:$AJ$644,34,)/VLOOKUP($D203,$C$5:$AJ$644,4,))*$F203))</f>
        <v>0</v>
      </c>
      <c r="AK203" s="101">
        <f>SUM(H203:AJ203)</f>
        <v>257199.08158935682</v>
      </c>
      <c r="AL203" s="98" t="str">
        <f>IF(ABS(AK203-F203)&lt;1,"ok","err")</f>
        <v>ok</v>
      </c>
    </row>
    <row r="204" spans="1:38" x14ac:dyDescent="0.25">
      <c r="A204" s="97">
        <v>552</v>
      </c>
      <c r="B204" s="97" t="s">
        <v>586</v>
      </c>
      <c r="C204" s="97" t="s">
        <v>1589</v>
      </c>
      <c r="D204" s="97" t="s">
        <v>736</v>
      </c>
      <c r="F204" s="101">
        <f>'Jurisdictional Study'!F994</f>
        <v>1680721.31282429</v>
      </c>
      <c r="H204" s="101">
        <f>IF(VLOOKUP($D204,$C$5:$AJ$644,6,)=0,0,((VLOOKUP($D204,$C$5:$AJ$644,6,)/VLOOKUP($D204,$C$5:$AJ$644,4,))*$F204))</f>
        <v>577405.8861848989</v>
      </c>
      <c r="I204" s="101">
        <f>IF(VLOOKUP($D204,$C$5:$AJ$644,7,)=0,0,((VLOOKUP($D204,$C$5:$AJ$644,7,)/VLOOKUP($D204,$C$5:$AJ$644,4,))*$F204))</f>
        <v>544307.68084181508</v>
      </c>
      <c r="J204" s="101">
        <f>IF(VLOOKUP($D204,$C$5:$AJ$644,8,)=0,0,((VLOOKUP($D204,$C$5:$AJ$644,8,)/VLOOKUP($D204,$C$5:$AJ$644,4,))*$F204))</f>
        <v>559007.74579757603</v>
      </c>
      <c r="K204" s="101">
        <f>IF(VLOOKUP($D204,$C$5:$AJ$644,9,)=0,0,((VLOOKUP($D204,$C$5:$AJ$644,9,)/VLOOKUP($D204,$C$5:$AJ$644,4,))*$F204))</f>
        <v>0</v>
      </c>
      <c r="L204" s="101">
        <f>IF(VLOOKUP($D204,$C$5:$AJ$644,10,)=0,0,((VLOOKUP($D204,$C$5:$AJ$644,10,)/VLOOKUP($D204,$C$5:$AJ$644,4,))*$F204))</f>
        <v>0</v>
      </c>
      <c r="M204" s="101">
        <f>IF(VLOOKUP($D204,$C$5:$AJ$644,11,)=0,0,((VLOOKUP($D204,$C$5:$AJ$644,11,)/VLOOKUP($D204,$C$5:$AJ$644,4,))*$F204))</f>
        <v>0</v>
      </c>
      <c r="N204" s="101"/>
      <c r="O204" s="101">
        <f>IF(VLOOKUP($D204,$C$5:$AJ$644,13,)=0,0,((VLOOKUP($D204,$C$5:$AJ$644,13,)/VLOOKUP($D204,$C$5:$AJ$644,4,))*$F204))</f>
        <v>0</v>
      </c>
      <c r="P204" s="101">
        <f>IF(VLOOKUP($D204,$C$5:$AJ$644,14,)=0,0,((VLOOKUP($D204,$C$5:$AJ$644,14,)/VLOOKUP($D204,$C$5:$AJ$644,4,))*$F204))</f>
        <v>0</v>
      </c>
      <c r="Q204" s="101">
        <f>IF(VLOOKUP($D204,$C$5:$AJ$644,15,)=0,0,((VLOOKUP($D204,$C$5:$AJ$644,15,)/VLOOKUP($D204,$C$5:$AJ$644,4,))*$F204))</f>
        <v>0</v>
      </c>
      <c r="R204" s="101"/>
      <c r="S204" s="101">
        <f>IF(VLOOKUP($D204,$C$5:$AJ$644,17,)=0,0,((VLOOKUP($D204,$C$5:$AJ$644,17,)/VLOOKUP($D204,$C$5:$AJ$644,4,))*$F204))</f>
        <v>0</v>
      </c>
      <c r="T204" s="101">
        <f>IF(VLOOKUP($D204,$C$5:$AJ$644,18,)=0,0,((VLOOKUP($D204,$C$5:$AJ$644,18,)/VLOOKUP($D204,$C$5:$AJ$644,4,))*$F204))</f>
        <v>0</v>
      </c>
      <c r="U204" s="101">
        <f>IF(VLOOKUP($D204,$C$5:$AJ$644,19,)=0,0,((VLOOKUP($D204,$C$5:$AJ$644,19,)/VLOOKUP($D204,$C$5:$AJ$644,4,))*$F204))</f>
        <v>0</v>
      </c>
      <c r="V204" s="101">
        <f>IF(VLOOKUP($D204,$C$5:$AJ$644,20,)=0,0,((VLOOKUP($D204,$C$5:$AJ$644,20,)/VLOOKUP($D204,$C$5:$AJ$644,4,))*$F204))</f>
        <v>0</v>
      </c>
      <c r="W204" s="101">
        <f>IF(VLOOKUP($D204,$C$5:$AJ$644,21,)=0,0,((VLOOKUP($D204,$C$5:$AJ$644,21,)/VLOOKUP($D204,$C$5:$AJ$644,4,))*$F204))</f>
        <v>0</v>
      </c>
      <c r="X204" s="101">
        <f>IF(VLOOKUP($D204,$C$5:$AJ$644,22,)=0,0,((VLOOKUP($D204,$C$5:$AJ$644,22,)/VLOOKUP($D204,$C$5:$AJ$644,4,))*$F204))</f>
        <v>0</v>
      </c>
      <c r="Y204" s="101">
        <f>IF(VLOOKUP($D204,$C$5:$AJ$644,23,)=0,0,((VLOOKUP($D204,$C$5:$AJ$644,23,)/VLOOKUP($D204,$C$5:$AJ$644,4,))*$F204))</f>
        <v>0</v>
      </c>
      <c r="Z204" s="101">
        <f>IF(VLOOKUP($D204,$C$5:$AJ$644,24,)=0,0,((VLOOKUP($D204,$C$5:$AJ$644,24,)/VLOOKUP($D204,$C$5:$AJ$644,4,))*$F204))</f>
        <v>0</v>
      </c>
      <c r="AA204" s="101">
        <f>IF(VLOOKUP($D204,$C$5:$AJ$644,25,)=0,0,((VLOOKUP($D204,$C$5:$AJ$644,25,)/VLOOKUP($D204,$C$5:$AJ$644,4,))*$F204))</f>
        <v>0</v>
      </c>
      <c r="AB204" s="101">
        <f>IF(VLOOKUP($D204,$C$5:$AJ$644,26,)=0,0,((VLOOKUP($D204,$C$5:$AJ$644,26,)/VLOOKUP($D204,$C$5:$AJ$644,4,))*$F204))</f>
        <v>0</v>
      </c>
      <c r="AC204" s="101">
        <f>IF(VLOOKUP($D204,$C$5:$AJ$644,27,)=0,0,((VLOOKUP($D204,$C$5:$AJ$644,27,)/VLOOKUP($D204,$C$5:$AJ$644,4,))*$F204))</f>
        <v>0</v>
      </c>
      <c r="AD204" s="101">
        <f>IF(VLOOKUP($D204,$C$5:$AJ$644,28,)=0,0,((VLOOKUP($D204,$C$5:$AJ$644,28,)/VLOOKUP($D204,$C$5:$AJ$644,4,))*$F204))</f>
        <v>0</v>
      </c>
      <c r="AE204" s="101"/>
      <c r="AF204" s="101">
        <f>IF(VLOOKUP($D204,$C$5:$AJ$644,30,)=0,0,((VLOOKUP($D204,$C$5:$AJ$644,30,)/VLOOKUP($D204,$C$5:$AJ$644,4,))*$F204))</f>
        <v>0</v>
      </c>
      <c r="AG204" s="101"/>
      <c r="AH204" s="101">
        <f>IF(VLOOKUP($D204,$C$5:$AJ$644,32,)=0,0,((VLOOKUP($D204,$C$5:$AJ$644,32,)/VLOOKUP($D204,$C$5:$AJ$644,4,))*$F204))</f>
        <v>0</v>
      </c>
      <c r="AI204" s="101"/>
      <c r="AJ204" s="101">
        <f>IF(VLOOKUP($D204,$C$5:$AJ$644,34,)=0,0,((VLOOKUP($D204,$C$5:$AJ$644,34,)/VLOOKUP($D204,$C$5:$AJ$644,4,))*$F204))</f>
        <v>0</v>
      </c>
      <c r="AK204" s="101">
        <f>SUM(H204:AJ204)</f>
        <v>1680721.3128242898</v>
      </c>
      <c r="AL204" s="98" t="str">
        <f>IF(ABS(AK204-F204)&lt;1,"ok","err")</f>
        <v>ok</v>
      </c>
    </row>
    <row r="205" spans="1:38" x14ac:dyDescent="0.25">
      <c r="A205" s="97">
        <v>553</v>
      </c>
      <c r="B205" s="97" t="s">
        <v>1590</v>
      </c>
      <c r="C205" s="97" t="s">
        <v>1591</v>
      </c>
      <c r="D205" s="97" t="s">
        <v>736</v>
      </c>
      <c r="F205" s="101">
        <f>'Jurisdictional Study'!F995</f>
        <v>4895395.1840034043</v>
      </c>
      <c r="H205" s="101">
        <f>IF(VLOOKUP($D205,$C$5:$AJ$644,6,)=0,0,((VLOOKUP($D205,$C$5:$AJ$644,6,)/VLOOKUP($D205,$C$5:$AJ$644,4,))*$F205))</f>
        <v>1681795.7699928805</v>
      </c>
      <c r="I205" s="101">
        <f>IF(VLOOKUP($D205,$C$5:$AJ$644,7,)=0,0,((VLOOKUP($D205,$C$5:$AJ$644,7,)/VLOOKUP($D205,$C$5:$AJ$644,4,))*$F205))</f>
        <v>1585391.4501336801</v>
      </c>
      <c r="J205" s="101">
        <f>IF(VLOOKUP($D205,$C$5:$AJ$644,8,)=0,0,((VLOOKUP($D205,$C$5:$AJ$644,8,)/VLOOKUP($D205,$C$5:$AJ$644,4,))*$F205))</f>
        <v>1628207.9638768437</v>
      </c>
      <c r="K205" s="101">
        <f>IF(VLOOKUP($D205,$C$5:$AJ$644,9,)=0,0,((VLOOKUP($D205,$C$5:$AJ$644,9,)/VLOOKUP($D205,$C$5:$AJ$644,4,))*$F205))</f>
        <v>0</v>
      </c>
      <c r="L205" s="101">
        <f>IF(VLOOKUP($D205,$C$5:$AJ$644,10,)=0,0,((VLOOKUP($D205,$C$5:$AJ$644,10,)/VLOOKUP($D205,$C$5:$AJ$644,4,))*$F205))</f>
        <v>0</v>
      </c>
      <c r="M205" s="101">
        <f>IF(VLOOKUP($D205,$C$5:$AJ$644,11,)=0,0,((VLOOKUP($D205,$C$5:$AJ$644,11,)/VLOOKUP($D205,$C$5:$AJ$644,4,))*$F205))</f>
        <v>0</v>
      </c>
      <c r="N205" s="101"/>
      <c r="O205" s="101">
        <f>IF(VLOOKUP($D205,$C$5:$AJ$644,13,)=0,0,((VLOOKUP($D205,$C$5:$AJ$644,13,)/VLOOKUP($D205,$C$5:$AJ$644,4,))*$F205))</f>
        <v>0</v>
      </c>
      <c r="P205" s="101">
        <f>IF(VLOOKUP($D205,$C$5:$AJ$644,14,)=0,0,((VLOOKUP($D205,$C$5:$AJ$644,14,)/VLOOKUP($D205,$C$5:$AJ$644,4,))*$F205))</f>
        <v>0</v>
      </c>
      <c r="Q205" s="101">
        <f>IF(VLOOKUP($D205,$C$5:$AJ$644,15,)=0,0,((VLOOKUP($D205,$C$5:$AJ$644,15,)/VLOOKUP($D205,$C$5:$AJ$644,4,))*$F205))</f>
        <v>0</v>
      </c>
      <c r="R205" s="101"/>
      <c r="S205" s="101">
        <f>IF(VLOOKUP($D205,$C$5:$AJ$644,17,)=0,0,((VLOOKUP($D205,$C$5:$AJ$644,17,)/VLOOKUP($D205,$C$5:$AJ$644,4,))*$F205))</f>
        <v>0</v>
      </c>
      <c r="T205" s="101">
        <f>IF(VLOOKUP($D205,$C$5:$AJ$644,18,)=0,0,((VLOOKUP($D205,$C$5:$AJ$644,18,)/VLOOKUP($D205,$C$5:$AJ$644,4,))*$F205))</f>
        <v>0</v>
      </c>
      <c r="U205" s="101">
        <f>IF(VLOOKUP($D205,$C$5:$AJ$644,19,)=0,0,((VLOOKUP($D205,$C$5:$AJ$644,19,)/VLOOKUP($D205,$C$5:$AJ$644,4,))*$F205))</f>
        <v>0</v>
      </c>
      <c r="V205" s="101">
        <f>IF(VLOOKUP($D205,$C$5:$AJ$644,20,)=0,0,((VLOOKUP($D205,$C$5:$AJ$644,20,)/VLOOKUP($D205,$C$5:$AJ$644,4,))*$F205))</f>
        <v>0</v>
      </c>
      <c r="W205" s="101">
        <f>IF(VLOOKUP($D205,$C$5:$AJ$644,21,)=0,0,((VLOOKUP($D205,$C$5:$AJ$644,21,)/VLOOKUP($D205,$C$5:$AJ$644,4,))*$F205))</f>
        <v>0</v>
      </c>
      <c r="X205" s="101">
        <f>IF(VLOOKUP($D205,$C$5:$AJ$644,22,)=0,0,((VLOOKUP($D205,$C$5:$AJ$644,22,)/VLOOKUP($D205,$C$5:$AJ$644,4,))*$F205))</f>
        <v>0</v>
      </c>
      <c r="Y205" s="101">
        <f>IF(VLOOKUP($D205,$C$5:$AJ$644,23,)=0,0,((VLOOKUP($D205,$C$5:$AJ$644,23,)/VLOOKUP($D205,$C$5:$AJ$644,4,))*$F205))</f>
        <v>0</v>
      </c>
      <c r="Z205" s="101">
        <f>IF(VLOOKUP($D205,$C$5:$AJ$644,24,)=0,0,((VLOOKUP($D205,$C$5:$AJ$644,24,)/VLOOKUP($D205,$C$5:$AJ$644,4,))*$F205))</f>
        <v>0</v>
      </c>
      <c r="AA205" s="101">
        <f>IF(VLOOKUP($D205,$C$5:$AJ$644,25,)=0,0,((VLOOKUP($D205,$C$5:$AJ$644,25,)/VLOOKUP($D205,$C$5:$AJ$644,4,))*$F205))</f>
        <v>0</v>
      </c>
      <c r="AB205" s="101">
        <f>IF(VLOOKUP($D205,$C$5:$AJ$644,26,)=0,0,((VLOOKUP($D205,$C$5:$AJ$644,26,)/VLOOKUP($D205,$C$5:$AJ$644,4,))*$F205))</f>
        <v>0</v>
      </c>
      <c r="AC205" s="101">
        <f>IF(VLOOKUP($D205,$C$5:$AJ$644,27,)=0,0,((VLOOKUP($D205,$C$5:$AJ$644,27,)/VLOOKUP($D205,$C$5:$AJ$644,4,))*$F205))</f>
        <v>0</v>
      </c>
      <c r="AD205" s="101">
        <f>IF(VLOOKUP($D205,$C$5:$AJ$644,28,)=0,0,((VLOOKUP($D205,$C$5:$AJ$644,28,)/VLOOKUP($D205,$C$5:$AJ$644,4,))*$F205))</f>
        <v>0</v>
      </c>
      <c r="AE205" s="101"/>
      <c r="AF205" s="101">
        <f>IF(VLOOKUP($D205,$C$5:$AJ$644,30,)=0,0,((VLOOKUP($D205,$C$5:$AJ$644,30,)/VLOOKUP($D205,$C$5:$AJ$644,4,))*$F205))</f>
        <v>0</v>
      </c>
      <c r="AG205" s="101"/>
      <c r="AH205" s="101">
        <f>IF(VLOOKUP($D205,$C$5:$AJ$644,32,)=0,0,((VLOOKUP($D205,$C$5:$AJ$644,32,)/VLOOKUP($D205,$C$5:$AJ$644,4,))*$F205))</f>
        <v>0</v>
      </c>
      <c r="AI205" s="101"/>
      <c r="AJ205" s="101">
        <f>IF(VLOOKUP($D205,$C$5:$AJ$644,34,)=0,0,((VLOOKUP($D205,$C$5:$AJ$644,34,)/VLOOKUP($D205,$C$5:$AJ$644,4,))*$F205))</f>
        <v>0</v>
      </c>
      <c r="AK205" s="101">
        <f>SUM(H205:AJ205)</f>
        <v>4895395.1840034043</v>
      </c>
      <c r="AL205" s="98" t="str">
        <f>IF(ABS(AK205-F205)&lt;1,"ok","err")</f>
        <v>ok</v>
      </c>
    </row>
    <row r="206" spans="1:38" x14ac:dyDescent="0.25">
      <c r="A206" s="97">
        <v>554</v>
      </c>
      <c r="B206" s="97" t="s">
        <v>1592</v>
      </c>
      <c r="C206" s="97" t="s">
        <v>1593</v>
      </c>
      <c r="D206" s="97" t="s">
        <v>736</v>
      </c>
      <c r="F206" s="101">
        <f>'Jurisdictional Study'!F996</f>
        <v>5139214.7041662829</v>
      </c>
      <c r="H206" s="101">
        <f>IF(VLOOKUP($D206,$C$5:$AJ$644,6,)=0,0,((VLOOKUP($D206,$C$5:$AJ$644,6,)/VLOOKUP($D206,$C$5:$AJ$644,4,))*$F206))</f>
        <v>1765559.1072187601</v>
      </c>
      <c r="I206" s="101">
        <f>IF(VLOOKUP($D206,$C$5:$AJ$644,7,)=0,0,((VLOOKUP($D206,$C$5:$AJ$644,7,)/VLOOKUP($D206,$C$5:$AJ$644,4,))*$F206))</f>
        <v>1664353.2842885701</v>
      </c>
      <c r="J206" s="101">
        <f>IF(VLOOKUP($D206,$C$5:$AJ$644,8,)=0,0,((VLOOKUP($D206,$C$5:$AJ$644,8,)/VLOOKUP($D206,$C$5:$AJ$644,4,))*$F206))</f>
        <v>1709302.3126589528</v>
      </c>
      <c r="K206" s="101">
        <f>IF(VLOOKUP($D206,$C$5:$AJ$644,9,)=0,0,((VLOOKUP($D206,$C$5:$AJ$644,9,)/VLOOKUP($D206,$C$5:$AJ$644,4,))*$F206))</f>
        <v>0</v>
      </c>
      <c r="L206" s="101">
        <f>IF(VLOOKUP($D206,$C$5:$AJ$644,10,)=0,0,((VLOOKUP($D206,$C$5:$AJ$644,10,)/VLOOKUP($D206,$C$5:$AJ$644,4,))*$F206))</f>
        <v>0</v>
      </c>
      <c r="M206" s="101">
        <f>IF(VLOOKUP($D206,$C$5:$AJ$644,11,)=0,0,((VLOOKUP($D206,$C$5:$AJ$644,11,)/VLOOKUP($D206,$C$5:$AJ$644,4,))*$F206))</f>
        <v>0</v>
      </c>
      <c r="N206" s="101"/>
      <c r="O206" s="101">
        <f>IF(VLOOKUP($D206,$C$5:$AJ$644,13,)=0,0,((VLOOKUP($D206,$C$5:$AJ$644,13,)/VLOOKUP($D206,$C$5:$AJ$644,4,))*$F206))</f>
        <v>0</v>
      </c>
      <c r="P206" s="101">
        <f>IF(VLOOKUP($D206,$C$5:$AJ$644,14,)=0,0,((VLOOKUP($D206,$C$5:$AJ$644,14,)/VLOOKUP($D206,$C$5:$AJ$644,4,))*$F206))</f>
        <v>0</v>
      </c>
      <c r="Q206" s="101">
        <f>IF(VLOOKUP($D206,$C$5:$AJ$644,15,)=0,0,((VLOOKUP($D206,$C$5:$AJ$644,15,)/VLOOKUP($D206,$C$5:$AJ$644,4,))*$F206))</f>
        <v>0</v>
      </c>
      <c r="R206" s="101"/>
      <c r="S206" s="101">
        <f>IF(VLOOKUP($D206,$C$5:$AJ$644,17,)=0,0,((VLOOKUP($D206,$C$5:$AJ$644,17,)/VLOOKUP($D206,$C$5:$AJ$644,4,))*$F206))</f>
        <v>0</v>
      </c>
      <c r="T206" s="101">
        <f>IF(VLOOKUP($D206,$C$5:$AJ$644,18,)=0,0,((VLOOKUP($D206,$C$5:$AJ$644,18,)/VLOOKUP($D206,$C$5:$AJ$644,4,))*$F206))</f>
        <v>0</v>
      </c>
      <c r="U206" s="101">
        <f>IF(VLOOKUP($D206,$C$5:$AJ$644,19,)=0,0,((VLOOKUP($D206,$C$5:$AJ$644,19,)/VLOOKUP($D206,$C$5:$AJ$644,4,))*$F206))</f>
        <v>0</v>
      </c>
      <c r="V206" s="101">
        <f>IF(VLOOKUP($D206,$C$5:$AJ$644,20,)=0,0,((VLOOKUP($D206,$C$5:$AJ$644,20,)/VLOOKUP($D206,$C$5:$AJ$644,4,))*$F206))</f>
        <v>0</v>
      </c>
      <c r="W206" s="101">
        <f>IF(VLOOKUP($D206,$C$5:$AJ$644,21,)=0,0,((VLOOKUP($D206,$C$5:$AJ$644,21,)/VLOOKUP($D206,$C$5:$AJ$644,4,))*$F206))</f>
        <v>0</v>
      </c>
      <c r="X206" s="101">
        <f>IF(VLOOKUP($D206,$C$5:$AJ$644,22,)=0,0,((VLOOKUP($D206,$C$5:$AJ$644,22,)/VLOOKUP($D206,$C$5:$AJ$644,4,))*$F206))</f>
        <v>0</v>
      </c>
      <c r="Y206" s="101">
        <f>IF(VLOOKUP($D206,$C$5:$AJ$644,23,)=0,0,((VLOOKUP($D206,$C$5:$AJ$644,23,)/VLOOKUP($D206,$C$5:$AJ$644,4,))*$F206))</f>
        <v>0</v>
      </c>
      <c r="Z206" s="101">
        <f>IF(VLOOKUP($D206,$C$5:$AJ$644,24,)=0,0,((VLOOKUP($D206,$C$5:$AJ$644,24,)/VLOOKUP($D206,$C$5:$AJ$644,4,))*$F206))</f>
        <v>0</v>
      </c>
      <c r="AA206" s="101">
        <f>IF(VLOOKUP($D206,$C$5:$AJ$644,25,)=0,0,((VLOOKUP($D206,$C$5:$AJ$644,25,)/VLOOKUP($D206,$C$5:$AJ$644,4,))*$F206))</f>
        <v>0</v>
      </c>
      <c r="AB206" s="101">
        <f>IF(VLOOKUP($D206,$C$5:$AJ$644,26,)=0,0,((VLOOKUP($D206,$C$5:$AJ$644,26,)/VLOOKUP($D206,$C$5:$AJ$644,4,))*$F206))</f>
        <v>0</v>
      </c>
      <c r="AC206" s="101">
        <f>IF(VLOOKUP($D206,$C$5:$AJ$644,27,)=0,0,((VLOOKUP($D206,$C$5:$AJ$644,27,)/VLOOKUP($D206,$C$5:$AJ$644,4,))*$F206))</f>
        <v>0</v>
      </c>
      <c r="AD206" s="101">
        <f>IF(VLOOKUP($D206,$C$5:$AJ$644,28,)=0,0,((VLOOKUP($D206,$C$5:$AJ$644,28,)/VLOOKUP($D206,$C$5:$AJ$644,4,))*$F206))</f>
        <v>0</v>
      </c>
      <c r="AE206" s="101"/>
      <c r="AF206" s="101">
        <f>IF(VLOOKUP($D206,$C$5:$AJ$644,30,)=0,0,((VLOOKUP($D206,$C$5:$AJ$644,30,)/VLOOKUP($D206,$C$5:$AJ$644,4,))*$F206))</f>
        <v>0</v>
      </c>
      <c r="AG206" s="101"/>
      <c r="AH206" s="101">
        <f>IF(VLOOKUP($D206,$C$5:$AJ$644,32,)=0,0,((VLOOKUP($D206,$C$5:$AJ$644,32,)/VLOOKUP($D206,$C$5:$AJ$644,4,))*$F206))</f>
        <v>0</v>
      </c>
      <c r="AI206" s="101"/>
      <c r="AJ206" s="101">
        <f>IF(VLOOKUP($D206,$C$5:$AJ$644,34,)=0,0,((VLOOKUP($D206,$C$5:$AJ$644,34,)/VLOOKUP($D206,$C$5:$AJ$644,4,))*$F206))</f>
        <v>0</v>
      </c>
      <c r="AK206" s="101">
        <f>SUM(H206:AJ206)</f>
        <v>5139214.7041662829</v>
      </c>
      <c r="AL206" s="98" t="str">
        <f>IF(ABS(AK206-F206)&lt;1,"ok","err")</f>
        <v>ok</v>
      </c>
    </row>
    <row r="207" spans="1:38" x14ac:dyDescent="0.25">
      <c r="F207" s="100"/>
      <c r="Y207" s="97"/>
      <c r="AL207" s="98"/>
    </row>
    <row r="208" spans="1:38" x14ac:dyDescent="0.25">
      <c r="B208" s="97" t="s">
        <v>1595</v>
      </c>
      <c r="F208" s="100">
        <f>SUM(F203:F207)</f>
        <v>11972530.282583334</v>
      </c>
      <c r="H208" s="100">
        <f t="shared" ref="H208:M208" si="153">SUM(H203:H207)</f>
        <v>4113120.6018170393</v>
      </c>
      <c r="I208" s="100">
        <f t="shared" si="153"/>
        <v>3877347.2688167337</v>
      </c>
      <c r="J208" s="100">
        <f t="shared" si="153"/>
        <v>3982062.411949561</v>
      </c>
      <c r="K208" s="100">
        <f t="shared" si="153"/>
        <v>0</v>
      </c>
      <c r="L208" s="100">
        <f t="shared" si="153"/>
        <v>0</v>
      </c>
      <c r="M208" s="100">
        <f t="shared" si="153"/>
        <v>0</v>
      </c>
      <c r="O208" s="100">
        <f>SUM(O203:O207)</f>
        <v>0</v>
      </c>
      <c r="P208" s="100">
        <f>SUM(P203:P207)</f>
        <v>0</v>
      </c>
      <c r="Q208" s="100">
        <f>SUM(Q203:Q207)</f>
        <v>0</v>
      </c>
      <c r="S208" s="100">
        <f t="shared" ref="S208:AD208" si="154">SUM(S203:S207)</f>
        <v>0</v>
      </c>
      <c r="T208" s="100">
        <f t="shared" si="154"/>
        <v>0</v>
      </c>
      <c r="U208" s="100">
        <f t="shared" si="154"/>
        <v>0</v>
      </c>
      <c r="V208" s="100">
        <f t="shared" si="154"/>
        <v>0</v>
      </c>
      <c r="W208" s="100">
        <f t="shared" si="154"/>
        <v>0</v>
      </c>
      <c r="X208" s="100">
        <f t="shared" si="154"/>
        <v>0</v>
      </c>
      <c r="Y208" s="100">
        <f t="shared" si="154"/>
        <v>0</v>
      </c>
      <c r="Z208" s="100">
        <f t="shared" si="154"/>
        <v>0</v>
      </c>
      <c r="AA208" s="100">
        <f t="shared" si="154"/>
        <v>0</v>
      </c>
      <c r="AB208" s="100">
        <f t="shared" si="154"/>
        <v>0</v>
      </c>
      <c r="AC208" s="100">
        <f t="shared" si="154"/>
        <v>0</v>
      </c>
      <c r="AD208" s="100">
        <f t="shared" si="154"/>
        <v>0</v>
      </c>
      <c r="AF208" s="100">
        <f>SUM(AF203:AF207)</f>
        <v>0</v>
      </c>
      <c r="AH208" s="100">
        <f>SUM(AH203:AH207)</f>
        <v>0</v>
      </c>
      <c r="AJ208" s="100">
        <f>SUM(AJ203:AJ207)</f>
        <v>0</v>
      </c>
      <c r="AK208" s="101">
        <f>SUM(H208:AJ208)</f>
        <v>11972530.282583334</v>
      </c>
      <c r="AL208" s="98" t="str">
        <f>IF(ABS(AK208-F208)&lt;1,"ok","err")</f>
        <v>ok</v>
      </c>
    </row>
    <row r="209" spans="1:38" x14ac:dyDescent="0.25">
      <c r="F209" s="100"/>
      <c r="H209" s="100"/>
      <c r="I209" s="100"/>
      <c r="J209" s="100"/>
      <c r="K209" s="100"/>
      <c r="L209" s="100"/>
      <c r="M209" s="100"/>
      <c r="O209" s="100"/>
      <c r="P209" s="100"/>
      <c r="Q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F209" s="100"/>
      <c r="AH209" s="100"/>
      <c r="AJ209" s="100"/>
      <c r="AK209" s="101"/>
      <c r="AL209" s="98"/>
    </row>
    <row r="210" spans="1:38" x14ac:dyDescent="0.25">
      <c r="B210" s="97" t="s">
        <v>1594</v>
      </c>
      <c r="F210" s="100">
        <f>F200+F208</f>
        <v>148068346.36234975</v>
      </c>
      <c r="H210" s="100">
        <f t="shared" ref="H210:M210" si="155">H200+H208</f>
        <v>5942909.117256185</v>
      </c>
      <c r="I210" s="100">
        <f t="shared" si="155"/>
        <v>5602248.187043149</v>
      </c>
      <c r="J210" s="100">
        <f t="shared" si="155"/>
        <v>5753547.562647149</v>
      </c>
      <c r="K210" s="100">
        <f t="shared" si="155"/>
        <v>130769641.49540326</v>
      </c>
      <c r="L210" s="100">
        <f t="shared" si="155"/>
        <v>0</v>
      </c>
      <c r="M210" s="100">
        <f t="shared" si="155"/>
        <v>0</v>
      </c>
      <c r="O210" s="100">
        <f>O200+O208</f>
        <v>0</v>
      </c>
      <c r="P210" s="100">
        <f>P200+P208</f>
        <v>0</v>
      </c>
      <c r="Q210" s="100">
        <f>Q200+Q208</f>
        <v>0</v>
      </c>
      <c r="S210" s="100">
        <f t="shared" ref="S210:AD210" si="156">S200+S208</f>
        <v>0</v>
      </c>
      <c r="T210" s="100">
        <f t="shared" si="156"/>
        <v>0</v>
      </c>
      <c r="U210" s="100">
        <f t="shared" si="156"/>
        <v>0</v>
      </c>
      <c r="V210" s="100">
        <f t="shared" si="156"/>
        <v>0</v>
      </c>
      <c r="W210" s="100">
        <f t="shared" si="156"/>
        <v>0</v>
      </c>
      <c r="X210" s="100">
        <f t="shared" si="156"/>
        <v>0</v>
      </c>
      <c r="Y210" s="100">
        <f t="shared" si="156"/>
        <v>0</v>
      </c>
      <c r="Z210" s="100">
        <f t="shared" si="156"/>
        <v>0</v>
      </c>
      <c r="AA210" s="100">
        <f t="shared" si="156"/>
        <v>0</v>
      </c>
      <c r="AB210" s="100">
        <f t="shared" si="156"/>
        <v>0</v>
      </c>
      <c r="AC210" s="100">
        <f t="shared" si="156"/>
        <v>0</v>
      </c>
      <c r="AD210" s="100">
        <f t="shared" si="156"/>
        <v>0</v>
      </c>
      <c r="AF210" s="100">
        <f>AF200+AF208</f>
        <v>0</v>
      </c>
      <c r="AH210" s="100">
        <f>AH200+AH208</f>
        <v>0</v>
      </c>
      <c r="AJ210" s="100">
        <f>AJ200+AJ208</f>
        <v>0</v>
      </c>
      <c r="AK210" s="101">
        <f>SUM(H210:AJ210)</f>
        <v>148068346.36234975</v>
      </c>
      <c r="AL210" s="98" t="str">
        <f>IF(ABS(AK210-F210)&lt;1,"ok","err")</f>
        <v>ok</v>
      </c>
    </row>
    <row r="211" spans="1:38" x14ac:dyDescent="0.25">
      <c r="F211" s="100"/>
      <c r="H211" s="100"/>
      <c r="I211" s="100"/>
      <c r="J211" s="100"/>
      <c r="K211" s="100"/>
      <c r="L211" s="100"/>
      <c r="M211" s="100"/>
      <c r="O211" s="100"/>
      <c r="P211" s="100"/>
      <c r="Q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F211" s="100"/>
      <c r="AH211" s="100"/>
      <c r="AJ211" s="100"/>
      <c r="AK211" s="101"/>
      <c r="AL211" s="98"/>
    </row>
    <row r="212" spans="1:38" x14ac:dyDescent="0.25">
      <c r="B212" s="97" t="s">
        <v>1596</v>
      </c>
      <c r="F212" s="100">
        <f>F170+F191+F210</f>
        <v>634802483.66796935</v>
      </c>
      <c r="H212" s="100">
        <f t="shared" ref="H212:M212" si="157">H170+H191+H210</f>
        <v>21067446.199520864</v>
      </c>
      <c r="I212" s="100">
        <f t="shared" si="157"/>
        <v>19859812.753015224</v>
      </c>
      <c r="J212" s="100">
        <f t="shared" si="157"/>
        <v>20396164.797555663</v>
      </c>
      <c r="K212" s="100">
        <f t="shared" si="157"/>
        <v>573479059.91787755</v>
      </c>
      <c r="L212" s="100">
        <f t="shared" si="157"/>
        <v>0</v>
      </c>
      <c r="M212" s="100">
        <f t="shared" si="157"/>
        <v>0</v>
      </c>
      <c r="O212" s="100">
        <f>O170+O191+O210</f>
        <v>0</v>
      </c>
      <c r="P212" s="100">
        <f>P170+P191+P210</f>
        <v>0</v>
      </c>
      <c r="Q212" s="100">
        <f>Q170+Q191+Q210</f>
        <v>0</v>
      </c>
      <c r="S212" s="100">
        <f t="shared" ref="S212:AD212" si="158">S170+S191+S210</f>
        <v>0</v>
      </c>
      <c r="T212" s="100">
        <f t="shared" si="158"/>
        <v>0</v>
      </c>
      <c r="U212" s="100">
        <f t="shared" si="158"/>
        <v>0</v>
      </c>
      <c r="V212" s="100">
        <f t="shared" si="158"/>
        <v>0</v>
      </c>
      <c r="W212" s="100">
        <f t="shared" si="158"/>
        <v>0</v>
      </c>
      <c r="X212" s="100">
        <f t="shared" si="158"/>
        <v>0</v>
      </c>
      <c r="Y212" s="100">
        <f t="shared" si="158"/>
        <v>0</v>
      </c>
      <c r="Z212" s="100">
        <f t="shared" si="158"/>
        <v>0</v>
      </c>
      <c r="AA212" s="100">
        <f t="shared" si="158"/>
        <v>0</v>
      </c>
      <c r="AB212" s="100">
        <f t="shared" si="158"/>
        <v>0</v>
      </c>
      <c r="AC212" s="100">
        <f t="shared" si="158"/>
        <v>0</v>
      </c>
      <c r="AD212" s="100">
        <f t="shared" si="158"/>
        <v>0</v>
      </c>
      <c r="AF212" s="100">
        <f>AF170+AF191+AF210</f>
        <v>0</v>
      </c>
      <c r="AH212" s="100">
        <f>AH170+AH191+AH210</f>
        <v>0</v>
      </c>
      <c r="AJ212" s="100">
        <f>AJ170+AJ191+AJ210</f>
        <v>0</v>
      </c>
      <c r="AK212" s="101">
        <f>SUM(H212:AJ212)</f>
        <v>634802483.66796935</v>
      </c>
      <c r="AL212" s="98" t="str">
        <f>IF(ABS(AK212-F212)&lt;1,"ok","err")</f>
        <v>ok</v>
      </c>
    </row>
    <row r="213" spans="1:38" x14ac:dyDescent="0.25">
      <c r="F213" s="102"/>
      <c r="Y213" s="97"/>
      <c r="AL213" s="98"/>
    </row>
    <row r="214" spans="1:38" x14ac:dyDescent="0.25">
      <c r="A214" s="24" t="s">
        <v>1597</v>
      </c>
      <c r="Y214" s="97"/>
      <c r="AL214" s="98"/>
    </row>
    <row r="215" spans="1:38" x14ac:dyDescent="0.25">
      <c r="A215" s="97">
        <v>555</v>
      </c>
      <c r="B215" s="97" t="s">
        <v>481</v>
      </c>
      <c r="C215" s="97" t="s">
        <v>498</v>
      </c>
      <c r="D215" s="97" t="s">
        <v>806</v>
      </c>
      <c r="F215" s="100">
        <f>'Jurisdictional Study'!F1006-134032</f>
        <v>50619306.665578231</v>
      </c>
      <c r="G215" s="100"/>
      <c r="H215" s="101">
        <f t="shared" ref="H215:H220" si="159">IF(VLOOKUP($D215,$C$5:$AJ$644,6,)=0,0,((VLOOKUP($D215,$C$5:$AJ$644,6,)/VLOOKUP($D215,$C$5:$AJ$644,4,))*$F215))</f>
        <v>2507313.8524240828</v>
      </c>
      <c r="I215" s="101">
        <f t="shared" ref="I215:I220" si="160">IF(VLOOKUP($D215,$C$5:$AJ$644,7,)=0,0,((VLOOKUP($D215,$C$5:$AJ$644,7,)/VLOOKUP($D215,$C$5:$AJ$644,4,))*$F215))</f>
        <v>2626569.959146271</v>
      </c>
      <c r="J215" s="101">
        <f t="shared" ref="J215:J220" si="161">IF(VLOOKUP($D215,$C$5:$AJ$644,8,)=0,0,((VLOOKUP($D215,$C$5:$AJ$644,8,)/VLOOKUP($D215,$C$5:$AJ$644,4,))*$F215))</f>
        <v>2159031.6495701326</v>
      </c>
      <c r="K215" s="101">
        <f t="shared" ref="K215:K220" si="162">IF(VLOOKUP($D215,$C$5:$AJ$644,9,)=0,0,((VLOOKUP($D215,$C$5:$AJ$644,9,)/VLOOKUP($D215,$C$5:$AJ$644,4,))*$F215))</f>
        <v>43326391.204437748</v>
      </c>
      <c r="L215" s="101">
        <f t="shared" ref="L215:L220" si="163">IF(VLOOKUP($D215,$C$5:$AJ$644,10,)=0,0,((VLOOKUP($D215,$C$5:$AJ$644,10,)/VLOOKUP($D215,$C$5:$AJ$644,4,))*$F215))</f>
        <v>0</v>
      </c>
      <c r="M215" s="101">
        <f t="shared" ref="M215:M220" si="164">IF(VLOOKUP($D215,$C$5:$AJ$644,11,)=0,0,((VLOOKUP($D215,$C$5:$AJ$644,11,)/VLOOKUP($D215,$C$5:$AJ$644,4,))*$F215))</f>
        <v>0</v>
      </c>
      <c r="N215" s="101"/>
      <c r="O215" s="101">
        <f t="shared" ref="O215:O220" si="165">IF(VLOOKUP($D215,$C$5:$AJ$644,13,)=0,0,((VLOOKUP($D215,$C$5:$AJ$644,13,)/VLOOKUP($D215,$C$5:$AJ$644,4,))*$F215))</f>
        <v>0</v>
      </c>
      <c r="P215" s="101">
        <f t="shared" ref="P215:P220" si="166">IF(VLOOKUP($D215,$C$5:$AJ$644,14,)=0,0,((VLOOKUP($D215,$C$5:$AJ$644,14,)/VLOOKUP($D215,$C$5:$AJ$644,4,))*$F215))</f>
        <v>0</v>
      </c>
      <c r="Q215" s="101">
        <f t="shared" ref="Q215:Q220" si="167">IF(VLOOKUP($D215,$C$5:$AJ$644,15,)=0,0,((VLOOKUP($D215,$C$5:$AJ$644,15,)/VLOOKUP($D215,$C$5:$AJ$644,4,))*$F215))</f>
        <v>0</v>
      </c>
      <c r="R215" s="101"/>
      <c r="S215" s="101">
        <f t="shared" ref="S215:S220" si="168">IF(VLOOKUP($D215,$C$5:$AJ$644,17,)=0,0,((VLOOKUP($D215,$C$5:$AJ$644,17,)/VLOOKUP($D215,$C$5:$AJ$644,4,))*$F215))</f>
        <v>0</v>
      </c>
      <c r="T215" s="101">
        <f t="shared" ref="T215:T220" si="169">IF(VLOOKUP($D215,$C$5:$AJ$644,18,)=0,0,((VLOOKUP($D215,$C$5:$AJ$644,18,)/VLOOKUP($D215,$C$5:$AJ$644,4,))*$F215))</f>
        <v>0</v>
      </c>
      <c r="U215" s="101">
        <f t="shared" ref="U215:U220" si="170">IF(VLOOKUP($D215,$C$5:$AJ$644,19,)=0,0,((VLOOKUP($D215,$C$5:$AJ$644,19,)/VLOOKUP($D215,$C$5:$AJ$644,4,))*$F215))</f>
        <v>0</v>
      </c>
      <c r="V215" s="101">
        <f t="shared" ref="V215:V220" si="171">IF(VLOOKUP($D215,$C$5:$AJ$644,20,)=0,0,((VLOOKUP($D215,$C$5:$AJ$644,20,)/VLOOKUP($D215,$C$5:$AJ$644,4,))*$F215))</f>
        <v>0</v>
      </c>
      <c r="W215" s="101">
        <f t="shared" ref="W215:W220" si="172">IF(VLOOKUP($D215,$C$5:$AJ$644,21,)=0,0,((VLOOKUP($D215,$C$5:$AJ$644,21,)/VLOOKUP($D215,$C$5:$AJ$644,4,))*$F215))</f>
        <v>0</v>
      </c>
      <c r="X215" s="101">
        <f t="shared" ref="X215:X220" si="173">IF(VLOOKUP($D215,$C$5:$AJ$644,22,)=0,0,((VLOOKUP($D215,$C$5:$AJ$644,22,)/VLOOKUP($D215,$C$5:$AJ$644,4,))*$F215))</f>
        <v>0</v>
      </c>
      <c r="Y215" s="101">
        <f t="shared" ref="Y215:Y220" si="174">IF(VLOOKUP($D215,$C$5:$AJ$644,23,)=0,0,((VLOOKUP($D215,$C$5:$AJ$644,23,)/VLOOKUP($D215,$C$5:$AJ$644,4,))*$F215))</f>
        <v>0</v>
      </c>
      <c r="Z215" s="101">
        <f t="shared" ref="Z215:Z220" si="175">IF(VLOOKUP($D215,$C$5:$AJ$644,24,)=0,0,((VLOOKUP($D215,$C$5:$AJ$644,24,)/VLOOKUP($D215,$C$5:$AJ$644,4,))*$F215))</f>
        <v>0</v>
      </c>
      <c r="AA215" s="101">
        <f t="shared" ref="AA215:AA220" si="176">IF(VLOOKUP($D215,$C$5:$AJ$644,25,)=0,0,((VLOOKUP($D215,$C$5:$AJ$644,25,)/VLOOKUP($D215,$C$5:$AJ$644,4,))*$F215))</f>
        <v>0</v>
      </c>
      <c r="AB215" s="101">
        <f t="shared" ref="AB215:AB220" si="177">IF(VLOOKUP($D215,$C$5:$AJ$644,26,)=0,0,((VLOOKUP($D215,$C$5:$AJ$644,26,)/VLOOKUP($D215,$C$5:$AJ$644,4,))*$F215))</f>
        <v>0</v>
      </c>
      <c r="AC215" s="101">
        <f t="shared" ref="AC215:AC220" si="178">IF(VLOOKUP($D215,$C$5:$AJ$644,27,)=0,0,((VLOOKUP($D215,$C$5:$AJ$644,27,)/VLOOKUP($D215,$C$5:$AJ$644,4,))*$F215))</f>
        <v>0</v>
      </c>
      <c r="AD215" s="101">
        <f t="shared" ref="AD215:AD220" si="179">IF(VLOOKUP($D215,$C$5:$AJ$644,28,)=0,0,((VLOOKUP($D215,$C$5:$AJ$644,28,)/VLOOKUP($D215,$C$5:$AJ$644,4,))*$F215))</f>
        <v>0</v>
      </c>
      <c r="AE215" s="101"/>
      <c r="AF215" s="101">
        <f t="shared" ref="AF215:AF220" si="180">IF(VLOOKUP($D215,$C$5:$AJ$644,30,)=0,0,((VLOOKUP($D215,$C$5:$AJ$644,30,)/VLOOKUP($D215,$C$5:$AJ$644,4,))*$F215))</f>
        <v>0</v>
      </c>
      <c r="AG215" s="101"/>
      <c r="AH215" s="101">
        <f t="shared" ref="AH215:AH220" si="181">IF(VLOOKUP($D215,$C$5:$AJ$644,32,)=0,0,((VLOOKUP($D215,$C$5:$AJ$644,32,)/VLOOKUP($D215,$C$5:$AJ$644,4,))*$F215))</f>
        <v>0</v>
      </c>
      <c r="AI215" s="101"/>
      <c r="AJ215" s="101">
        <f t="shared" ref="AJ215:AJ220" si="182">IF(VLOOKUP($D215,$C$5:$AJ$644,34,)=0,0,((VLOOKUP($D215,$C$5:$AJ$644,34,)/VLOOKUP($D215,$C$5:$AJ$644,4,))*$F215))</f>
        <v>0</v>
      </c>
      <c r="AK215" s="101">
        <f t="shared" ref="AK215:AK220" si="183">SUM(H215:AJ215)</f>
        <v>50619306.665578231</v>
      </c>
      <c r="AL215" s="98" t="str">
        <f t="shared" ref="AL215:AL220" si="184">IF(ABS(AK215-F215)&lt;1,"ok","err")</f>
        <v>ok</v>
      </c>
    </row>
    <row r="216" spans="1:38" x14ac:dyDescent="0.25">
      <c r="A216" s="97">
        <v>555</v>
      </c>
      <c r="B216" s="97" t="s">
        <v>1598</v>
      </c>
      <c r="C216" s="97" t="s">
        <v>1599</v>
      </c>
      <c r="D216" s="97" t="s">
        <v>806</v>
      </c>
      <c r="F216" s="101"/>
      <c r="G216" s="100"/>
      <c r="H216" s="101">
        <f t="shared" si="159"/>
        <v>0</v>
      </c>
      <c r="I216" s="101">
        <f t="shared" si="160"/>
        <v>0</v>
      </c>
      <c r="J216" s="101">
        <f t="shared" si="161"/>
        <v>0</v>
      </c>
      <c r="K216" s="101">
        <f t="shared" si="162"/>
        <v>0</v>
      </c>
      <c r="L216" s="101">
        <f t="shared" si="163"/>
        <v>0</v>
      </c>
      <c r="M216" s="101">
        <f t="shared" si="164"/>
        <v>0</v>
      </c>
      <c r="N216" s="101"/>
      <c r="O216" s="101">
        <f t="shared" si="165"/>
        <v>0</v>
      </c>
      <c r="P216" s="101">
        <f t="shared" si="166"/>
        <v>0</v>
      </c>
      <c r="Q216" s="101">
        <f t="shared" si="167"/>
        <v>0</v>
      </c>
      <c r="R216" s="101"/>
      <c r="S216" s="101">
        <f t="shared" si="168"/>
        <v>0</v>
      </c>
      <c r="T216" s="101">
        <f t="shared" si="169"/>
        <v>0</v>
      </c>
      <c r="U216" s="101">
        <f t="shared" si="170"/>
        <v>0</v>
      </c>
      <c r="V216" s="101">
        <f t="shared" si="171"/>
        <v>0</v>
      </c>
      <c r="W216" s="101">
        <f t="shared" si="172"/>
        <v>0</v>
      </c>
      <c r="X216" s="101">
        <f t="shared" si="173"/>
        <v>0</v>
      </c>
      <c r="Y216" s="101">
        <f t="shared" si="174"/>
        <v>0</v>
      </c>
      <c r="Z216" s="101">
        <f t="shared" si="175"/>
        <v>0</v>
      </c>
      <c r="AA216" s="101">
        <f t="shared" si="176"/>
        <v>0</v>
      </c>
      <c r="AB216" s="101">
        <f t="shared" si="177"/>
        <v>0</v>
      </c>
      <c r="AC216" s="101">
        <f t="shared" si="178"/>
        <v>0</v>
      </c>
      <c r="AD216" s="101">
        <f t="shared" si="179"/>
        <v>0</v>
      </c>
      <c r="AE216" s="101"/>
      <c r="AF216" s="101">
        <f t="shared" si="180"/>
        <v>0</v>
      </c>
      <c r="AG216" s="101"/>
      <c r="AH216" s="101">
        <f t="shared" si="181"/>
        <v>0</v>
      </c>
      <c r="AI216" s="101"/>
      <c r="AJ216" s="101">
        <f t="shared" si="182"/>
        <v>0</v>
      </c>
      <c r="AK216" s="101">
        <f t="shared" si="183"/>
        <v>0</v>
      </c>
      <c r="AL216" s="98" t="str">
        <f t="shared" si="184"/>
        <v>ok</v>
      </c>
    </row>
    <row r="217" spans="1:38" x14ac:dyDescent="0.25">
      <c r="A217" s="97">
        <v>555</v>
      </c>
      <c r="B217" s="97" t="s">
        <v>1600</v>
      </c>
      <c r="C217" s="97" t="s">
        <v>1601</v>
      </c>
      <c r="D217" s="97" t="s">
        <v>806</v>
      </c>
      <c r="F217" s="101"/>
      <c r="G217" s="100"/>
      <c r="H217" s="101">
        <f t="shared" si="159"/>
        <v>0</v>
      </c>
      <c r="I217" s="101">
        <f t="shared" si="160"/>
        <v>0</v>
      </c>
      <c r="J217" s="101">
        <f t="shared" si="161"/>
        <v>0</v>
      </c>
      <c r="K217" s="101">
        <f t="shared" si="162"/>
        <v>0</v>
      </c>
      <c r="L217" s="101">
        <f t="shared" si="163"/>
        <v>0</v>
      </c>
      <c r="M217" s="101">
        <f t="shared" si="164"/>
        <v>0</v>
      </c>
      <c r="N217" s="101"/>
      <c r="O217" s="101">
        <f t="shared" si="165"/>
        <v>0</v>
      </c>
      <c r="P217" s="101">
        <f t="shared" si="166"/>
        <v>0</v>
      </c>
      <c r="Q217" s="101">
        <f t="shared" si="167"/>
        <v>0</v>
      </c>
      <c r="R217" s="101"/>
      <c r="S217" s="101">
        <f t="shared" si="168"/>
        <v>0</v>
      </c>
      <c r="T217" s="101">
        <f t="shared" si="169"/>
        <v>0</v>
      </c>
      <c r="U217" s="101">
        <f t="shared" si="170"/>
        <v>0</v>
      </c>
      <c r="V217" s="101">
        <f t="shared" si="171"/>
        <v>0</v>
      </c>
      <c r="W217" s="101">
        <f t="shared" si="172"/>
        <v>0</v>
      </c>
      <c r="X217" s="101">
        <f t="shared" si="173"/>
        <v>0</v>
      </c>
      <c r="Y217" s="101">
        <f t="shared" si="174"/>
        <v>0</v>
      </c>
      <c r="Z217" s="101">
        <f t="shared" si="175"/>
        <v>0</v>
      </c>
      <c r="AA217" s="101">
        <f t="shared" si="176"/>
        <v>0</v>
      </c>
      <c r="AB217" s="101">
        <f t="shared" si="177"/>
        <v>0</v>
      </c>
      <c r="AC217" s="101">
        <f t="shared" si="178"/>
        <v>0</v>
      </c>
      <c r="AD217" s="101">
        <f t="shared" si="179"/>
        <v>0</v>
      </c>
      <c r="AE217" s="101"/>
      <c r="AF217" s="101">
        <f t="shared" si="180"/>
        <v>0</v>
      </c>
      <c r="AG217" s="101"/>
      <c r="AH217" s="101">
        <f t="shared" si="181"/>
        <v>0</v>
      </c>
      <c r="AI217" s="101"/>
      <c r="AJ217" s="101">
        <f t="shared" si="182"/>
        <v>0</v>
      </c>
      <c r="AK217" s="101">
        <f t="shared" si="183"/>
        <v>0</v>
      </c>
      <c r="AL217" s="98" t="str">
        <f t="shared" si="184"/>
        <v>ok</v>
      </c>
    </row>
    <row r="218" spans="1:38" x14ac:dyDescent="0.25">
      <c r="A218" s="97">
        <v>555</v>
      </c>
      <c r="B218" s="97" t="s">
        <v>1602</v>
      </c>
      <c r="C218" s="97" t="s">
        <v>1603</v>
      </c>
      <c r="D218" s="97" t="s">
        <v>806</v>
      </c>
      <c r="F218" s="101"/>
      <c r="G218" s="100"/>
      <c r="H218" s="101">
        <f t="shared" si="159"/>
        <v>0</v>
      </c>
      <c r="I218" s="101">
        <f t="shared" si="160"/>
        <v>0</v>
      </c>
      <c r="J218" s="101">
        <f t="shared" si="161"/>
        <v>0</v>
      </c>
      <c r="K218" s="101">
        <f t="shared" si="162"/>
        <v>0</v>
      </c>
      <c r="L218" s="101">
        <f t="shared" si="163"/>
        <v>0</v>
      </c>
      <c r="M218" s="101">
        <f t="shared" si="164"/>
        <v>0</v>
      </c>
      <c r="N218" s="101"/>
      <c r="O218" s="101">
        <f t="shared" si="165"/>
        <v>0</v>
      </c>
      <c r="P218" s="101">
        <f t="shared" si="166"/>
        <v>0</v>
      </c>
      <c r="Q218" s="101">
        <f t="shared" si="167"/>
        <v>0</v>
      </c>
      <c r="R218" s="101"/>
      <c r="S218" s="101">
        <f t="shared" si="168"/>
        <v>0</v>
      </c>
      <c r="T218" s="101">
        <f t="shared" si="169"/>
        <v>0</v>
      </c>
      <c r="U218" s="101">
        <f t="shared" si="170"/>
        <v>0</v>
      </c>
      <c r="V218" s="101">
        <f t="shared" si="171"/>
        <v>0</v>
      </c>
      <c r="W218" s="101">
        <f t="shared" si="172"/>
        <v>0</v>
      </c>
      <c r="X218" s="101">
        <f t="shared" si="173"/>
        <v>0</v>
      </c>
      <c r="Y218" s="101">
        <f t="shared" si="174"/>
        <v>0</v>
      </c>
      <c r="Z218" s="101">
        <f t="shared" si="175"/>
        <v>0</v>
      </c>
      <c r="AA218" s="101">
        <f t="shared" si="176"/>
        <v>0</v>
      </c>
      <c r="AB218" s="101">
        <f t="shared" si="177"/>
        <v>0</v>
      </c>
      <c r="AC218" s="101">
        <f t="shared" si="178"/>
        <v>0</v>
      </c>
      <c r="AD218" s="101">
        <f t="shared" si="179"/>
        <v>0</v>
      </c>
      <c r="AE218" s="101"/>
      <c r="AF218" s="101">
        <f t="shared" si="180"/>
        <v>0</v>
      </c>
      <c r="AG218" s="101"/>
      <c r="AH218" s="101">
        <f t="shared" si="181"/>
        <v>0</v>
      </c>
      <c r="AI218" s="101"/>
      <c r="AJ218" s="101">
        <f t="shared" si="182"/>
        <v>0</v>
      </c>
      <c r="AK218" s="101">
        <f t="shared" si="183"/>
        <v>0</v>
      </c>
      <c r="AL218" s="98" t="str">
        <f t="shared" si="184"/>
        <v>ok</v>
      </c>
    </row>
    <row r="219" spans="1:38" x14ac:dyDescent="0.25">
      <c r="A219" s="97">
        <v>556</v>
      </c>
      <c r="B219" s="97" t="s">
        <v>1604</v>
      </c>
      <c r="C219" s="97" t="s">
        <v>1605</v>
      </c>
      <c r="D219" s="97" t="s">
        <v>736</v>
      </c>
      <c r="F219" s="101">
        <f>'Jurisdictional Study'!F1008</f>
        <v>1864717.1978980682</v>
      </c>
      <c r="G219" s="100"/>
      <c r="H219" s="101">
        <f t="shared" si="159"/>
        <v>640617.0243222937</v>
      </c>
      <c r="I219" s="101">
        <f t="shared" si="160"/>
        <v>603895.41423031618</v>
      </c>
      <c r="J219" s="101">
        <f t="shared" si="161"/>
        <v>620204.75934545835</v>
      </c>
      <c r="K219" s="101">
        <f t="shared" si="162"/>
        <v>0</v>
      </c>
      <c r="L219" s="101">
        <f t="shared" si="163"/>
        <v>0</v>
      </c>
      <c r="M219" s="101">
        <f t="shared" si="164"/>
        <v>0</v>
      </c>
      <c r="N219" s="101"/>
      <c r="O219" s="101">
        <f t="shared" si="165"/>
        <v>0</v>
      </c>
      <c r="P219" s="101">
        <f t="shared" si="166"/>
        <v>0</v>
      </c>
      <c r="Q219" s="101">
        <f t="shared" si="167"/>
        <v>0</v>
      </c>
      <c r="R219" s="101"/>
      <c r="S219" s="101">
        <f t="shared" si="168"/>
        <v>0</v>
      </c>
      <c r="T219" s="101">
        <f t="shared" si="169"/>
        <v>0</v>
      </c>
      <c r="U219" s="101">
        <f t="shared" si="170"/>
        <v>0</v>
      </c>
      <c r="V219" s="101">
        <f t="shared" si="171"/>
        <v>0</v>
      </c>
      <c r="W219" s="101">
        <f t="shared" si="172"/>
        <v>0</v>
      </c>
      <c r="X219" s="101">
        <f t="shared" si="173"/>
        <v>0</v>
      </c>
      <c r="Y219" s="101">
        <f t="shared" si="174"/>
        <v>0</v>
      </c>
      <c r="Z219" s="101">
        <f t="shared" si="175"/>
        <v>0</v>
      </c>
      <c r="AA219" s="101">
        <f t="shared" si="176"/>
        <v>0</v>
      </c>
      <c r="AB219" s="101">
        <f t="shared" si="177"/>
        <v>0</v>
      </c>
      <c r="AC219" s="101">
        <f t="shared" si="178"/>
        <v>0</v>
      </c>
      <c r="AD219" s="101">
        <f t="shared" si="179"/>
        <v>0</v>
      </c>
      <c r="AE219" s="101"/>
      <c r="AF219" s="101">
        <f t="shared" si="180"/>
        <v>0</v>
      </c>
      <c r="AG219" s="101"/>
      <c r="AH219" s="101">
        <f t="shared" si="181"/>
        <v>0</v>
      </c>
      <c r="AI219" s="101"/>
      <c r="AJ219" s="101">
        <f t="shared" si="182"/>
        <v>0</v>
      </c>
      <c r="AK219" s="101">
        <f t="shared" si="183"/>
        <v>1864717.1978980682</v>
      </c>
      <c r="AL219" s="98" t="str">
        <f t="shared" si="184"/>
        <v>ok</v>
      </c>
    </row>
    <row r="220" spans="1:38" x14ac:dyDescent="0.25">
      <c r="A220" s="97">
        <v>557</v>
      </c>
      <c r="B220" s="97" t="s">
        <v>499</v>
      </c>
      <c r="C220" s="97" t="s">
        <v>500</v>
      </c>
      <c r="D220" s="97" t="s">
        <v>736</v>
      </c>
      <c r="F220" s="101">
        <f>'Jurisdictional Study'!F1009-29755</f>
        <v>10368.893324844234</v>
      </c>
      <c r="G220" s="100"/>
      <c r="H220" s="101">
        <f t="shared" si="159"/>
        <v>3562.1967742693109</v>
      </c>
      <c r="I220" s="101">
        <f t="shared" si="160"/>
        <v>3358.0036353904302</v>
      </c>
      <c r="J220" s="101">
        <f t="shared" si="161"/>
        <v>3448.6929151844924</v>
      </c>
      <c r="K220" s="101">
        <f t="shared" si="162"/>
        <v>0</v>
      </c>
      <c r="L220" s="101">
        <f t="shared" si="163"/>
        <v>0</v>
      </c>
      <c r="M220" s="101">
        <f t="shared" si="164"/>
        <v>0</v>
      </c>
      <c r="N220" s="101"/>
      <c r="O220" s="101">
        <f t="shared" si="165"/>
        <v>0</v>
      </c>
      <c r="P220" s="101">
        <f t="shared" si="166"/>
        <v>0</v>
      </c>
      <c r="Q220" s="101">
        <f t="shared" si="167"/>
        <v>0</v>
      </c>
      <c r="R220" s="101"/>
      <c r="S220" s="101">
        <f t="shared" si="168"/>
        <v>0</v>
      </c>
      <c r="T220" s="101">
        <f t="shared" si="169"/>
        <v>0</v>
      </c>
      <c r="U220" s="101">
        <f t="shared" si="170"/>
        <v>0</v>
      </c>
      <c r="V220" s="101">
        <f t="shared" si="171"/>
        <v>0</v>
      </c>
      <c r="W220" s="101">
        <f t="shared" si="172"/>
        <v>0</v>
      </c>
      <c r="X220" s="101">
        <f t="shared" si="173"/>
        <v>0</v>
      </c>
      <c r="Y220" s="101">
        <f t="shared" si="174"/>
        <v>0</v>
      </c>
      <c r="Z220" s="101">
        <f t="shared" si="175"/>
        <v>0</v>
      </c>
      <c r="AA220" s="101">
        <f t="shared" si="176"/>
        <v>0</v>
      </c>
      <c r="AB220" s="101">
        <f t="shared" si="177"/>
        <v>0</v>
      </c>
      <c r="AC220" s="101">
        <f t="shared" si="178"/>
        <v>0</v>
      </c>
      <c r="AD220" s="101">
        <f t="shared" si="179"/>
        <v>0</v>
      </c>
      <c r="AE220" s="101"/>
      <c r="AF220" s="101">
        <f t="shared" si="180"/>
        <v>0</v>
      </c>
      <c r="AG220" s="101"/>
      <c r="AH220" s="101">
        <f t="shared" si="181"/>
        <v>0</v>
      </c>
      <c r="AI220" s="101"/>
      <c r="AJ220" s="101">
        <f t="shared" si="182"/>
        <v>0</v>
      </c>
      <c r="AK220" s="101">
        <f t="shared" si="183"/>
        <v>10368.893324844234</v>
      </c>
      <c r="AL220" s="98" t="str">
        <f t="shared" si="184"/>
        <v>ok</v>
      </c>
    </row>
    <row r="221" spans="1:38" x14ac:dyDescent="0.25">
      <c r="F221" s="101"/>
      <c r="G221" s="100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98"/>
    </row>
    <row r="222" spans="1:38" x14ac:dyDescent="0.25">
      <c r="B222" s="97" t="s">
        <v>1619</v>
      </c>
      <c r="C222" s="97" t="s">
        <v>501</v>
      </c>
      <c r="F222" s="100">
        <f>SUM(F215:F221)</f>
        <v>52494392.756801143</v>
      </c>
      <c r="G222" s="100"/>
      <c r="H222" s="100">
        <f t="shared" ref="H222:M222" si="185">SUM(H215:H221)</f>
        <v>3151493.073520646</v>
      </c>
      <c r="I222" s="100">
        <f t="shared" si="185"/>
        <v>3233823.3770119781</v>
      </c>
      <c r="J222" s="100">
        <f t="shared" si="185"/>
        <v>2782685.1018307754</v>
      </c>
      <c r="K222" s="100">
        <f t="shared" si="185"/>
        <v>43326391.204437748</v>
      </c>
      <c r="L222" s="100">
        <f t="shared" si="185"/>
        <v>0</v>
      </c>
      <c r="M222" s="100">
        <f t="shared" si="185"/>
        <v>0</v>
      </c>
      <c r="N222" s="100"/>
      <c r="O222" s="100">
        <f>SUM(O215:O221)</f>
        <v>0</v>
      </c>
      <c r="P222" s="100">
        <f>SUM(P215:P221)</f>
        <v>0</v>
      </c>
      <c r="Q222" s="100">
        <f>SUM(Q215:Q221)</f>
        <v>0</v>
      </c>
      <c r="R222" s="100"/>
      <c r="S222" s="100">
        <f t="shared" ref="S222:AD222" si="186">SUM(S215:S221)</f>
        <v>0</v>
      </c>
      <c r="T222" s="100">
        <f t="shared" si="186"/>
        <v>0</v>
      </c>
      <c r="U222" s="100">
        <f t="shared" si="186"/>
        <v>0</v>
      </c>
      <c r="V222" s="100">
        <f t="shared" si="186"/>
        <v>0</v>
      </c>
      <c r="W222" s="100">
        <f t="shared" si="186"/>
        <v>0</v>
      </c>
      <c r="X222" s="100">
        <f t="shared" si="186"/>
        <v>0</v>
      </c>
      <c r="Y222" s="100">
        <f t="shared" si="186"/>
        <v>0</v>
      </c>
      <c r="Z222" s="100">
        <f t="shared" si="186"/>
        <v>0</v>
      </c>
      <c r="AA222" s="100">
        <f t="shared" si="186"/>
        <v>0</v>
      </c>
      <c r="AB222" s="100">
        <f t="shared" si="186"/>
        <v>0</v>
      </c>
      <c r="AC222" s="100">
        <f t="shared" si="186"/>
        <v>0</v>
      </c>
      <c r="AD222" s="100">
        <f t="shared" si="186"/>
        <v>0</v>
      </c>
      <c r="AE222" s="100"/>
      <c r="AF222" s="100">
        <f>SUM(AF215:AF221)</f>
        <v>0</v>
      </c>
      <c r="AG222" s="100"/>
      <c r="AH222" s="100">
        <f>SUM(AH215:AH221)</f>
        <v>0</v>
      </c>
      <c r="AI222" s="100"/>
      <c r="AJ222" s="100">
        <f>SUM(AJ215:AJ221)</f>
        <v>0</v>
      </c>
      <c r="AK222" s="101">
        <f>SUM(H222:AJ222)</f>
        <v>52494392.756801143</v>
      </c>
      <c r="AL222" s="98" t="str">
        <f>IF(ABS(AK222-F222)&lt;1,"ok","err")</f>
        <v>ok</v>
      </c>
    </row>
    <row r="223" spans="1:38" x14ac:dyDescent="0.25"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1"/>
      <c r="AL223" s="98"/>
    </row>
    <row r="224" spans="1:38" x14ac:dyDescent="0.25">
      <c r="B224" s="97" t="s">
        <v>1606</v>
      </c>
      <c r="F224" s="100">
        <f>F212+F222</f>
        <v>687296876.42477047</v>
      </c>
      <c r="G224" s="100"/>
      <c r="H224" s="100">
        <f t="shared" ref="H224:M224" si="187">H212+H222</f>
        <v>24218939.273041509</v>
      </c>
      <c r="I224" s="100">
        <f t="shared" si="187"/>
        <v>23093636.130027201</v>
      </c>
      <c r="J224" s="100">
        <f t="shared" si="187"/>
        <v>23178849.899386439</v>
      </c>
      <c r="K224" s="100">
        <f t="shared" si="187"/>
        <v>616805451.12231529</v>
      </c>
      <c r="L224" s="100">
        <f t="shared" si="187"/>
        <v>0</v>
      </c>
      <c r="M224" s="100">
        <f t="shared" si="187"/>
        <v>0</v>
      </c>
      <c r="N224" s="100"/>
      <c r="O224" s="100">
        <f>O212+O222</f>
        <v>0</v>
      </c>
      <c r="P224" s="100">
        <f>P212+P222</f>
        <v>0</v>
      </c>
      <c r="Q224" s="100">
        <f>Q212+Q222</f>
        <v>0</v>
      </c>
      <c r="R224" s="100"/>
      <c r="S224" s="100">
        <f t="shared" ref="S224:AD224" si="188">S212+S222</f>
        <v>0</v>
      </c>
      <c r="T224" s="100">
        <f t="shared" si="188"/>
        <v>0</v>
      </c>
      <c r="U224" s="100">
        <f t="shared" si="188"/>
        <v>0</v>
      </c>
      <c r="V224" s="100">
        <f t="shared" si="188"/>
        <v>0</v>
      </c>
      <c r="W224" s="100">
        <f t="shared" si="188"/>
        <v>0</v>
      </c>
      <c r="X224" s="100">
        <f t="shared" si="188"/>
        <v>0</v>
      </c>
      <c r="Y224" s="100">
        <f t="shared" si="188"/>
        <v>0</v>
      </c>
      <c r="Z224" s="100">
        <f t="shared" si="188"/>
        <v>0</v>
      </c>
      <c r="AA224" s="100">
        <f t="shared" si="188"/>
        <v>0</v>
      </c>
      <c r="AB224" s="100">
        <f t="shared" si="188"/>
        <v>0</v>
      </c>
      <c r="AC224" s="100">
        <f t="shared" si="188"/>
        <v>0</v>
      </c>
      <c r="AD224" s="100">
        <f t="shared" si="188"/>
        <v>0</v>
      </c>
      <c r="AE224" s="100"/>
      <c r="AF224" s="100">
        <f>AF212+AF222</f>
        <v>0</v>
      </c>
      <c r="AG224" s="100"/>
      <c r="AH224" s="100">
        <f>AH212+AH222</f>
        <v>0</v>
      </c>
      <c r="AI224" s="100"/>
      <c r="AJ224" s="100">
        <f>AJ212+AJ222</f>
        <v>0</v>
      </c>
      <c r="AK224" s="101">
        <f>SUM(H224:AJ224)</f>
        <v>687296876.42477047</v>
      </c>
      <c r="AL224" s="98" t="str">
        <f>IF(ABS(AK224-F224)&lt;1,"ok","err")</f>
        <v>ok</v>
      </c>
    </row>
    <row r="225" spans="1:38" x14ac:dyDescent="0.25"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1"/>
      <c r="AL225" s="98"/>
    </row>
    <row r="226" spans="1:38" x14ac:dyDescent="0.25">
      <c r="A226" s="24" t="s">
        <v>473</v>
      </c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1"/>
      <c r="AL226" s="98"/>
    </row>
    <row r="227" spans="1:38" x14ac:dyDescent="0.25">
      <c r="A227" s="97">
        <v>560</v>
      </c>
      <c r="B227" s="97" t="s">
        <v>476</v>
      </c>
      <c r="C227" s="97" t="s">
        <v>503</v>
      </c>
      <c r="D227" s="97" t="s">
        <v>740</v>
      </c>
      <c r="F227" s="100">
        <f>'Jurisdictional Study'!F1016</f>
        <v>1804304.989136664</v>
      </c>
      <c r="G227" s="100"/>
      <c r="H227" s="101">
        <f t="shared" ref="H227:H240" si="189">IF(VLOOKUP($D227,$C$5:$AJ$644,6,)=0,0,((VLOOKUP($D227,$C$5:$AJ$644,6,)/VLOOKUP($D227,$C$5:$AJ$644,4,))*$F227))</f>
        <v>0</v>
      </c>
      <c r="I227" s="101">
        <f t="shared" ref="I227:I240" si="190">IF(VLOOKUP($D227,$C$5:$AJ$644,7,)=0,0,((VLOOKUP($D227,$C$5:$AJ$644,7,)/VLOOKUP($D227,$C$5:$AJ$644,4,))*$F227))</f>
        <v>0</v>
      </c>
      <c r="J227" s="101">
        <f t="shared" ref="J227:J240" si="191">IF(VLOOKUP($D227,$C$5:$AJ$644,8,)=0,0,((VLOOKUP($D227,$C$5:$AJ$644,8,)/VLOOKUP($D227,$C$5:$AJ$644,4,))*$F227))</f>
        <v>0</v>
      </c>
      <c r="K227" s="101">
        <f t="shared" ref="K227:K240" si="192">IF(VLOOKUP($D227,$C$5:$AJ$644,9,)=0,0,((VLOOKUP($D227,$C$5:$AJ$644,9,)/VLOOKUP($D227,$C$5:$AJ$644,4,))*$F227))</f>
        <v>0</v>
      </c>
      <c r="L227" s="101">
        <f t="shared" ref="L227:L240" si="193">IF(VLOOKUP($D227,$C$5:$AJ$644,10,)=0,0,((VLOOKUP($D227,$C$5:$AJ$644,10,)/VLOOKUP($D227,$C$5:$AJ$644,4,))*$F227))</f>
        <v>0</v>
      </c>
      <c r="M227" s="101">
        <f t="shared" ref="M227:M240" si="194">IF(VLOOKUP($D227,$C$5:$AJ$644,11,)=0,0,((VLOOKUP($D227,$C$5:$AJ$644,11,)/VLOOKUP($D227,$C$5:$AJ$644,4,))*$F227))</f>
        <v>0</v>
      </c>
      <c r="N227" s="101"/>
      <c r="O227" s="101">
        <f t="shared" ref="O227:O240" si="195">IF(VLOOKUP($D227,$C$5:$AJ$644,13,)=0,0,((VLOOKUP($D227,$C$5:$AJ$644,13,)/VLOOKUP($D227,$C$5:$AJ$644,4,))*$F227))</f>
        <v>1804304.989136664</v>
      </c>
      <c r="P227" s="101">
        <f t="shared" ref="P227:P240" si="196">IF(VLOOKUP($D227,$C$5:$AJ$644,14,)=0,0,((VLOOKUP($D227,$C$5:$AJ$644,14,)/VLOOKUP($D227,$C$5:$AJ$644,4,))*$F227))</f>
        <v>0</v>
      </c>
      <c r="Q227" s="101">
        <f t="shared" ref="Q227:Q240" si="197">IF(VLOOKUP($D227,$C$5:$AJ$644,15,)=0,0,((VLOOKUP($D227,$C$5:$AJ$644,15,)/VLOOKUP($D227,$C$5:$AJ$644,4,))*$F227))</f>
        <v>0</v>
      </c>
      <c r="R227" s="101"/>
      <c r="S227" s="101">
        <f t="shared" ref="S227:S240" si="198">IF(VLOOKUP($D227,$C$5:$AJ$644,17,)=0,0,((VLOOKUP($D227,$C$5:$AJ$644,17,)/VLOOKUP($D227,$C$5:$AJ$644,4,))*$F227))</f>
        <v>0</v>
      </c>
      <c r="T227" s="101">
        <f t="shared" ref="T227:T240" si="199">IF(VLOOKUP($D227,$C$5:$AJ$644,18,)=0,0,((VLOOKUP($D227,$C$5:$AJ$644,18,)/VLOOKUP($D227,$C$5:$AJ$644,4,))*$F227))</f>
        <v>0</v>
      </c>
      <c r="U227" s="101">
        <f t="shared" ref="U227:U240" si="200">IF(VLOOKUP($D227,$C$5:$AJ$644,19,)=0,0,((VLOOKUP($D227,$C$5:$AJ$644,19,)/VLOOKUP($D227,$C$5:$AJ$644,4,))*$F227))</f>
        <v>0</v>
      </c>
      <c r="V227" s="101">
        <f t="shared" ref="V227:V240" si="201">IF(VLOOKUP($D227,$C$5:$AJ$644,20,)=0,0,((VLOOKUP($D227,$C$5:$AJ$644,20,)/VLOOKUP($D227,$C$5:$AJ$644,4,))*$F227))</f>
        <v>0</v>
      </c>
      <c r="W227" s="101">
        <f t="shared" ref="W227:W240" si="202">IF(VLOOKUP($D227,$C$5:$AJ$644,21,)=0,0,((VLOOKUP($D227,$C$5:$AJ$644,21,)/VLOOKUP($D227,$C$5:$AJ$644,4,))*$F227))</f>
        <v>0</v>
      </c>
      <c r="X227" s="101">
        <f t="shared" ref="X227:X240" si="203">IF(VLOOKUP($D227,$C$5:$AJ$644,22,)=0,0,((VLOOKUP($D227,$C$5:$AJ$644,22,)/VLOOKUP($D227,$C$5:$AJ$644,4,))*$F227))</f>
        <v>0</v>
      </c>
      <c r="Y227" s="101">
        <f t="shared" ref="Y227:Y240" si="204">IF(VLOOKUP($D227,$C$5:$AJ$644,23,)=0,0,((VLOOKUP($D227,$C$5:$AJ$644,23,)/VLOOKUP($D227,$C$5:$AJ$644,4,))*$F227))</f>
        <v>0</v>
      </c>
      <c r="Z227" s="101">
        <f t="shared" ref="Z227:Z240" si="205">IF(VLOOKUP($D227,$C$5:$AJ$644,24,)=0,0,((VLOOKUP($D227,$C$5:$AJ$644,24,)/VLOOKUP($D227,$C$5:$AJ$644,4,))*$F227))</f>
        <v>0</v>
      </c>
      <c r="AA227" s="101">
        <f t="shared" ref="AA227:AA240" si="206">IF(VLOOKUP($D227,$C$5:$AJ$644,25,)=0,0,((VLOOKUP($D227,$C$5:$AJ$644,25,)/VLOOKUP($D227,$C$5:$AJ$644,4,))*$F227))</f>
        <v>0</v>
      </c>
      <c r="AB227" s="101">
        <f t="shared" ref="AB227:AB240" si="207">IF(VLOOKUP($D227,$C$5:$AJ$644,26,)=0,0,((VLOOKUP($D227,$C$5:$AJ$644,26,)/VLOOKUP($D227,$C$5:$AJ$644,4,))*$F227))</f>
        <v>0</v>
      </c>
      <c r="AC227" s="101">
        <f t="shared" ref="AC227:AC240" si="208">IF(VLOOKUP($D227,$C$5:$AJ$644,27,)=0,0,((VLOOKUP($D227,$C$5:$AJ$644,27,)/VLOOKUP($D227,$C$5:$AJ$644,4,))*$F227))</f>
        <v>0</v>
      </c>
      <c r="AD227" s="101">
        <f t="shared" ref="AD227:AD240" si="209">IF(VLOOKUP($D227,$C$5:$AJ$644,28,)=0,0,((VLOOKUP($D227,$C$5:$AJ$644,28,)/VLOOKUP($D227,$C$5:$AJ$644,4,))*$F227))</f>
        <v>0</v>
      </c>
      <c r="AE227" s="101"/>
      <c r="AF227" s="101">
        <f t="shared" ref="AF227:AF240" si="210">IF(VLOOKUP($D227,$C$5:$AJ$644,30,)=0,0,((VLOOKUP($D227,$C$5:$AJ$644,30,)/VLOOKUP($D227,$C$5:$AJ$644,4,))*$F227))</f>
        <v>0</v>
      </c>
      <c r="AG227" s="101"/>
      <c r="AH227" s="101">
        <f t="shared" ref="AH227:AH240" si="211">IF(VLOOKUP($D227,$C$5:$AJ$644,32,)=0,0,((VLOOKUP($D227,$C$5:$AJ$644,32,)/VLOOKUP($D227,$C$5:$AJ$644,4,))*$F227))</f>
        <v>0</v>
      </c>
      <c r="AI227" s="101"/>
      <c r="AJ227" s="101">
        <f t="shared" ref="AJ227:AJ240" si="212">IF(VLOOKUP($D227,$C$5:$AJ$644,34,)=0,0,((VLOOKUP($D227,$C$5:$AJ$644,34,)/VLOOKUP($D227,$C$5:$AJ$644,4,))*$F227))</f>
        <v>0</v>
      </c>
      <c r="AK227" s="101">
        <f t="shared" ref="AK227:AK232" si="213">SUM(H227:AJ227)</f>
        <v>1804304.989136664</v>
      </c>
      <c r="AL227" s="98" t="str">
        <f t="shared" ref="AL227:AL239" si="214">IF(ABS(AK227-F227)&lt;1,"ok","err")</f>
        <v>ok</v>
      </c>
    </row>
    <row r="228" spans="1:38" x14ac:dyDescent="0.25">
      <c r="A228" s="97">
        <v>561</v>
      </c>
      <c r="B228" s="97" t="s">
        <v>810</v>
      </c>
      <c r="C228" s="97" t="s">
        <v>504</v>
      </c>
      <c r="D228" s="97" t="s">
        <v>740</v>
      </c>
      <c r="F228" s="101">
        <f>'Jurisdictional Study'!F1017</f>
        <v>3644051.6512189247</v>
      </c>
      <c r="G228" s="100"/>
      <c r="H228" s="101">
        <f t="shared" si="189"/>
        <v>0</v>
      </c>
      <c r="I228" s="101">
        <f t="shared" si="190"/>
        <v>0</v>
      </c>
      <c r="J228" s="101">
        <f t="shared" si="191"/>
        <v>0</v>
      </c>
      <c r="K228" s="101">
        <f t="shared" si="192"/>
        <v>0</v>
      </c>
      <c r="L228" s="101">
        <f t="shared" si="193"/>
        <v>0</v>
      </c>
      <c r="M228" s="101">
        <f t="shared" si="194"/>
        <v>0</v>
      </c>
      <c r="N228" s="101"/>
      <c r="O228" s="101">
        <f t="shared" si="195"/>
        <v>3644051.6512189247</v>
      </c>
      <c r="P228" s="101">
        <f t="shared" si="196"/>
        <v>0</v>
      </c>
      <c r="Q228" s="101">
        <f t="shared" si="197"/>
        <v>0</v>
      </c>
      <c r="R228" s="101"/>
      <c r="S228" s="101">
        <f t="shared" si="198"/>
        <v>0</v>
      </c>
      <c r="T228" s="101">
        <f t="shared" si="199"/>
        <v>0</v>
      </c>
      <c r="U228" s="101">
        <f t="shared" si="200"/>
        <v>0</v>
      </c>
      <c r="V228" s="101">
        <f t="shared" si="201"/>
        <v>0</v>
      </c>
      <c r="W228" s="101">
        <f t="shared" si="202"/>
        <v>0</v>
      </c>
      <c r="X228" s="101">
        <f t="shared" si="203"/>
        <v>0</v>
      </c>
      <c r="Y228" s="101">
        <f t="shared" si="204"/>
        <v>0</v>
      </c>
      <c r="Z228" s="101">
        <f t="shared" si="205"/>
        <v>0</v>
      </c>
      <c r="AA228" s="101">
        <f t="shared" si="206"/>
        <v>0</v>
      </c>
      <c r="AB228" s="101">
        <f t="shared" si="207"/>
        <v>0</v>
      </c>
      <c r="AC228" s="101">
        <f t="shared" si="208"/>
        <v>0</v>
      </c>
      <c r="AD228" s="101">
        <f t="shared" si="209"/>
        <v>0</v>
      </c>
      <c r="AE228" s="101"/>
      <c r="AF228" s="101">
        <f t="shared" si="210"/>
        <v>0</v>
      </c>
      <c r="AG228" s="101"/>
      <c r="AH228" s="101">
        <f t="shared" si="211"/>
        <v>0</v>
      </c>
      <c r="AI228" s="101"/>
      <c r="AJ228" s="101">
        <f t="shared" si="212"/>
        <v>0</v>
      </c>
      <c r="AK228" s="101">
        <f t="shared" si="213"/>
        <v>3644051.6512189247</v>
      </c>
      <c r="AL228" s="98" t="str">
        <f t="shared" si="214"/>
        <v>ok</v>
      </c>
    </row>
    <row r="229" spans="1:38" x14ac:dyDescent="0.25">
      <c r="A229" s="97">
        <v>562</v>
      </c>
      <c r="B229" s="97" t="s">
        <v>474</v>
      </c>
      <c r="C229" s="97" t="s">
        <v>505</v>
      </c>
      <c r="D229" s="97" t="s">
        <v>740</v>
      </c>
      <c r="F229" s="101">
        <f>'Jurisdictional Study'!F1018</f>
        <v>1303298.2836528139</v>
      </c>
      <c r="G229" s="100"/>
      <c r="H229" s="101">
        <f t="shared" si="189"/>
        <v>0</v>
      </c>
      <c r="I229" s="101">
        <f t="shared" si="190"/>
        <v>0</v>
      </c>
      <c r="J229" s="101">
        <f t="shared" si="191"/>
        <v>0</v>
      </c>
      <c r="K229" s="101">
        <f t="shared" si="192"/>
        <v>0</v>
      </c>
      <c r="L229" s="101">
        <f t="shared" si="193"/>
        <v>0</v>
      </c>
      <c r="M229" s="101">
        <f t="shared" si="194"/>
        <v>0</v>
      </c>
      <c r="N229" s="101"/>
      <c r="O229" s="101">
        <f t="shared" si="195"/>
        <v>1303298.2836528139</v>
      </c>
      <c r="P229" s="101">
        <f t="shared" si="196"/>
        <v>0</v>
      </c>
      <c r="Q229" s="101">
        <f t="shared" si="197"/>
        <v>0</v>
      </c>
      <c r="R229" s="101"/>
      <c r="S229" s="101">
        <f t="shared" si="198"/>
        <v>0</v>
      </c>
      <c r="T229" s="101">
        <f t="shared" si="199"/>
        <v>0</v>
      </c>
      <c r="U229" s="101">
        <f t="shared" si="200"/>
        <v>0</v>
      </c>
      <c r="V229" s="101">
        <f t="shared" si="201"/>
        <v>0</v>
      </c>
      <c r="W229" s="101">
        <f t="shared" si="202"/>
        <v>0</v>
      </c>
      <c r="X229" s="101">
        <f t="shared" si="203"/>
        <v>0</v>
      </c>
      <c r="Y229" s="101">
        <f t="shared" si="204"/>
        <v>0</v>
      </c>
      <c r="Z229" s="101">
        <f t="shared" si="205"/>
        <v>0</v>
      </c>
      <c r="AA229" s="101">
        <f t="shared" si="206"/>
        <v>0</v>
      </c>
      <c r="AB229" s="101">
        <f t="shared" si="207"/>
        <v>0</v>
      </c>
      <c r="AC229" s="101">
        <f t="shared" si="208"/>
        <v>0</v>
      </c>
      <c r="AD229" s="101">
        <f t="shared" si="209"/>
        <v>0</v>
      </c>
      <c r="AE229" s="101"/>
      <c r="AF229" s="101">
        <f t="shared" si="210"/>
        <v>0</v>
      </c>
      <c r="AG229" s="101"/>
      <c r="AH229" s="101">
        <f t="shared" si="211"/>
        <v>0</v>
      </c>
      <c r="AI229" s="101"/>
      <c r="AJ229" s="101">
        <f t="shared" si="212"/>
        <v>0</v>
      </c>
      <c r="AK229" s="101">
        <f t="shared" si="213"/>
        <v>1303298.2836528139</v>
      </c>
      <c r="AL229" s="98" t="str">
        <f t="shared" si="214"/>
        <v>ok</v>
      </c>
    </row>
    <row r="230" spans="1:38" x14ac:dyDescent="0.25">
      <c r="A230" s="97">
        <v>563</v>
      </c>
      <c r="B230" s="97" t="s">
        <v>812</v>
      </c>
      <c r="C230" s="97" t="s">
        <v>506</v>
      </c>
      <c r="D230" s="97" t="s">
        <v>740</v>
      </c>
      <c r="F230" s="101">
        <f>'Jurisdictional Study'!F1019</f>
        <v>1058993.0765534656</v>
      </c>
      <c r="G230" s="100"/>
      <c r="H230" s="101">
        <f t="shared" si="189"/>
        <v>0</v>
      </c>
      <c r="I230" s="101">
        <f t="shared" si="190"/>
        <v>0</v>
      </c>
      <c r="J230" s="101">
        <f t="shared" si="191"/>
        <v>0</v>
      </c>
      <c r="K230" s="101">
        <f t="shared" si="192"/>
        <v>0</v>
      </c>
      <c r="L230" s="101">
        <f t="shared" si="193"/>
        <v>0</v>
      </c>
      <c r="M230" s="101">
        <f t="shared" si="194"/>
        <v>0</v>
      </c>
      <c r="N230" s="101"/>
      <c r="O230" s="101">
        <f t="shared" si="195"/>
        <v>1058993.0765534656</v>
      </c>
      <c r="P230" s="101">
        <f t="shared" si="196"/>
        <v>0</v>
      </c>
      <c r="Q230" s="101">
        <f t="shared" si="197"/>
        <v>0</v>
      </c>
      <c r="R230" s="101"/>
      <c r="S230" s="101">
        <f t="shared" si="198"/>
        <v>0</v>
      </c>
      <c r="T230" s="101">
        <f t="shared" si="199"/>
        <v>0</v>
      </c>
      <c r="U230" s="101">
        <f t="shared" si="200"/>
        <v>0</v>
      </c>
      <c r="V230" s="101">
        <f t="shared" si="201"/>
        <v>0</v>
      </c>
      <c r="W230" s="101">
        <f t="shared" si="202"/>
        <v>0</v>
      </c>
      <c r="X230" s="101">
        <f t="shared" si="203"/>
        <v>0</v>
      </c>
      <c r="Y230" s="101">
        <f t="shared" si="204"/>
        <v>0</v>
      </c>
      <c r="Z230" s="101">
        <f t="shared" si="205"/>
        <v>0</v>
      </c>
      <c r="AA230" s="101">
        <f t="shared" si="206"/>
        <v>0</v>
      </c>
      <c r="AB230" s="101">
        <f t="shared" si="207"/>
        <v>0</v>
      </c>
      <c r="AC230" s="101">
        <f t="shared" si="208"/>
        <v>0</v>
      </c>
      <c r="AD230" s="101">
        <f t="shared" si="209"/>
        <v>0</v>
      </c>
      <c r="AE230" s="101"/>
      <c r="AF230" s="101">
        <f t="shared" si="210"/>
        <v>0</v>
      </c>
      <c r="AG230" s="101"/>
      <c r="AH230" s="101">
        <f t="shared" si="211"/>
        <v>0</v>
      </c>
      <c r="AI230" s="101"/>
      <c r="AJ230" s="101">
        <f t="shared" si="212"/>
        <v>0</v>
      </c>
      <c r="AK230" s="101">
        <f t="shared" si="213"/>
        <v>1058993.0765534656</v>
      </c>
      <c r="AL230" s="98" t="str">
        <f t="shared" si="214"/>
        <v>ok</v>
      </c>
    </row>
    <row r="231" spans="1:38" x14ac:dyDescent="0.25">
      <c r="A231" s="97">
        <v>565</v>
      </c>
      <c r="B231" s="97" t="s">
        <v>1607</v>
      </c>
      <c r="C231" s="97" t="s">
        <v>1608</v>
      </c>
      <c r="D231" s="97" t="s">
        <v>740</v>
      </c>
      <c r="F231" s="101">
        <f>'Jurisdictional Study'!F1021-218085</f>
        <v>2940449.4497765368</v>
      </c>
      <c r="G231" s="100"/>
      <c r="H231" s="101">
        <f t="shared" si="189"/>
        <v>0</v>
      </c>
      <c r="I231" s="101">
        <f t="shared" si="190"/>
        <v>0</v>
      </c>
      <c r="J231" s="101">
        <f t="shared" si="191"/>
        <v>0</v>
      </c>
      <c r="K231" s="101">
        <f t="shared" si="192"/>
        <v>0</v>
      </c>
      <c r="L231" s="101">
        <f t="shared" si="193"/>
        <v>0</v>
      </c>
      <c r="M231" s="101">
        <f t="shared" si="194"/>
        <v>0</v>
      </c>
      <c r="N231" s="101"/>
      <c r="O231" s="101">
        <f t="shared" si="195"/>
        <v>2940449.4497765368</v>
      </c>
      <c r="P231" s="101">
        <f t="shared" si="196"/>
        <v>0</v>
      </c>
      <c r="Q231" s="101">
        <f t="shared" si="197"/>
        <v>0</v>
      </c>
      <c r="R231" s="101"/>
      <c r="S231" s="101">
        <f t="shared" si="198"/>
        <v>0</v>
      </c>
      <c r="T231" s="101">
        <f t="shared" si="199"/>
        <v>0</v>
      </c>
      <c r="U231" s="101">
        <f t="shared" si="200"/>
        <v>0</v>
      </c>
      <c r="V231" s="101">
        <f t="shared" si="201"/>
        <v>0</v>
      </c>
      <c r="W231" s="101">
        <f t="shared" si="202"/>
        <v>0</v>
      </c>
      <c r="X231" s="101">
        <f t="shared" si="203"/>
        <v>0</v>
      </c>
      <c r="Y231" s="101">
        <f t="shared" si="204"/>
        <v>0</v>
      </c>
      <c r="Z231" s="101">
        <f t="shared" si="205"/>
        <v>0</v>
      </c>
      <c r="AA231" s="101">
        <f t="shared" si="206"/>
        <v>0</v>
      </c>
      <c r="AB231" s="101">
        <f t="shared" si="207"/>
        <v>0</v>
      </c>
      <c r="AC231" s="101">
        <f t="shared" si="208"/>
        <v>0</v>
      </c>
      <c r="AD231" s="101">
        <f t="shared" si="209"/>
        <v>0</v>
      </c>
      <c r="AE231" s="101"/>
      <c r="AF231" s="101">
        <f t="shared" si="210"/>
        <v>0</v>
      </c>
      <c r="AG231" s="101"/>
      <c r="AH231" s="101">
        <f t="shared" si="211"/>
        <v>0</v>
      </c>
      <c r="AI231" s="101"/>
      <c r="AJ231" s="101">
        <f t="shared" si="212"/>
        <v>0</v>
      </c>
      <c r="AK231" s="101">
        <f t="shared" si="213"/>
        <v>2940449.4497765368</v>
      </c>
      <c r="AL231" s="98" t="str">
        <f t="shared" si="214"/>
        <v>ok</v>
      </c>
    </row>
    <row r="232" spans="1:38" x14ac:dyDescent="0.25">
      <c r="A232" s="97">
        <v>566</v>
      </c>
      <c r="B232" s="97" t="s">
        <v>876</v>
      </c>
      <c r="C232" s="97" t="s">
        <v>877</v>
      </c>
      <c r="D232" s="97" t="s">
        <v>491</v>
      </c>
      <c r="F232" s="101">
        <f>'Jurisdictional Study'!F1022</f>
        <v>11948571.502775138</v>
      </c>
      <c r="G232" s="100"/>
      <c r="H232" s="101">
        <f t="shared" si="189"/>
        <v>0</v>
      </c>
      <c r="I232" s="101">
        <f t="shared" si="190"/>
        <v>0</v>
      </c>
      <c r="J232" s="101">
        <f t="shared" si="191"/>
        <v>0</v>
      </c>
      <c r="K232" s="101">
        <f t="shared" si="192"/>
        <v>0</v>
      </c>
      <c r="L232" s="101">
        <f t="shared" si="193"/>
        <v>0</v>
      </c>
      <c r="M232" s="101">
        <f t="shared" si="194"/>
        <v>0</v>
      </c>
      <c r="N232" s="101"/>
      <c r="O232" s="101">
        <f t="shared" si="195"/>
        <v>11948571.502775138</v>
      </c>
      <c r="P232" s="101">
        <f t="shared" si="196"/>
        <v>0</v>
      </c>
      <c r="Q232" s="101">
        <f t="shared" si="197"/>
        <v>0</v>
      </c>
      <c r="R232" s="101"/>
      <c r="S232" s="101">
        <f t="shared" si="198"/>
        <v>0</v>
      </c>
      <c r="T232" s="101">
        <f t="shared" si="199"/>
        <v>0</v>
      </c>
      <c r="U232" s="101">
        <f t="shared" si="200"/>
        <v>0</v>
      </c>
      <c r="V232" s="101">
        <f t="shared" si="201"/>
        <v>0</v>
      </c>
      <c r="W232" s="101">
        <f t="shared" si="202"/>
        <v>0</v>
      </c>
      <c r="X232" s="101">
        <f t="shared" si="203"/>
        <v>0</v>
      </c>
      <c r="Y232" s="101">
        <f t="shared" si="204"/>
        <v>0</v>
      </c>
      <c r="Z232" s="101">
        <f t="shared" si="205"/>
        <v>0</v>
      </c>
      <c r="AA232" s="101">
        <f t="shared" si="206"/>
        <v>0</v>
      </c>
      <c r="AB232" s="101">
        <f t="shared" si="207"/>
        <v>0</v>
      </c>
      <c r="AC232" s="101">
        <f t="shared" si="208"/>
        <v>0</v>
      </c>
      <c r="AD232" s="101">
        <f t="shared" si="209"/>
        <v>0</v>
      </c>
      <c r="AE232" s="101"/>
      <c r="AF232" s="101">
        <f t="shared" si="210"/>
        <v>0</v>
      </c>
      <c r="AG232" s="101"/>
      <c r="AH232" s="101">
        <f t="shared" si="211"/>
        <v>0</v>
      </c>
      <c r="AI232" s="101"/>
      <c r="AJ232" s="101">
        <f t="shared" si="212"/>
        <v>0</v>
      </c>
      <c r="AK232" s="101">
        <f t="shared" si="213"/>
        <v>11948571.502775138</v>
      </c>
      <c r="AL232" s="98" t="str">
        <f t="shared" si="214"/>
        <v>ok</v>
      </c>
    </row>
    <row r="233" spans="1:38" x14ac:dyDescent="0.25">
      <c r="A233" s="97">
        <v>567</v>
      </c>
      <c r="B233" s="97" t="s">
        <v>373</v>
      </c>
      <c r="C233" s="97" t="s">
        <v>1609</v>
      </c>
      <c r="D233" s="97" t="s">
        <v>491</v>
      </c>
      <c r="F233" s="101">
        <f>'Jurisdictional Study'!F1023</f>
        <v>112004.77411653323</v>
      </c>
      <c r="G233" s="100"/>
      <c r="H233" s="101">
        <f t="shared" si="189"/>
        <v>0</v>
      </c>
      <c r="I233" s="101">
        <f t="shared" si="190"/>
        <v>0</v>
      </c>
      <c r="J233" s="101">
        <f t="shared" si="191"/>
        <v>0</v>
      </c>
      <c r="K233" s="101">
        <f t="shared" si="192"/>
        <v>0</v>
      </c>
      <c r="L233" s="101">
        <f t="shared" si="193"/>
        <v>0</v>
      </c>
      <c r="M233" s="101">
        <f t="shared" si="194"/>
        <v>0</v>
      </c>
      <c r="N233" s="101"/>
      <c r="O233" s="101">
        <f t="shared" si="195"/>
        <v>112004.77411653323</v>
      </c>
      <c r="P233" s="101">
        <f t="shared" si="196"/>
        <v>0</v>
      </c>
      <c r="Q233" s="101">
        <f t="shared" si="197"/>
        <v>0</v>
      </c>
      <c r="R233" s="101"/>
      <c r="S233" s="101">
        <f t="shared" si="198"/>
        <v>0</v>
      </c>
      <c r="T233" s="101">
        <f t="shared" si="199"/>
        <v>0</v>
      </c>
      <c r="U233" s="101">
        <f t="shared" si="200"/>
        <v>0</v>
      </c>
      <c r="V233" s="101">
        <f t="shared" si="201"/>
        <v>0</v>
      </c>
      <c r="W233" s="101">
        <f t="shared" si="202"/>
        <v>0</v>
      </c>
      <c r="X233" s="101">
        <f t="shared" si="203"/>
        <v>0</v>
      </c>
      <c r="Y233" s="101">
        <f t="shared" si="204"/>
        <v>0</v>
      </c>
      <c r="Z233" s="101">
        <f t="shared" si="205"/>
        <v>0</v>
      </c>
      <c r="AA233" s="101">
        <f t="shared" si="206"/>
        <v>0</v>
      </c>
      <c r="AB233" s="101">
        <f t="shared" si="207"/>
        <v>0</v>
      </c>
      <c r="AC233" s="101">
        <f t="shared" si="208"/>
        <v>0</v>
      </c>
      <c r="AD233" s="101">
        <f t="shared" si="209"/>
        <v>0</v>
      </c>
      <c r="AE233" s="101"/>
      <c r="AF233" s="101">
        <f t="shared" si="210"/>
        <v>0</v>
      </c>
      <c r="AG233" s="101"/>
      <c r="AH233" s="101">
        <f t="shared" si="211"/>
        <v>0</v>
      </c>
      <c r="AI233" s="101"/>
      <c r="AJ233" s="101">
        <f t="shared" si="212"/>
        <v>0</v>
      </c>
      <c r="AK233" s="101">
        <f t="shared" ref="AK233:AK239" si="215">SUM(H233:AJ233)</f>
        <v>112004.77411653323</v>
      </c>
      <c r="AL233" s="98" t="str">
        <f t="shared" si="214"/>
        <v>ok</v>
      </c>
    </row>
    <row r="234" spans="1:38" x14ac:dyDescent="0.25">
      <c r="A234" s="97">
        <v>568</v>
      </c>
      <c r="B234" s="97" t="s">
        <v>475</v>
      </c>
      <c r="C234" s="97" t="s">
        <v>1352</v>
      </c>
      <c r="D234" s="97" t="s">
        <v>740</v>
      </c>
      <c r="F234" s="101">
        <f>'Jurisdictional Study'!F1026</f>
        <v>0</v>
      </c>
      <c r="G234" s="100"/>
      <c r="H234" s="101">
        <f t="shared" si="189"/>
        <v>0</v>
      </c>
      <c r="I234" s="101">
        <f t="shared" si="190"/>
        <v>0</v>
      </c>
      <c r="J234" s="101">
        <f t="shared" si="191"/>
        <v>0</v>
      </c>
      <c r="K234" s="101">
        <f t="shared" si="192"/>
        <v>0</v>
      </c>
      <c r="L234" s="101">
        <f t="shared" si="193"/>
        <v>0</v>
      </c>
      <c r="M234" s="101">
        <f t="shared" si="194"/>
        <v>0</v>
      </c>
      <c r="N234" s="101"/>
      <c r="O234" s="101">
        <f t="shared" si="195"/>
        <v>0</v>
      </c>
      <c r="P234" s="101">
        <f t="shared" si="196"/>
        <v>0</v>
      </c>
      <c r="Q234" s="101">
        <f t="shared" si="197"/>
        <v>0</v>
      </c>
      <c r="R234" s="101"/>
      <c r="S234" s="101">
        <f t="shared" si="198"/>
        <v>0</v>
      </c>
      <c r="T234" s="101">
        <f t="shared" si="199"/>
        <v>0</v>
      </c>
      <c r="U234" s="101">
        <f t="shared" si="200"/>
        <v>0</v>
      </c>
      <c r="V234" s="101">
        <f t="shared" si="201"/>
        <v>0</v>
      </c>
      <c r="W234" s="101">
        <f t="shared" si="202"/>
        <v>0</v>
      </c>
      <c r="X234" s="101">
        <f t="shared" si="203"/>
        <v>0</v>
      </c>
      <c r="Y234" s="101">
        <f t="shared" si="204"/>
        <v>0</v>
      </c>
      <c r="Z234" s="101">
        <f t="shared" si="205"/>
        <v>0</v>
      </c>
      <c r="AA234" s="101">
        <f t="shared" si="206"/>
        <v>0</v>
      </c>
      <c r="AB234" s="101">
        <f t="shared" si="207"/>
        <v>0</v>
      </c>
      <c r="AC234" s="101">
        <f t="shared" si="208"/>
        <v>0</v>
      </c>
      <c r="AD234" s="101">
        <f t="shared" si="209"/>
        <v>0</v>
      </c>
      <c r="AE234" s="101"/>
      <c r="AF234" s="101">
        <f t="shared" si="210"/>
        <v>0</v>
      </c>
      <c r="AG234" s="101"/>
      <c r="AH234" s="101">
        <f t="shared" si="211"/>
        <v>0</v>
      </c>
      <c r="AI234" s="101"/>
      <c r="AJ234" s="101">
        <f t="shared" si="212"/>
        <v>0</v>
      </c>
      <c r="AK234" s="101">
        <f t="shared" si="215"/>
        <v>0</v>
      </c>
      <c r="AL234" s="98" t="str">
        <f t="shared" si="214"/>
        <v>ok</v>
      </c>
    </row>
    <row r="235" spans="1:38" x14ac:dyDescent="0.25">
      <c r="A235" s="97">
        <v>569</v>
      </c>
      <c r="B235" s="97" t="s">
        <v>1610</v>
      </c>
      <c r="C235" s="97" t="s">
        <v>1611</v>
      </c>
      <c r="D235" s="97" t="s">
        <v>740</v>
      </c>
      <c r="F235" s="101">
        <f>'Jurisdictional Study'!F1027</f>
        <v>0</v>
      </c>
      <c r="G235" s="100"/>
      <c r="H235" s="101">
        <f t="shared" si="189"/>
        <v>0</v>
      </c>
      <c r="I235" s="101">
        <f t="shared" si="190"/>
        <v>0</v>
      </c>
      <c r="J235" s="101">
        <f t="shared" si="191"/>
        <v>0</v>
      </c>
      <c r="K235" s="101">
        <f t="shared" si="192"/>
        <v>0</v>
      </c>
      <c r="L235" s="101">
        <f t="shared" si="193"/>
        <v>0</v>
      </c>
      <c r="M235" s="101">
        <f t="shared" si="194"/>
        <v>0</v>
      </c>
      <c r="N235" s="101"/>
      <c r="O235" s="101">
        <f t="shared" si="195"/>
        <v>0</v>
      </c>
      <c r="P235" s="101">
        <f t="shared" si="196"/>
        <v>0</v>
      </c>
      <c r="Q235" s="101">
        <f t="shared" si="197"/>
        <v>0</v>
      </c>
      <c r="R235" s="101"/>
      <c r="S235" s="101">
        <f t="shared" si="198"/>
        <v>0</v>
      </c>
      <c r="T235" s="101">
        <f t="shared" si="199"/>
        <v>0</v>
      </c>
      <c r="U235" s="101">
        <f t="shared" si="200"/>
        <v>0</v>
      </c>
      <c r="V235" s="101">
        <f t="shared" si="201"/>
        <v>0</v>
      </c>
      <c r="W235" s="101">
        <f t="shared" si="202"/>
        <v>0</v>
      </c>
      <c r="X235" s="101">
        <f t="shared" si="203"/>
        <v>0</v>
      </c>
      <c r="Y235" s="101">
        <f t="shared" si="204"/>
        <v>0</v>
      </c>
      <c r="Z235" s="101">
        <f t="shared" si="205"/>
        <v>0</v>
      </c>
      <c r="AA235" s="101">
        <f t="shared" si="206"/>
        <v>0</v>
      </c>
      <c r="AB235" s="101">
        <f t="shared" si="207"/>
        <v>0</v>
      </c>
      <c r="AC235" s="101">
        <f t="shared" si="208"/>
        <v>0</v>
      </c>
      <c r="AD235" s="101">
        <f t="shared" si="209"/>
        <v>0</v>
      </c>
      <c r="AE235" s="101"/>
      <c r="AF235" s="101">
        <f t="shared" si="210"/>
        <v>0</v>
      </c>
      <c r="AG235" s="101"/>
      <c r="AH235" s="101">
        <f t="shared" si="211"/>
        <v>0</v>
      </c>
      <c r="AI235" s="101"/>
      <c r="AJ235" s="101">
        <f t="shared" si="212"/>
        <v>0</v>
      </c>
      <c r="AK235" s="101">
        <f t="shared" si="215"/>
        <v>0</v>
      </c>
      <c r="AL235" s="98" t="str">
        <f t="shared" si="214"/>
        <v>ok</v>
      </c>
    </row>
    <row r="236" spans="1:38" x14ac:dyDescent="0.25">
      <c r="A236" s="97">
        <v>570</v>
      </c>
      <c r="B236" s="97" t="s">
        <v>477</v>
      </c>
      <c r="C236" s="97" t="s">
        <v>1353</v>
      </c>
      <c r="D236" s="97" t="s">
        <v>740</v>
      </c>
      <c r="F236" s="101">
        <f>'Jurisdictional Study'!F1028</f>
        <v>1986406.9588897978</v>
      </c>
      <c r="G236" s="100"/>
      <c r="H236" s="101">
        <f t="shared" si="189"/>
        <v>0</v>
      </c>
      <c r="I236" s="101">
        <f t="shared" si="190"/>
        <v>0</v>
      </c>
      <c r="J236" s="101">
        <f t="shared" si="191"/>
        <v>0</v>
      </c>
      <c r="K236" s="101">
        <f t="shared" si="192"/>
        <v>0</v>
      </c>
      <c r="L236" s="101">
        <f t="shared" si="193"/>
        <v>0</v>
      </c>
      <c r="M236" s="101">
        <f t="shared" si="194"/>
        <v>0</v>
      </c>
      <c r="N236" s="101"/>
      <c r="O236" s="101">
        <f t="shared" si="195"/>
        <v>1986406.9588897978</v>
      </c>
      <c r="P236" s="101">
        <f t="shared" si="196"/>
        <v>0</v>
      </c>
      <c r="Q236" s="101">
        <f t="shared" si="197"/>
        <v>0</v>
      </c>
      <c r="R236" s="101"/>
      <c r="S236" s="101">
        <f t="shared" si="198"/>
        <v>0</v>
      </c>
      <c r="T236" s="101">
        <f t="shared" si="199"/>
        <v>0</v>
      </c>
      <c r="U236" s="101">
        <f t="shared" si="200"/>
        <v>0</v>
      </c>
      <c r="V236" s="101">
        <f t="shared" si="201"/>
        <v>0</v>
      </c>
      <c r="W236" s="101">
        <f t="shared" si="202"/>
        <v>0</v>
      </c>
      <c r="X236" s="101">
        <f t="shared" si="203"/>
        <v>0</v>
      </c>
      <c r="Y236" s="101">
        <f t="shared" si="204"/>
        <v>0</v>
      </c>
      <c r="Z236" s="101">
        <f t="shared" si="205"/>
        <v>0</v>
      </c>
      <c r="AA236" s="101">
        <f t="shared" si="206"/>
        <v>0</v>
      </c>
      <c r="AB236" s="101">
        <f t="shared" si="207"/>
        <v>0</v>
      </c>
      <c r="AC236" s="101">
        <f t="shared" si="208"/>
        <v>0</v>
      </c>
      <c r="AD236" s="101">
        <f t="shared" si="209"/>
        <v>0</v>
      </c>
      <c r="AE236" s="101"/>
      <c r="AF236" s="101">
        <f t="shared" si="210"/>
        <v>0</v>
      </c>
      <c r="AG236" s="101"/>
      <c r="AH236" s="101">
        <f t="shared" si="211"/>
        <v>0</v>
      </c>
      <c r="AI236" s="101"/>
      <c r="AJ236" s="101">
        <f t="shared" si="212"/>
        <v>0</v>
      </c>
      <c r="AK236" s="101">
        <f t="shared" si="215"/>
        <v>1986406.9588897978</v>
      </c>
      <c r="AL236" s="98" t="str">
        <f t="shared" si="214"/>
        <v>ok</v>
      </c>
    </row>
    <row r="237" spans="1:38" x14ac:dyDescent="0.25">
      <c r="A237" s="97">
        <v>571</v>
      </c>
      <c r="B237" s="97" t="s">
        <v>478</v>
      </c>
      <c r="C237" s="97" t="s">
        <v>1354</v>
      </c>
      <c r="D237" s="97" t="s">
        <v>740</v>
      </c>
      <c r="F237" s="101">
        <f>'Jurisdictional Study'!F1029</f>
        <v>10570831.60725012</v>
      </c>
      <c r="G237" s="100"/>
      <c r="H237" s="101">
        <f t="shared" si="189"/>
        <v>0</v>
      </c>
      <c r="I237" s="101">
        <f t="shared" si="190"/>
        <v>0</v>
      </c>
      <c r="J237" s="101">
        <f t="shared" si="191"/>
        <v>0</v>
      </c>
      <c r="K237" s="101">
        <f t="shared" si="192"/>
        <v>0</v>
      </c>
      <c r="L237" s="101">
        <f t="shared" si="193"/>
        <v>0</v>
      </c>
      <c r="M237" s="101">
        <f t="shared" si="194"/>
        <v>0</v>
      </c>
      <c r="N237" s="101"/>
      <c r="O237" s="101">
        <f t="shared" si="195"/>
        <v>10570831.60725012</v>
      </c>
      <c r="P237" s="101">
        <f t="shared" si="196"/>
        <v>0</v>
      </c>
      <c r="Q237" s="101">
        <f t="shared" si="197"/>
        <v>0</v>
      </c>
      <c r="R237" s="101"/>
      <c r="S237" s="101">
        <f t="shared" si="198"/>
        <v>0</v>
      </c>
      <c r="T237" s="101">
        <f t="shared" si="199"/>
        <v>0</v>
      </c>
      <c r="U237" s="101">
        <f t="shared" si="200"/>
        <v>0</v>
      </c>
      <c r="V237" s="101">
        <f t="shared" si="201"/>
        <v>0</v>
      </c>
      <c r="W237" s="101">
        <f t="shared" si="202"/>
        <v>0</v>
      </c>
      <c r="X237" s="101">
        <f t="shared" si="203"/>
        <v>0</v>
      </c>
      <c r="Y237" s="101">
        <f t="shared" si="204"/>
        <v>0</v>
      </c>
      <c r="Z237" s="101">
        <f t="shared" si="205"/>
        <v>0</v>
      </c>
      <c r="AA237" s="101">
        <f t="shared" si="206"/>
        <v>0</v>
      </c>
      <c r="AB237" s="101">
        <f t="shared" si="207"/>
        <v>0</v>
      </c>
      <c r="AC237" s="101">
        <f t="shared" si="208"/>
        <v>0</v>
      </c>
      <c r="AD237" s="101">
        <f t="shared" si="209"/>
        <v>0</v>
      </c>
      <c r="AE237" s="101"/>
      <c r="AF237" s="101">
        <f t="shared" si="210"/>
        <v>0</v>
      </c>
      <c r="AG237" s="101"/>
      <c r="AH237" s="101">
        <f t="shared" si="211"/>
        <v>0</v>
      </c>
      <c r="AI237" s="101"/>
      <c r="AJ237" s="101">
        <f t="shared" si="212"/>
        <v>0</v>
      </c>
      <c r="AK237" s="101">
        <f t="shared" si="215"/>
        <v>10570831.60725012</v>
      </c>
      <c r="AL237" s="98" t="str">
        <f t="shared" si="214"/>
        <v>ok</v>
      </c>
    </row>
    <row r="238" spans="1:38" x14ac:dyDescent="0.25">
      <c r="A238" s="97">
        <v>572</v>
      </c>
      <c r="B238" s="97" t="s">
        <v>1612</v>
      </c>
      <c r="C238" s="97" t="s">
        <v>1613</v>
      </c>
      <c r="D238" s="97" t="s">
        <v>740</v>
      </c>
      <c r="F238" s="101">
        <f>'Jurisdictional Study'!F1030</f>
        <v>0</v>
      </c>
      <c r="G238" s="100"/>
      <c r="H238" s="101">
        <f t="shared" si="189"/>
        <v>0</v>
      </c>
      <c r="I238" s="101">
        <f t="shared" si="190"/>
        <v>0</v>
      </c>
      <c r="J238" s="101">
        <f t="shared" si="191"/>
        <v>0</v>
      </c>
      <c r="K238" s="101">
        <f t="shared" si="192"/>
        <v>0</v>
      </c>
      <c r="L238" s="101">
        <f t="shared" si="193"/>
        <v>0</v>
      </c>
      <c r="M238" s="101">
        <f t="shared" si="194"/>
        <v>0</v>
      </c>
      <c r="N238" s="101"/>
      <c r="O238" s="101">
        <f t="shared" si="195"/>
        <v>0</v>
      </c>
      <c r="P238" s="101">
        <f t="shared" si="196"/>
        <v>0</v>
      </c>
      <c r="Q238" s="101">
        <f t="shared" si="197"/>
        <v>0</v>
      </c>
      <c r="R238" s="101"/>
      <c r="S238" s="101">
        <f t="shared" si="198"/>
        <v>0</v>
      </c>
      <c r="T238" s="101">
        <f t="shared" si="199"/>
        <v>0</v>
      </c>
      <c r="U238" s="101">
        <f t="shared" si="200"/>
        <v>0</v>
      </c>
      <c r="V238" s="101">
        <f t="shared" si="201"/>
        <v>0</v>
      </c>
      <c r="W238" s="101">
        <f t="shared" si="202"/>
        <v>0</v>
      </c>
      <c r="X238" s="101">
        <f t="shared" si="203"/>
        <v>0</v>
      </c>
      <c r="Y238" s="101">
        <f t="shared" si="204"/>
        <v>0</v>
      </c>
      <c r="Z238" s="101">
        <f t="shared" si="205"/>
        <v>0</v>
      </c>
      <c r="AA238" s="101">
        <f t="shared" si="206"/>
        <v>0</v>
      </c>
      <c r="AB238" s="101">
        <f t="shared" si="207"/>
        <v>0</v>
      </c>
      <c r="AC238" s="101">
        <f t="shared" si="208"/>
        <v>0</v>
      </c>
      <c r="AD238" s="101">
        <f t="shared" si="209"/>
        <v>0</v>
      </c>
      <c r="AE238" s="101"/>
      <c r="AF238" s="101">
        <f t="shared" si="210"/>
        <v>0</v>
      </c>
      <c r="AG238" s="101"/>
      <c r="AH238" s="101">
        <f t="shared" si="211"/>
        <v>0</v>
      </c>
      <c r="AI238" s="101"/>
      <c r="AJ238" s="101">
        <f t="shared" si="212"/>
        <v>0</v>
      </c>
      <c r="AK238" s="101">
        <f t="shared" si="215"/>
        <v>0</v>
      </c>
      <c r="AL238" s="98" t="str">
        <f t="shared" si="214"/>
        <v>ok</v>
      </c>
    </row>
    <row r="239" spans="1:38" x14ac:dyDescent="0.25">
      <c r="A239" s="97">
        <v>573</v>
      </c>
      <c r="B239" s="97" t="s">
        <v>1614</v>
      </c>
      <c r="C239" s="97" t="s">
        <v>1615</v>
      </c>
      <c r="D239" s="97" t="s">
        <v>491</v>
      </c>
      <c r="F239" s="101">
        <f>'Jurisdictional Study'!F1031</f>
        <v>337098.88514349348</v>
      </c>
      <c r="G239" s="100"/>
      <c r="H239" s="101">
        <f t="shared" si="189"/>
        <v>0</v>
      </c>
      <c r="I239" s="101">
        <f t="shared" si="190"/>
        <v>0</v>
      </c>
      <c r="J239" s="101">
        <f t="shared" si="191"/>
        <v>0</v>
      </c>
      <c r="K239" s="101">
        <f t="shared" si="192"/>
        <v>0</v>
      </c>
      <c r="L239" s="101">
        <f t="shared" si="193"/>
        <v>0</v>
      </c>
      <c r="M239" s="101">
        <f t="shared" si="194"/>
        <v>0</v>
      </c>
      <c r="N239" s="101"/>
      <c r="O239" s="101">
        <f t="shared" si="195"/>
        <v>337098.88514349348</v>
      </c>
      <c r="P239" s="101">
        <f t="shared" si="196"/>
        <v>0</v>
      </c>
      <c r="Q239" s="101">
        <f t="shared" si="197"/>
        <v>0</v>
      </c>
      <c r="R239" s="101"/>
      <c r="S239" s="101">
        <f t="shared" si="198"/>
        <v>0</v>
      </c>
      <c r="T239" s="101">
        <f t="shared" si="199"/>
        <v>0</v>
      </c>
      <c r="U239" s="101">
        <f t="shared" si="200"/>
        <v>0</v>
      </c>
      <c r="V239" s="101">
        <f t="shared" si="201"/>
        <v>0</v>
      </c>
      <c r="W239" s="101">
        <f t="shared" si="202"/>
        <v>0</v>
      </c>
      <c r="X239" s="101">
        <f t="shared" si="203"/>
        <v>0</v>
      </c>
      <c r="Y239" s="101">
        <f t="shared" si="204"/>
        <v>0</v>
      </c>
      <c r="Z239" s="101">
        <f t="shared" si="205"/>
        <v>0</v>
      </c>
      <c r="AA239" s="101">
        <f t="shared" si="206"/>
        <v>0</v>
      </c>
      <c r="AB239" s="101">
        <f t="shared" si="207"/>
        <v>0</v>
      </c>
      <c r="AC239" s="101">
        <f t="shared" si="208"/>
        <v>0</v>
      </c>
      <c r="AD239" s="101">
        <f t="shared" si="209"/>
        <v>0</v>
      </c>
      <c r="AE239" s="101"/>
      <c r="AF239" s="101">
        <f t="shared" si="210"/>
        <v>0</v>
      </c>
      <c r="AG239" s="101"/>
      <c r="AH239" s="101">
        <f t="shared" si="211"/>
        <v>0</v>
      </c>
      <c r="AI239" s="101"/>
      <c r="AJ239" s="101">
        <f t="shared" si="212"/>
        <v>0</v>
      </c>
      <c r="AK239" s="101">
        <f t="shared" si="215"/>
        <v>337098.88514349348</v>
      </c>
      <c r="AL239" s="98" t="str">
        <f t="shared" si="214"/>
        <v>ok</v>
      </c>
    </row>
    <row r="240" spans="1:38" x14ac:dyDescent="0.25">
      <c r="A240" s="97">
        <v>575</v>
      </c>
      <c r="B240" s="97" t="s">
        <v>588</v>
      </c>
      <c r="C240" s="97" t="s">
        <v>763</v>
      </c>
      <c r="D240" s="97" t="s">
        <v>491</v>
      </c>
      <c r="F240" s="101">
        <f>'Jurisdictional Study'!F1024</f>
        <v>0</v>
      </c>
      <c r="G240" s="100"/>
      <c r="H240" s="101">
        <f t="shared" si="189"/>
        <v>0</v>
      </c>
      <c r="I240" s="101">
        <f t="shared" si="190"/>
        <v>0</v>
      </c>
      <c r="J240" s="101">
        <f t="shared" si="191"/>
        <v>0</v>
      </c>
      <c r="K240" s="101">
        <f t="shared" si="192"/>
        <v>0</v>
      </c>
      <c r="L240" s="101">
        <f t="shared" si="193"/>
        <v>0</v>
      </c>
      <c r="M240" s="101">
        <f t="shared" si="194"/>
        <v>0</v>
      </c>
      <c r="N240" s="101"/>
      <c r="O240" s="101">
        <f t="shared" si="195"/>
        <v>0</v>
      </c>
      <c r="P240" s="101">
        <f t="shared" si="196"/>
        <v>0</v>
      </c>
      <c r="Q240" s="101">
        <f t="shared" si="197"/>
        <v>0</v>
      </c>
      <c r="R240" s="101"/>
      <c r="S240" s="101">
        <f t="shared" si="198"/>
        <v>0</v>
      </c>
      <c r="T240" s="101">
        <f t="shared" si="199"/>
        <v>0</v>
      </c>
      <c r="U240" s="101">
        <f t="shared" si="200"/>
        <v>0</v>
      </c>
      <c r="V240" s="101">
        <f t="shared" si="201"/>
        <v>0</v>
      </c>
      <c r="W240" s="101">
        <f t="shared" si="202"/>
        <v>0</v>
      </c>
      <c r="X240" s="101">
        <f t="shared" si="203"/>
        <v>0</v>
      </c>
      <c r="Y240" s="101">
        <f t="shared" si="204"/>
        <v>0</v>
      </c>
      <c r="Z240" s="101">
        <f t="shared" si="205"/>
        <v>0</v>
      </c>
      <c r="AA240" s="101">
        <f t="shared" si="206"/>
        <v>0</v>
      </c>
      <c r="AB240" s="101">
        <f t="shared" si="207"/>
        <v>0</v>
      </c>
      <c r="AC240" s="101">
        <f t="shared" si="208"/>
        <v>0</v>
      </c>
      <c r="AD240" s="101">
        <f t="shared" si="209"/>
        <v>0</v>
      </c>
      <c r="AE240" s="101"/>
      <c r="AF240" s="101">
        <f t="shared" si="210"/>
        <v>0</v>
      </c>
      <c r="AG240" s="101"/>
      <c r="AH240" s="101">
        <f t="shared" si="211"/>
        <v>0</v>
      </c>
      <c r="AI240" s="101"/>
      <c r="AJ240" s="101">
        <f t="shared" si="212"/>
        <v>0</v>
      </c>
      <c r="AK240" s="101">
        <f>SUM(H240:AJ240)</f>
        <v>0</v>
      </c>
      <c r="AL240" s="98" t="str">
        <f>IF(ABS(AK240-F240)&lt;1,"ok","err")</f>
        <v>ok</v>
      </c>
    </row>
    <row r="241" spans="1:39" x14ac:dyDescent="0.25"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1"/>
      <c r="AL241" s="98"/>
    </row>
    <row r="242" spans="1:39" x14ac:dyDescent="0.25">
      <c r="A242" s="97" t="s">
        <v>479</v>
      </c>
      <c r="F242" s="102">
        <f>SUM(F227:F240)</f>
        <v>35706011.17851349</v>
      </c>
      <c r="G242" s="102">
        <f>SUM(G227:G237)</f>
        <v>0</v>
      </c>
      <c r="H242" s="102">
        <f t="shared" ref="H242:M242" si="216">SUM(H227:H240)</f>
        <v>0</v>
      </c>
      <c r="I242" s="102">
        <f t="shared" si="216"/>
        <v>0</v>
      </c>
      <c r="J242" s="102">
        <f t="shared" si="216"/>
        <v>0</v>
      </c>
      <c r="K242" s="102">
        <f t="shared" si="216"/>
        <v>0</v>
      </c>
      <c r="L242" s="102">
        <f t="shared" si="216"/>
        <v>0</v>
      </c>
      <c r="M242" s="102">
        <f t="shared" si="216"/>
        <v>0</v>
      </c>
      <c r="N242" s="102"/>
      <c r="O242" s="102">
        <f>SUM(O227:O240)</f>
        <v>35706011.17851349</v>
      </c>
      <c r="P242" s="102">
        <f>SUM(P227:P240)</f>
        <v>0</v>
      </c>
      <c r="Q242" s="102">
        <f>SUM(Q227:Q240)</f>
        <v>0</v>
      </c>
      <c r="R242" s="102"/>
      <c r="S242" s="102">
        <f t="shared" ref="S242:AD242" si="217">SUM(S227:S240)</f>
        <v>0</v>
      </c>
      <c r="T242" s="102">
        <f t="shared" si="217"/>
        <v>0</v>
      </c>
      <c r="U242" s="102">
        <f t="shared" si="217"/>
        <v>0</v>
      </c>
      <c r="V242" s="102">
        <f t="shared" si="217"/>
        <v>0</v>
      </c>
      <c r="W242" s="102">
        <f t="shared" si="217"/>
        <v>0</v>
      </c>
      <c r="X242" s="102">
        <f t="shared" si="217"/>
        <v>0</v>
      </c>
      <c r="Y242" s="102">
        <f t="shared" si="217"/>
        <v>0</v>
      </c>
      <c r="Z242" s="102">
        <f t="shared" si="217"/>
        <v>0</v>
      </c>
      <c r="AA242" s="102">
        <f t="shared" si="217"/>
        <v>0</v>
      </c>
      <c r="AB242" s="102">
        <f t="shared" si="217"/>
        <v>0</v>
      </c>
      <c r="AC242" s="102">
        <f t="shared" si="217"/>
        <v>0</v>
      </c>
      <c r="AD242" s="102">
        <f t="shared" si="217"/>
        <v>0</v>
      </c>
      <c r="AE242" s="102"/>
      <c r="AF242" s="102">
        <f>SUM(AF227:AF240)</f>
        <v>0</v>
      </c>
      <c r="AG242" s="102"/>
      <c r="AH242" s="102">
        <f>SUM(AH227:AH240)</f>
        <v>0</v>
      </c>
      <c r="AI242" s="102"/>
      <c r="AJ242" s="102">
        <f>SUM(AJ227:AJ240)</f>
        <v>0</v>
      </c>
      <c r="AK242" s="100">
        <f>SUM(H242:AJ242)</f>
        <v>35706011.17851349</v>
      </c>
      <c r="AL242" s="98" t="str">
        <f>IF(ABS(AK242-F242)&lt;1,"ok","err")</f>
        <v>ok</v>
      </c>
      <c r="AM242" s="109"/>
    </row>
    <row r="243" spans="1:39" x14ac:dyDescent="0.25">
      <c r="Y243" s="97"/>
      <c r="AL243" s="98"/>
    </row>
    <row r="244" spans="1:39" x14ac:dyDescent="0.25">
      <c r="A244" s="24" t="s">
        <v>807</v>
      </c>
      <c r="Y244" s="97"/>
      <c r="AL244" s="98"/>
    </row>
    <row r="245" spans="1:39" x14ac:dyDescent="0.25">
      <c r="A245" s="97">
        <v>580</v>
      </c>
      <c r="B245" s="97" t="s">
        <v>808</v>
      </c>
      <c r="C245" s="97" t="s">
        <v>809</v>
      </c>
      <c r="D245" s="97" t="s">
        <v>1019</v>
      </c>
      <c r="F245" s="100">
        <f>'Jurisdictional Study'!F1037</f>
        <v>1510424.1157263049</v>
      </c>
      <c r="H245" s="101">
        <f t="shared" ref="H245:H256" si="218">IF(VLOOKUP($D245,$C$5:$AJ$644,6,)=0,0,((VLOOKUP($D245,$C$5:$AJ$644,6,)/VLOOKUP($D245,$C$5:$AJ$644,4,))*$F245))</f>
        <v>0</v>
      </c>
      <c r="I245" s="101">
        <f t="shared" ref="I245:I256" si="219">IF(VLOOKUP($D245,$C$5:$AJ$644,7,)=0,0,((VLOOKUP($D245,$C$5:$AJ$644,7,)/VLOOKUP($D245,$C$5:$AJ$644,4,))*$F245))</f>
        <v>0</v>
      </c>
      <c r="J245" s="101">
        <f t="shared" ref="J245:J256" si="220">IF(VLOOKUP($D245,$C$5:$AJ$644,8,)=0,0,((VLOOKUP($D245,$C$5:$AJ$644,8,)/VLOOKUP($D245,$C$5:$AJ$644,4,))*$F245))</f>
        <v>0</v>
      </c>
      <c r="K245" s="101">
        <f t="shared" ref="K245:K256" si="221">IF(VLOOKUP($D245,$C$5:$AJ$644,9,)=0,0,((VLOOKUP($D245,$C$5:$AJ$644,9,)/VLOOKUP($D245,$C$5:$AJ$644,4,))*$F245))</f>
        <v>0</v>
      </c>
      <c r="L245" s="101">
        <f t="shared" ref="L245:L256" si="222">IF(VLOOKUP($D245,$C$5:$AJ$644,10,)=0,0,((VLOOKUP($D245,$C$5:$AJ$644,10,)/VLOOKUP($D245,$C$5:$AJ$644,4,))*$F245))</f>
        <v>0</v>
      </c>
      <c r="M245" s="101">
        <f t="shared" ref="M245:M256" si="223">IF(VLOOKUP($D245,$C$5:$AJ$644,11,)=0,0,((VLOOKUP($D245,$C$5:$AJ$644,11,)/VLOOKUP($D245,$C$5:$AJ$644,4,))*$F245))</f>
        <v>0</v>
      </c>
      <c r="N245" s="101"/>
      <c r="O245" s="101">
        <f t="shared" ref="O245:O256" si="224">IF(VLOOKUP($D245,$C$5:$AJ$644,13,)=0,0,((VLOOKUP($D245,$C$5:$AJ$644,13,)/VLOOKUP($D245,$C$5:$AJ$644,4,))*$F245))</f>
        <v>0</v>
      </c>
      <c r="P245" s="101">
        <f t="shared" ref="P245:P256" si="225">IF(VLOOKUP($D245,$C$5:$AJ$644,14,)=0,0,((VLOOKUP($D245,$C$5:$AJ$644,14,)/VLOOKUP($D245,$C$5:$AJ$644,4,))*$F245))</f>
        <v>0</v>
      </c>
      <c r="Q245" s="101">
        <f t="shared" ref="Q245:Q256" si="226">IF(VLOOKUP($D245,$C$5:$AJ$644,15,)=0,0,((VLOOKUP($D245,$C$5:$AJ$644,15,)/VLOOKUP($D245,$C$5:$AJ$644,4,))*$F245))</f>
        <v>0</v>
      </c>
      <c r="R245" s="101"/>
      <c r="S245" s="101">
        <f t="shared" ref="S245:S256" si="227">IF(VLOOKUP($D245,$C$5:$AJ$644,17,)=0,0,((VLOOKUP($D245,$C$5:$AJ$644,17,)/VLOOKUP($D245,$C$5:$AJ$644,4,))*$F245))</f>
        <v>0</v>
      </c>
      <c r="T245" s="101">
        <f t="shared" ref="T245:T256" si="228">IF(VLOOKUP($D245,$C$5:$AJ$644,18,)=0,0,((VLOOKUP($D245,$C$5:$AJ$644,18,)/VLOOKUP($D245,$C$5:$AJ$644,4,))*$F245))</f>
        <v>196411.756299083</v>
      </c>
      <c r="U245" s="101">
        <f t="shared" ref="U245:U256" si="229">IF(VLOOKUP($D245,$C$5:$AJ$644,19,)=0,0,((VLOOKUP($D245,$C$5:$AJ$644,19,)/VLOOKUP($D245,$C$5:$AJ$644,4,))*$F245))</f>
        <v>0</v>
      </c>
      <c r="V245" s="101">
        <f t="shared" ref="V245:V256" si="230">IF(VLOOKUP($D245,$C$5:$AJ$644,20,)=0,0,((VLOOKUP($D245,$C$5:$AJ$644,20,)/VLOOKUP($D245,$C$5:$AJ$644,4,))*$F245))</f>
        <v>123631.89253770576</v>
      </c>
      <c r="W245" s="101">
        <f t="shared" ref="W245:W256" si="231">IF(VLOOKUP($D245,$C$5:$AJ$644,21,)=0,0,((VLOOKUP($D245,$C$5:$AJ$644,21,)/VLOOKUP($D245,$C$5:$AJ$644,4,))*$F245))</f>
        <v>200942.17598493179</v>
      </c>
      <c r="X245" s="101">
        <f t="shared" ref="X245:X256" si="232">IF(VLOOKUP($D245,$C$5:$AJ$644,22,)=0,0,((VLOOKUP($D245,$C$5:$AJ$644,22,)/VLOOKUP($D245,$C$5:$AJ$644,4,))*$F245))</f>
        <v>62042.50714130907</v>
      </c>
      <c r="Y245" s="101">
        <f t="shared" ref="Y245:Y256" si="233">IF(VLOOKUP($D245,$C$5:$AJ$644,23,)=0,0,((VLOOKUP($D245,$C$5:$AJ$644,23,)/VLOOKUP($D245,$C$5:$AJ$644,4,))*$F245))</f>
        <v>91914.633347702489</v>
      </c>
      <c r="Z245" s="101">
        <f t="shared" ref="Z245:Z256" si="234">IF(VLOOKUP($D245,$C$5:$AJ$644,24,)=0,0,((VLOOKUP($D245,$C$5:$AJ$644,24,)/VLOOKUP($D245,$C$5:$AJ$644,4,))*$F245))</f>
        <v>38256.497099572676</v>
      </c>
      <c r="AA245" s="101">
        <f t="shared" ref="AA245:AA256" si="235">IF(VLOOKUP($D245,$C$5:$AJ$644,25,)=0,0,((VLOOKUP($D245,$C$5:$AJ$644,25,)/VLOOKUP($D245,$C$5:$AJ$644,4,))*$F245))</f>
        <v>34043.669439717371</v>
      </c>
      <c r="AB245" s="101">
        <f t="shared" ref="AB245:AB256" si="236">IF(VLOOKUP($D245,$C$5:$AJ$644,26,)=0,0,((VLOOKUP($D245,$C$5:$AJ$644,26,)/VLOOKUP($D245,$C$5:$AJ$644,4,))*$F245))</f>
        <v>22791.29460111355</v>
      </c>
      <c r="AC245" s="101">
        <f t="shared" ref="AC245:AC256" si="237">IF(VLOOKUP($D245,$C$5:$AJ$644,27,)=0,0,((VLOOKUP($D245,$C$5:$AJ$644,27,)/VLOOKUP($D245,$C$5:$AJ$644,4,))*$F245))</f>
        <v>713416.11431456415</v>
      </c>
      <c r="AD245" s="101">
        <f t="shared" ref="AD245:AD256" si="238">IF(VLOOKUP($D245,$C$5:$AJ$644,28,)=0,0,((VLOOKUP($D245,$C$5:$AJ$644,28,)/VLOOKUP($D245,$C$5:$AJ$644,4,))*$F245))</f>
        <v>26973.57496060518</v>
      </c>
      <c r="AE245" s="101"/>
      <c r="AF245" s="101">
        <f t="shared" ref="AF245:AF256" si="239">IF(VLOOKUP($D245,$C$5:$AJ$644,30,)=0,0,((VLOOKUP($D245,$C$5:$AJ$644,30,)/VLOOKUP($D245,$C$5:$AJ$644,4,))*$F245))</f>
        <v>0</v>
      </c>
      <c r="AG245" s="101"/>
      <c r="AH245" s="101">
        <f t="shared" ref="AH245:AH256" si="240">IF(VLOOKUP($D245,$C$5:$AJ$644,32,)=0,0,((VLOOKUP($D245,$C$5:$AJ$644,32,)/VLOOKUP($D245,$C$5:$AJ$644,4,))*$F245))</f>
        <v>0</v>
      </c>
      <c r="AI245" s="101"/>
      <c r="AJ245" s="101">
        <f t="shared" ref="AJ245:AJ256" si="241">IF(VLOOKUP($D245,$C$5:$AJ$644,34,)=0,0,((VLOOKUP($D245,$C$5:$AJ$644,34,)/VLOOKUP($D245,$C$5:$AJ$644,4,))*$F245))</f>
        <v>0</v>
      </c>
      <c r="AK245" s="101">
        <f t="shared" ref="AK245:AK256" si="242">SUM(H245:AJ245)</f>
        <v>1510424.1157263052</v>
      </c>
      <c r="AL245" s="98" t="str">
        <f t="shared" ref="AL245:AL256" si="243">IF(ABS(AK245-F245)&lt;1,"ok","err")</f>
        <v>ok</v>
      </c>
    </row>
    <row r="246" spans="1:39" x14ac:dyDescent="0.25">
      <c r="A246" s="97">
        <v>581</v>
      </c>
      <c r="B246" s="97" t="s">
        <v>810</v>
      </c>
      <c r="C246" s="97" t="s">
        <v>811</v>
      </c>
      <c r="D246" s="97" t="s">
        <v>119</v>
      </c>
      <c r="F246" s="101">
        <f>'Jurisdictional Study'!F1038</f>
        <v>341053.32063580118</v>
      </c>
      <c r="H246" s="101">
        <f t="shared" si="218"/>
        <v>0</v>
      </c>
      <c r="I246" s="101">
        <f t="shared" si="219"/>
        <v>0</v>
      </c>
      <c r="J246" s="101">
        <f t="shared" si="220"/>
        <v>0</v>
      </c>
      <c r="K246" s="101">
        <f t="shared" si="221"/>
        <v>0</v>
      </c>
      <c r="L246" s="101">
        <f t="shared" si="222"/>
        <v>0</v>
      </c>
      <c r="M246" s="101">
        <f t="shared" si="223"/>
        <v>0</v>
      </c>
      <c r="N246" s="101"/>
      <c r="O246" s="101">
        <f t="shared" si="224"/>
        <v>0</v>
      </c>
      <c r="P246" s="101">
        <f t="shared" si="225"/>
        <v>0</v>
      </c>
      <c r="Q246" s="101">
        <f t="shared" si="226"/>
        <v>0</v>
      </c>
      <c r="R246" s="101"/>
      <c r="S246" s="101">
        <f t="shared" si="227"/>
        <v>0</v>
      </c>
      <c r="T246" s="101">
        <f t="shared" si="228"/>
        <v>341053.32063580118</v>
      </c>
      <c r="U246" s="101">
        <f t="shared" si="229"/>
        <v>0</v>
      </c>
      <c r="V246" s="101">
        <f t="shared" si="230"/>
        <v>0</v>
      </c>
      <c r="W246" s="101">
        <f t="shared" si="231"/>
        <v>0</v>
      </c>
      <c r="X246" s="101">
        <f t="shared" si="232"/>
        <v>0</v>
      </c>
      <c r="Y246" s="101">
        <f t="shared" si="233"/>
        <v>0</v>
      </c>
      <c r="Z246" s="101">
        <f t="shared" si="234"/>
        <v>0</v>
      </c>
      <c r="AA246" s="101">
        <f t="shared" si="235"/>
        <v>0</v>
      </c>
      <c r="AB246" s="101">
        <f t="shared" si="236"/>
        <v>0</v>
      </c>
      <c r="AC246" s="101">
        <f t="shared" si="237"/>
        <v>0</v>
      </c>
      <c r="AD246" s="101">
        <f t="shared" si="238"/>
        <v>0</v>
      </c>
      <c r="AE246" s="101"/>
      <c r="AF246" s="101">
        <f t="shared" si="239"/>
        <v>0</v>
      </c>
      <c r="AG246" s="101"/>
      <c r="AH246" s="101">
        <f t="shared" si="240"/>
        <v>0</v>
      </c>
      <c r="AI246" s="101"/>
      <c r="AJ246" s="101">
        <f t="shared" si="241"/>
        <v>0</v>
      </c>
      <c r="AK246" s="101">
        <f t="shared" si="242"/>
        <v>341053.32063580118</v>
      </c>
      <c r="AL246" s="98" t="str">
        <f t="shared" si="243"/>
        <v>ok</v>
      </c>
    </row>
    <row r="247" spans="1:39" x14ac:dyDescent="0.25">
      <c r="A247" s="97">
        <v>582</v>
      </c>
      <c r="B247" s="97" t="s">
        <v>474</v>
      </c>
      <c r="C247" s="97" t="s">
        <v>480</v>
      </c>
      <c r="D247" s="97" t="s">
        <v>119</v>
      </c>
      <c r="F247" s="101">
        <f>'Jurisdictional Study'!F1039</f>
        <v>1798545.4687433171</v>
      </c>
      <c r="H247" s="101">
        <f t="shared" si="218"/>
        <v>0</v>
      </c>
      <c r="I247" s="101">
        <f t="shared" si="219"/>
        <v>0</v>
      </c>
      <c r="J247" s="101">
        <f t="shared" si="220"/>
        <v>0</v>
      </c>
      <c r="K247" s="101">
        <f t="shared" si="221"/>
        <v>0</v>
      </c>
      <c r="L247" s="101">
        <f t="shared" si="222"/>
        <v>0</v>
      </c>
      <c r="M247" s="101">
        <f t="shared" si="223"/>
        <v>0</v>
      </c>
      <c r="N247" s="101"/>
      <c r="O247" s="101">
        <f t="shared" si="224"/>
        <v>0</v>
      </c>
      <c r="P247" s="101">
        <f t="shared" si="225"/>
        <v>0</v>
      </c>
      <c r="Q247" s="101">
        <f t="shared" si="226"/>
        <v>0</v>
      </c>
      <c r="R247" s="101"/>
      <c r="S247" s="101">
        <f t="shared" si="227"/>
        <v>0</v>
      </c>
      <c r="T247" s="101">
        <f t="shared" si="228"/>
        <v>1798545.4687433171</v>
      </c>
      <c r="U247" s="101">
        <f t="shared" si="229"/>
        <v>0</v>
      </c>
      <c r="V247" s="101">
        <f t="shared" si="230"/>
        <v>0</v>
      </c>
      <c r="W247" s="101">
        <f t="shared" si="231"/>
        <v>0</v>
      </c>
      <c r="X247" s="101">
        <f t="shared" si="232"/>
        <v>0</v>
      </c>
      <c r="Y247" s="101">
        <f t="shared" si="233"/>
        <v>0</v>
      </c>
      <c r="Z247" s="101">
        <f t="shared" si="234"/>
        <v>0</v>
      </c>
      <c r="AA247" s="101">
        <f t="shared" si="235"/>
        <v>0</v>
      </c>
      <c r="AB247" s="101">
        <f t="shared" si="236"/>
        <v>0</v>
      </c>
      <c r="AC247" s="101">
        <f t="shared" si="237"/>
        <v>0</v>
      </c>
      <c r="AD247" s="101">
        <f t="shared" si="238"/>
        <v>0</v>
      </c>
      <c r="AE247" s="101"/>
      <c r="AF247" s="101">
        <f t="shared" si="239"/>
        <v>0</v>
      </c>
      <c r="AG247" s="101"/>
      <c r="AH247" s="101">
        <f t="shared" si="240"/>
        <v>0</v>
      </c>
      <c r="AI247" s="101"/>
      <c r="AJ247" s="101">
        <f t="shared" si="241"/>
        <v>0</v>
      </c>
      <c r="AK247" s="101">
        <f t="shared" si="242"/>
        <v>1798545.4687433171</v>
      </c>
      <c r="AL247" s="98" t="str">
        <f t="shared" si="243"/>
        <v>ok</v>
      </c>
    </row>
    <row r="248" spans="1:39" x14ac:dyDescent="0.25">
      <c r="A248" s="97">
        <v>583</v>
      </c>
      <c r="B248" s="97" t="s">
        <v>812</v>
      </c>
      <c r="C248" s="97" t="s">
        <v>813</v>
      </c>
      <c r="D248" s="97" t="s">
        <v>122</v>
      </c>
      <c r="F248" s="101">
        <f>'Jurisdictional Study'!F1040</f>
        <v>4706316.5542154722</v>
      </c>
      <c r="H248" s="101">
        <f t="shared" si="218"/>
        <v>0</v>
      </c>
      <c r="I248" s="101">
        <f t="shared" si="219"/>
        <v>0</v>
      </c>
      <c r="J248" s="101">
        <f t="shared" si="220"/>
        <v>0</v>
      </c>
      <c r="K248" s="101">
        <f t="shared" si="221"/>
        <v>0</v>
      </c>
      <c r="L248" s="101">
        <f t="shared" si="222"/>
        <v>0</v>
      </c>
      <c r="M248" s="101">
        <f t="shared" si="223"/>
        <v>0</v>
      </c>
      <c r="N248" s="101"/>
      <c r="O248" s="101">
        <f t="shared" si="224"/>
        <v>0</v>
      </c>
      <c r="P248" s="101">
        <f t="shared" si="225"/>
        <v>0</v>
      </c>
      <c r="Q248" s="101">
        <f t="shared" si="226"/>
        <v>0</v>
      </c>
      <c r="R248" s="101"/>
      <c r="S248" s="101">
        <f t="shared" si="227"/>
        <v>0</v>
      </c>
      <c r="T248" s="101">
        <f t="shared" si="228"/>
        <v>0</v>
      </c>
      <c r="U248" s="101">
        <f t="shared" si="229"/>
        <v>0</v>
      </c>
      <c r="V248" s="101">
        <f t="shared" si="230"/>
        <v>1252454.4211040954</v>
      </c>
      <c r="W248" s="101">
        <f t="shared" si="231"/>
        <v>1816534.603899814</v>
      </c>
      <c r="X248" s="101">
        <f t="shared" si="232"/>
        <v>668193.36467123881</v>
      </c>
      <c r="Y248" s="101">
        <f t="shared" si="233"/>
        <v>969134.16454032401</v>
      </c>
      <c r="Z248" s="101">
        <f t="shared" si="234"/>
        <v>0</v>
      </c>
      <c r="AA248" s="101">
        <f t="shared" si="235"/>
        <v>0</v>
      </c>
      <c r="AB248" s="101">
        <f t="shared" si="236"/>
        <v>0</v>
      </c>
      <c r="AC248" s="101">
        <f t="shared" si="237"/>
        <v>0</v>
      </c>
      <c r="AD248" s="101">
        <f t="shared" si="238"/>
        <v>0</v>
      </c>
      <c r="AE248" s="101"/>
      <c r="AF248" s="101">
        <f t="shared" si="239"/>
        <v>0</v>
      </c>
      <c r="AG248" s="101"/>
      <c r="AH248" s="101">
        <f t="shared" si="240"/>
        <v>0</v>
      </c>
      <c r="AI248" s="101"/>
      <c r="AJ248" s="101">
        <f t="shared" si="241"/>
        <v>0</v>
      </c>
      <c r="AK248" s="101">
        <f t="shared" si="242"/>
        <v>4706316.5542154722</v>
      </c>
      <c r="AL248" s="98" t="str">
        <f t="shared" si="243"/>
        <v>ok</v>
      </c>
    </row>
    <row r="249" spans="1:39" x14ac:dyDescent="0.25">
      <c r="A249" s="97">
        <v>584</v>
      </c>
      <c r="B249" s="97" t="s">
        <v>814</v>
      </c>
      <c r="C249" s="97" t="s">
        <v>815</v>
      </c>
      <c r="D249" s="97" t="s">
        <v>125</v>
      </c>
      <c r="F249" s="101">
        <f>'Jurisdictional Study'!F1041</f>
        <v>0</v>
      </c>
      <c r="H249" s="101">
        <f t="shared" si="218"/>
        <v>0</v>
      </c>
      <c r="I249" s="101">
        <f t="shared" si="219"/>
        <v>0</v>
      </c>
      <c r="J249" s="101">
        <f t="shared" si="220"/>
        <v>0</v>
      </c>
      <c r="K249" s="101">
        <f t="shared" si="221"/>
        <v>0</v>
      </c>
      <c r="L249" s="101">
        <f t="shared" si="222"/>
        <v>0</v>
      </c>
      <c r="M249" s="101">
        <f t="shared" si="223"/>
        <v>0</v>
      </c>
      <c r="N249" s="101"/>
      <c r="O249" s="101">
        <f t="shared" si="224"/>
        <v>0</v>
      </c>
      <c r="P249" s="101">
        <f t="shared" si="225"/>
        <v>0</v>
      </c>
      <c r="Q249" s="101">
        <f t="shared" si="226"/>
        <v>0</v>
      </c>
      <c r="R249" s="101"/>
      <c r="S249" s="101">
        <f t="shared" si="227"/>
        <v>0</v>
      </c>
      <c r="T249" s="101">
        <f t="shared" si="228"/>
        <v>0</v>
      </c>
      <c r="U249" s="101">
        <f t="shared" si="229"/>
        <v>0</v>
      </c>
      <c r="V249" s="101">
        <f t="shared" si="230"/>
        <v>0</v>
      </c>
      <c r="W249" s="101">
        <f t="shared" si="231"/>
        <v>0</v>
      </c>
      <c r="X249" s="101">
        <f t="shared" si="232"/>
        <v>0</v>
      </c>
      <c r="Y249" s="101">
        <f t="shared" si="233"/>
        <v>0</v>
      </c>
      <c r="Z249" s="101">
        <f t="shared" si="234"/>
        <v>0</v>
      </c>
      <c r="AA249" s="101">
        <f t="shared" si="235"/>
        <v>0</v>
      </c>
      <c r="AB249" s="101">
        <f t="shared" si="236"/>
        <v>0</v>
      </c>
      <c r="AC249" s="101">
        <f t="shared" si="237"/>
        <v>0</v>
      </c>
      <c r="AD249" s="101">
        <f t="shared" si="238"/>
        <v>0</v>
      </c>
      <c r="AE249" s="101"/>
      <c r="AF249" s="101">
        <f t="shared" si="239"/>
        <v>0</v>
      </c>
      <c r="AG249" s="101"/>
      <c r="AH249" s="101">
        <f t="shared" si="240"/>
        <v>0</v>
      </c>
      <c r="AI249" s="101"/>
      <c r="AJ249" s="101">
        <f t="shared" si="241"/>
        <v>0</v>
      </c>
      <c r="AK249" s="101">
        <f t="shared" si="242"/>
        <v>0</v>
      </c>
      <c r="AL249" s="98" t="str">
        <f t="shared" si="243"/>
        <v>ok</v>
      </c>
    </row>
    <row r="250" spans="1:39" x14ac:dyDescent="0.25">
      <c r="A250" s="97">
        <v>585</v>
      </c>
      <c r="B250" s="97" t="s">
        <v>816</v>
      </c>
      <c r="C250" s="97" t="s">
        <v>366</v>
      </c>
      <c r="D250" s="97" t="s">
        <v>181</v>
      </c>
      <c r="F250" s="101">
        <f>'Jurisdictional Study'!F1042</f>
        <v>0</v>
      </c>
      <c r="H250" s="101">
        <f t="shared" si="218"/>
        <v>0</v>
      </c>
      <c r="I250" s="101">
        <f t="shared" si="219"/>
        <v>0</v>
      </c>
      <c r="J250" s="101">
        <f t="shared" si="220"/>
        <v>0</v>
      </c>
      <c r="K250" s="101">
        <f t="shared" si="221"/>
        <v>0</v>
      </c>
      <c r="L250" s="101">
        <f t="shared" si="222"/>
        <v>0</v>
      </c>
      <c r="M250" s="101">
        <f t="shared" si="223"/>
        <v>0</v>
      </c>
      <c r="N250" s="101"/>
      <c r="O250" s="101">
        <f t="shared" si="224"/>
        <v>0</v>
      </c>
      <c r="P250" s="101">
        <f t="shared" si="225"/>
        <v>0</v>
      </c>
      <c r="Q250" s="101">
        <f t="shared" si="226"/>
        <v>0</v>
      </c>
      <c r="R250" s="101"/>
      <c r="S250" s="101">
        <f t="shared" si="227"/>
        <v>0</v>
      </c>
      <c r="T250" s="101">
        <f t="shared" si="228"/>
        <v>0</v>
      </c>
      <c r="U250" s="101">
        <f t="shared" si="229"/>
        <v>0</v>
      </c>
      <c r="V250" s="101">
        <f t="shared" si="230"/>
        <v>0</v>
      </c>
      <c r="W250" s="101">
        <f t="shared" si="231"/>
        <v>0</v>
      </c>
      <c r="X250" s="101">
        <f t="shared" si="232"/>
        <v>0</v>
      </c>
      <c r="Y250" s="101">
        <f t="shared" si="233"/>
        <v>0</v>
      </c>
      <c r="Z250" s="101">
        <f t="shared" si="234"/>
        <v>0</v>
      </c>
      <c r="AA250" s="101">
        <f t="shared" si="235"/>
        <v>0</v>
      </c>
      <c r="AB250" s="101">
        <f t="shared" si="236"/>
        <v>0</v>
      </c>
      <c r="AC250" s="101">
        <f t="shared" si="237"/>
        <v>0</v>
      </c>
      <c r="AD250" s="101">
        <f t="shared" si="238"/>
        <v>0</v>
      </c>
      <c r="AE250" s="101"/>
      <c r="AF250" s="101">
        <f t="shared" si="239"/>
        <v>0</v>
      </c>
      <c r="AG250" s="101"/>
      <c r="AH250" s="101">
        <f t="shared" si="240"/>
        <v>0</v>
      </c>
      <c r="AI250" s="101"/>
      <c r="AJ250" s="101">
        <f t="shared" si="241"/>
        <v>0</v>
      </c>
      <c r="AK250" s="101">
        <f t="shared" si="242"/>
        <v>0</v>
      </c>
      <c r="AL250" s="98" t="str">
        <f t="shared" si="243"/>
        <v>ok</v>
      </c>
    </row>
    <row r="251" spans="1:39" x14ac:dyDescent="0.25">
      <c r="A251" s="97">
        <v>586</v>
      </c>
      <c r="B251" s="97" t="s">
        <v>367</v>
      </c>
      <c r="C251" s="97" t="s">
        <v>368</v>
      </c>
      <c r="D251" s="97" t="s">
        <v>178</v>
      </c>
      <c r="F251" s="101">
        <f>'Jurisdictional Study'!F1043</f>
        <v>8749182.5699744299</v>
      </c>
      <c r="H251" s="101">
        <f t="shared" si="218"/>
        <v>0</v>
      </c>
      <c r="I251" s="101">
        <f t="shared" si="219"/>
        <v>0</v>
      </c>
      <c r="J251" s="101">
        <f t="shared" si="220"/>
        <v>0</v>
      </c>
      <c r="K251" s="101">
        <f t="shared" si="221"/>
        <v>0</v>
      </c>
      <c r="L251" s="101">
        <f t="shared" si="222"/>
        <v>0</v>
      </c>
      <c r="M251" s="101">
        <f t="shared" si="223"/>
        <v>0</v>
      </c>
      <c r="N251" s="101"/>
      <c r="O251" s="101">
        <f t="shared" si="224"/>
        <v>0</v>
      </c>
      <c r="P251" s="101">
        <f t="shared" si="225"/>
        <v>0</v>
      </c>
      <c r="Q251" s="101">
        <f t="shared" si="226"/>
        <v>0</v>
      </c>
      <c r="R251" s="101"/>
      <c r="S251" s="101">
        <f t="shared" si="227"/>
        <v>0</v>
      </c>
      <c r="T251" s="101">
        <f t="shared" si="228"/>
        <v>0</v>
      </c>
      <c r="U251" s="101">
        <f t="shared" si="229"/>
        <v>0</v>
      </c>
      <c r="V251" s="101">
        <f t="shared" si="230"/>
        <v>0</v>
      </c>
      <c r="W251" s="101">
        <f t="shared" si="231"/>
        <v>0</v>
      </c>
      <c r="X251" s="101">
        <f t="shared" si="232"/>
        <v>0</v>
      </c>
      <c r="Y251" s="101">
        <f t="shared" si="233"/>
        <v>0</v>
      </c>
      <c r="Z251" s="101">
        <f t="shared" si="234"/>
        <v>0</v>
      </c>
      <c r="AA251" s="101">
        <f t="shared" si="235"/>
        <v>0</v>
      </c>
      <c r="AB251" s="101">
        <f t="shared" si="236"/>
        <v>0</v>
      </c>
      <c r="AC251" s="101">
        <f t="shared" si="237"/>
        <v>8749182.5699744299</v>
      </c>
      <c r="AD251" s="101">
        <f t="shared" si="238"/>
        <v>0</v>
      </c>
      <c r="AE251" s="101"/>
      <c r="AF251" s="101">
        <f t="shared" si="239"/>
        <v>0</v>
      </c>
      <c r="AG251" s="101"/>
      <c r="AH251" s="101">
        <f t="shared" si="240"/>
        <v>0</v>
      </c>
      <c r="AI251" s="101"/>
      <c r="AJ251" s="101">
        <f t="shared" si="241"/>
        <v>0</v>
      </c>
      <c r="AK251" s="101">
        <f t="shared" si="242"/>
        <v>8749182.5699744299</v>
      </c>
      <c r="AL251" s="98" t="str">
        <f t="shared" si="243"/>
        <v>ok</v>
      </c>
    </row>
    <row r="252" spans="1:39" x14ac:dyDescent="0.25">
      <c r="A252" s="97">
        <v>586</v>
      </c>
      <c r="B252" s="97" t="s">
        <v>1369</v>
      </c>
      <c r="C252" s="97" t="s">
        <v>1370</v>
      </c>
      <c r="D252" s="97" t="s">
        <v>997</v>
      </c>
      <c r="F252" s="101">
        <v>0</v>
      </c>
      <c r="H252" s="101">
        <f t="shared" si="218"/>
        <v>0</v>
      </c>
      <c r="I252" s="101">
        <f t="shared" si="219"/>
        <v>0</v>
      </c>
      <c r="J252" s="101">
        <f t="shared" si="220"/>
        <v>0</v>
      </c>
      <c r="K252" s="101">
        <f t="shared" si="221"/>
        <v>0</v>
      </c>
      <c r="L252" s="101">
        <f t="shared" si="222"/>
        <v>0</v>
      </c>
      <c r="M252" s="101">
        <f t="shared" si="223"/>
        <v>0</v>
      </c>
      <c r="N252" s="101"/>
      <c r="O252" s="101">
        <f t="shared" si="224"/>
        <v>0</v>
      </c>
      <c r="P252" s="101">
        <f t="shared" si="225"/>
        <v>0</v>
      </c>
      <c r="Q252" s="101">
        <f t="shared" si="226"/>
        <v>0</v>
      </c>
      <c r="R252" s="101"/>
      <c r="S252" s="101">
        <f t="shared" si="227"/>
        <v>0</v>
      </c>
      <c r="T252" s="101">
        <f t="shared" si="228"/>
        <v>0</v>
      </c>
      <c r="U252" s="101">
        <f t="shared" si="229"/>
        <v>0</v>
      </c>
      <c r="V252" s="101">
        <f t="shared" si="230"/>
        <v>0</v>
      </c>
      <c r="W252" s="101">
        <f t="shared" si="231"/>
        <v>0</v>
      </c>
      <c r="X252" s="101">
        <f t="shared" si="232"/>
        <v>0</v>
      </c>
      <c r="Y252" s="101">
        <f t="shared" si="233"/>
        <v>0</v>
      </c>
      <c r="Z252" s="101">
        <f t="shared" si="234"/>
        <v>0</v>
      </c>
      <c r="AA252" s="101">
        <f t="shared" si="235"/>
        <v>0</v>
      </c>
      <c r="AB252" s="101">
        <f t="shared" si="236"/>
        <v>0</v>
      </c>
      <c r="AC252" s="101">
        <f t="shared" si="237"/>
        <v>0</v>
      </c>
      <c r="AD252" s="101">
        <f t="shared" si="238"/>
        <v>0</v>
      </c>
      <c r="AE252" s="101"/>
      <c r="AF252" s="101">
        <f t="shared" si="239"/>
        <v>0</v>
      </c>
      <c r="AG252" s="101"/>
      <c r="AH252" s="101">
        <f t="shared" si="240"/>
        <v>0</v>
      </c>
      <c r="AI252" s="101"/>
      <c r="AJ252" s="101">
        <f t="shared" si="241"/>
        <v>0</v>
      </c>
      <c r="AK252" s="101">
        <f t="shared" si="242"/>
        <v>0</v>
      </c>
      <c r="AL252" s="98" t="str">
        <f>IF(ABS(AK252-F252)&lt;1,"ok","err")</f>
        <v>ok</v>
      </c>
    </row>
    <row r="253" spans="1:39" x14ac:dyDescent="0.25">
      <c r="A253" s="97">
        <v>587</v>
      </c>
      <c r="B253" s="97" t="s">
        <v>369</v>
      </c>
      <c r="C253" s="97" t="s">
        <v>370</v>
      </c>
      <c r="D253" s="97" t="s">
        <v>180</v>
      </c>
      <c r="F253" s="101">
        <f>'Jurisdictional Study'!F1044</f>
        <v>-142800</v>
      </c>
      <c r="H253" s="101">
        <f t="shared" si="218"/>
        <v>0</v>
      </c>
      <c r="I253" s="101">
        <f t="shared" si="219"/>
        <v>0</v>
      </c>
      <c r="J253" s="101">
        <f t="shared" si="220"/>
        <v>0</v>
      </c>
      <c r="K253" s="101">
        <f t="shared" si="221"/>
        <v>0</v>
      </c>
      <c r="L253" s="101">
        <f t="shared" si="222"/>
        <v>0</v>
      </c>
      <c r="M253" s="101">
        <f t="shared" si="223"/>
        <v>0</v>
      </c>
      <c r="N253" s="101"/>
      <c r="O253" s="101">
        <f t="shared" si="224"/>
        <v>0</v>
      </c>
      <c r="P253" s="101">
        <f t="shared" si="225"/>
        <v>0</v>
      </c>
      <c r="Q253" s="101">
        <f t="shared" si="226"/>
        <v>0</v>
      </c>
      <c r="R253" s="101"/>
      <c r="S253" s="101">
        <f t="shared" si="227"/>
        <v>0</v>
      </c>
      <c r="T253" s="101">
        <f t="shared" si="228"/>
        <v>0</v>
      </c>
      <c r="U253" s="101">
        <f t="shared" si="229"/>
        <v>0</v>
      </c>
      <c r="V253" s="101">
        <f t="shared" si="230"/>
        <v>0</v>
      </c>
      <c r="W253" s="101">
        <f t="shared" si="231"/>
        <v>0</v>
      </c>
      <c r="X253" s="101">
        <f t="shared" si="232"/>
        <v>0</v>
      </c>
      <c r="Y253" s="101">
        <f t="shared" si="233"/>
        <v>0</v>
      </c>
      <c r="Z253" s="101">
        <f t="shared" si="234"/>
        <v>0</v>
      </c>
      <c r="AA253" s="101">
        <f t="shared" si="235"/>
        <v>0</v>
      </c>
      <c r="AB253" s="101">
        <f t="shared" si="236"/>
        <v>0</v>
      </c>
      <c r="AC253" s="101">
        <f t="shared" si="237"/>
        <v>0</v>
      </c>
      <c r="AD253" s="101">
        <f t="shared" si="238"/>
        <v>-142800</v>
      </c>
      <c r="AE253" s="101"/>
      <c r="AF253" s="101">
        <f t="shared" si="239"/>
        <v>0</v>
      </c>
      <c r="AG253" s="101"/>
      <c r="AH253" s="101">
        <f t="shared" si="240"/>
        <v>0</v>
      </c>
      <c r="AI253" s="101"/>
      <c r="AJ253" s="101">
        <f t="shared" si="241"/>
        <v>0</v>
      </c>
      <c r="AK253" s="101">
        <f t="shared" si="242"/>
        <v>-142800</v>
      </c>
      <c r="AL253" s="98" t="str">
        <f>IF(ABS(AK253-F253)&lt;1,"ok","err")</f>
        <v>ok</v>
      </c>
    </row>
    <row r="254" spans="1:39" x14ac:dyDescent="0.25">
      <c r="A254" s="97">
        <v>588</v>
      </c>
      <c r="B254" s="97" t="s">
        <v>371</v>
      </c>
      <c r="C254" s="97" t="s">
        <v>372</v>
      </c>
      <c r="D254" s="97" t="s">
        <v>115</v>
      </c>
      <c r="F254" s="101">
        <f>'Jurisdictional Study'!F1045</f>
        <v>6743173.0000804961</v>
      </c>
      <c r="H254" s="101">
        <f t="shared" si="218"/>
        <v>0</v>
      </c>
      <c r="I254" s="101">
        <f t="shared" si="219"/>
        <v>0</v>
      </c>
      <c r="J254" s="101">
        <f t="shared" si="220"/>
        <v>0</v>
      </c>
      <c r="K254" s="101">
        <f t="shared" si="221"/>
        <v>0</v>
      </c>
      <c r="L254" s="101">
        <f t="shared" si="222"/>
        <v>0</v>
      </c>
      <c r="M254" s="101">
        <f t="shared" si="223"/>
        <v>0</v>
      </c>
      <c r="N254" s="101"/>
      <c r="O254" s="101">
        <f t="shared" si="224"/>
        <v>0</v>
      </c>
      <c r="P254" s="101">
        <f t="shared" si="225"/>
        <v>0</v>
      </c>
      <c r="Q254" s="101">
        <f t="shared" si="226"/>
        <v>0</v>
      </c>
      <c r="R254" s="101"/>
      <c r="S254" s="101">
        <f t="shared" si="227"/>
        <v>0</v>
      </c>
      <c r="T254" s="101">
        <f t="shared" si="228"/>
        <v>816418.19448586286</v>
      </c>
      <c r="U254" s="101">
        <f t="shared" si="229"/>
        <v>0</v>
      </c>
      <c r="V254" s="101">
        <f t="shared" si="230"/>
        <v>889644.33356781083</v>
      </c>
      <c r="W254" s="101">
        <f t="shared" si="231"/>
        <v>1649765.3149780508</v>
      </c>
      <c r="X254" s="101">
        <f t="shared" si="232"/>
        <v>409553.36664886225</v>
      </c>
      <c r="Y254" s="101">
        <f t="shared" si="233"/>
        <v>626072.40687948256</v>
      </c>
      <c r="Z254" s="101">
        <f t="shared" si="234"/>
        <v>635769.15263034031</v>
      </c>
      <c r="AA254" s="101">
        <f t="shared" si="235"/>
        <v>565757.88462238177</v>
      </c>
      <c r="AB254" s="101">
        <f t="shared" si="236"/>
        <v>378759.24756478198</v>
      </c>
      <c r="AC254" s="101">
        <f t="shared" si="237"/>
        <v>323170.23628035962</v>
      </c>
      <c r="AD254" s="101">
        <f t="shared" si="238"/>
        <v>448262.86242256284</v>
      </c>
      <c r="AE254" s="101"/>
      <c r="AF254" s="101">
        <f t="shared" si="239"/>
        <v>0</v>
      </c>
      <c r="AG254" s="101"/>
      <c r="AH254" s="101">
        <f t="shared" si="240"/>
        <v>0</v>
      </c>
      <c r="AI254" s="101"/>
      <c r="AJ254" s="101">
        <f t="shared" si="241"/>
        <v>0</v>
      </c>
      <c r="AK254" s="101">
        <f t="shared" si="242"/>
        <v>6743173.0000804961</v>
      </c>
      <c r="AL254" s="98" t="str">
        <f t="shared" si="243"/>
        <v>ok</v>
      </c>
    </row>
    <row r="255" spans="1:39" x14ac:dyDescent="0.25">
      <c r="A255" s="97">
        <v>588</v>
      </c>
      <c r="B255" s="97" t="s">
        <v>971</v>
      </c>
      <c r="C255" s="97" t="s">
        <v>1072</v>
      </c>
      <c r="D255" s="97" t="s">
        <v>115</v>
      </c>
      <c r="F255" s="101">
        <v>0</v>
      </c>
      <c r="H255" s="101">
        <f t="shared" si="218"/>
        <v>0</v>
      </c>
      <c r="I255" s="101">
        <f t="shared" si="219"/>
        <v>0</v>
      </c>
      <c r="J255" s="101">
        <f t="shared" si="220"/>
        <v>0</v>
      </c>
      <c r="K255" s="101">
        <f t="shared" si="221"/>
        <v>0</v>
      </c>
      <c r="L255" s="101">
        <f t="shared" si="222"/>
        <v>0</v>
      </c>
      <c r="M255" s="101">
        <f t="shared" si="223"/>
        <v>0</v>
      </c>
      <c r="N255" s="101"/>
      <c r="O255" s="101">
        <f t="shared" si="224"/>
        <v>0</v>
      </c>
      <c r="P255" s="101">
        <f t="shared" si="225"/>
        <v>0</v>
      </c>
      <c r="Q255" s="101">
        <f t="shared" si="226"/>
        <v>0</v>
      </c>
      <c r="R255" s="101"/>
      <c r="S255" s="101">
        <f t="shared" si="227"/>
        <v>0</v>
      </c>
      <c r="T255" s="101">
        <f t="shared" si="228"/>
        <v>0</v>
      </c>
      <c r="U255" s="101">
        <f t="shared" si="229"/>
        <v>0</v>
      </c>
      <c r="V255" s="101">
        <f t="shared" si="230"/>
        <v>0</v>
      </c>
      <c r="W255" s="101">
        <f t="shared" si="231"/>
        <v>0</v>
      </c>
      <c r="X255" s="101">
        <f t="shared" si="232"/>
        <v>0</v>
      </c>
      <c r="Y255" s="101">
        <f t="shared" si="233"/>
        <v>0</v>
      </c>
      <c r="Z255" s="101">
        <f t="shared" si="234"/>
        <v>0</v>
      </c>
      <c r="AA255" s="101">
        <f t="shared" si="235"/>
        <v>0</v>
      </c>
      <c r="AB255" s="101">
        <f t="shared" si="236"/>
        <v>0</v>
      </c>
      <c r="AC255" s="101">
        <f t="shared" si="237"/>
        <v>0</v>
      </c>
      <c r="AD255" s="101">
        <f t="shared" si="238"/>
        <v>0</v>
      </c>
      <c r="AE255" s="101"/>
      <c r="AF255" s="101">
        <f t="shared" si="239"/>
        <v>0</v>
      </c>
      <c r="AG255" s="101"/>
      <c r="AH255" s="101">
        <f t="shared" si="240"/>
        <v>0</v>
      </c>
      <c r="AI255" s="101"/>
      <c r="AJ255" s="101">
        <f t="shared" si="241"/>
        <v>0</v>
      </c>
      <c r="AK255" s="101">
        <f t="shared" si="242"/>
        <v>0</v>
      </c>
      <c r="AL255" s="98" t="str">
        <f t="shared" si="243"/>
        <v>ok</v>
      </c>
    </row>
    <row r="256" spans="1:39" x14ac:dyDescent="0.25">
      <c r="A256" s="97">
        <v>589</v>
      </c>
      <c r="B256" s="97" t="s">
        <v>373</v>
      </c>
      <c r="C256" s="97" t="s">
        <v>374</v>
      </c>
      <c r="D256" s="97" t="s">
        <v>115</v>
      </c>
      <c r="F256" s="101">
        <f>'Jurisdictional Study'!F1046</f>
        <v>0</v>
      </c>
      <c r="H256" s="101">
        <f t="shared" si="218"/>
        <v>0</v>
      </c>
      <c r="I256" s="101">
        <f t="shared" si="219"/>
        <v>0</v>
      </c>
      <c r="J256" s="101">
        <f t="shared" si="220"/>
        <v>0</v>
      </c>
      <c r="K256" s="101">
        <f t="shared" si="221"/>
        <v>0</v>
      </c>
      <c r="L256" s="101">
        <f t="shared" si="222"/>
        <v>0</v>
      </c>
      <c r="M256" s="101">
        <f t="shared" si="223"/>
        <v>0</v>
      </c>
      <c r="N256" s="101"/>
      <c r="O256" s="101">
        <f t="shared" si="224"/>
        <v>0</v>
      </c>
      <c r="P256" s="101">
        <f t="shared" si="225"/>
        <v>0</v>
      </c>
      <c r="Q256" s="101">
        <f t="shared" si="226"/>
        <v>0</v>
      </c>
      <c r="R256" s="101"/>
      <c r="S256" s="101">
        <f t="shared" si="227"/>
        <v>0</v>
      </c>
      <c r="T256" s="101">
        <f t="shared" si="228"/>
        <v>0</v>
      </c>
      <c r="U256" s="101">
        <f t="shared" si="229"/>
        <v>0</v>
      </c>
      <c r="V256" s="101">
        <f t="shared" si="230"/>
        <v>0</v>
      </c>
      <c r="W256" s="101">
        <f t="shared" si="231"/>
        <v>0</v>
      </c>
      <c r="X256" s="101">
        <f t="shared" si="232"/>
        <v>0</v>
      </c>
      <c r="Y256" s="101">
        <f t="shared" si="233"/>
        <v>0</v>
      </c>
      <c r="Z256" s="101">
        <f t="shared" si="234"/>
        <v>0</v>
      </c>
      <c r="AA256" s="101">
        <f t="shared" si="235"/>
        <v>0</v>
      </c>
      <c r="AB256" s="101">
        <f t="shared" si="236"/>
        <v>0</v>
      </c>
      <c r="AC256" s="101">
        <f t="shared" si="237"/>
        <v>0</v>
      </c>
      <c r="AD256" s="101">
        <f t="shared" si="238"/>
        <v>0</v>
      </c>
      <c r="AE256" s="101"/>
      <c r="AF256" s="101">
        <f t="shared" si="239"/>
        <v>0</v>
      </c>
      <c r="AG256" s="101"/>
      <c r="AH256" s="101">
        <f t="shared" si="240"/>
        <v>0</v>
      </c>
      <c r="AI256" s="101"/>
      <c r="AJ256" s="101">
        <f t="shared" si="241"/>
        <v>0</v>
      </c>
      <c r="AK256" s="101">
        <f t="shared" si="242"/>
        <v>0</v>
      </c>
      <c r="AL256" s="98" t="str">
        <f t="shared" si="243"/>
        <v>ok</v>
      </c>
    </row>
    <row r="257" spans="1:38" x14ac:dyDescent="0.25">
      <c r="F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L257" s="98"/>
    </row>
    <row r="258" spans="1:38" x14ac:dyDescent="0.25">
      <c r="A258" s="97" t="s">
        <v>375</v>
      </c>
      <c r="C258" s="97" t="s">
        <v>376</v>
      </c>
      <c r="F258" s="100">
        <f t="shared" ref="F258:M258" si="244">SUM(F245:F257)</f>
        <v>23705895.029375821</v>
      </c>
      <c r="G258" s="100">
        <f t="shared" si="244"/>
        <v>0</v>
      </c>
      <c r="H258" s="100">
        <f t="shared" si="244"/>
        <v>0</v>
      </c>
      <c r="I258" s="100">
        <f t="shared" si="244"/>
        <v>0</v>
      </c>
      <c r="J258" s="100">
        <f t="shared" si="244"/>
        <v>0</v>
      </c>
      <c r="K258" s="100">
        <f t="shared" si="244"/>
        <v>0</v>
      </c>
      <c r="L258" s="100">
        <f t="shared" si="244"/>
        <v>0</v>
      </c>
      <c r="M258" s="100">
        <f t="shared" si="244"/>
        <v>0</v>
      </c>
      <c r="N258" s="100"/>
      <c r="O258" s="100">
        <f>SUM(O245:O257)</f>
        <v>0</v>
      </c>
      <c r="P258" s="100">
        <f>SUM(P245:P257)</f>
        <v>0</v>
      </c>
      <c r="Q258" s="100">
        <f>SUM(Q245:Q257)</f>
        <v>0</v>
      </c>
      <c r="R258" s="100"/>
      <c r="S258" s="100">
        <f t="shared" ref="S258:AD258" si="245">SUM(S245:S257)</f>
        <v>0</v>
      </c>
      <c r="T258" s="100">
        <f t="shared" si="245"/>
        <v>3152428.7401640639</v>
      </c>
      <c r="U258" s="100">
        <f t="shared" si="245"/>
        <v>0</v>
      </c>
      <c r="V258" s="100">
        <f t="shared" si="245"/>
        <v>2265730.6472096122</v>
      </c>
      <c r="W258" s="100">
        <f t="shared" si="245"/>
        <v>3667242.0948627964</v>
      </c>
      <c r="X258" s="100">
        <f t="shared" si="245"/>
        <v>1139789.2384614102</v>
      </c>
      <c r="Y258" s="100">
        <f t="shared" si="245"/>
        <v>1687121.2047675091</v>
      </c>
      <c r="Z258" s="100">
        <f t="shared" si="245"/>
        <v>674025.64972991298</v>
      </c>
      <c r="AA258" s="100">
        <f t="shared" si="245"/>
        <v>599801.5540620992</v>
      </c>
      <c r="AB258" s="100">
        <f t="shared" si="245"/>
        <v>401550.54216589552</v>
      </c>
      <c r="AC258" s="100">
        <f t="shared" si="245"/>
        <v>9785768.9205693528</v>
      </c>
      <c r="AD258" s="100">
        <f t="shared" si="245"/>
        <v>332436.43738316803</v>
      </c>
      <c r="AE258" s="100"/>
      <c r="AF258" s="100">
        <f>SUM(AF245:AF257)</f>
        <v>0</v>
      </c>
      <c r="AG258" s="100"/>
      <c r="AH258" s="100">
        <f>SUM(AH245:AH257)</f>
        <v>0</v>
      </c>
      <c r="AI258" s="100"/>
      <c r="AJ258" s="100">
        <f>SUM(AJ245:AJ257)</f>
        <v>0</v>
      </c>
      <c r="AK258" s="101">
        <f>SUM(H258:AJ258)</f>
        <v>23705895.029375821</v>
      </c>
      <c r="AL258" s="98" t="str">
        <f>IF(ABS(AK258-F258)&lt;1,"ok","err")</f>
        <v>ok</v>
      </c>
    </row>
    <row r="259" spans="1:38" x14ac:dyDescent="0.25"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1"/>
      <c r="AL259" s="98"/>
    </row>
    <row r="260" spans="1:38" x14ac:dyDescent="0.25">
      <c r="A260" s="23" t="s">
        <v>307</v>
      </c>
      <c r="F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L260" s="98"/>
    </row>
    <row r="261" spans="1:38" x14ac:dyDescent="0.25">
      <c r="F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L261" s="98"/>
    </row>
    <row r="262" spans="1:38" x14ac:dyDescent="0.25">
      <c r="A262" s="24" t="s">
        <v>377</v>
      </c>
      <c r="F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L262" s="98"/>
    </row>
    <row r="263" spans="1:38" x14ac:dyDescent="0.25">
      <c r="A263" s="97">
        <v>590</v>
      </c>
      <c r="B263" s="97" t="s">
        <v>378</v>
      </c>
      <c r="C263" s="97" t="s">
        <v>379</v>
      </c>
      <c r="D263" s="97" t="s">
        <v>1028</v>
      </c>
      <c r="F263" s="100">
        <f>'Jurisdictional Study'!F1048</f>
        <v>57449.2177803097</v>
      </c>
      <c r="H263" s="101">
        <f t="shared" ref="H263:H271" si="246">IF(VLOOKUP($D263,$C$5:$AJ$644,6,)=0,0,((VLOOKUP($D263,$C$5:$AJ$644,6,)/VLOOKUP($D263,$C$5:$AJ$644,4,))*$F263))</f>
        <v>0</v>
      </c>
      <c r="I263" s="101">
        <f t="shared" ref="I263:I271" si="247">IF(VLOOKUP($D263,$C$5:$AJ$644,7,)=0,0,((VLOOKUP($D263,$C$5:$AJ$644,7,)/VLOOKUP($D263,$C$5:$AJ$644,4,))*$F263))</f>
        <v>0</v>
      </c>
      <c r="J263" s="101">
        <f t="shared" ref="J263:J271" si="248">IF(VLOOKUP($D263,$C$5:$AJ$644,8,)=0,0,((VLOOKUP($D263,$C$5:$AJ$644,8,)/VLOOKUP($D263,$C$5:$AJ$644,4,))*$F263))</f>
        <v>0</v>
      </c>
      <c r="K263" s="101">
        <f t="shared" ref="K263:K271" si="249">IF(VLOOKUP($D263,$C$5:$AJ$644,9,)=0,0,((VLOOKUP($D263,$C$5:$AJ$644,9,)/VLOOKUP($D263,$C$5:$AJ$644,4,))*$F263))</f>
        <v>0</v>
      </c>
      <c r="L263" s="101">
        <f t="shared" ref="L263:L271" si="250">IF(VLOOKUP($D263,$C$5:$AJ$644,10,)=0,0,((VLOOKUP($D263,$C$5:$AJ$644,10,)/VLOOKUP($D263,$C$5:$AJ$644,4,))*$F263))</f>
        <v>0</v>
      </c>
      <c r="M263" s="101">
        <f t="shared" ref="M263:M271" si="251">IF(VLOOKUP($D263,$C$5:$AJ$644,11,)=0,0,((VLOOKUP($D263,$C$5:$AJ$644,11,)/VLOOKUP($D263,$C$5:$AJ$644,4,))*$F263))</f>
        <v>0</v>
      </c>
      <c r="N263" s="101"/>
      <c r="O263" s="101">
        <f t="shared" ref="O263:O271" si="252">IF(VLOOKUP($D263,$C$5:$AJ$644,13,)=0,0,((VLOOKUP($D263,$C$5:$AJ$644,13,)/VLOOKUP($D263,$C$5:$AJ$644,4,))*$F263))</f>
        <v>0</v>
      </c>
      <c r="P263" s="101">
        <f t="shared" ref="P263:P271" si="253">IF(VLOOKUP($D263,$C$5:$AJ$644,14,)=0,0,((VLOOKUP($D263,$C$5:$AJ$644,14,)/VLOOKUP($D263,$C$5:$AJ$644,4,))*$F263))</f>
        <v>0</v>
      </c>
      <c r="Q263" s="101">
        <f t="shared" ref="Q263:Q271" si="254">IF(VLOOKUP($D263,$C$5:$AJ$644,15,)=0,0,((VLOOKUP($D263,$C$5:$AJ$644,15,)/VLOOKUP($D263,$C$5:$AJ$644,4,))*$F263))</f>
        <v>0</v>
      </c>
      <c r="R263" s="101"/>
      <c r="S263" s="101">
        <f t="shared" ref="S263:S271" si="255">IF(VLOOKUP($D263,$C$5:$AJ$644,17,)=0,0,((VLOOKUP($D263,$C$5:$AJ$644,17,)/VLOOKUP($D263,$C$5:$AJ$644,4,))*$F263))</f>
        <v>0</v>
      </c>
      <c r="T263" s="101">
        <f t="shared" ref="T263:T271" si="256">IF(VLOOKUP($D263,$C$5:$AJ$644,18,)=0,0,((VLOOKUP($D263,$C$5:$AJ$644,18,)/VLOOKUP($D263,$C$5:$AJ$644,4,))*$F263))</f>
        <v>4810.2013351609412</v>
      </c>
      <c r="U263" s="101">
        <f t="shared" ref="U263:U271" si="257">IF(VLOOKUP($D263,$C$5:$AJ$644,19,)=0,0,((VLOOKUP($D263,$C$5:$AJ$644,19,)/VLOOKUP($D263,$C$5:$AJ$644,4,))*$F263))</f>
        <v>0</v>
      </c>
      <c r="V263" s="101">
        <f t="shared" ref="V263:V271" si="258">IF(VLOOKUP($D263,$C$5:$AJ$644,20,)=0,0,((VLOOKUP($D263,$C$5:$AJ$644,20,)/VLOOKUP($D263,$C$5:$AJ$644,4,))*$F263))</f>
        <v>13640.111670781604</v>
      </c>
      <c r="W263" s="101">
        <f t="shared" ref="W263:W271" si="259">IF(VLOOKUP($D263,$C$5:$AJ$644,21,)=0,0,((VLOOKUP($D263,$C$5:$AJ$644,21,)/VLOOKUP($D263,$C$5:$AJ$644,4,))*$F263))</f>
        <v>21294.070695657778</v>
      </c>
      <c r="X263" s="101">
        <f t="shared" ref="X263:X271" si="260">IF(VLOOKUP($D263,$C$5:$AJ$644,22,)=0,0,((VLOOKUP($D263,$C$5:$AJ$644,22,)/VLOOKUP($D263,$C$5:$AJ$644,4,))*$F263))</f>
        <v>7003.5751017641978</v>
      </c>
      <c r="Y263" s="101">
        <f t="shared" ref="Y263:Y271" si="261">IF(VLOOKUP($D263,$C$5:$AJ$644,23,)=0,0,((VLOOKUP($D263,$C$5:$AJ$644,23,)/VLOOKUP($D263,$C$5:$AJ$644,4,))*$F263))</f>
        <v>10292.609884689378</v>
      </c>
      <c r="Z263" s="101">
        <f t="shared" ref="Z263:Z271" si="262">IF(VLOOKUP($D263,$C$5:$AJ$644,24,)=0,0,((VLOOKUP($D263,$C$5:$AJ$644,24,)/VLOOKUP($D263,$C$5:$AJ$644,4,))*$F263))</f>
        <v>216.2302462212383</v>
      </c>
      <c r="AA263" s="101">
        <f t="shared" ref="AA263:AA271" si="263">IF(VLOOKUP($D263,$C$5:$AJ$644,25,)=0,0,((VLOOKUP($D263,$C$5:$AJ$644,25,)/VLOOKUP($D263,$C$5:$AJ$644,4,))*$F263))</f>
        <v>192.41884603456691</v>
      </c>
      <c r="AB263" s="101">
        <f t="shared" ref="AB263:AB271" si="264">IF(VLOOKUP($D263,$C$5:$AJ$644,26,)=0,0,((VLOOKUP($D263,$C$5:$AJ$644,26,)/VLOOKUP($D263,$C$5:$AJ$644,4,))*$F263))</f>
        <v>0</v>
      </c>
      <c r="AC263" s="101">
        <f t="shared" ref="AC263:AC271" si="265">IF(VLOOKUP($D263,$C$5:$AJ$644,27,)=0,0,((VLOOKUP($D263,$C$5:$AJ$644,27,)/VLOOKUP($D263,$C$5:$AJ$644,4,))*$F263))</f>
        <v>0</v>
      </c>
      <c r="AD263" s="101">
        <f t="shared" ref="AD263:AD271" si="266">IF(VLOOKUP($D263,$C$5:$AJ$644,28,)=0,0,((VLOOKUP($D263,$C$5:$AJ$644,28,)/VLOOKUP($D263,$C$5:$AJ$644,4,))*$F263))</f>
        <v>0</v>
      </c>
      <c r="AE263" s="101"/>
      <c r="AF263" s="101">
        <f t="shared" ref="AF263:AF271" si="267">IF(VLOOKUP($D263,$C$5:$AJ$644,30,)=0,0,((VLOOKUP($D263,$C$5:$AJ$644,30,)/VLOOKUP($D263,$C$5:$AJ$644,4,))*$F263))</f>
        <v>0</v>
      </c>
      <c r="AG263" s="101"/>
      <c r="AH263" s="101">
        <f t="shared" ref="AH263:AH271" si="268">IF(VLOOKUP($D263,$C$5:$AJ$644,32,)=0,0,((VLOOKUP($D263,$C$5:$AJ$644,32,)/VLOOKUP($D263,$C$5:$AJ$644,4,))*$F263))</f>
        <v>0</v>
      </c>
      <c r="AI263" s="101"/>
      <c r="AJ263" s="101">
        <f t="shared" ref="AJ263:AJ271" si="269">IF(VLOOKUP($D263,$C$5:$AJ$644,34,)=0,0,((VLOOKUP($D263,$C$5:$AJ$644,34,)/VLOOKUP($D263,$C$5:$AJ$644,4,))*$F263))</f>
        <v>0</v>
      </c>
      <c r="AK263" s="101">
        <f t="shared" ref="AK263:AK271" si="270">SUM(H263:AJ263)</f>
        <v>57449.217780309707</v>
      </c>
      <c r="AL263" s="98" t="str">
        <f>IF(ABS(AK263-F263)&lt;1,"ok","err")</f>
        <v>ok</v>
      </c>
    </row>
    <row r="264" spans="1:38" x14ac:dyDescent="0.25">
      <c r="A264" s="97">
        <v>591</v>
      </c>
      <c r="B264" s="97" t="s">
        <v>1610</v>
      </c>
      <c r="C264" s="97" t="s">
        <v>1616</v>
      </c>
      <c r="D264" s="97" t="s">
        <v>119</v>
      </c>
      <c r="F264" s="130">
        <f>'Jurisdictional Study'!F1049</f>
        <v>0</v>
      </c>
      <c r="H264" s="101">
        <f t="shared" si="246"/>
        <v>0</v>
      </c>
      <c r="I264" s="101">
        <f t="shared" si="247"/>
        <v>0</v>
      </c>
      <c r="J264" s="101">
        <f t="shared" si="248"/>
        <v>0</v>
      </c>
      <c r="K264" s="101">
        <f t="shared" si="249"/>
        <v>0</v>
      </c>
      <c r="L264" s="101">
        <f t="shared" si="250"/>
        <v>0</v>
      </c>
      <c r="M264" s="101">
        <f t="shared" si="251"/>
        <v>0</v>
      </c>
      <c r="N264" s="101"/>
      <c r="O264" s="101">
        <f t="shared" si="252"/>
        <v>0</v>
      </c>
      <c r="P264" s="101">
        <f t="shared" si="253"/>
        <v>0</v>
      </c>
      <c r="Q264" s="101">
        <f t="shared" si="254"/>
        <v>0</v>
      </c>
      <c r="R264" s="101"/>
      <c r="S264" s="101">
        <f t="shared" si="255"/>
        <v>0</v>
      </c>
      <c r="T264" s="101">
        <f t="shared" si="256"/>
        <v>0</v>
      </c>
      <c r="U264" s="101">
        <f t="shared" si="257"/>
        <v>0</v>
      </c>
      <c r="V264" s="101">
        <f t="shared" si="258"/>
        <v>0</v>
      </c>
      <c r="W264" s="101">
        <f t="shared" si="259"/>
        <v>0</v>
      </c>
      <c r="X264" s="101">
        <f t="shared" si="260"/>
        <v>0</v>
      </c>
      <c r="Y264" s="101">
        <f t="shared" si="261"/>
        <v>0</v>
      </c>
      <c r="Z264" s="101">
        <f t="shared" si="262"/>
        <v>0</v>
      </c>
      <c r="AA264" s="101">
        <f t="shared" si="263"/>
        <v>0</v>
      </c>
      <c r="AB264" s="101">
        <f t="shared" si="264"/>
        <v>0</v>
      </c>
      <c r="AC264" s="101">
        <f t="shared" si="265"/>
        <v>0</v>
      </c>
      <c r="AD264" s="101">
        <f t="shared" si="266"/>
        <v>0</v>
      </c>
      <c r="AE264" s="101"/>
      <c r="AF264" s="101">
        <f t="shared" si="267"/>
        <v>0</v>
      </c>
      <c r="AG264" s="101"/>
      <c r="AH264" s="101">
        <f t="shared" si="268"/>
        <v>0</v>
      </c>
      <c r="AI264" s="101"/>
      <c r="AJ264" s="101">
        <f t="shared" si="269"/>
        <v>0</v>
      </c>
      <c r="AK264" s="101"/>
      <c r="AL264" s="98"/>
    </row>
    <row r="265" spans="1:38" x14ac:dyDescent="0.25">
      <c r="A265" s="97">
        <v>592</v>
      </c>
      <c r="B265" s="97" t="s">
        <v>380</v>
      </c>
      <c r="C265" s="97" t="s">
        <v>381</v>
      </c>
      <c r="D265" s="97" t="s">
        <v>119</v>
      </c>
      <c r="F265" s="101">
        <f>'Jurisdictional Study'!F1050</f>
        <v>1286691.8462125435</v>
      </c>
      <c r="H265" s="101">
        <f t="shared" si="246"/>
        <v>0</v>
      </c>
      <c r="I265" s="101">
        <f t="shared" si="247"/>
        <v>0</v>
      </c>
      <c r="J265" s="101">
        <f t="shared" si="248"/>
        <v>0</v>
      </c>
      <c r="K265" s="101">
        <f t="shared" si="249"/>
        <v>0</v>
      </c>
      <c r="L265" s="101">
        <f t="shared" si="250"/>
        <v>0</v>
      </c>
      <c r="M265" s="101">
        <f t="shared" si="251"/>
        <v>0</v>
      </c>
      <c r="N265" s="101"/>
      <c r="O265" s="101">
        <f t="shared" si="252"/>
        <v>0</v>
      </c>
      <c r="P265" s="101">
        <f t="shared" si="253"/>
        <v>0</v>
      </c>
      <c r="Q265" s="101">
        <f t="shared" si="254"/>
        <v>0</v>
      </c>
      <c r="R265" s="101"/>
      <c r="S265" s="101">
        <f t="shared" si="255"/>
        <v>0</v>
      </c>
      <c r="T265" s="101">
        <f t="shared" si="256"/>
        <v>1286691.8462125435</v>
      </c>
      <c r="U265" s="101">
        <f t="shared" si="257"/>
        <v>0</v>
      </c>
      <c r="V265" s="101">
        <f t="shared" si="258"/>
        <v>0</v>
      </c>
      <c r="W265" s="101">
        <f t="shared" si="259"/>
        <v>0</v>
      </c>
      <c r="X265" s="101">
        <f t="shared" si="260"/>
        <v>0</v>
      </c>
      <c r="Y265" s="101">
        <f t="shared" si="261"/>
        <v>0</v>
      </c>
      <c r="Z265" s="101">
        <f t="shared" si="262"/>
        <v>0</v>
      </c>
      <c r="AA265" s="101">
        <f t="shared" si="263"/>
        <v>0</v>
      </c>
      <c r="AB265" s="101">
        <f t="shared" si="264"/>
        <v>0</v>
      </c>
      <c r="AC265" s="101">
        <f t="shared" si="265"/>
        <v>0</v>
      </c>
      <c r="AD265" s="101">
        <f t="shared" si="266"/>
        <v>0</v>
      </c>
      <c r="AE265" s="101"/>
      <c r="AF265" s="101">
        <f t="shared" si="267"/>
        <v>0</v>
      </c>
      <c r="AG265" s="101"/>
      <c r="AH265" s="101">
        <f t="shared" si="268"/>
        <v>0</v>
      </c>
      <c r="AI265" s="101"/>
      <c r="AJ265" s="101">
        <f t="shared" si="269"/>
        <v>0</v>
      </c>
      <c r="AK265" s="101">
        <f t="shared" si="270"/>
        <v>1286691.8462125435</v>
      </c>
      <c r="AL265" s="98" t="str">
        <f t="shared" ref="AL265:AL271" si="271">IF(ABS(AK265-F265)&lt;1,"ok","err")</f>
        <v>ok</v>
      </c>
    </row>
    <row r="266" spans="1:38" x14ac:dyDescent="0.25">
      <c r="A266" s="97">
        <v>593</v>
      </c>
      <c r="B266" s="97" t="s">
        <v>382</v>
      </c>
      <c r="C266" s="97" t="s">
        <v>383</v>
      </c>
      <c r="D266" s="97" t="s">
        <v>122</v>
      </c>
      <c r="F266" s="101">
        <f>'Jurisdictional Study'!F1051</f>
        <v>30239214.880671129</v>
      </c>
      <c r="H266" s="101">
        <f t="shared" si="246"/>
        <v>0</v>
      </c>
      <c r="I266" s="101">
        <f t="shared" si="247"/>
        <v>0</v>
      </c>
      <c r="J266" s="101">
        <f t="shared" si="248"/>
        <v>0</v>
      </c>
      <c r="K266" s="101">
        <f t="shared" si="249"/>
        <v>0</v>
      </c>
      <c r="L266" s="101">
        <f t="shared" si="250"/>
        <v>0</v>
      </c>
      <c r="M266" s="101">
        <f t="shared" si="251"/>
        <v>0</v>
      </c>
      <c r="N266" s="101"/>
      <c r="O266" s="101">
        <f t="shared" si="252"/>
        <v>0</v>
      </c>
      <c r="P266" s="101">
        <f t="shared" si="253"/>
        <v>0</v>
      </c>
      <c r="Q266" s="101">
        <f t="shared" si="254"/>
        <v>0</v>
      </c>
      <c r="R266" s="101"/>
      <c r="S266" s="101">
        <f t="shared" si="255"/>
        <v>0</v>
      </c>
      <c r="T266" s="101">
        <f t="shared" si="256"/>
        <v>0</v>
      </c>
      <c r="U266" s="101">
        <f t="shared" si="257"/>
        <v>0</v>
      </c>
      <c r="V266" s="101">
        <f t="shared" si="258"/>
        <v>8047320.6448661117</v>
      </c>
      <c r="W266" s="101">
        <f t="shared" si="259"/>
        <v>11671671.378819533</v>
      </c>
      <c r="X266" s="101">
        <f t="shared" si="260"/>
        <v>4293302.9479357768</v>
      </c>
      <c r="Y266" s="101">
        <f t="shared" si="261"/>
        <v>6226919.9090497084</v>
      </c>
      <c r="Z266" s="101">
        <f t="shared" si="262"/>
        <v>0</v>
      </c>
      <c r="AA266" s="101">
        <f t="shared" si="263"/>
        <v>0</v>
      </c>
      <c r="AB266" s="101">
        <f t="shared" si="264"/>
        <v>0</v>
      </c>
      <c r="AC266" s="101">
        <f t="shared" si="265"/>
        <v>0</v>
      </c>
      <c r="AD266" s="101">
        <f t="shared" si="266"/>
        <v>0</v>
      </c>
      <c r="AE266" s="101"/>
      <c r="AF266" s="101">
        <f t="shared" si="267"/>
        <v>0</v>
      </c>
      <c r="AG266" s="101"/>
      <c r="AH266" s="101">
        <f t="shared" si="268"/>
        <v>0</v>
      </c>
      <c r="AI266" s="101"/>
      <c r="AJ266" s="101">
        <f t="shared" si="269"/>
        <v>0</v>
      </c>
      <c r="AK266" s="101">
        <f t="shared" si="270"/>
        <v>30239214.880671132</v>
      </c>
      <c r="AL266" s="98" t="str">
        <f t="shared" si="271"/>
        <v>ok</v>
      </c>
    </row>
    <row r="267" spans="1:38" x14ac:dyDescent="0.25">
      <c r="A267" s="97">
        <v>594</v>
      </c>
      <c r="B267" s="97" t="s">
        <v>384</v>
      </c>
      <c r="C267" s="97" t="s">
        <v>385</v>
      </c>
      <c r="D267" s="97" t="s">
        <v>125</v>
      </c>
      <c r="F267" s="101">
        <f>'Jurisdictional Study'!F1052</f>
        <v>790500.34303623124</v>
      </c>
      <c r="H267" s="101">
        <f t="shared" si="246"/>
        <v>0</v>
      </c>
      <c r="I267" s="101">
        <f t="shared" si="247"/>
        <v>0</v>
      </c>
      <c r="J267" s="101">
        <f t="shared" si="248"/>
        <v>0</v>
      </c>
      <c r="K267" s="101">
        <f t="shared" si="249"/>
        <v>0</v>
      </c>
      <c r="L267" s="101">
        <f t="shared" si="250"/>
        <v>0</v>
      </c>
      <c r="M267" s="101">
        <f t="shared" si="251"/>
        <v>0</v>
      </c>
      <c r="N267" s="101"/>
      <c r="O267" s="101">
        <f t="shared" si="252"/>
        <v>0</v>
      </c>
      <c r="P267" s="101">
        <f t="shared" si="253"/>
        <v>0</v>
      </c>
      <c r="Q267" s="101">
        <f t="shared" si="254"/>
        <v>0</v>
      </c>
      <c r="R267" s="101"/>
      <c r="S267" s="101">
        <f t="shared" si="255"/>
        <v>0</v>
      </c>
      <c r="T267" s="101">
        <f t="shared" si="256"/>
        <v>0</v>
      </c>
      <c r="U267" s="101">
        <f t="shared" si="257"/>
        <v>0</v>
      </c>
      <c r="V267" s="101">
        <f t="shared" si="258"/>
        <v>147982.1306115849</v>
      </c>
      <c r="W267" s="101">
        <f t="shared" si="259"/>
        <v>577776.23432997905</v>
      </c>
      <c r="X267" s="101">
        <f t="shared" si="260"/>
        <v>13200.889333502671</v>
      </c>
      <c r="Y267" s="101">
        <f t="shared" si="261"/>
        <v>51541.088761164669</v>
      </c>
      <c r="Z267" s="101">
        <f t="shared" si="262"/>
        <v>0</v>
      </c>
      <c r="AA267" s="101">
        <f t="shared" si="263"/>
        <v>0</v>
      </c>
      <c r="AB267" s="101">
        <f t="shared" si="264"/>
        <v>0</v>
      </c>
      <c r="AC267" s="101">
        <f t="shared" si="265"/>
        <v>0</v>
      </c>
      <c r="AD267" s="101">
        <f t="shared" si="266"/>
        <v>0</v>
      </c>
      <c r="AE267" s="101"/>
      <c r="AF267" s="101">
        <f t="shared" si="267"/>
        <v>0</v>
      </c>
      <c r="AG267" s="101"/>
      <c r="AH267" s="101">
        <f t="shared" si="268"/>
        <v>0</v>
      </c>
      <c r="AI267" s="101"/>
      <c r="AJ267" s="101">
        <f t="shared" si="269"/>
        <v>0</v>
      </c>
      <c r="AK267" s="101">
        <f t="shared" si="270"/>
        <v>790500.34303623124</v>
      </c>
      <c r="AL267" s="98" t="str">
        <f t="shared" si="271"/>
        <v>ok</v>
      </c>
    </row>
    <row r="268" spans="1:38" x14ac:dyDescent="0.25">
      <c r="A268" s="97">
        <v>595</v>
      </c>
      <c r="B268" s="97" t="s">
        <v>386</v>
      </c>
      <c r="C268" s="97" t="s">
        <v>387</v>
      </c>
      <c r="D268" s="97" t="s">
        <v>126</v>
      </c>
      <c r="F268" s="101">
        <f>'Jurisdictional Study'!F1053</f>
        <v>96331.044492663816</v>
      </c>
      <c r="H268" s="101">
        <f t="shared" si="246"/>
        <v>0</v>
      </c>
      <c r="I268" s="101">
        <f t="shared" si="247"/>
        <v>0</v>
      </c>
      <c r="J268" s="101">
        <f t="shared" si="248"/>
        <v>0</v>
      </c>
      <c r="K268" s="101">
        <f t="shared" si="249"/>
        <v>0</v>
      </c>
      <c r="L268" s="101">
        <f t="shared" si="250"/>
        <v>0</v>
      </c>
      <c r="M268" s="101">
        <f t="shared" si="251"/>
        <v>0</v>
      </c>
      <c r="N268" s="101"/>
      <c r="O268" s="101">
        <f t="shared" si="252"/>
        <v>0</v>
      </c>
      <c r="P268" s="101">
        <f t="shared" si="253"/>
        <v>0</v>
      </c>
      <c r="Q268" s="101">
        <f t="shared" si="254"/>
        <v>0</v>
      </c>
      <c r="R268" s="101"/>
      <c r="S268" s="101">
        <f t="shared" si="255"/>
        <v>0</v>
      </c>
      <c r="T268" s="101">
        <f t="shared" si="256"/>
        <v>0</v>
      </c>
      <c r="U268" s="101">
        <f t="shared" si="257"/>
        <v>0</v>
      </c>
      <c r="V268" s="101">
        <f t="shared" si="258"/>
        <v>0</v>
      </c>
      <c r="W268" s="101">
        <f t="shared" si="259"/>
        <v>0</v>
      </c>
      <c r="X268" s="101">
        <f t="shared" si="260"/>
        <v>0</v>
      </c>
      <c r="Y268" s="101">
        <f t="shared" si="261"/>
        <v>0</v>
      </c>
      <c r="Z268" s="101">
        <f t="shared" si="262"/>
        <v>50972.05858066323</v>
      </c>
      <c r="AA268" s="101">
        <f t="shared" si="263"/>
        <v>45358.985912000586</v>
      </c>
      <c r="AB268" s="101">
        <f t="shared" si="264"/>
        <v>0</v>
      </c>
      <c r="AC268" s="101">
        <f t="shared" si="265"/>
        <v>0</v>
      </c>
      <c r="AD268" s="101">
        <f t="shared" si="266"/>
        <v>0</v>
      </c>
      <c r="AE268" s="101"/>
      <c r="AF268" s="101">
        <f t="shared" si="267"/>
        <v>0</v>
      </c>
      <c r="AG268" s="101"/>
      <c r="AH268" s="101">
        <f t="shared" si="268"/>
        <v>0</v>
      </c>
      <c r="AI268" s="101"/>
      <c r="AJ268" s="101">
        <f t="shared" si="269"/>
        <v>0</v>
      </c>
      <c r="AK268" s="101">
        <f t="shared" si="270"/>
        <v>96331.044492663816</v>
      </c>
      <c r="AL268" s="98" t="str">
        <f t="shared" si="271"/>
        <v>ok</v>
      </c>
    </row>
    <row r="269" spans="1:38" x14ac:dyDescent="0.25">
      <c r="A269" s="97">
        <v>596</v>
      </c>
      <c r="B269" s="97" t="s">
        <v>482</v>
      </c>
      <c r="C269" s="97" t="s">
        <v>483</v>
      </c>
      <c r="D269" s="97" t="s">
        <v>181</v>
      </c>
      <c r="F269" s="101">
        <f>'Jurisdictional Study'!F1054</f>
        <v>0</v>
      </c>
      <c r="H269" s="101">
        <f t="shared" si="246"/>
        <v>0</v>
      </c>
      <c r="I269" s="101">
        <f t="shared" si="247"/>
        <v>0</v>
      </c>
      <c r="J269" s="101">
        <f t="shared" si="248"/>
        <v>0</v>
      </c>
      <c r="K269" s="101">
        <f t="shared" si="249"/>
        <v>0</v>
      </c>
      <c r="L269" s="101">
        <f t="shared" si="250"/>
        <v>0</v>
      </c>
      <c r="M269" s="101">
        <f t="shared" si="251"/>
        <v>0</v>
      </c>
      <c r="N269" s="101"/>
      <c r="O269" s="101">
        <f t="shared" si="252"/>
        <v>0</v>
      </c>
      <c r="P269" s="101">
        <f t="shared" si="253"/>
        <v>0</v>
      </c>
      <c r="Q269" s="101">
        <f t="shared" si="254"/>
        <v>0</v>
      </c>
      <c r="R269" s="101"/>
      <c r="S269" s="101">
        <f t="shared" si="255"/>
        <v>0</v>
      </c>
      <c r="T269" s="101">
        <f t="shared" si="256"/>
        <v>0</v>
      </c>
      <c r="U269" s="101">
        <f t="shared" si="257"/>
        <v>0</v>
      </c>
      <c r="V269" s="101">
        <f t="shared" si="258"/>
        <v>0</v>
      </c>
      <c r="W269" s="101">
        <f t="shared" si="259"/>
        <v>0</v>
      </c>
      <c r="X269" s="101">
        <f t="shared" si="260"/>
        <v>0</v>
      </c>
      <c r="Y269" s="101">
        <f t="shared" si="261"/>
        <v>0</v>
      </c>
      <c r="Z269" s="101">
        <f t="shared" si="262"/>
        <v>0</v>
      </c>
      <c r="AA269" s="101">
        <f t="shared" si="263"/>
        <v>0</v>
      </c>
      <c r="AB269" s="101">
        <f t="shared" si="264"/>
        <v>0</v>
      </c>
      <c r="AC269" s="101">
        <f t="shared" si="265"/>
        <v>0</v>
      </c>
      <c r="AD269" s="101">
        <f t="shared" si="266"/>
        <v>0</v>
      </c>
      <c r="AE269" s="101"/>
      <c r="AF269" s="101">
        <f t="shared" si="267"/>
        <v>0</v>
      </c>
      <c r="AG269" s="101"/>
      <c r="AH269" s="101">
        <f t="shared" si="268"/>
        <v>0</v>
      </c>
      <c r="AI269" s="101"/>
      <c r="AJ269" s="101">
        <f t="shared" si="269"/>
        <v>0</v>
      </c>
      <c r="AK269" s="101">
        <f t="shared" si="270"/>
        <v>0</v>
      </c>
      <c r="AL269" s="98" t="str">
        <f t="shared" si="271"/>
        <v>ok</v>
      </c>
    </row>
    <row r="270" spans="1:38" x14ac:dyDescent="0.25">
      <c r="A270" s="97">
        <v>597</v>
      </c>
      <c r="B270" s="97" t="s">
        <v>388</v>
      </c>
      <c r="C270" s="97" t="s">
        <v>389</v>
      </c>
      <c r="D270" s="97" t="s">
        <v>178</v>
      </c>
      <c r="F270" s="101">
        <f>'Jurisdictional Study'!F1055</f>
        <v>1371953.1640689725</v>
      </c>
      <c r="H270" s="101">
        <f t="shared" si="246"/>
        <v>0</v>
      </c>
      <c r="I270" s="101">
        <f t="shared" si="247"/>
        <v>0</v>
      </c>
      <c r="J270" s="101">
        <f t="shared" si="248"/>
        <v>0</v>
      </c>
      <c r="K270" s="101">
        <f t="shared" si="249"/>
        <v>0</v>
      </c>
      <c r="L270" s="101">
        <f t="shared" si="250"/>
        <v>0</v>
      </c>
      <c r="M270" s="101">
        <f t="shared" si="251"/>
        <v>0</v>
      </c>
      <c r="N270" s="101"/>
      <c r="O270" s="101">
        <f t="shared" si="252"/>
        <v>0</v>
      </c>
      <c r="P270" s="101">
        <f t="shared" si="253"/>
        <v>0</v>
      </c>
      <c r="Q270" s="101">
        <f t="shared" si="254"/>
        <v>0</v>
      </c>
      <c r="R270" s="101"/>
      <c r="S270" s="101">
        <f t="shared" si="255"/>
        <v>0</v>
      </c>
      <c r="T270" s="101">
        <f t="shared" si="256"/>
        <v>0</v>
      </c>
      <c r="U270" s="101">
        <f t="shared" si="257"/>
        <v>0</v>
      </c>
      <c r="V270" s="101">
        <f t="shared" si="258"/>
        <v>0</v>
      </c>
      <c r="W270" s="101">
        <f t="shared" si="259"/>
        <v>0</v>
      </c>
      <c r="X270" s="101">
        <f t="shared" si="260"/>
        <v>0</v>
      </c>
      <c r="Y270" s="101">
        <f t="shared" si="261"/>
        <v>0</v>
      </c>
      <c r="Z270" s="101">
        <f t="shared" si="262"/>
        <v>0</v>
      </c>
      <c r="AA270" s="101">
        <f t="shared" si="263"/>
        <v>0</v>
      </c>
      <c r="AB270" s="101">
        <f t="shared" si="264"/>
        <v>0</v>
      </c>
      <c r="AC270" s="101">
        <f t="shared" si="265"/>
        <v>1371953.1640689725</v>
      </c>
      <c r="AD270" s="101">
        <f t="shared" si="266"/>
        <v>0</v>
      </c>
      <c r="AE270" s="101"/>
      <c r="AF270" s="101">
        <f t="shared" si="267"/>
        <v>0</v>
      </c>
      <c r="AG270" s="101"/>
      <c r="AH270" s="101">
        <f t="shared" si="268"/>
        <v>0</v>
      </c>
      <c r="AI270" s="101"/>
      <c r="AJ270" s="101">
        <f t="shared" si="269"/>
        <v>0</v>
      </c>
      <c r="AK270" s="101">
        <f t="shared" si="270"/>
        <v>1371953.1640689725</v>
      </c>
      <c r="AL270" s="98" t="str">
        <f t="shared" si="271"/>
        <v>ok</v>
      </c>
    </row>
    <row r="271" spans="1:38" x14ac:dyDescent="0.25">
      <c r="A271" s="97">
        <v>598</v>
      </c>
      <c r="B271" s="97" t="s">
        <v>1617</v>
      </c>
      <c r="C271" s="97" t="s">
        <v>1618</v>
      </c>
      <c r="D271" s="97" t="s">
        <v>115</v>
      </c>
      <c r="F271" s="101">
        <f>'Jurisdictional Study'!F1056</f>
        <v>550313.71965749969</v>
      </c>
      <c r="H271" s="101">
        <f t="shared" si="246"/>
        <v>0</v>
      </c>
      <c r="I271" s="101">
        <f t="shared" si="247"/>
        <v>0</v>
      </c>
      <c r="J271" s="101">
        <f t="shared" si="248"/>
        <v>0</v>
      </c>
      <c r="K271" s="101">
        <f t="shared" si="249"/>
        <v>0</v>
      </c>
      <c r="L271" s="101">
        <f t="shared" si="250"/>
        <v>0</v>
      </c>
      <c r="M271" s="101">
        <f t="shared" si="251"/>
        <v>0</v>
      </c>
      <c r="N271" s="101"/>
      <c r="O271" s="101">
        <f t="shared" si="252"/>
        <v>0</v>
      </c>
      <c r="P271" s="101">
        <f t="shared" si="253"/>
        <v>0</v>
      </c>
      <c r="Q271" s="101">
        <f t="shared" si="254"/>
        <v>0</v>
      </c>
      <c r="R271" s="101"/>
      <c r="S271" s="101">
        <f t="shared" si="255"/>
        <v>0</v>
      </c>
      <c r="T271" s="101">
        <f t="shared" si="256"/>
        <v>66628.297004720458</v>
      </c>
      <c r="U271" s="101">
        <f t="shared" si="257"/>
        <v>0</v>
      </c>
      <c r="V271" s="101">
        <f t="shared" si="258"/>
        <v>72604.318823212016</v>
      </c>
      <c r="W271" s="101">
        <f t="shared" si="259"/>
        <v>134638.1721241113</v>
      </c>
      <c r="X271" s="101">
        <f t="shared" si="260"/>
        <v>33423.855000620133</v>
      </c>
      <c r="Y271" s="101">
        <f t="shared" si="261"/>
        <v>51094.082118412021</v>
      </c>
      <c r="Z271" s="101">
        <f t="shared" si="262"/>
        <v>51885.438386842907</v>
      </c>
      <c r="AA271" s="101">
        <f t="shared" si="263"/>
        <v>46171.783803913204</v>
      </c>
      <c r="AB271" s="101">
        <f t="shared" si="264"/>
        <v>30910.731547234926</v>
      </c>
      <c r="AC271" s="101">
        <f t="shared" si="265"/>
        <v>26374.084545645608</v>
      </c>
      <c r="AD271" s="101">
        <f t="shared" si="266"/>
        <v>36582.956302787105</v>
      </c>
      <c r="AE271" s="101"/>
      <c r="AF271" s="101">
        <f t="shared" si="267"/>
        <v>0</v>
      </c>
      <c r="AG271" s="101"/>
      <c r="AH271" s="101">
        <f t="shared" si="268"/>
        <v>0</v>
      </c>
      <c r="AI271" s="101"/>
      <c r="AJ271" s="101">
        <f t="shared" si="269"/>
        <v>0</v>
      </c>
      <c r="AK271" s="101">
        <f t="shared" si="270"/>
        <v>550313.71965749969</v>
      </c>
      <c r="AL271" s="98" t="str">
        <f t="shared" si="271"/>
        <v>ok</v>
      </c>
    </row>
    <row r="272" spans="1:38" x14ac:dyDescent="0.25">
      <c r="F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98"/>
    </row>
    <row r="273" spans="1:38" x14ac:dyDescent="0.25">
      <c r="A273" s="97" t="s">
        <v>390</v>
      </c>
      <c r="C273" s="97" t="s">
        <v>305</v>
      </c>
      <c r="F273" s="100">
        <f t="shared" ref="F273:M273" si="272">SUM(F263:F272)</f>
        <v>34392454.215919353</v>
      </c>
      <c r="G273" s="100">
        <f t="shared" si="272"/>
        <v>0</v>
      </c>
      <c r="H273" s="100">
        <f t="shared" si="272"/>
        <v>0</v>
      </c>
      <c r="I273" s="100">
        <f t="shared" si="272"/>
        <v>0</v>
      </c>
      <c r="J273" s="100">
        <f t="shared" si="272"/>
        <v>0</v>
      </c>
      <c r="K273" s="100">
        <f t="shared" si="272"/>
        <v>0</v>
      </c>
      <c r="L273" s="100">
        <f t="shared" si="272"/>
        <v>0</v>
      </c>
      <c r="M273" s="100">
        <f t="shared" si="272"/>
        <v>0</v>
      </c>
      <c r="N273" s="100"/>
      <c r="O273" s="100">
        <f>SUM(O263:O272)</f>
        <v>0</v>
      </c>
      <c r="P273" s="100">
        <f>SUM(P263:P272)</f>
        <v>0</v>
      </c>
      <c r="Q273" s="100">
        <f>SUM(Q263:Q272)</f>
        <v>0</v>
      </c>
      <c r="R273" s="100"/>
      <c r="S273" s="100">
        <f t="shared" ref="S273:AD273" si="273">SUM(S263:S272)</f>
        <v>0</v>
      </c>
      <c r="T273" s="100">
        <f t="shared" si="273"/>
        <v>1358130.344552425</v>
      </c>
      <c r="U273" s="100">
        <f t="shared" si="273"/>
        <v>0</v>
      </c>
      <c r="V273" s="100">
        <f t="shared" si="273"/>
        <v>8281547.2059716899</v>
      </c>
      <c r="W273" s="100">
        <f t="shared" si="273"/>
        <v>12405379.855969282</v>
      </c>
      <c r="X273" s="100">
        <f t="shared" si="273"/>
        <v>4346931.2673716629</v>
      </c>
      <c r="Y273" s="100">
        <f t="shared" si="273"/>
        <v>6339847.6898139752</v>
      </c>
      <c r="Z273" s="100">
        <f t="shared" si="273"/>
        <v>103073.72721372737</v>
      </c>
      <c r="AA273" s="100">
        <f t="shared" si="273"/>
        <v>91723.188561948366</v>
      </c>
      <c r="AB273" s="100">
        <f t="shared" si="273"/>
        <v>30910.731547234926</v>
      </c>
      <c r="AC273" s="100">
        <f t="shared" si="273"/>
        <v>1398327.2486146181</v>
      </c>
      <c r="AD273" s="100">
        <f t="shared" si="273"/>
        <v>36582.956302787105</v>
      </c>
      <c r="AE273" s="100"/>
      <c r="AF273" s="100">
        <f>SUM(AF263:AF272)</f>
        <v>0</v>
      </c>
      <c r="AG273" s="100"/>
      <c r="AH273" s="100">
        <f>SUM(AH263:AH272)</f>
        <v>0</v>
      </c>
      <c r="AI273" s="100"/>
      <c r="AJ273" s="100">
        <f>SUM(AJ263:AJ272)</f>
        <v>0</v>
      </c>
      <c r="AK273" s="101">
        <f>SUM(H273:AJ273)</f>
        <v>34392454.215919353</v>
      </c>
      <c r="AL273" s="98" t="str">
        <f>IF(ABS(AK273-F273)&lt;1,"ok","err")</f>
        <v>ok</v>
      </c>
    </row>
    <row r="274" spans="1:38" x14ac:dyDescent="0.25">
      <c r="F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L274" s="98"/>
    </row>
    <row r="275" spans="1:38" x14ac:dyDescent="0.25">
      <c r="A275" s="97" t="s">
        <v>484</v>
      </c>
      <c r="F275" s="101">
        <f t="shared" ref="F275:M275" si="274">F258+F273</f>
        <v>58098349.245295174</v>
      </c>
      <c r="G275" s="101">
        <f t="shared" si="274"/>
        <v>0</v>
      </c>
      <c r="H275" s="101">
        <f t="shared" si="274"/>
        <v>0</v>
      </c>
      <c r="I275" s="101">
        <f t="shared" si="274"/>
        <v>0</v>
      </c>
      <c r="J275" s="101">
        <f t="shared" si="274"/>
        <v>0</v>
      </c>
      <c r="K275" s="101">
        <f t="shared" si="274"/>
        <v>0</v>
      </c>
      <c r="L275" s="101">
        <f t="shared" si="274"/>
        <v>0</v>
      </c>
      <c r="M275" s="101">
        <f t="shared" si="274"/>
        <v>0</v>
      </c>
      <c r="N275" s="101"/>
      <c r="O275" s="101">
        <f>O258+O273</f>
        <v>0</v>
      </c>
      <c r="P275" s="101">
        <f>P258+P273</f>
        <v>0</v>
      </c>
      <c r="Q275" s="101">
        <f>Q258+Q273</f>
        <v>0</v>
      </c>
      <c r="R275" s="101"/>
      <c r="S275" s="101">
        <f t="shared" ref="S275:AD275" si="275">S258+S273</f>
        <v>0</v>
      </c>
      <c r="T275" s="101">
        <f t="shared" si="275"/>
        <v>4510559.0847164886</v>
      </c>
      <c r="U275" s="101">
        <f t="shared" si="275"/>
        <v>0</v>
      </c>
      <c r="V275" s="101">
        <f t="shared" si="275"/>
        <v>10547277.853181303</v>
      </c>
      <c r="W275" s="101">
        <f t="shared" si="275"/>
        <v>16072621.950832078</v>
      </c>
      <c r="X275" s="101">
        <f t="shared" si="275"/>
        <v>5486720.5058330726</v>
      </c>
      <c r="Y275" s="101">
        <f t="shared" si="275"/>
        <v>8026968.8945814846</v>
      </c>
      <c r="Z275" s="101">
        <f t="shared" si="275"/>
        <v>777099.37694364041</v>
      </c>
      <c r="AA275" s="101">
        <f t="shared" si="275"/>
        <v>691524.74262404756</v>
      </c>
      <c r="AB275" s="101">
        <f t="shared" si="275"/>
        <v>432461.27371313045</v>
      </c>
      <c r="AC275" s="101">
        <f t="shared" si="275"/>
        <v>11184096.169183971</v>
      </c>
      <c r="AD275" s="101">
        <f t="shared" si="275"/>
        <v>369019.39368595515</v>
      </c>
      <c r="AE275" s="101"/>
      <c r="AF275" s="101">
        <f>AF258+AF273</f>
        <v>0</v>
      </c>
      <c r="AG275" s="101"/>
      <c r="AH275" s="101">
        <f>AH258+AH273</f>
        <v>0</v>
      </c>
      <c r="AI275" s="101"/>
      <c r="AJ275" s="101">
        <f>AJ258+AJ273</f>
        <v>0</v>
      </c>
      <c r="AK275" s="101">
        <f>SUM(H275:AJ275)</f>
        <v>58098349.24529516</v>
      </c>
      <c r="AL275" s="98" t="str">
        <f>IF(ABS(AK275-F275)&lt;1,"ok","err")</f>
        <v>ok</v>
      </c>
    </row>
    <row r="276" spans="1:38" x14ac:dyDescent="0.25"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L276" s="98"/>
    </row>
    <row r="277" spans="1:38" x14ac:dyDescent="0.25">
      <c r="A277" s="97" t="s">
        <v>485</v>
      </c>
      <c r="F277" s="101">
        <f t="shared" ref="F277:M277" si="276">F275+F242</f>
        <v>93804360.423808664</v>
      </c>
      <c r="G277" s="101">
        <f t="shared" si="276"/>
        <v>0</v>
      </c>
      <c r="H277" s="101">
        <f t="shared" si="276"/>
        <v>0</v>
      </c>
      <c r="I277" s="101">
        <f t="shared" si="276"/>
        <v>0</v>
      </c>
      <c r="J277" s="101">
        <f t="shared" si="276"/>
        <v>0</v>
      </c>
      <c r="K277" s="101">
        <f t="shared" si="276"/>
        <v>0</v>
      </c>
      <c r="L277" s="101">
        <f t="shared" si="276"/>
        <v>0</v>
      </c>
      <c r="M277" s="101">
        <f t="shared" si="276"/>
        <v>0</v>
      </c>
      <c r="N277" s="101"/>
      <c r="O277" s="101">
        <f>O275+O242</f>
        <v>35706011.17851349</v>
      </c>
      <c r="P277" s="101">
        <f>P275+P242</f>
        <v>0</v>
      </c>
      <c r="Q277" s="101">
        <f>Q275+Q242</f>
        <v>0</v>
      </c>
      <c r="R277" s="101"/>
      <c r="S277" s="101">
        <f t="shared" ref="S277:AD277" si="277">S275+S242</f>
        <v>0</v>
      </c>
      <c r="T277" s="101">
        <f t="shared" si="277"/>
        <v>4510559.0847164886</v>
      </c>
      <c r="U277" s="101">
        <f t="shared" si="277"/>
        <v>0</v>
      </c>
      <c r="V277" s="101">
        <f t="shared" si="277"/>
        <v>10547277.853181303</v>
      </c>
      <c r="W277" s="101">
        <f t="shared" si="277"/>
        <v>16072621.950832078</v>
      </c>
      <c r="X277" s="101">
        <f t="shared" si="277"/>
        <v>5486720.5058330726</v>
      </c>
      <c r="Y277" s="101">
        <f t="shared" si="277"/>
        <v>8026968.8945814846</v>
      </c>
      <c r="Z277" s="101">
        <f t="shared" si="277"/>
        <v>777099.37694364041</v>
      </c>
      <c r="AA277" s="101">
        <f t="shared" si="277"/>
        <v>691524.74262404756</v>
      </c>
      <c r="AB277" s="101">
        <f t="shared" si="277"/>
        <v>432461.27371313045</v>
      </c>
      <c r="AC277" s="101">
        <f t="shared" si="277"/>
        <v>11184096.169183971</v>
      </c>
      <c r="AD277" s="101">
        <f t="shared" si="277"/>
        <v>369019.39368595515</v>
      </c>
      <c r="AE277" s="101"/>
      <c r="AF277" s="101">
        <f>AF275+AF242</f>
        <v>0</v>
      </c>
      <c r="AG277" s="101"/>
      <c r="AH277" s="101">
        <f>AH275+AH242</f>
        <v>0</v>
      </c>
      <c r="AI277" s="101"/>
      <c r="AJ277" s="101">
        <f>AJ275+AJ242</f>
        <v>0</v>
      </c>
      <c r="AK277" s="101">
        <f>SUM(H277:AJ277)</f>
        <v>93804360.423808634</v>
      </c>
      <c r="AL277" s="98" t="str">
        <f>IF(ABS(AK277-F277)&lt;1,"ok","err")</f>
        <v>ok</v>
      </c>
    </row>
    <row r="278" spans="1:38" x14ac:dyDescent="0.25"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L278" s="98"/>
    </row>
    <row r="279" spans="1:38" x14ac:dyDescent="0.25">
      <c r="A279" s="97" t="s">
        <v>1620</v>
      </c>
      <c r="C279" s="97" t="s">
        <v>306</v>
      </c>
      <c r="F279" s="100">
        <f>F224+F242+F275</f>
        <v>781101236.84857917</v>
      </c>
      <c r="G279" s="100">
        <f>G277+G222</f>
        <v>0</v>
      </c>
      <c r="H279" s="100">
        <f t="shared" ref="H279:M279" si="278">H224+H242+H275</f>
        <v>24218939.273041509</v>
      </c>
      <c r="I279" s="100">
        <f t="shared" si="278"/>
        <v>23093636.130027201</v>
      </c>
      <c r="J279" s="100">
        <f t="shared" si="278"/>
        <v>23178849.899386439</v>
      </c>
      <c r="K279" s="100">
        <f t="shared" si="278"/>
        <v>616805451.12231529</v>
      </c>
      <c r="L279" s="100">
        <f t="shared" si="278"/>
        <v>0</v>
      </c>
      <c r="M279" s="100">
        <f t="shared" si="278"/>
        <v>0</v>
      </c>
      <c r="N279" s="100"/>
      <c r="O279" s="100">
        <f>O224+O242+O275</f>
        <v>35706011.17851349</v>
      </c>
      <c r="P279" s="100">
        <f>P224+P242+P275</f>
        <v>0</v>
      </c>
      <c r="Q279" s="100">
        <f>Q224+Q242+Q275</f>
        <v>0</v>
      </c>
      <c r="R279" s="100"/>
      <c r="S279" s="100">
        <f t="shared" ref="S279:AD279" si="279">S224+S242+S275</f>
        <v>0</v>
      </c>
      <c r="T279" s="100">
        <f t="shared" si="279"/>
        <v>4510559.0847164886</v>
      </c>
      <c r="U279" s="100">
        <f t="shared" si="279"/>
        <v>0</v>
      </c>
      <c r="V279" s="100">
        <f t="shared" si="279"/>
        <v>10547277.853181303</v>
      </c>
      <c r="W279" s="100">
        <f t="shared" si="279"/>
        <v>16072621.950832078</v>
      </c>
      <c r="X279" s="100">
        <f t="shared" si="279"/>
        <v>5486720.5058330726</v>
      </c>
      <c r="Y279" s="100">
        <f t="shared" si="279"/>
        <v>8026968.8945814846</v>
      </c>
      <c r="Z279" s="100">
        <f t="shared" si="279"/>
        <v>777099.37694364041</v>
      </c>
      <c r="AA279" s="100">
        <f t="shared" si="279"/>
        <v>691524.74262404756</v>
      </c>
      <c r="AB279" s="100">
        <f t="shared" si="279"/>
        <v>432461.27371313045</v>
      </c>
      <c r="AC279" s="100">
        <f t="shared" si="279"/>
        <v>11184096.169183971</v>
      </c>
      <c r="AD279" s="100">
        <f t="shared" si="279"/>
        <v>369019.39368595515</v>
      </c>
      <c r="AE279" s="100"/>
      <c r="AF279" s="100">
        <f>AF224+AF242+AF275</f>
        <v>0</v>
      </c>
      <c r="AG279" s="100"/>
      <c r="AH279" s="100">
        <f>AH224+AH242+AH275</f>
        <v>0</v>
      </c>
      <c r="AI279" s="100"/>
      <c r="AJ279" s="100">
        <f>AJ224+AJ242+AJ275</f>
        <v>0</v>
      </c>
      <c r="AK279" s="101">
        <f>SUM(H279:AJ279)</f>
        <v>781101236.84857905</v>
      </c>
      <c r="AL279" s="98" t="str">
        <f>IF(ABS(AK279-F279)&lt;1,"ok","err")</f>
        <v>ok</v>
      </c>
    </row>
    <row r="280" spans="1:38" x14ac:dyDescent="0.25">
      <c r="A280" s="24"/>
      <c r="F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L280" s="98"/>
    </row>
    <row r="281" spans="1:38" x14ac:dyDescent="0.25">
      <c r="A281" s="24" t="s">
        <v>309</v>
      </c>
      <c r="F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L281" s="98"/>
    </row>
    <row r="282" spans="1:38" x14ac:dyDescent="0.25">
      <c r="A282" s="97">
        <v>901</v>
      </c>
      <c r="B282" s="97" t="s">
        <v>310</v>
      </c>
      <c r="C282" s="97" t="s">
        <v>311</v>
      </c>
      <c r="D282" s="97" t="s">
        <v>741</v>
      </c>
      <c r="F282" s="100">
        <f>'Jurisdictional Study'!F1065</f>
        <v>3631553.6494342163</v>
      </c>
      <c r="H282" s="101">
        <f>IF(VLOOKUP($D282,$C$5:$AJ$644,6,)=0,0,((VLOOKUP($D282,$C$5:$AJ$644,6,)/VLOOKUP($D282,$C$5:$AJ$644,4,))*$F282))</f>
        <v>0</v>
      </c>
      <c r="I282" s="101">
        <f>IF(VLOOKUP($D282,$C$5:$AJ$644,7,)=0,0,((VLOOKUP($D282,$C$5:$AJ$644,7,)/VLOOKUP($D282,$C$5:$AJ$644,4,))*$F282))</f>
        <v>0</v>
      </c>
      <c r="J282" s="101">
        <f>IF(VLOOKUP($D282,$C$5:$AJ$644,8,)=0,0,((VLOOKUP($D282,$C$5:$AJ$644,8,)/VLOOKUP($D282,$C$5:$AJ$644,4,))*$F282))</f>
        <v>0</v>
      </c>
      <c r="K282" s="101">
        <f>IF(VLOOKUP($D282,$C$5:$AJ$644,9,)=0,0,((VLOOKUP($D282,$C$5:$AJ$644,9,)/VLOOKUP($D282,$C$5:$AJ$644,4,))*$F282))</f>
        <v>0</v>
      </c>
      <c r="L282" s="101">
        <f>IF(VLOOKUP($D282,$C$5:$AJ$644,10,)=0,0,((VLOOKUP($D282,$C$5:$AJ$644,10,)/VLOOKUP($D282,$C$5:$AJ$644,4,))*$F282))</f>
        <v>0</v>
      </c>
      <c r="M282" s="101">
        <f>IF(VLOOKUP($D282,$C$5:$AJ$644,11,)=0,0,((VLOOKUP($D282,$C$5:$AJ$644,11,)/VLOOKUP($D282,$C$5:$AJ$644,4,))*$F282))</f>
        <v>0</v>
      </c>
      <c r="N282" s="101"/>
      <c r="O282" s="101">
        <f>IF(VLOOKUP($D282,$C$5:$AJ$644,13,)=0,0,((VLOOKUP($D282,$C$5:$AJ$644,13,)/VLOOKUP($D282,$C$5:$AJ$644,4,))*$F282))</f>
        <v>0</v>
      </c>
      <c r="P282" s="101">
        <f>IF(VLOOKUP($D282,$C$5:$AJ$644,14,)=0,0,((VLOOKUP($D282,$C$5:$AJ$644,14,)/VLOOKUP($D282,$C$5:$AJ$644,4,))*$F282))</f>
        <v>0</v>
      </c>
      <c r="Q282" s="101">
        <f>IF(VLOOKUP($D282,$C$5:$AJ$644,15,)=0,0,((VLOOKUP($D282,$C$5:$AJ$644,15,)/VLOOKUP($D282,$C$5:$AJ$644,4,))*$F282))</f>
        <v>0</v>
      </c>
      <c r="R282" s="101"/>
      <c r="S282" s="101">
        <f>IF(VLOOKUP($D282,$C$5:$AJ$644,17,)=0,0,((VLOOKUP($D282,$C$5:$AJ$644,17,)/VLOOKUP($D282,$C$5:$AJ$644,4,))*$F282))</f>
        <v>0</v>
      </c>
      <c r="T282" s="101">
        <f>IF(VLOOKUP($D282,$C$5:$AJ$644,18,)=0,0,((VLOOKUP($D282,$C$5:$AJ$644,18,)/VLOOKUP($D282,$C$5:$AJ$644,4,))*$F282))</f>
        <v>0</v>
      </c>
      <c r="U282" s="101">
        <f>IF(VLOOKUP($D282,$C$5:$AJ$644,19,)=0,0,((VLOOKUP($D282,$C$5:$AJ$644,19,)/VLOOKUP($D282,$C$5:$AJ$644,4,))*$F282))</f>
        <v>0</v>
      </c>
      <c r="V282" s="101">
        <f>IF(VLOOKUP($D282,$C$5:$AJ$644,20,)=0,0,((VLOOKUP($D282,$C$5:$AJ$644,20,)/VLOOKUP($D282,$C$5:$AJ$644,4,))*$F282))</f>
        <v>0</v>
      </c>
      <c r="W282" s="101">
        <f>IF(VLOOKUP($D282,$C$5:$AJ$644,21,)=0,0,((VLOOKUP($D282,$C$5:$AJ$644,21,)/VLOOKUP($D282,$C$5:$AJ$644,4,))*$F282))</f>
        <v>0</v>
      </c>
      <c r="X282" s="101">
        <f>IF(VLOOKUP($D282,$C$5:$AJ$644,22,)=0,0,((VLOOKUP($D282,$C$5:$AJ$644,22,)/VLOOKUP($D282,$C$5:$AJ$644,4,))*$F282))</f>
        <v>0</v>
      </c>
      <c r="Y282" s="101">
        <f>IF(VLOOKUP($D282,$C$5:$AJ$644,23,)=0,0,((VLOOKUP($D282,$C$5:$AJ$644,23,)/VLOOKUP($D282,$C$5:$AJ$644,4,))*$F282))</f>
        <v>0</v>
      </c>
      <c r="Z282" s="101">
        <f>IF(VLOOKUP($D282,$C$5:$AJ$644,24,)=0,0,((VLOOKUP($D282,$C$5:$AJ$644,24,)/VLOOKUP($D282,$C$5:$AJ$644,4,))*$F282))</f>
        <v>0</v>
      </c>
      <c r="AA282" s="101">
        <f>IF(VLOOKUP($D282,$C$5:$AJ$644,25,)=0,0,((VLOOKUP($D282,$C$5:$AJ$644,25,)/VLOOKUP($D282,$C$5:$AJ$644,4,))*$F282))</f>
        <v>0</v>
      </c>
      <c r="AB282" s="101">
        <f>IF(VLOOKUP($D282,$C$5:$AJ$644,26,)=0,0,((VLOOKUP($D282,$C$5:$AJ$644,26,)/VLOOKUP($D282,$C$5:$AJ$644,4,))*$F282))</f>
        <v>0</v>
      </c>
      <c r="AC282" s="101">
        <f>IF(VLOOKUP($D282,$C$5:$AJ$644,27,)=0,0,((VLOOKUP($D282,$C$5:$AJ$644,27,)/VLOOKUP($D282,$C$5:$AJ$644,4,))*$F282))</f>
        <v>0</v>
      </c>
      <c r="AD282" s="101">
        <f>IF(VLOOKUP($D282,$C$5:$AJ$644,28,)=0,0,((VLOOKUP($D282,$C$5:$AJ$644,28,)/VLOOKUP($D282,$C$5:$AJ$644,4,))*$F282))</f>
        <v>0</v>
      </c>
      <c r="AE282" s="101"/>
      <c r="AF282" s="101">
        <f>IF(VLOOKUP($D282,$C$5:$AJ$644,30,)=0,0,((VLOOKUP($D282,$C$5:$AJ$644,30,)/VLOOKUP($D282,$C$5:$AJ$644,4,))*$F282))</f>
        <v>3631553.6494342163</v>
      </c>
      <c r="AG282" s="101"/>
      <c r="AH282" s="101">
        <f>IF(VLOOKUP($D282,$C$5:$AJ$644,32,)=0,0,((VLOOKUP($D282,$C$5:$AJ$644,32,)/VLOOKUP($D282,$C$5:$AJ$644,4,))*$F282))</f>
        <v>0</v>
      </c>
      <c r="AI282" s="101"/>
      <c r="AJ282" s="101">
        <f>IF(VLOOKUP($D282,$C$5:$AJ$644,34,)=0,0,((VLOOKUP($D282,$C$5:$AJ$644,34,)/VLOOKUP($D282,$C$5:$AJ$644,4,))*$F282))</f>
        <v>0</v>
      </c>
      <c r="AK282" s="101">
        <f>SUM(H282:AJ282)</f>
        <v>3631553.6494342163</v>
      </c>
      <c r="AL282" s="98" t="str">
        <f>IF(ABS(AK282-F282)&lt;1,"ok","err")</f>
        <v>ok</v>
      </c>
    </row>
    <row r="283" spans="1:38" x14ac:dyDescent="0.25">
      <c r="A283" s="97">
        <v>902</v>
      </c>
      <c r="B283" s="97" t="s">
        <v>313</v>
      </c>
      <c r="C283" s="97" t="s">
        <v>314</v>
      </c>
      <c r="D283" s="97" t="s">
        <v>741</v>
      </c>
      <c r="F283" s="101">
        <f>'Jurisdictional Study'!F1066</f>
        <v>5301482.1130486084</v>
      </c>
      <c r="H283" s="101">
        <f>IF(VLOOKUP($D283,$C$5:$AJ$644,6,)=0,0,((VLOOKUP($D283,$C$5:$AJ$644,6,)/VLOOKUP($D283,$C$5:$AJ$644,4,))*$F283))</f>
        <v>0</v>
      </c>
      <c r="I283" s="101">
        <f>IF(VLOOKUP($D283,$C$5:$AJ$644,7,)=0,0,((VLOOKUP($D283,$C$5:$AJ$644,7,)/VLOOKUP($D283,$C$5:$AJ$644,4,))*$F283))</f>
        <v>0</v>
      </c>
      <c r="J283" s="101">
        <f>IF(VLOOKUP($D283,$C$5:$AJ$644,8,)=0,0,((VLOOKUP($D283,$C$5:$AJ$644,8,)/VLOOKUP($D283,$C$5:$AJ$644,4,))*$F283))</f>
        <v>0</v>
      </c>
      <c r="K283" s="101">
        <f>IF(VLOOKUP($D283,$C$5:$AJ$644,9,)=0,0,((VLOOKUP($D283,$C$5:$AJ$644,9,)/VLOOKUP($D283,$C$5:$AJ$644,4,))*$F283))</f>
        <v>0</v>
      </c>
      <c r="L283" s="101">
        <f>IF(VLOOKUP($D283,$C$5:$AJ$644,10,)=0,0,((VLOOKUP($D283,$C$5:$AJ$644,10,)/VLOOKUP($D283,$C$5:$AJ$644,4,))*$F283))</f>
        <v>0</v>
      </c>
      <c r="M283" s="101">
        <f>IF(VLOOKUP($D283,$C$5:$AJ$644,11,)=0,0,((VLOOKUP($D283,$C$5:$AJ$644,11,)/VLOOKUP($D283,$C$5:$AJ$644,4,))*$F283))</f>
        <v>0</v>
      </c>
      <c r="N283" s="101"/>
      <c r="O283" s="101">
        <f>IF(VLOOKUP($D283,$C$5:$AJ$644,13,)=0,0,((VLOOKUP($D283,$C$5:$AJ$644,13,)/VLOOKUP($D283,$C$5:$AJ$644,4,))*$F283))</f>
        <v>0</v>
      </c>
      <c r="P283" s="101">
        <f>IF(VLOOKUP($D283,$C$5:$AJ$644,14,)=0,0,((VLOOKUP($D283,$C$5:$AJ$644,14,)/VLOOKUP($D283,$C$5:$AJ$644,4,))*$F283))</f>
        <v>0</v>
      </c>
      <c r="Q283" s="101">
        <f>IF(VLOOKUP($D283,$C$5:$AJ$644,15,)=0,0,((VLOOKUP($D283,$C$5:$AJ$644,15,)/VLOOKUP($D283,$C$5:$AJ$644,4,))*$F283))</f>
        <v>0</v>
      </c>
      <c r="R283" s="101"/>
      <c r="S283" s="101">
        <f>IF(VLOOKUP($D283,$C$5:$AJ$644,17,)=0,0,((VLOOKUP($D283,$C$5:$AJ$644,17,)/VLOOKUP($D283,$C$5:$AJ$644,4,))*$F283))</f>
        <v>0</v>
      </c>
      <c r="T283" s="101">
        <f>IF(VLOOKUP($D283,$C$5:$AJ$644,18,)=0,0,((VLOOKUP($D283,$C$5:$AJ$644,18,)/VLOOKUP($D283,$C$5:$AJ$644,4,))*$F283))</f>
        <v>0</v>
      </c>
      <c r="U283" s="101">
        <f>IF(VLOOKUP($D283,$C$5:$AJ$644,19,)=0,0,((VLOOKUP($D283,$C$5:$AJ$644,19,)/VLOOKUP($D283,$C$5:$AJ$644,4,))*$F283))</f>
        <v>0</v>
      </c>
      <c r="V283" s="101">
        <f>IF(VLOOKUP($D283,$C$5:$AJ$644,20,)=0,0,((VLOOKUP($D283,$C$5:$AJ$644,20,)/VLOOKUP($D283,$C$5:$AJ$644,4,))*$F283))</f>
        <v>0</v>
      </c>
      <c r="W283" s="101">
        <f>IF(VLOOKUP($D283,$C$5:$AJ$644,21,)=0,0,((VLOOKUP($D283,$C$5:$AJ$644,21,)/VLOOKUP($D283,$C$5:$AJ$644,4,))*$F283))</f>
        <v>0</v>
      </c>
      <c r="X283" s="101">
        <f>IF(VLOOKUP($D283,$C$5:$AJ$644,22,)=0,0,((VLOOKUP($D283,$C$5:$AJ$644,22,)/VLOOKUP($D283,$C$5:$AJ$644,4,))*$F283))</f>
        <v>0</v>
      </c>
      <c r="Y283" s="101">
        <f>IF(VLOOKUP($D283,$C$5:$AJ$644,23,)=0,0,((VLOOKUP($D283,$C$5:$AJ$644,23,)/VLOOKUP($D283,$C$5:$AJ$644,4,))*$F283))</f>
        <v>0</v>
      </c>
      <c r="Z283" s="101">
        <f>IF(VLOOKUP($D283,$C$5:$AJ$644,24,)=0,0,((VLOOKUP($D283,$C$5:$AJ$644,24,)/VLOOKUP($D283,$C$5:$AJ$644,4,))*$F283))</f>
        <v>0</v>
      </c>
      <c r="AA283" s="101">
        <f>IF(VLOOKUP($D283,$C$5:$AJ$644,25,)=0,0,((VLOOKUP($D283,$C$5:$AJ$644,25,)/VLOOKUP($D283,$C$5:$AJ$644,4,))*$F283))</f>
        <v>0</v>
      </c>
      <c r="AB283" s="101">
        <f>IF(VLOOKUP($D283,$C$5:$AJ$644,26,)=0,0,((VLOOKUP($D283,$C$5:$AJ$644,26,)/VLOOKUP($D283,$C$5:$AJ$644,4,))*$F283))</f>
        <v>0</v>
      </c>
      <c r="AC283" s="101">
        <f>IF(VLOOKUP($D283,$C$5:$AJ$644,27,)=0,0,((VLOOKUP($D283,$C$5:$AJ$644,27,)/VLOOKUP($D283,$C$5:$AJ$644,4,))*$F283))</f>
        <v>0</v>
      </c>
      <c r="AD283" s="101">
        <f>IF(VLOOKUP($D283,$C$5:$AJ$644,28,)=0,0,((VLOOKUP($D283,$C$5:$AJ$644,28,)/VLOOKUP($D283,$C$5:$AJ$644,4,))*$F283))</f>
        <v>0</v>
      </c>
      <c r="AE283" s="101"/>
      <c r="AF283" s="101">
        <f>IF(VLOOKUP($D283,$C$5:$AJ$644,30,)=0,0,((VLOOKUP($D283,$C$5:$AJ$644,30,)/VLOOKUP($D283,$C$5:$AJ$644,4,))*$F283))</f>
        <v>5301482.1130486084</v>
      </c>
      <c r="AG283" s="101"/>
      <c r="AH283" s="101">
        <f>IF(VLOOKUP($D283,$C$5:$AJ$644,32,)=0,0,((VLOOKUP($D283,$C$5:$AJ$644,32,)/VLOOKUP($D283,$C$5:$AJ$644,4,))*$F283))</f>
        <v>0</v>
      </c>
      <c r="AI283" s="101"/>
      <c r="AJ283" s="101">
        <f>IF(VLOOKUP($D283,$C$5:$AJ$644,34,)=0,0,((VLOOKUP($D283,$C$5:$AJ$644,34,)/VLOOKUP($D283,$C$5:$AJ$644,4,))*$F283))</f>
        <v>0</v>
      </c>
      <c r="AK283" s="101">
        <f>SUM(H283:AJ283)</f>
        <v>5301482.1130486084</v>
      </c>
      <c r="AL283" s="98" t="str">
        <f>IF(ABS(AK283-F283)&lt;1,"ok","err")</f>
        <v>ok</v>
      </c>
    </row>
    <row r="284" spans="1:38" x14ac:dyDescent="0.25">
      <c r="A284" s="97">
        <v>903</v>
      </c>
      <c r="B284" s="97" t="s">
        <v>1371</v>
      </c>
      <c r="C284" s="97" t="s">
        <v>315</v>
      </c>
      <c r="D284" s="97" t="s">
        <v>741</v>
      </c>
      <c r="F284" s="101">
        <f>'Jurisdictional Study'!F1067</f>
        <v>20167471.118949976</v>
      </c>
      <c r="H284" s="101">
        <f>IF(VLOOKUP($D284,$C$5:$AJ$644,6,)=0,0,((VLOOKUP($D284,$C$5:$AJ$644,6,)/VLOOKUP($D284,$C$5:$AJ$644,4,))*$F284))</f>
        <v>0</v>
      </c>
      <c r="I284" s="101">
        <f>IF(VLOOKUP($D284,$C$5:$AJ$644,7,)=0,0,((VLOOKUP($D284,$C$5:$AJ$644,7,)/VLOOKUP($D284,$C$5:$AJ$644,4,))*$F284))</f>
        <v>0</v>
      </c>
      <c r="J284" s="101">
        <f>IF(VLOOKUP($D284,$C$5:$AJ$644,8,)=0,0,((VLOOKUP($D284,$C$5:$AJ$644,8,)/VLOOKUP($D284,$C$5:$AJ$644,4,))*$F284))</f>
        <v>0</v>
      </c>
      <c r="K284" s="101">
        <f>IF(VLOOKUP($D284,$C$5:$AJ$644,9,)=0,0,((VLOOKUP($D284,$C$5:$AJ$644,9,)/VLOOKUP($D284,$C$5:$AJ$644,4,))*$F284))</f>
        <v>0</v>
      </c>
      <c r="L284" s="101">
        <f>IF(VLOOKUP($D284,$C$5:$AJ$644,10,)=0,0,((VLOOKUP($D284,$C$5:$AJ$644,10,)/VLOOKUP($D284,$C$5:$AJ$644,4,))*$F284))</f>
        <v>0</v>
      </c>
      <c r="M284" s="101">
        <f>IF(VLOOKUP($D284,$C$5:$AJ$644,11,)=0,0,((VLOOKUP($D284,$C$5:$AJ$644,11,)/VLOOKUP($D284,$C$5:$AJ$644,4,))*$F284))</f>
        <v>0</v>
      </c>
      <c r="N284" s="101"/>
      <c r="O284" s="101">
        <f>IF(VLOOKUP($D284,$C$5:$AJ$644,13,)=0,0,((VLOOKUP($D284,$C$5:$AJ$644,13,)/VLOOKUP($D284,$C$5:$AJ$644,4,))*$F284))</f>
        <v>0</v>
      </c>
      <c r="P284" s="101">
        <f>IF(VLOOKUP($D284,$C$5:$AJ$644,14,)=0,0,((VLOOKUP($D284,$C$5:$AJ$644,14,)/VLOOKUP($D284,$C$5:$AJ$644,4,))*$F284))</f>
        <v>0</v>
      </c>
      <c r="Q284" s="101">
        <f>IF(VLOOKUP($D284,$C$5:$AJ$644,15,)=0,0,((VLOOKUP($D284,$C$5:$AJ$644,15,)/VLOOKUP($D284,$C$5:$AJ$644,4,))*$F284))</f>
        <v>0</v>
      </c>
      <c r="R284" s="101"/>
      <c r="S284" s="101">
        <f>IF(VLOOKUP($D284,$C$5:$AJ$644,17,)=0,0,((VLOOKUP($D284,$C$5:$AJ$644,17,)/VLOOKUP($D284,$C$5:$AJ$644,4,))*$F284))</f>
        <v>0</v>
      </c>
      <c r="T284" s="101">
        <f>IF(VLOOKUP($D284,$C$5:$AJ$644,18,)=0,0,((VLOOKUP($D284,$C$5:$AJ$644,18,)/VLOOKUP($D284,$C$5:$AJ$644,4,))*$F284))</f>
        <v>0</v>
      </c>
      <c r="U284" s="101">
        <f>IF(VLOOKUP($D284,$C$5:$AJ$644,19,)=0,0,((VLOOKUP($D284,$C$5:$AJ$644,19,)/VLOOKUP($D284,$C$5:$AJ$644,4,))*$F284))</f>
        <v>0</v>
      </c>
      <c r="V284" s="101">
        <f>IF(VLOOKUP($D284,$C$5:$AJ$644,20,)=0,0,((VLOOKUP($D284,$C$5:$AJ$644,20,)/VLOOKUP($D284,$C$5:$AJ$644,4,))*$F284))</f>
        <v>0</v>
      </c>
      <c r="W284" s="101">
        <f>IF(VLOOKUP($D284,$C$5:$AJ$644,21,)=0,0,((VLOOKUP($D284,$C$5:$AJ$644,21,)/VLOOKUP($D284,$C$5:$AJ$644,4,))*$F284))</f>
        <v>0</v>
      </c>
      <c r="X284" s="101">
        <f>IF(VLOOKUP($D284,$C$5:$AJ$644,22,)=0,0,((VLOOKUP($D284,$C$5:$AJ$644,22,)/VLOOKUP($D284,$C$5:$AJ$644,4,))*$F284))</f>
        <v>0</v>
      </c>
      <c r="Y284" s="101">
        <f>IF(VLOOKUP($D284,$C$5:$AJ$644,23,)=0,0,((VLOOKUP($D284,$C$5:$AJ$644,23,)/VLOOKUP($D284,$C$5:$AJ$644,4,))*$F284))</f>
        <v>0</v>
      </c>
      <c r="Z284" s="101">
        <f>IF(VLOOKUP($D284,$C$5:$AJ$644,24,)=0,0,((VLOOKUP($D284,$C$5:$AJ$644,24,)/VLOOKUP($D284,$C$5:$AJ$644,4,))*$F284))</f>
        <v>0</v>
      </c>
      <c r="AA284" s="101">
        <f>IF(VLOOKUP($D284,$C$5:$AJ$644,25,)=0,0,((VLOOKUP($D284,$C$5:$AJ$644,25,)/VLOOKUP($D284,$C$5:$AJ$644,4,))*$F284))</f>
        <v>0</v>
      </c>
      <c r="AB284" s="101">
        <f>IF(VLOOKUP($D284,$C$5:$AJ$644,26,)=0,0,((VLOOKUP($D284,$C$5:$AJ$644,26,)/VLOOKUP($D284,$C$5:$AJ$644,4,))*$F284))</f>
        <v>0</v>
      </c>
      <c r="AC284" s="101">
        <f>IF(VLOOKUP($D284,$C$5:$AJ$644,27,)=0,0,((VLOOKUP($D284,$C$5:$AJ$644,27,)/VLOOKUP($D284,$C$5:$AJ$644,4,))*$F284))</f>
        <v>0</v>
      </c>
      <c r="AD284" s="101">
        <f>IF(VLOOKUP($D284,$C$5:$AJ$644,28,)=0,0,((VLOOKUP($D284,$C$5:$AJ$644,28,)/VLOOKUP($D284,$C$5:$AJ$644,4,))*$F284))</f>
        <v>0</v>
      </c>
      <c r="AE284" s="101"/>
      <c r="AF284" s="101">
        <f>IF(VLOOKUP($D284,$C$5:$AJ$644,30,)=0,0,((VLOOKUP($D284,$C$5:$AJ$644,30,)/VLOOKUP($D284,$C$5:$AJ$644,4,))*$F284))</f>
        <v>20167471.118949976</v>
      </c>
      <c r="AG284" s="101"/>
      <c r="AH284" s="101">
        <f>IF(VLOOKUP($D284,$C$5:$AJ$644,32,)=0,0,((VLOOKUP($D284,$C$5:$AJ$644,32,)/VLOOKUP($D284,$C$5:$AJ$644,4,))*$F284))</f>
        <v>0</v>
      </c>
      <c r="AI284" s="101"/>
      <c r="AJ284" s="101">
        <f>IF(VLOOKUP($D284,$C$5:$AJ$644,34,)=0,0,((VLOOKUP($D284,$C$5:$AJ$644,34,)/VLOOKUP($D284,$C$5:$AJ$644,4,))*$F284))</f>
        <v>0</v>
      </c>
      <c r="AK284" s="101">
        <f>SUM(H284:AJ284)</f>
        <v>20167471.118949976</v>
      </c>
      <c r="AL284" s="98" t="str">
        <f>IF(ABS(AK284-F284)&lt;1,"ok","err")</f>
        <v>ok</v>
      </c>
    </row>
    <row r="285" spans="1:38" x14ac:dyDescent="0.25">
      <c r="A285" s="97">
        <v>904</v>
      </c>
      <c r="B285" s="97" t="s">
        <v>316</v>
      </c>
      <c r="C285" s="97" t="s">
        <v>317</v>
      </c>
      <c r="D285" s="97" t="s">
        <v>741</v>
      </c>
      <c r="F285" s="101">
        <f>'Jurisdictional Study'!F1068</f>
        <v>5566156.8585578762</v>
      </c>
      <c r="H285" s="101">
        <f>IF(VLOOKUP($D285,$C$5:$AJ$644,6,)=0,0,((VLOOKUP($D285,$C$5:$AJ$644,6,)/VLOOKUP($D285,$C$5:$AJ$644,4,))*$F285))</f>
        <v>0</v>
      </c>
      <c r="I285" s="101">
        <f>IF(VLOOKUP($D285,$C$5:$AJ$644,7,)=0,0,((VLOOKUP($D285,$C$5:$AJ$644,7,)/VLOOKUP($D285,$C$5:$AJ$644,4,))*$F285))</f>
        <v>0</v>
      </c>
      <c r="J285" s="101">
        <f>IF(VLOOKUP($D285,$C$5:$AJ$644,8,)=0,0,((VLOOKUP($D285,$C$5:$AJ$644,8,)/VLOOKUP($D285,$C$5:$AJ$644,4,))*$F285))</f>
        <v>0</v>
      </c>
      <c r="K285" s="101">
        <f>IF(VLOOKUP($D285,$C$5:$AJ$644,9,)=0,0,((VLOOKUP($D285,$C$5:$AJ$644,9,)/VLOOKUP($D285,$C$5:$AJ$644,4,))*$F285))</f>
        <v>0</v>
      </c>
      <c r="L285" s="101">
        <f>IF(VLOOKUP($D285,$C$5:$AJ$644,10,)=0,0,((VLOOKUP($D285,$C$5:$AJ$644,10,)/VLOOKUP($D285,$C$5:$AJ$644,4,))*$F285))</f>
        <v>0</v>
      </c>
      <c r="M285" s="101">
        <f>IF(VLOOKUP($D285,$C$5:$AJ$644,11,)=0,0,((VLOOKUP($D285,$C$5:$AJ$644,11,)/VLOOKUP($D285,$C$5:$AJ$644,4,))*$F285))</f>
        <v>0</v>
      </c>
      <c r="N285" s="101"/>
      <c r="O285" s="101">
        <f>IF(VLOOKUP($D285,$C$5:$AJ$644,13,)=0,0,((VLOOKUP($D285,$C$5:$AJ$644,13,)/VLOOKUP($D285,$C$5:$AJ$644,4,))*$F285))</f>
        <v>0</v>
      </c>
      <c r="P285" s="101">
        <f>IF(VLOOKUP($D285,$C$5:$AJ$644,14,)=0,0,((VLOOKUP($D285,$C$5:$AJ$644,14,)/VLOOKUP($D285,$C$5:$AJ$644,4,))*$F285))</f>
        <v>0</v>
      </c>
      <c r="Q285" s="101">
        <f>IF(VLOOKUP($D285,$C$5:$AJ$644,15,)=0,0,((VLOOKUP($D285,$C$5:$AJ$644,15,)/VLOOKUP($D285,$C$5:$AJ$644,4,))*$F285))</f>
        <v>0</v>
      </c>
      <c r="R285" s="101"/>
      <c r="S285" s="101">
        <f>IF(VLOOKUP($D285,$C$5:$AJ$644,17,)=0,0,((VLOOKUP($D285,$C$5:$AJ$644,17,)/VLOOKUP($D285,$C$5:$AJ$644,4,))*$F285))</f>
        <v>0</v>
      </c>
      <c r="T285" s="101">
        <f>IF(VLOOKUP($D285,$C$5:$AJ$644,18,)=0,0,((VLOOKUP($D285,$C$5:$AJ$644,18,)/VLOOKUP($D285,$C$5:$AJ$644,4,))*$F285))</f>
        <v>0</v>
      </c>
      <c r="U285" s="101">
        <f>IF(VLOOKUP($D285,$C$5:$AJ$644,19,)=0,0,((VLOOKUP($D285,$C$5:$AJ$644,19,)/VLOOKUP($D285,$C$5:$AJ$644,4,))*$F285))</f>
        <v>0</v>
      </c>
      <c r="V285" s="101">
        <f>IF(VLOOKUP($D285,$C$5:$AJ$644,20,)=0,0,((VLOOKUP($D285,$C$5:$AJ$644,20,)/VLOOKUP($D285,$C$5:$AJ$644,4,))*$F285))</f>
        <v>0</v>
      </c>
      <c r="W285" s="101">
        <f>IF(VLOOKUP($D285,$C$5:$AJ$644,21,)=0,0,((VLOOKUP($D285,$C$5:$AJ$644,21,)/VLOOKUP($D285,$C$5:$AJ$644,4,))*$F285))</f>
        <v>0</v>
      </c>
      <c r="X285" s="101">
        <f>IF(VLOOKUP($D285,$C$5:$AJ$644,22,)=0,0,((VLOOKUP($D285,$C$5:$AJ$644,22,)/VLOOKUP($D285,$C$5:$AJ$644,4,))*$F285))</f>
        <v>0</v>
      </c>
      <c r="Y285" s="101">
        <f>IF(VLOOKUP($D285,$C$5:$AJ$644,23,)=0,0,((VLOOKUP($D285,$C$5:$AJ$644,23,)/VLOOKUP($D285,$C$5:$AJ$644,4,))*$F285))</f>
        <v>0</v>
      </c>
      <c r="Z285" s="101">
        <f>IF(VLOOKUP($D285,$C$5:$AJ$644,24,)=0,0,((VLOOKUP($D285,$C$5:$AJ$644,24,)/VLOOKUP($D285,$C$5:$AJ$644,4,))*$F285))</f>
        <v>0</v>
      </c>
      <c r="AA285" s="101">
        <f>IF(VLOOKUP($D285,$C$5:$AJ$644,25,)=0,0,((VLOOKUP($D285,$C$5:$AJ$644,25,)/VLOOKUP($D285,$C$5:$AJ$644,4,))*$F285))</f>
        <v>0</v>
      </c>
      <c r="AB285" s="101">
        <f>IF(VLOOKUP($D285,$C$5:$AJ$644,26,)=0,0,((VLOOKUP($D285,$C$5:$AJ$644,26,)/VLOOKUP($D285,$C$5:$AJ$644,4,))*$F285))</f>
        <v>0</v>
      </c>
      <c r="AC285" s="101">
        <f>IF(VLOOKUP($D285,$C$5:$AJ$644,27,)=0,0,((VLOOKUP($D285,$C$5:$AJ$644,27,)/VLOOKUP($D285,$C$5:$AJ$644,4,))*$F285))</f>
        <v>0</v>
      </c>
      <c r="AD285" s="101">
        <f>IF(VLOOKUP($D285,$C$5:$AJ$644,28,)=0,0,((VLOOKUP($D285,$C$5:$AJ$644,28,)/VLOOKUP($D285,$C$5:$AJ$644,4,))*$F285))</f>
        <v>0</v>
      </c>
      <c r="AE285" s="101"/>
      <c r="AF285" s="101">
        <f>IF(VLOOKUP($D285,$C$5:$AJ$644,30,)=0,0,((VLOOKUP($D285,$C$5:$AJ$644,30,)/VLOOKUP($D285,$C$5:$AJ$644,4,))*$F285))</f>
        <v>5566156.8585578762</v>
      </c>
      <c r="AG285" s="101"/>
      <c r="AH285" s="101">
        <f>IF(VLOOKUP($D285,$C$5:$AJ$644,32,)=0,0,((VLOOKUP($D285,$C$5:$AJ$644,32,)/VLOOKUP($D285,$C$5:$AJ$644,4,))*$F285))</f>
        <v>0</v>
      </c>
      <c r="AI285" s="101"/>
      <c r="AJ285" s="101">
        <f>IF(VLOOKUP($D285,$C$5:$AJ$644,34,)=0,0,((VLOOKUP($D285,$C$5:$AJ$644,34,)/VLOOKUP($D285,$C$5:$AJ$644,4,))*$F285))</f>
        <v>0</v>
      </c>
      <c r="AK285" s="101">
        <f>SUM(H285:AJ285)</f>
        <v>5566156.8585578762</v>
      </c>
      <c r="AL285" s="98" t="str">
        <f>IF(ABS(AK285-F285)&lt;1,"ok","err")</f>
        <v>ok</v>
      </c>
    </row>
    <row r="286" spans="1:38" x14ac:dyDescent="0.25">
      <c r="A286" s="97">
        <v>905</v>
      </c>
      <c r="B286" s="97" t="s">
        <v>1372</v>
      </c>
      <c r="C286" s="97" t="s">
        <v>315</v>
      </c>
      <c r="D286" s="97" t="s">
        <v>741</v>
      </c>
      <c r="F286" s="101">
        <f>'Jurisdictional Study'!F1069</f>
        <v>0</v>
      </c>
      <c r="H286" s="101">
        <f>IF(VLOOKUP($D286,$C$5:$AJ$644,6,)=0,0,((VLOOKUP($D286,$C$5:$AJ$644,6,)/VLOOKUP($D286,$C$5:$AJ$644,4,))*$F286))</f>
        <v>0</v>
      </c>
      <c r="I286" s="101">
        <f>IF(VLOOKUP($D286,$C$5:$AJ$644,7,)=0,0,((VLOOKUP($D286,$C$5:$AJ$644,7,)/VLOOKUP($D286,$C$5:$AJ$644,4,))*$F286))</f>
        <v>0</v>
      </c>
      <c r="J286" s="101">
        <f>IF(VLOOKUP($D286,$C$5:$AJ$644,8,)=0,0,((VLOOKUP($D286,$C$5:$AJ$644,8,)/VLOOKUP($D286,$C$5:$AJ$644,4,))*$F286))</f>
        <v>0</v>
      </c>
      <c r="K286" s="101">
        <f>IF(VLOOKUP($D286,$C$5:$AJ$644,9,)=0,0,((VLOOKUP($D286,$C$5:$AJ$644,9,)/VLOOKUP($D286,$C$5:$AJ$644,4,))*$F286))</f>
        <v>0</v>
      </c>
      <c r="L286" s="101">
        <f>IF(VLOOKUP($D286,$C$5:$AJ$644,10,)=0,0,((VLOOKUP($D286,$C$5:$AJ$644,10,)/VLOOKUP($D286,$C$5:$AJ$644,4,))*$F286))</f>
        <v>0</v>
      </c>
      <c r="M286" s="101">
        <f>IF(VLOOKUP($D286,$C$5:$AJ$644,11,)=0,0,((VLOOKUP($D286,$C$5:$AJ$644,11,)/VLOOKUP($D286,$C$5:$AJ$644,4,))*$F286))</f>
        <v>0</v>
      </c>
      <c r="N286" s="101"/>
      <c r="O286" s="101">
        <f>IF(VLOOKUP($D286,$C$5:$AJ$644,13,)=0,0,((VLOOKUP($D286,$C$5:$AJ$644,13,)/VLOOKUP($D286,$C$5:$AJ$644,4,))*$F286))</f>
        <v>0</v>
      </c>
      <c r="P286" s="101">
        <f>IF(VLOOKUP($D286,$C$5:$AJ$644,14,)=0,0,((VLOOKUP($D286,$C$5:$AJ$644,14,)/VLOOKUP($D286,$C$5:$AJ$644,4,))*$F286))</f>
        <v>0</v>
      </c>
      <c r="Q286" s="101">
        <f>IF(VLOOKUP($D286,$C$5:$AJ$644,15,)=0,0,((VLOOKUP($D286,$C$5:$AJ$644,15,)/VLOOKUP($D286,$C$5:$AJ$644,4,))*$F286))</f>
        <v>0</v>
      </c>
      <c r="R286" s="101"/>
      <c r="S286" s="101">
        <f>IF(VLOOKUP($D286,$C$5:$AJ$644,17,)=0,0,((VLOOKUP($D286,$C$5:$AJ$644,17,)/VLOOKUP($D286,$C$5:$AJ$644,4,))*$F286))</f>
        <v>0</v>
      </c>
      <c r="T286" s="101">
        <f>IF(VLOOKUP($D286,$C$5:$AJ$644,18,)=0,0,((VLOOKUP($D286,$C$5:$AJ$644,18,)/VLOOKUP($D286,$C$5:$AJ$644,4,))*$F286))</f>
        <v>0</v>
      </c>
      <c r="U286" s="101">
        <f>IF(VLOOKUP($D286,$C$5:$AJ$644,19,)=0,0,((VLOOKUP($D286,$C$5:$AJ$644,19,)/VLOOKUP($D286,$C$5:$AJ$644,4,))*$F286))</f>
        <v>0</v>
      </c>
      <c r="V286" s="101">
        <f>IF(VLOOKUP($D286,$C$5:$AJ$644,20,)=0,0,((VLOOKUP($D286,$C$5:$AJ$644,20,)/VLOOKUP($D286,$C$5:$AJ$644,4,))*$F286))</f>
        <v>0</v>
      </c>
      <c r="W286" s="101">
        <f>IF(VLOOKUP($D286,$C$5:$AJ$644,21,)=0,0,((VLOOKUP($D286,$C$5:$AJ$644,21,)/VLOOKUP($D286,$C$5:$AJ$644,4,))*$F286))</f>
        <v>0</v>
      </c>
      <c r="X286" s="101">
        <f>IF(VLOOKUP($D286,$C$5:$AJ$644,22,)=0,0,((VLOOKUP($D286,$C$5:$AJ$644,22,)/VLOOKUP($D286,$C$5:$AJ$644,4,))*$F286))</f>
        <v>0</v>
      </c>
      <c r="Y286" s="101">
        <f>IF(VLOOKUP($D286,$C$5:$AJ$644,23,)=0,0,((VLOOKUP($D286,$C$5:$AJ$644,23,)/VLOOKUP($D286,$C$5:$AJ$644,4,))*$F286))</f>
        <v>0</v>
      </c>
      <c r="Z286" s="101">
        <f>IF(VLOOKUP($D286,$C$5:$AJ$644,24,)=0,0,((VLOOKUP($D286,$C$5:$AJ$644,24,)/VLOOKUP($D286,$C$5:$AJ$644,4,))*$F286))</f>
        <v>0</v>
      </c>
      <c r="AA286" s="101">
        <f>IF(VLOOKUP($D286,$C$5:$AJ$644,25,)=0,0,((VLOOKUP($D286,$C$5:$AJ$644,25,)/VLOOKUP($D286,$C$5:$AJ$644,4,))*$F286))</f>
        <v>0</v>
      </c>
      <c r="AB286" s="101">
        <f>IF(VLOOKUP($D286,$C$5:$AJ$644,26,)=0,0,((VLOOKUP($D286,$C$5:$AJ$644,26,)/VLOOKUP($D286,$C$5:$AJ$644,4,))*$F286))</f>
        <v>0</v>
      </c>
      <c r="AC286" s="101">
        <f>IF(VLOOKUP($D286,$C$5:$AJ$644,27,)=0,0,((VLOOKUP($D286,$C$5:$AJ$644,27,)/VLOOKUP($D286,$C$5:$AJ$644,4,))*$F286))</f>
        <v>0</v>
      </c>
      <c r="AD286" s="101">
        <f>IF(VLOOKUP($D286,$C$5:$AJ$644,28,)=0,0,((VLOOKUP($D286,$C$5:$AJ$644,28,)/VLOOKUP($D286,$C$5:$AJ$644,4,))*$F286))</f>
        <v>0</v>
      </c>
      <c r="AE286" s="101"/>
      <c r="AF286" s="101">
        <f>IF(VLOOKUP($D286,$C$5:$AJ$644,30,)=0,0,((VLOOKUP($D286,$C$5:$AJ$644,30,)/VLOOKUP($D286,$C$5:$AJ$644,4,))*$F286))</f>
        <v>0</v>
      </c>
      <c r="AG286" s="101"/>
      <c r="AH286" s="101">
        <f>IF(VLOOKUP($D286,$C$5:$AJ$644,32,)=0,0,((VLOOKUP($D286,$C$5:$AJ$644,32,)/VLOOKUP($D286,$C$5:$AJ$644,4,))*$F286))</f>
        <v>0</v>
      </c>
      <c r="AI286" s="101"/>
      <c r="AJ286" s="101">
        <f>IF(VLOOKUP($D286,$C$5:$AJ$644,34,)=0,0,((VLOOKUP($D286,$C$5:$AJ$644,34,)/VLOOKUP($D286,$C$5:$AJ$644,4,))*$F286))</f>
        <v>0</v>
      </c>
      <c r="AK286" s="101">
        <f>SUM(H286:AJ286)</f>
        <v>0</v>
      </c>
      <c r="AL286" s="98" t="str">
        <f>IF(ABS(AK286-F286)&lt;1,"ok","err")</f>
        <v>ok</v>
      </c>
    </row>
    <row r="287" spans="1:38" x14ac:dyDescent="0.25">
      <c r="A287" s="24"/>
      <c r="F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98"/>
    </row>
    <row r="288" spans="1:38" x14ac:dyDescent="0.25">
      <c r="A288" s="97" t="s">
        <v>318</v>
      </c>
      <c r="C288" s="97" t="s">
        <v>319</v>
      </c>
      <c r="F288" s="100">
        <f t="shared" ref="F288:M288" si="280">SUM(F282:F287)</f>
        <v>34666663.739990681</v>
      </c>
      <c r="G288" s="100">
        <f t="shared" si="280"/>
        <v>0</v>
      </c>
      <c r="H288" s="100">
        <f t="shared" si="280"/>
        <v>0</v>
      </c>
      <c r="I288" s="100">
        <f t="shared" si="280"/>
        <v>0</v>
      </c>
      <c r="J288" s="100">
        <f t="shared" si="280"/>
        <v>0</v>
      </c>
      <c r="K288" s="100">
        <f t="shared" si="280"/>
        <v>0</v>
      </c>
      <c r="L288" s="100">
        <f t="shared" si="280"/>
        <v>0</v>
      </c>
      <c r="M288" s="100">
        <f t="shared" si="280"/>
        <v>0</v>
      </c>
      <c r="N288" s="100"/>
      <c r="O288" s="100">
        <f>SUM(O282:O287)</f>
        <v>0</v>
      </c>
      <c r="P288" s="100">
        <f>SUM(P282:P287)</f>
        <v>0</v>
      </c>
      <c r="Q288" s="100">
        <f>SUM(Q282:Q287)</f>
        <v>0</v>
      </c>
      <c r="R288" s="100"/>
      <c r="S288" s="100">
        <f t="shared" ref="S288:AD288" si="281">SUM(S282:S287)</f>
        <v>0</v>
      </c>
      <c r="T288" s="100">
        <f t="shared" si="281"/>
        <v>0</v>
      </c>
      <c r="U288" s="100">
        <f t="shared" si="281"/>
        <v>0</v>
      </c>
      <c r="V288" s="100">
        <f t="shared" si="281"/>
        <v>0</v>
      </c>
      <c r="W288" s="100">
        <f t="shared" si="281"/>
        <v>0</v>
      </c>
      <c r="X288" s="100">
        <f t="shared" si="281"/>
        <v>0</v>
      </c>
      <c r="Y288" s="100">
        <f t="shared" si="281"/>
        <v>0</v>
      </c>
      <c r="Z288" s="100">
        <f t="shared" si="281"/>
        <v>0</v>
      </c>
      <c r="AA288" s="100">
        <f t="shared" si="281"/>
        <v>0</v>
      </c>
      <c r="AB288" s="100">
        <f t="shared" si="281"/>
        <v>0</v>
      </c>
      <c r="AC288" s="100">
        <f t="shared" si="281"/>
        <v>0</v>
      </c>
      <c r="AD288" s="100">
        <f t="shared" si="281"/>
        <v>0</v>
      </c>
      <c r="AE288" s="100"/>
      <c r="AF288" s="100">
        <f>SUM(AF282:AF287)</f>
        <v>34666663.739990681</v>
      </c>
      <c r="AG288" s="100"/>
      <c r="AH288" s="100">
        <f>SUM(AH282:AH287)</f>
        <v>0</v>
      </c>
      <c r="AI288" s="100"/>
      <c r="AJ288" s="100">
        <f>SUM(AJ282:AJ287)</f>
        <v>0</v>
      </c>
      <c r="AK288" s="101">
        <f>SUM(H288:AJ288)</f>
        <v>34666663.739990681</v>
      </c>
      <c r="AL288" s="98" t="str">
        <f>IF(ABS(AK288-F288)&lt;1,"ok","err")</f>
        <v>ok</v>
      </c>
    </row>
    <row r="289" spans="1:38" x14ac:dyDescent="0.25">
      <c r="F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L289" s="98"/>
    </row>
    <row r="290" spans="1:38" x14ac:dyDescent="0.25">
      <c r="A290" s="24" t="s">
        <v>320</v>
      </c>
      <c r="F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L290" s="98"/>
    </row>
    <row r="291" spans="1:38" x14ac:dyDescent="0.25">
      <c r="A291" s="97">
        <v>907</v>
      </c>
      <c r="B291" s="97" t="s">
        <v>487</v>
      </c>
      <c r="C291" s="97" t="s">
        <v>321</v>
      </c>
      <c r="D291" s="97" t="s">
        <v>742</v>
      </c>
      <c r="F291" s="100">
        <f>'Jurisdictional Study'!F1073</f>
        <v>651425.35319489997</v>
      </c>
      <c r="H291" s="101">
        <f t="shared" ref="H291:H300" si="282">IF(VLOOKUP($D291,$C$5:$AJ$644,6,)=0,0,((VLOOKUP($D291,$C$5:$AJ$644,6,)/VLOOKUP($D291,$C$5:$AJ$644,4,))*$F291))</f>
        <v>0</v>
      </c>
      <c r="I291" s="101">
        <f t="shared" ref="I291:I300" si="283">IF(VLOOKUP($D291,$C$5:$AJ$644,7,)=0,0,((VLOOKUP($D291,$C$5:$AJ$644,7,)/VLOOKUP($D291,$C$5:$AJ$644,4,))*$F291))</f>
        <v>0</v>
      </c>
      <c r="J291" s="101">
        <f t="shared" ref="J291:J300" si="284">IF(VLOOKUP($D291,$C$5:$AJ$644,8,)=0,0,((VLOOKUP($D291,$C$5:$AJ$644,8,)/VLOOKUP($D291,$C$5:$AJ$644,4,))*$F291))</f>
        <v>0</v>
      </c>
      <c r="K291" s="101">
        <f t="shared" ref="K291:K300" si="285">IF(VLOOKUP($D291,$C$5:$AJ$644,9,)=0,0,((VLOOKUP($D291,$C$5:$AJ$644,9,)/VLOOKUP($D291,$C$5:$AJ$644,4,))*$F291))</f>
        <v>0</v>
      </c>
      <c r="L291" s="101">
        <f t="shared" ref="L291:L300" si="286">IF(VLOOKUP($D291,$C$5:$AJ$644,10,)=0,0,((VLOOKUP($D291,$C$5:$AJ$644,10,)/VLOOKUP($D291,$C$5:$AJ$644,4,))*$F291))</f>
        <v>0</v>
      </c>
      <c r="M291" s="101">
        <f t="shared" ref="M291:M300" si="287">IF(VLOOKUP($D291,$C$5:$AJ$644,11,)=0,0,((VLOOKUP($D291,$C$5:$AJ$644,11,)/VLOOKUP($D291,$C$5:$AJ$644,4,))*$F291))</f>
        <v>0</v>
      </c>
      <c r="N291" s="101"/>
      <c r="O291" s="101">
        <f t="shared" ref="O291:O300" si="288">IF(VLOOKUP($D291,$C$5:$AJ$644,13,)=0,0,((VLOOKUP($D291,$C$5:$AJ$644,13,)/VLOOKUP($D291,$C$5:$AJ$644,4,))*$F291))</f>
        <v>0</v>
      </c>
      <c r="P291" s="101">
        <f t="shared" ref="P291:P300" si="289">IF(VLOOKUP($D291,$C$5:$AJ$644,14,)=0,0,((VLOOKUP($D291,$C$5:$AJ$644,14,)/VLOOKUP($D291,$C$5:$AJ$644,4,))*$F291))</f>
        <v>0</v>
      </c>
      <c r="Q291" s="101">
        <f t="shared" ref="Q291:Q300" si="290">IF(VLOOKUP($D291,$C$5:$AJ$644,15,)=0,0,((VLOOKUP($D291,$C$5:$AJ$644,15,)/VLOOKUP($D291,$C$5:$AJ$644,4,))*$F291))</f>
        <v>0</v>
      </c>
      <c r="R291" s="101"/>
      <c r="S291" s="101">
        <f t="shared" ref="S291:S300" si="291">IF(VLOOKUP($D291,$C$5:$AJ$644,17,)=0,0,((VLOOKUP($D291,$C$5:$AJ$644,17,)/VLOOKUP($D291,$C$5:$AJ$644,4,))*$F291))</f>
        <v>0</v>
      </c>
      <c r="T291" s="101">
        <f t="shared" ref="T291:T300" si="292">IF(VLOOKUP($D291,$C$5:$AJ$644,18,)=0,0,((VLOOKUP($D291,$C$5:$AJ$644,18,)/VLOOKUP($D291,$C$5:$AJ$644,4,))*$F291))</f>
        <v>0</v>
      </c>
      <c r="U291" s="101">
        <f t="shared" ref="U291:U300" si="293">IF(VLOOKUP($D291,$C$5:$AJ$644,19,)=0,0,((VLOOKUP($D291,$C$5:$AJ$644,19,)/VLOOKUP($D291,$C$5:$AJ$644,4,))*$F291))</f>
        <v>0</v>
      </c>
      <c r="V291" s="101">
        <f t="shared" ref="V291:V300" si="294">IF(VLOOKUP($D291,$C$5:$AJ$644,20,)=0,0,((VLOOKUP($D291,$C$5:$AJ$644,20,)/VLOOKUP($D291,$C$5:$AJ$644,4,))*$F291))</f>
        <v>0</v>
      </c>
      <c r="W291" s="101">
        <f t="shared" ref="W291:W300" si="295">IF(VLOOKUP($D291,$C$5:$AJ$644,21,)=0,0,((VLOOKUP($D291,$C$5:$AJ$644,21,)/VLOOKUP($D291,$C$5:$AJ$644,4,))*$F291))</f>
        <v>0</v>
      </c>
      <c r="X291" s="101">
        <f t="shared" ref="X291:X300" si="296">IF(VLOOKUP($D291,$C$5:$AJ$644,22,)=0,0,((VLOOKUP($D291,$C$5:$AJ$644,22,)/VLOOKUP($D291,$C$5:$AJ$644,4,))*$F291))</f>
        <v>0</v>
      </c>
      <c r="Y291" s="101">
        <f t="shared" ref="Y291:Y300" si="297">IF(VLOOKUP($D291,$C$5:$AJ$644,23,)=0,0,((VLOOKUP($D291,$C$5:$AJ$644,23,)/VLOOKUP($D291,$C$5:$AJ$644,4,))*$F291))</f>
        <v>0</v>
      </c>
      <c r="Z291" s="101">
        <f t="shared" ref="Z291:Z300" si="298">IF(VLOOKUP($D291,$C$5:$AJ$644,24,)=0,0,((VLOOKUP($D291,$C$5:$AJ$644,24,)/VLOOKUP($D291,$C$5:$AJ$644,4,))*$F291))</f>
        <v>0</v>
      </c>
      <c r="AA291" s="101">
        <f t="shared" ref="AA291:AA300" si="299">IF(VLOOKUP($D291,$C$5:$AJ$644,25,)=0,0,((VLOOKUP($D291,$C$5:$AJ$644,25,)/VLOOKUP($D291,$C$5:$AJ$644,4,))*$F291))</f>
        <v>0</v>
      </c>
      <c r="AB291" s="101">
        <f t="shared" ref="AB291:AB300" si="300">IF(VLOOKUP($D291,$C$5:$AJ$644,26,)=0,0,((VLOOKUP($D291,$C$5:$AJ$644,26,)/VLOOKUP($D291,$C$5:$AJ$644,4,))*$F291))</f>
        <v>0</v>
      </c>
      <c r="AC291" s="101">
        <f t="shared" ref="AC291:AC300" si="301">IF(VLOOKUP($D291,$C$5:$AJ$644,27,)=0,0,((VLOOKUP($D291,$C$5:$AJ$644,27,)/VLOOKUP($D291,$C$5:$AJ$644,4,))*$F291))</f>
        <v>0</v>
      </c>
      <c r="AD291" s="101">
        <f t="shared" ref="AD291:AD300" si="302">IF(VLOOKUP($D291,$C$5:$AJ$644,28,)=0,0,((VLOOKUP($D291,$C$5:$AJ$644,28,)/VLOOKUP($D291,$C$5:$AJ$644,4,))*$F291))</f>
        <v>0</v>
      </c>
      <c r="AE291" s="101"/>
      <c r="AF291" s="101">
        <f t="shared" ref="AF291:AF300" si="303">IF(VLOOKUP($D291,$C$5:$AJ$644,30,)=0,0,((VLOOKUP($D291,$C$5:$AJ$644,30,)/VLOOKUP($D291,$C$5:$AJ$644,4,))*$F291))</f>
        <v>0</v>
      </c>
      <c r="AG291" s="101"/>
      <c r="AH291" s="101">
        <f t="shared" ref="AH291:AH300" si="304">IF(VLOOKUP($D291,$C$5:$AJ$644,32,)=0,0,((VLOOKUP($D291,$C$5:$AJ$644,32,)/VLOOKUP($D291,$C$5:$AJ$644,4,))*$F291))</f>
        <v>651425.35319489997</v>
      </c>
      <c r="AI291" s="101"/>
      <c r="AJ291" s="101">
        <f t="shared" ref="AJ291:AJ300" si="305">IF(VLOOKUP($D291,$C$5:$AJ$644,34,)=0,0,((VLOOKUP($D291,$C$5:$AJ$644,34,)/VLOOKUP($D291,$C$5:$AJ$644,4,))*$F291))</f>
        <v>0</v>
      </c>
      <c r="AK291" s="101">
        <f t="shared" ref="AK291:AK300" si="306">SUM(H291:AJ291)</f>
        <v>651425.35319489997</v>
      </c>
      <c r="AL291" s="98" t="str">
        <f t="shared" ref="AL291:AL300" si="307">IF(ABS(AK291-F291)&lt;1,"ok","err")</f>
        <v>ok</v>
      </c>
    </row>
    <row r="292" spans="1:38" x14ac:dyDescent="0.25">
      <c r="A292" s="97">
        <v>908</v>
      </c>
      <c r="B292" s="97" t="s">
        <v>1235</v>
      </c>
      <c r="C292" s="97" t="s">
        <v>1236</v>
      </c>
      <c r="D292" s="97" t="s">
        <v>742</v>
      </c>
      <c r="F292" s="101">
        <f>'Jurisdictional Study'!F1074-20649645</f>
        <v>450051</v>
      </c>
      <c r="H292" s="101">
        <f t="shared" si="282"/>
        <v>0</v>
      </c>
      <c r="I292" s="101">
        <f t="shared" si="283"/>
        <v>0</v>
      </c>
      <c r="J292" s="101">
        <f t="shared" si="284"/>
        <v>0</v>
      </c>
      <c r="K292" s="101">
        <f t="shared" si="285"/>
        <v>0</v>
      </c>
      <c r="L292" s="101">
        <f t="shared" si="286"/>
        <v>0</v>
      </c>
      <c r="M292" s="101">
        <f t="shared" si="287"/>
        <v>0</v>
      </c>
      <c r="N292" s="101"/>
      <c r="O292" s="101">
        <f t="shared" si="288"/>
        <v>0</v>
      </c>
      <c r="P292" s="101">
        <f t="shared" si="289"/>
        <v>0</v>
      </c>
      <c r="Q292" s="101">
        <f t="shared" si="290"/>
        <v>0</v>
      </c>
      <c r="R292" s="101"/>
      <c r="S292" s="101">
        <f t="shared" si="291"/>
        <v>0</v>
      </c>
      <c r="T292" s="101">
        <f t="shared" si="292"/>
        <v>0</v>
      </c>
      <c r="U292" s="101">
        <f t="shared" si="293"/>
        <v>0</v>
      </c>
      <c r="V292" s="101">
        <f t="shared" si="294"/>
        <v>0</v>
      </c>
      <c r="W292" s="101">
        <f t="shared" si="295"/>
        <v>0</v>
      </c>
      <c r="X292" s="101">
        <f t="shared" si="296"/>
        <v>0</v>
      </c>
      <c r="Y292" s="101">
        <f t="shared" si="297"/>
        <v>0</v>
      </c>
      <c r="Z292" s="101">
        <f t="shared" si="298"/>
        <v>0</v>
      </c>
      <c r="AA292" s="101">
        <f t="shared" si="299"/>
        <v>0</v>
      </c>
      <c r="AB292" s="101">
        <f t="shared" si="300"/>
        <v>0</v>
      </c>
      <c r="AC292" s="101">
        <f t="shared" si="301"/>
        <v>0</v>
      </c>
      <c r="AD292" s="101">
        <f t="shared" si="302"/>
        <v>0</v>
      </c>
      <c r="AE292" s="101"/>
      <c r="AF292" s="101">
        <f t="shared" si="303"/>
        <v>0</v>
      </c>
      <c r="AG292" s="101"/>
      <c r="AH292" s="101">
        <f t="shared" si="304"/>
        <v>450051</v>
      </c>
      <c r="AI292" s="101"/>
      <c r="AJ292" s="101">
        <f t="shared" si="305"/>
        <v>0</v>
      </c>
      <c r="AK292" s="101">
        <f t="shared" si="306"/>
        <v>450051</v>
      </c>
      <c r="AL292" s="98" t="str">
        <f t="shared" si="307"/>
        <v>ok</v>
      </c>
    </row>
    <row r="293" spans="1:38" x14ac:dyDescent="0.25">
      <c r="A293" s="97">
        <v>908</v>
      </c>
      <c r="B293" s="97" t="s">
        <v>915</v>
      </c>
      <c r="C293" s="97" t="s">
        <v>1374</v>
      </c>
      <c r="D293" s="97" t="s">
        <v>742</v>
      </c>
      <c r="F293" s="101">
        <v>0</v>
      </c>
      <c r="H293" s="101">
        <f t="shared" si="282"/>
        <v>0</v>
      </c>
      <c r="I293" s="101">
        <f t="shared" si="283"/>
        <v>0</v>
      </c>
      <c r="J293" s="101">
        <f t="shared" si="284"/>
        <v>0</v>
      </c>
      <c r="K293" s="101">
        <f t="shared" si="285"/>
        <v>0</v>
      </c>
      <c r="L293" s="101">
        <f t="shared" si="286"/>
        <v>0</v>
      </c>
      <c r="M293" s="101">
        <f t="shared" si="287"/>
        <v>0</v>
      </c>
      <c r="N293" s="101"/>
      <c r="O293" s="101">
        <f t="shared" si="288"/>
        <v>0</v>
      </c>
      <c r="P293" s="101">
        <f t="shared" si="289"/>
        <v>0</v>
      </c>
      <c r="Q293" s="101">
        <f t="shared" si="290"/>
        <v>0</v>
      </c>
      <c r="R293" s="101"/>
      <c r="S293" s="101">
        <f t="shared" si="291"/>
        <v>0</v>
      </c>
      <c r="T293" s="101">
        <f t="shared" si="292"/>
        <v>0</v>
      </c>
      <c r="U293" s="101">
        <f t="shared" si="293"/>
        <v>0</v>
      </c>
      <c r="V293" s="101">
        <f t="shared" si="294"/>
        <v>0</v>
      </c>
      <c r="W293" s="101">
        <f t="shared" si="295"/>
        <v>0</v>
      </c>
      <c r="X293" s="101">
        <f t="shared" si="296"/>
        <v>0</v>
      </c>
      <c r="Y293" s="101">
        <f t="shared" si="297"/>
        <v>0</v>
      </c>
      <c r="Z293" s="101">
        <f t="shared" si="298"/>
        <v>0</v>
      </c>
      <c r="AA293" s="101">
        <f t="shared" si="299"/>
        <v>0</v>
      </c>
      <c r="AB293" s="101">
        <f t="shared" si="300"/>
        <v>0</v>
      </c>
      <c r="AC293" s="101">
        <f t="shared" si="301"/>
        <v>0</v>
      </c>
      <c r="AD293" s="101">
        <f t="shared" si="302"/>
        <v>0</v>
      </c>
      <c r="AE293" s="101"/>
      <c r="AF293" s="101">
        <f t="shared" si="303"/>
        <v>0</v>
      </c>
      <c r="AG293" s="101"/>
      <c r="AH293" s="101">
        <f t="shared" si="304"/>
        <v>0</v>
      </c>
      <c r="AI293" s="101"/>
      <c r="AJ293" s="101">
        <f t="shared" si="305"/>
        <v>0</v>
      </c>
      <c r="AK293" s="101">
        <f t="shared" si="306"/>
        <v>0</v>
      </c>
      <c r="AL293" s="98" t="str">
        <f t="shared" si="307"/>
        <v>ok</v>
      </c>
    </row>
    <row r="294" spans="1:38" x14ac:dyDescent="0.25">
      <c r="A294" s="97">
        <v>909</v>
      </c>
      <c r="B294" s="97" t="s">
        <v>1237</v>
      </c>
      <c r="C294" s="97" t="s">
        <v>1238</v>
      </c>
      <c r="D294" s="97" t="s">
        <v>742</v>
      </c>
      <c r="F294" s="101">
        <f>'Jurisdictional Study'!F1075</f>
        <v>389844.86125564732</v>
      </c>
      <c r="H294" s="101">
        <f t="shared" si="282"/>
        <v>0</v>
      </c>
      <c r="I294" s="101">
        <f t="shared" si="283"/>
        <v>0</v>
      </c>
      <c r="J294" s="101">
        <f t="shared" si="284"/>
        <v>0</v>
      </c>
      <c r="K294" s="101">
        <f t="shared" si="285"/>
        <v>0</v>
      </c>
      <c r="L294" s="101">
        <f t="shared" si="286"/>
        <v>0</v>
      </c>
      <c r="M294" s="101">
        <f t="shared" si="287"/>
        <v>0</v>
      </c>
      <c r="N294" s="101"/>
      <c r="O294" s="101">
        <f t="shared" si="288"/>
        <v>0</v>
      </c>
      <c r="P294" s="101">
        <f t="shared" si="289"/>
        <v>0</v>
      </c>
      <c r="Q294" s="101">
        <f t="shared" si="290"/>
        <v>0</v>
      </c>
      <c r="R294" s="101"/>
      <c r="S294" s="101">
        <f t="shared" si="291"/>
        <v>0</v>
      </c>
      <c r="T294" s="101">
        <f t="shared" si="292"/>
        <v>0</v>
      </c>
      <c r="U294" s="101">
        <f t="shared" si="293"/>
        <v>0</v>
      </c>
      <c r="V294" s="101">
        <f t="shared" si="294"/>
        <v>0</v>
      </c>
      <c r="W294" s="101">
        <f t="shared" si="295"/>
        <v>0</v>
      </c>
      <c r="X294" s="101">
        <f t="shared" si="296"/>
        <v>0</v>
      </c>
      <c r="Y294" s="101">
        <f t="shared" si="297"/>
        <v>0</v>
      </c>
      <c r="Z294" s="101">
        <f t="shared" si="298"/>
        <v>0</v>
      </c>
      <c r="AA294" s="101">
        <f t="shared" si="299"/>
        <v>0</v>
      </c>
      <c r="AB294" s="101">
        <f t="shared" si="300"/>
        <v>0</v>
      </c>
      <c r="AC294" s="101">
        <f t="shared" si="301"/>
        <v>0</v>
      </c>
      <c r="AD294" s="101">
        <f t="shared" si="302"/>
        <v>0</v>
      </c>
      <c r="AE294" s="101"/>
      <c r="AF294" s="101">
        <f t="shared" si="303"/>
        <v>0</v>
      </c>
      <c r="AG294" s="101"/>
      <c r="AH294" s="101">
        <f t="shared" si="304"/>
        <v>389844.86125564732</v>
      </c>
      <c r="AI294" s="101"/>
      <c r="AJ294" s="101">
        <f t="shared" si="305"/>
        <v>0</v>
      </c>
      <c r="AK294" s="101">
        <f t="shared" si="306"/>
        <v>389844.86125564732</v>
      </c>
      <c r="AL294" s="98" t="str">
        <f t="shared" si="307"/>
        <v>ok</v>
      </c>
    </row>
    <row r="295" spans="1:38" x14ac:dyDescent="0.25">
      <c r="A295" s="97">
        <v>909</v>
      </c>
      <c r="B295" s="97" t="s">
        <v>1375</v>
      </c>
      <c r="C295" s="97" t="s">
        <v>1376</v>
      </c>
      <c r="D295" s="97" t="s">
        <v>742</v>
      </c>
      <c r="F295" s="101">
        <v>0</v>
      </c>
      <c r="H295" s="101">
        <f t="shared" si="282"/>
        <v>0</v>
      </c>
      <c r="I295" s="101">
        <f t="shared" si="283"/>
        <v>0</v>
      </c>
      <c r="J295" s="101">
        <f t="shared" si="284"/>
        <v>0</v>
      </c>
      <c r="K295" s="101">
        <f t="shared" si="285"/>
        <v>0</v>
      </c>
      <c r="L295" s="101">
        <f t="shared" si="286"/>
        <v>0</v>
      </c>
      <c r="M295" s="101">
        <f t="shared" si="287"/>
        <v>0</v>
      </c>
      <c r="N295" s="101"/>
      <c r="O295" s="101">
        <f t="shared" si="288"/>
        <v>0</v>
      </c>
      <c r="P295" s="101">
        <f t="shared" si="289"/>
        <v>0</v>
      </c>
      <c r="Q295" s="101">
        <f t="shared" si="290"/>
        <v>0</v>
      </c>
      <c r="R295" s="101"/>
      <c r="S295" s="101">
        <f t="shared" si="291"/>
        <v>0</v>
      </c>
      <c r="T295" s="101">
        <f t="shared" si="292"/>
        <v>0</v>
      </c>
      <c r="U295" s="101">
        <f t="shared" si="293"/>
        <v>0</v>
      </c>
      <c r="V295" s="101">
        <f t="shared" si="294"/>
        <v>0</v>
      </c>
      <c r="W295" s="101">
        <f t="shared" si="295"/>
        <v>0</v>
      </c>
      <c r="X295" s="101">
        <f t="shared" si="296"/>
        <v>0</v>
      </c>
      <c r="Y295" s="101">
        <f t="shared" si="297"/>
        <v>0</v>
      </c>
      <c r="Z295" s="101">
        <f t="shared" si="298"/>
        <v>0</v>
      </c>
      <c r="AA295" s="101">
        <f t="shared" si="299"/>
        <v>0</v>
      </c>
      <c r="AB295" s="101">
        <f t="shared" si="300"/>
        <v>0</v>
      </c>
      <c r="AC295" s="101">
        <f t="shared" si="301"/>
        <v>0</v>
      </c>
      <c r="AD295" s="101">
        <f t="shared" si="302"/>
        <v>0</v>
      </c>
      <c r="AE295" s="101"/>
      <c r="AF295" s="101">
        <f t="shared" si="303"/>
        <v>0</v>
      </c>
      <c r="AG295" s="101"/>
      <c r="AH295" s="101">
        <f t="shared" si="304"/>
        <v>0</v>
      </c>
      <c r="AI295" s="101"/>
      <c r="AJ295" s="101">
        <f t="shared" si="305"/>
        <v>0</v>
      </c>
      <c r="AK295" s="101">
        <f t="shared" si="306"/>
        <v>0</v>
      </c>
      <c r="AL295" s="98" t="str">
        <f t="shared" si="307"/>
        <v>ok</v>
      </c>
    </row>
    <row r="296" spans="1:38" x14ac:dyDescent="0.25">
      <c r="A296" s="97">
        <v>910</v>
      </c>
      <c r="B296" s="97" t="s">
        <v>1239</v>
      </c>
      <c r="C296" s="97" t="s">
        <v>1240</v>
      </c>
      <c r="D296" s="97" t="s">
        <v>742</v>
      </c>
      <c r="F296" s="101">
        <f>'Jurisdictional Study'!F1076</f>
        <v>1861026.9033819989</v>
      </c>
      <c r="H296" s="101">
        <f t="shared" si="282"/>
        <v>0</v>
      </c>
      <c r="I296" s="101">
        <f t="shared" si="283"/>
        <v>0</v>
      </c>
      <c r="J296" s="101">
        <f t="shared" si="284"/>
        <v>0</v>
      </c>
      <c r="K296" s="101">
        <f t="shared" si="285"/>
        <v>0</v>
      </c>
      <c r="L296" s="101">
        <f t="shared" si="286"/>
        <v>0</v>
      </c>
      <c r="M296" s="101">
        <f t="shared" si="287"/>
        <v>0</v>
      </c>
      <c r="N296" s="101"/>
      <c r="O296" s="101">
        <f t="shared" si="288"/>
        <v>0</v>
      </c>
      <c r="P296" s="101">
        <f t="shared" si="289"/>
        <v>0</v>
      </c>
      <c r="Q296" s="101">
        <f t="shared" si="290"/>
        <v>0</v>
      </c>
      <c r="R296" s="101"/>
      <c r="S296" s="101">
        <f t="shared" si="291"/>
        <v>0</v>
      </c>
      <c r="T296" s="101">
        <f t="shared" si="292"/>
        <v>0</v>
      </c>
      <c r="U296" s="101">
        <f t="shared" si="293"/>
        <v>0</v>
      </c>
      <c r="V296" s="101">
        <f t="shared" si="294"/>
        <v>0</v>
      </c>
      <c r="W296" s="101">
        <f t="shared" si="295"/>
        <v>0</v>
      </c>
      <c r="X296" s="101">
        <f t="shared" si="296"/>
        <v>0</v>
      </c>
      <c r="Y296" s="101">
        <f t="shared" si="297"/>
        <v>0</v>
      </c>
      <c r="Z296" s="101">
        <f t="shared" si="298"/>
        <v>0</v>
      </c>
      <c r="AA296" s="101">
        <f t="shared" si="299"/>
        <v>0</v>
      </c>
      <c r="AB296" s="101">
        <f t="shared" si="300"/>
        <v>0</v>
      </c>
      <c r="AC296" s="101">
        <f t="shared" si="301"/>
        <v>0</v>
      </c>
      <c r="AD296" s="101">
        <f t="shared" si="302"/>
        <v>0</v>
      </c>
      <c r="AE296" s="101"/>
      <c r="AF296" s="101">
        <f t="shared" si="303"/>
        <v>0</v>
      </c>
      <c r="AG296" s="101"/>
      <c r="AH296" s="101">
        <f t="shared" si="304"/>
        <v>1861026.9033819989</v>
      </c>
      <c r="AI296" s="101"/>
      <c r="AJ296" s="101">
        <f t="shared" si="305"/>
        <v>0</v>
      </c>
      <c r="AK296" s="101">
        <f t="shared" si="306"/>
        <v>1861026.9033819989</v>
      </c>
      <c r="AL296" s="98" t="str">
        <f t="shared" si="307"/>
        <v>ok</v>
      </c>
    </row>
    <row r="297" spans="1:38" x14ac:dyDescent="0.25">
      <c r="A297" s="97">
        <v>911</v>
      </c>
      <c r="B297" s="97" t="s">
        <v>878</v>
      </c>
      <c r="C297" s="97" t="s">
        <v>968</v>
      </c>
      <c r="D297" s="97" t="s">
        <v>742</v>
      </c>
      <c r="F297" s="101">
        <f>'Jurisdictional Study'!F1080</f>
        <v>0</v>
      </c>
      <c r="H297" s="101">
        <f t="shared" si="282"/>
        <v>0</v>
      </c>
      <c r="I297" s="101">
        <f t="shared" si="283"/>
        <v>0</v>
      </c>
      <c r="J297" s="101">
        <f t="shared" si="284"/>
        <v>0</v>
      </c>
      <c r="K297" s="101">
        <f t="shared" si="285"/>
        <v>0</v>
      </c>
      <c r="L297" s="101">
        <f t="shared" si="286"/>
        <v>0</v>
      </c>
      <c r="M297" s="101">
        <f t="shared" si="287"/>
        <v>0</v>
      </c>
      <c r="N297" s="101"/>
      <c r="O297" s="101">
        <f t="shared" si="288"/>
        <v>0</v>
      </c>
      <c r="P297" s="101">
        <f t="shared" si="289"/>
        <v>0</v>
      </c>
      <c r="Q297" s="101">
        <f t="shared" si="290"/>
        <v>0</v>
      </c>
      <c r="R297" s="101"/>
      <c r="S297" s="101">
        <f t="shared" si="291"/>
        <v>0</v>
      </c>
      <c r="T297" s="101">
        <f t="shared" si="292"/>
        <v>0</v>
      </c>
      <c r="U297" s="101">
        <f t="shared" si="293"/>
        <v>0</v>
      </c>
      <c r="V297" s="101">
        <f t="shared" si="294"/>
        <v>0</v>
      </c>
      <c r="W297" s="101">
        <f t="shared" si="295"/>
        <v>0</v>
      </c>
      <c r="X297" s="101">
        <f t="shared" si="296"/>
        <v>0</v>
      </c>
      <c r="Y297" s="101">
        <f t="shared" si="297"/>
        <v>0</v>
      </c>
      <c r="Z297" s="101">
        <f t="shared" si="298"/>
        <v>0</v>
      </c>
      <c r="AA297" s="101">
        <f t="shared" si="299"/>
        <v>0</v>
      </c>
      <c r="AB297" s="101">
        <f t="shared" si="300"/>
        <v>0</v>
      </c>
      <c r="AC297" s="101">
        <f t="shared" si="301"/>
        <v>0</v>
      </c>
      <c r="AD297" s="101">
        <f t="shared" si="302"/>
        <v>0</v>
      </c>
      <c r="AE297" s="101"/>
      <c r="AF297" s="101">
        <f t="shared" si="303"/>
        <v>0</v>
      </c>
      <c r="AG297" s="101"/>
      <c r="AH297" s="101">
        <f t="shared" si="304"/>
        <v>0</v>
      </c>
      <c r="AI297" s="101"/>
      <c r="AJ297" s="101">
        <f t="shared" si="305"/>
        <v>0</v>
      </c>
      <c r="AK297" s="101">
        <f t="shared" si="306"/>
        <v>0</v>
      </c>
      <c r="AL297" s="98" t="str">
        <f t="shared" si="307"/>
        <v>ok</v>
      </c>
    </row>
    <row r="298" spans="1:38" x14ac:dyDescent="0.25">
      <c r="A298" s="97">
        <v>912</v>
      </c>
      <c r="B298" s="97" t="s">
        <v>878</v>
      </c>
      <c r="C298" s="97" t="s">
        <v>879</v>
      </c>
      <c r="D298" s="97" t="s">
        <v>742</v>
      </c>
      <c r="F298" s="101">
        <f>'Jurisdictional Study'!F1081</f>
        <v>0</v>
      </c>
      <c r="H298" s="101">
        <f t="shared" si="282"/>
        <v>0</v>
      </c>
      <c r="I298" s="101">
        <f t="shared" si="283"/>
        <v>0</v>
      </c>
      <c r="J298" s="101">
        <f t="shared" si="284"/>
        <v>0</v>
      </c>
      <c r="K298" s="101">
        <f t="shared" si="285"/>
        <v>0</v>
      </c>
      <c r="L298" s="101">
        <f t="shared" si="286"/>
        <v>0</v>
      </c>
      <c r="M298" s="101">
        <f t="shared" si="287"/>
        <v>0</v>
      </c>
      <c r="N298" s="101"/>
      <c r="O298" s="101">
        <f t="shared" si="288"/>
        <v>0</v>
      </c>
      <c r="P298" s="101">
        <f t="shared" si="289"/>
        <v>0</v>
      </c>
      <c r="Q298" s="101">
        <f t="shared" si="290"/>
        <v>0</v>
      </c>
      <c r="R298" s="101"/>
      <c r="S298" s="101">
        <f t="shared" si="291"/>
        <v>0</v>
      </c>
      <c r="T298" s="101">
        <f t="shared" si="292"/>
        <v>0</v>
      </c>
      <c r="U298" s="101">
        <f t="shared" si="293"/>
        <v>0</v>
      </c>
      <c r="V298" s="101">
        <f t="shared" si="294"/>
        <v>0</v>
      </c>
      <c r="W298" s="101">
        <f t="shared" si="295"/>
        <v>0</v>
      </c>
      <c r="X298" s="101">
        <f t="shared" si="296"/>
        <v>0</v>
      </c>
      <c r="Y298" s="101">
        <f t="shared" si="297"/>
        <v>0</v>
      </c>
      <c r="Z298" s="101">
        <f t="shared" si="298"/>
        <v>0</v>
      </c>
      <c r="AA298" s="101">
        <f t="shared" si="299"/>
        <v>0</v>
      </c>
      <c r="AB298" s="101">
        <f t="shared" si="300"/>
        <v>0</v>
      </c>
      <c r="AC298" s="101">
        <f t="shared" si="301"/>
        <v>0</v>
      </c>
      <c r="AD298" s="101">
        <f t="shared" si="302"/>
        <v>0</v>
      </c>
      <c r="AE298" s="101"/>
      <c r="AF298" s="101">
        <f t="shared" si="303"/>
        <v>0</v>
      </c>
      <c r="AG298" s="101"/>
      <c r="AH298" s="101">
        <f t="shared" si="304"/>
        <v>0</v>
      </c>
      <c r="AI298" s="101"/>
      <c r="AJ298" s="101">
        <f t="shared" si="305"/>
        <v>0</v>
      </c>
      <c r="AK298" s="101">
        <f t="shared" si="306"/>
        <v>0</v>
      </c>
      <c r="AL298" s="98" t="str">
        <f t="shared" si="307"/>
        <v>ok</v>
      </c>
    </row>
    <row r="299" spans="1:38" x14ac:dyDescent="0.25">
      <c r="A299" s="97">
        <v>913</v>
      </c>
      <c r="B299" s="97" t="s">
        <v>887</v>
      </c>
      <c r="C299" s="97" t="s">
        <v>524</v>
      </c>
      <c r="D299" s="97" t="s">
        <v>742</v>
      </c>
      <c r="F299" s="101">
        <f>'Jurisdictional Study'!F1082</f>
        <v>794217.3368437452</v>
      </c>
      <c r="H299" s="101">
        <f t="shared" si="282"/>
        <v>0</v>
      </c>
      <c r="I299" s="101">
        <f t="shared" si="283"/>
        <v>0</v>
      </c>
      <c r="J299" s="101">
        <f t="shared" si="284"/>
        <v>0</v>
      </c>
      <c r="K299" s="101">
        <f t="shared" si="285"/>
        <v>0</v>
      </c>
      <c r="L299" s="101">
        <f t="shared" si="286"/>
        <v>0</v>
      </c>
      <c r="M299" s="101">
        <f t="shared" si="287"/>
        <v>0</v>
      </c>
      <c r="N299" s="101"/>
      <c r="O299" s="101">
        <f t="shared" si="288"/>
        <v>0</v>
      </c>
      <c r="P299" s="101">
        <f t="shared" si="289"/>
        <v>0</v>
      </c>
      <c r="Q299" s="101">
        <f t="shared" si="290"/>
        <v>0</v>
      </c>
      <c r="R299" s="101"/>
      <c r="S299" s="101">
        <f t="shared" si="291"/>
        <v>0</v>
      </c>
      <c r="T299" s="101">
        <f t="shared" si="292"/>
        <v>0</v>
      </c>
      <c r="U299" s="101">
        <f t="shared" si="293"/>
        <v>0</v>
      </c>
      <c r="V299" s="101">
        <f t="shared" si="294"/>
        <v>0</v>
      </c>
      <c r="W299" s="101">
        <f t="shared" si="295"/>
        <v>0</v>
      </c>
      <c r="X299" s="101">
        <f t="shared" si="296"/>
        <v>0</v>
      </c>
      <c r="Y299" s="101">
        <f t="shared" si="297"/>
        <v>0</v>
      </c>
      <c r="Z299" s="101">
        <f t="shared" si="298"/>
        <v>0</v>
      </c>
      <c r="AA299" s="101">
        <f t="shared" si="299"/>
        <v>0</v>
      </c>
      <c r="AB299" s="101">
        <f t="shared" si="300"/>
        <v>0</v>
      </c>
      <c r="AC299" s="101">
        <f t="shared" si="301"/>
        <v>0</v>
      </c>
      <c r="AD299" s="101">
        <f t="shared" si="302"/>
        <v>0</v>
      </c>
      <c r="AE299" s="101"/>
      <c r="AF299" s="101">
        <f t="shared" si="303"/>
        <v>0</v>
      </c>
      <c r="AG299" s="101"/>
      <c r="AH299" s="101">
        <f t="shared" si="304"/>
        <v>794217.3368437452</v>
      </c>
      <c r="AI299" s="101"/>
      <c r="AJ299" s="101">
        <f t="shared" si="305"/>
        <v>0</v>
      </c>
      <c r="AK299" s="101">
        <f t="shared" si="306"/>
        <v>794217.3368437452</v>
      </c>
      <c r="AL299" s="98" t="str">
        <f t="shared" si="307"/>
        <v>ok</v>
      </c>
    </row>
    <row r="300" spans="1:38" x14ac:dyDescent="0.25">
      <c r="A300" s="97">
        <v>916</v>
      </c>
      <c r="B300" s="97" t="s">
        <v>888</v>
      </c>
      <c r="C300" s="97" t="s">
        <v>889</v>
      </c>
      <c r="D300" s="97" t="s">
        <v>742</v>
      </c>
      <c r="F300" s="101">
        <f>'Jurisdictional Study'!F1083</f>
        <v>0</v>
      </c>
      <c r="H300" s="101">
        <f t="shared" si="282"/>
        <v>0</v>
      </c>
      <c r="I300" s="101">
        <f t="shared" si="283"/>
        <v>0</v>
      </c>
      <c r="J300" s="101">
        <f t="shared" si="284"/>
        <v>0</v>
      </c>
      <c r="K300" s="101">
        <f t="shared" si="285"/>
        <v>0</v>
      </c>
      <c r="L300" s="101">
        <f t="shared" si="286"/>
        <v>0</v>
      </c>
      <c r="M300" s="101">
        <f t="shared" si="287"/>
        <v>0</v>
      </c>
      <c r="N300" s="101"/>
      <c r="O300" s="101">
        <f t="shared" si="288"/>
        <v>0</v>
      </c>
      <c r="P300" s="101">
        <f t="shared" si="289"/>
        <v>0</v>
      </c>
      <c r="Q300" s="101">
        <f t="shared" si="290"/>
        <v>0</v>
      </c>
      <c r="R300" s="101"/>
      <c r="S300" s="101">
        <f t="shared" si="291"/>
        <v>0</v>
      </c>
      <c r="T300" s="101">
        <f t="shared" si="292"/>
        <v>0</v>
      </c>
      <c r="U300" s="101">
        <f t="shared" si="293"/>
        <v>0</v>
      </c>
      <c r="V300" s="101">
        <f t="shared" si="294"/>
        <v>0</v>
      </c>
      <c r="W300" s="101">
        <f t="shared" si="295"/>
        <v>0</v>
      </c>
      <c r="X300" s="101">
        <f t="shared" si="296"/>
        <v>0</v>
      </c>
      <c r="Y300" s="101">
        <f t="shared" si="297"/>
        <v>0</v>
      </c>
      <c r="Z300" s="101">
        <f t="shared" si="298"/>
        <v>0</v>
      </c>
      <c r="AA300" s="101">
        <f t="shared" si="299"/>
        <v>0</v>
      </c>
      <c r="AB300" s="101">
        <f t="shared" si="300"/>
        <v>0</v>
      </c>
      <c r="AC300" s="101">
        <f t="shared" si="301"/>
        <v>0</v>
      </c>
      <c r="AD300" s="101">
        <f t="shared" si="302"/>
        <v>0</v>
      </c>
      <c r="AE300" s="101"/>
      <c r="AF300" s="101">
        <f t="shared" si="303"/>
        <v>0</v>
      </c>
      <c r="AG300" s="101"/>
      <c r="AH300" s="101">
        <f t="shared" si="304"/>
        <v>0</v>
      </c>
      <c r="AI300" s="101"/>
      <c r="AJ300" s="101">
        <f t="shared" si="305"/>
        <v>0</v>
      </c>
      <c r="AK300" s="101">
        <f t="shared" si="306"/>
        <v>0</v>
      </c>
      <c r="AL300" s="98" t="str">
        <f t="shared" si="307"/>
        <v>ok</v>
      </c>
    </row>
    <row r="301" spans="1:38" x14ac:dyDescent="0.25">
      <c r="F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98"/>
    </row>
    <row r="302" spans="1:38" x14ac:dyDescent="0.25">
      <c r="A302" s="97" t="s">
        <v>1241</v>
      </c>
      <c r="C302" s="97" t="s">
        <v>1242</v>
      </c>
      <c r="F302" s="100">
        <f t="shared" ref="F302:M302" si="308">SUM(F291:F301)</f>
        <v>4146565.4546762914</v>
      </c>
      <c r="G302" s="100">
        <f t="shared" si="308"/>
        <v>0</v>
      </c>
      <c r="H302" s="100">
        <f t="shared" si="308"/>
        <v>0</v>
      </c>
      <c r="I302" s="100">
        <f t="shared" si="308"/>
        <v>0</v>
      </c>
      <c r="J302" s="100">
        <f t="shared" si="308"/>
        <v>0</v>
      </c>
      <c r="K302" s="100">
        <f t="shared" si="308"/>
        <v>0</v>
      </c>
      <c r="L302" s="100">
        <f t="shared" si="308"/>
        <v>0</v>
      </c>
      <c r="M302" s="100">
        <f t="shared" si="308"/>
        <v>0</v>
      </c>
      <c r="N302" s="100"/>
      <c r="O302" s="100">
        <f>SUM(O291:O301)</f>
        <v>0</v>
      </c>
      <c r="P302" s="100">
        <f>SUM(P291:P301)</f>
        <v>0</v>
      </c>
      <c r="Q302" s="100">
        <f>SUM(Q291:Q301)</f>
        <v>0</v>
      </c>
      <c r="R302" s="100"/>
      <c r="S302" s="100">
        <f t="shared" ref="S302:AD302" si="309">SUM(S291:S301)</f>
        <v>0</v>
      </c>
      <c r="T302" s="100">
        <f t="shared" si="309"/>
        <v>0</v>
      </c>
      <c r="U302" s="100">
        <f t="shared" si="309"/>
        <v>0</v>
      </c>
      <c r="V302" s="100">
        <f t="shared" si="309"/>
        <v>0</v>
      </c>
      <c r="W302" s="100">
        <f t="shared" si="309"/>
        <v>0</v>
      </c>
      <c r="X302" s="100">
        <f t="shared" si="309"/>
        <v>0</v>
      </c>
      <c r="Y302" s="100">
        <f t="shared" si="309"/>
        <v>0</v>
      </c>
      <c r="Z302" s="100">
        <f t="shared" si="309"/>
        <v>0</v>
      </c>
      <c r="AA302" s="100">
        <f t="shared" si="309"/>
        <v>0</v>
      </c>
      <c r="AB302" s="100">
        <f t="shared" si="309"/>
        <v>0</v>
      </c>
      <c r="AC302" s="100">
        <f t="shared" si="309"/>
        <v>0</v>
      </c>
      <c r="AD302" s="100">
        <f t="shared" si="309"/>
        <v>0</v>
      </c>
      <c r="AE302" s="100"/>
      <c r="AF302" s="100">
        <f>SUM(AF291:AF301)</f>
        <v>0</v>
      </c>
      <c r="AG302" s="100"/>
      <c r="AH302" s="100">
        <f>SUM(AH291:AH301)</f>
        <v>4146565.4546762914</v>
      </c>
      <c r="AI302" s="100"/>
      <c r="AJ302" s="100">
        <f>SUM(AJ291:AJ301)</f>
        <v>0</v>
      </c>
      <c r="AK302" s="101">
        <f>SUM(H302:AJ302)</f>
        <v>4146565.4546762914</v>
      </c>
      <c r="AL302" s="98" t="str">
        <f>IF(ABS(AK302-F302)&lt;1,"ok","err")</f>
        <v>ok</v>
      </c>
    </row>
    <row r="303" spans="1:38" x14ac:dyDescent="0.25">
      <c r="F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L303" s="98"/>
    </row>
    <row r="304" spans="1:38" x14ac:dyDescent="0.25">
      <c r="A304" s="97" t="s">
        <v>1621</v>
      </c>
      <c r="C304" s="97" t="s">
        <v>1355</v>
      </c>
      <c r="F304" s="101">
        <f>F279+F288+F302</f>
        <v>819914466.04324615</v>
      </c>
      <c r="G304" s="101">
        <f>G277+G288+G302</f>
        <v>0</v>
      </c>
      <c r="H304" s="101">
        <f t="shared" ref="H304:M304" si="310">H279+H288+H302</f>
        <v>24218939.273041509</v>
      </c>
      <c r="I304" s="101">
        <f t="shared" si="310"/>
        <v>23093636.130027201</v>
      </c>
      <c r="J304" s="101">
        <f t="shared" si="310"/>
        <v>23178849.899386439</v>
      </c>
      <c r="K304" s="101">
        <f t="shared" si="310"/>
        <v>616805451.12231529</v>
      </c>
      <c r="L304" s="101">
        <f t="shared" si="310"/>
        <v>0</v>
      </c>
      <c r="M304" s="101">
        <f t="shared" si="310"/>
        <v>0</v>
      </c>
      <c r="N304" s="101"/>
      <c r="O304" s="101">
        <f>O279+O288+O302</f>
        <v>35706011.17851349</v>
      </c>
      <c r="P304" s="101">
        <f>P279+P288+P302</f>
        <v>0</v>
      </c>
      <c r="Q304" s="101">
        <f>Q279+Q288+Q302</f>
        <v>0</v>
      </c>
      <c r="R304" s="101"/>
      <c r="S304" s="101">
        <f t="shared" ref="S304:AD304" si="311">S279+S288+S302</f>
        <v>0</v>
      </c>
      <c r="T304" s="101">
        <f t="shared" si="311"/>
        <v>4510559.0847164886</v>
      </c>
      <c r="U304" s="101">
        <f t="shared" si="311"/>
        <v>0</v>
      </c>
      <c r="V304" s="101">
        <f t="shared" si="311"/>
        <v>10547277.853181303</v>
      </c>
      <c r="W304" s="101">
        <f t="shared" si="311"/>
        <v>16072621.950832078</v>
      </c>
      <c r="X304" s="101">
        <f t="shared" si="311"/>
        <v>5486720.5058330726</v>
      </c>
      <c r="Y304" s="101">
        <f t="shared" si="311"/>
        <v>8026968.8945814846</v>
      </c>
      <c r="Z304" s="101">
        <f t="shared" si="311"/>
        <v>777099.37694364041</v>
      </c>
      <c r="AA304" s="101">
        <f t="shared" si="311"/>
        <v>691524.74262404756</v>
      </c>
      <c r="AB304" s="101">
        <f t="shared" si="311"/>
        <v>432461.27371313045</v>
      </c>
      <c r="AC304" s="101">
        <f t="shared" si="311"/>
        <v>11184096.169183971</v>
      </c>
      <c r="AD304" s="101">
        <f t="shared" si="311"/>
        <v>369019.39368595515</v>
      </c>
      <c r="AE304" s="101"/>
      <c r="AF304" s="101">
        <f>AF279+AF288+AF302</f>
        <v>34666663.739990681</v>
      </c>
      <c r="AG304" s="101"/>
      <c r="AH304" s="101">
        <f>AH279+AH288+AH302</f>
        <v>4146565.4546762914</v>
      </c>
      <c r="AI304" s="101"/>
      <c r="AJ304" s="101">
        <f>AJ279+AJ288+AJ302</f>
        <v>0</v>
      </c>
      <c r="AK304" s="101">
        <f>AK279+AK288+AK302</f>
        <v>819914466.04324603</v>
      </c>
      <c r="AL304" s="98" t="str">
        <f>IF(ABS(AK304-F304)&lt;1,"ok","err")</f>
        <v>ok</v>
      </c>
    </row>
    <row r="305" spans="1:38" x14ac:dyDescent="0.25">
      <c r="F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L305" s="98"/>
    </row>
    <row r="306" spans="1:38" x14ac:dyDescent="0.25">
      <c r="F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L306" s="98"/>
    </row>
    <row r="307" spans="1:38" x14ac:dyDescent="0.25">
      <c r="F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L307" s="98"/>
    </row>
    <row r="308" spans="1:38" x14ac:dyDescent="0.25">
      <c r="F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L308" s="98"/>
    </row>
    <row r="309" spans="1:38" x14ac:dyDescent="0.25">
      <c r="F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L309" s="98"/>
    </row>
    <row r="310" spans="1:38" x14ac:dyDescent="0.25">
      <c r="A310" s="23" t="s">
        <v>307</v>
      </c>
      <c r="F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L310" s="98"/>
    </row>
    <row r="311" spans="1:38" x14ac:dyDescent="0.25">
      <c r="F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L311" s="98"/>
    </row>
    <row r="312" spans="1:38" x14ac:dyDescent="0.25">
      <c r="A312" s="24" t="s">
        <v>1243</v>
      </c>
      <c r="F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L312" s="98"/>
    </row>
    <row r="313" spans="1:38" x14ac:dyDescent="0.25">
      <c r="A313" s="97">
        <v>920</v>
      </c>
      <c r="B313" s="97" t="s">
        <v>1244</v>
      </c>
      <c r="C313" s="97" t="s">
        <v>1245</v>
      </c>
      <c r="D313" s="97" t="s">
        <v>743</v>
      </c>
      <c r="F313" s="100">
        <f>'Jurisdictional Study'!F1093</f>
        <v>33809231.790585563</v>
      </c>
      <c r="H313" s="101">
        <f t="shared" ref="H313:H324" si="312">IF(VLOOKUP($D313,$C$5:$AJ$644,6,)=0,0,((VLOOKUP($D313,$C$5:$AJ$644,6,)/VLOOKUP($D313,$C$5:$AJ$644,4,))*$F313))</f>
        <v>3683644.8470305847</v>
      </c>
      <c r="I313" s="101">
        <f t="shared" ref="I313:I324" si="313">IF(VLOOKUP($D313,$C$5:$AJ$644,7,)=0,0,((VLOOKUP($D313,$C$5:$AJ$644,7,)/VLOOKUP($D313,$C$5:$AJ$644,4,))*$F313))</f>
        <v>3472490.031198021</v>
      </c>
      <c r="J313" s="101">
        <f t="shared" ref="J313:J324" si="314">IF(VLOOKUP($D313,$C$5:$AJ$644,8,)=0,0,((VLOOKUP($D313,$C$5:$AJ$644,8,)/VLOOKUP($D313,$C$5:$AJ$644,4,))*$F313))</f>
        <v>3566271.2340241438</v>
      </c>
      <c r="K313" s="101">
        <f t="shared" ref="K313:K324" si="315">IF(VLOOKUP($D313,$C$5:$AJ$644,9,)=0,0,((VLOOKUP($D313,$C$5:$AJ$644,9,)/VLOOKUP($D313,$C$5:$AJ$644,4,))*$F313))</f>
        <v>7680250.7495813007</v>
      </c>
      <c r="L313" s="101">
        <f t="shared" ref="L313:L324" si="316">IF(VLOOKUP($D313,$C$5:$AJ$644,10,)=0,0,((VLOOKUP($D313,$C$5:$AJ$644,10,)/VLOOKUP($D313,$C$5:$AJ$644,4,))*$F313))</f>
        <v>0</v>
      </c>
      <c r="M313" s="101">
        <f t="shared" ref="M313:M324" si="317">IF(VLOOKUP($D313,$C$5:$AJ$644,11,)=0,0,((VLOOKUP($D313,$C$5:$AJ$644,11,)/VLOOKUP($D313,$C$5:$AJ$644,4,))*$F313))</f>
        <v>0</v>
      </c>
      <c r="N313" s="101"/>
      <c r="O313" s="101">
        <f t="shared" ref="O313:O324" si="318">IF(VLOOKUP($D313,$C$5:$AJ$644,13,)=0,0,((VLOOKUP($D313,$C$5:$AJ$644,13,)/VLOOKUP($D313,$C$5:$AJ$644,4,))*$F313))</f>
        <v>2272731.5905083567</v>
      </c>
      <c r="P313" s="101">
        <f t="shared" ref="P313:P324" si="319">IF(VLOOKUP($D313,$C$5:$AJ$644,14,)=0,0,((VLOOKUP($D313,$C$5:$AJ$644,14,)/VLOOKUP($D313,$C$5:$AJ$644,4,))*$F313))</f>
        <v>0</v>
      </c>
      <c r="Q313" s="101">
        <f t="shared" ref="Q313:Q324" si="320">IF(VLOOKUP($D313,$C$5:$AJ$644,15,)=0,0,((VLOOKUP($D313,$C$5:$AJ$644,15,)/VLOOKUP($D313,$C$5:$AJ$644,4,))*$F313))</f>
        <v>0</v>
      </c>
      <c r="R313" s="101"/>
      <c r="S313" s="101">
        <f t="shared" ref="S313:S324" si="321">IF(VLOOKUP($D313,$C$5:$AJ$644,17,)=0,0,((VLOOKUP($D313,$C$5:$AJ$644,17,)/VLOOKUP($D313,$C$5:$AJ$644,4,))*$F313))</f>
        <v>0</v>
      </c>
      <c r="T313" s="101">
        <f t="shared" ref="T313:T324" si="322">IF(VLOOKUP($D313,$C$5:$AJ$644,18,)=0,0,((VLOOKUP($D313,$C$5:$AJ$644,18,)/VLOOKUP($D313,$C$5:$AJ$644,4,))*$F313))</f>
        <v>796958.82461085077</v>
      </c>
      <c r="U313" s="101">
        <f t="shared" ref="U313:U324" si="323">IF(VLOOKUP($D313,$C$5:$AJ$644,19,)=0,0,((VLOOKUP($D313,$C$5:$AJ$644,19,)/VLOOKUP($D313,$C$5:$AJ$644,4,))*$F313))</f>
        <v>0</v>
      </c>
      <c r="V313" s="101">
        <f t="shared" ref="V313:V324" si="324">IF(VLOOKUP($D313,$C$5:$AJ$644,20,)=0,0,((VLOOKUP($D313,$C$5:$AJ$644,20,)/VLOOKUP($D313,$C$5:$AJ$644,4,))*$F313))</f>
        <v>951795.252646707</v>
      </c>
      <c r="W313" s="101">
        <f t="shared" ref="W313:W324" si="325">IF(VLOOKUP($D313,$C$5:$AJ$644,21,)=0,0,((VLOOKUP($D313,$C$5:$AJ$644,21,)/VLOOKUP($D313,$C$5:$AJ$644,4,))*$F313))</f>
        <v>1509838.7992050059</v>
      </c>
      <c r="X313" s="101">
        <f t="shared" ref="X313:X324" si="326">IF(VLOOKUP($D313,$C$5:$AJ$644,22,)=0,0,((VLOOKUP($D313,$C$5:$AJ$644,22,)/VLOOKUP($D313,$C$5:$AJ$644,4,))*$F313))</f>
        <v>484365.98091403564</v>
      </c>
      <c r="Y313" s="101">
        <f t="shared" ref="Y313:Y324" si="327">IF(VLOOKUP($D313,$C$5:$AJ$644,23,)=0,0,((VLOOKUP($D313,$C$5:$AJ$644,23,)/VLOOKUP($D313,$C$5:$AJ$644,4,))*$F313))</f>
        <v>714055.58812314237</v>
      </c>
      <c r="Z313" s="101">
        <f t="shared" ref="Z313:Z324" si="328">IF(VLOOKUP($D313,$C$5:$AJ$644,24,)=0,0,((VLOOKUP($D313,$C$5:$AJ$644,24,)/VLOOKUP($D313,$C$5:$AJ$644,4,))*$F313))</f>
        <v>124659.58716575959</v>
      </c>
      <c r="AA313" s="101">
        <f t="shared" ref="AA313:AA324" si="329">IF(VLOOKUP($D313,$C$5:$AJ$644,25,)=0,0,((VLOOKUP($D313,$C$5:$AJ$644,25,)/VLOOKUP($D313,$C$5:$AJ$644,4,))*$F313))</f>
        <v>110932.0010903496</v>
      </c>
      <c r="AB313" s="101">
        <f t="shared" ref="AB313:AB324" si="330">IF(VLOOKUP($D313,$C$5:$AJ$644,26,)=0,0,((VLOOKUP($D313,$C$5:$AJ$644,26,)/VLOOKUP($D313,$C$5:$AJ$644,4,))*$F313))</f>
        <v>68801.727767802848</v>
      </c>
      <c r="AC313" s="101">
        <f t="shared" ref="AC313:AC324" si="331">IF(VLOOKUP($D313,$C$5:$AJ$644,27,)=0,0,((VLOOKUP($D313,$C$5:$AJ$644,27,)/VLOOKUP($D313,$C$5:$AJ$644,4,))*$F313))</f>
        <v>2153640.7712371093</v>
      </c>
      <c r="AD313" s="101">
        <f t="shared" ref="AD313:AD324" si="332">IF(VLOOKUP($D313,$C$5:$AJ$644,28,)=0,0,((VLOOKUP($D313,$C$5:$AJ$644,28,)/VLOOKUP($D313,$C$5:$AJ$644,4,))*$F313))</f>
        <v>81427.079674241395</v>
      </c>
      <c r="AE313" s="101"/>
      <c r="AF313" s="101">
        <f t="shared" ref="AF313:AF324" si="333">IF(VLOOKUP($D313,$C$5:$AJ$644,30,)=0,0,((VLOOKUP($D313,$C$5:$AJ$644,30,)/VLOOKUP($D313,$C$5:$AJ$644,4,))*$F313))</f>
        <v>5395653.982505084</v>
      </c>
      <c r="AG313" s="101"/>
      <c r="AH313" s="101">
        <f t="shared" ref="AH313:AH324" si="334">IF(VLOOKUP($D313,$C$5:$AJ$644,32,)=0,0,((VLOOKUP($D313,$C$5:$AJ$644,32,)/VLOOKUP($D313,$C$5:$AJ$644,4,))*$F313))</f>
        <v>741713.74330306624</v>
      </c>
      <c r="AI313" s="101"/>
      <c r="AJ313" s="101">
        <f t="shared" ref="AJ313:AJ324" si="335">IF(VLOOKUP($D313,$C$5:$AJ$644,34,)=0,0,((VLOOKUP($D313,$C$5:$AJ$644,34,)/VLOOKUP($D313,$C$5:$AJ$644,4,))*$F313))</f>
        <v>0</v>
      </c>
      <c r="AK313" s="101">
        <f t="shared" ref="AK313:AK323" si="336">SUM(H313:AJ313)</f>
        <v>33809231.790585555</v>
      </c>
      <c r="AL313" s="98" t="str">
        <f t="shared" ref="AL313:AL323" si="337">IF(ABS(AK313-F313)&lt;1,"ok","err")</f>
        <v>ok</v>
      </c>
    </row>
    <row r="314" spans="1:38" x14ac:dyDescent="0.25">
      <c r="A314" s="97">
        <v>921</v>
      </c>
      <c r="B314" s="97" t="s">
        <v>1246</v>
      </c>
      <c r="C314" s="97" t="s">
        <v>1247</v>
      </c>
      <c r="D314" s="97" t="s">
        <v>743</v>
      </c>
      <c r="F314" s="101">
        <f>'Jurisdictional Study'!F1094</f>
        <v>7269103.8220331799</v>
      </c>
      <c r="H314" s="101">
        <f t="shared" si="312"/>
        <v>791996.60620561789</v>
      </c>
      <c r="I314" s="101">
        <f t="shared" si="313"/>
        <v>746597.5776705594</v>
      </c>
      <c r="J314" s="101">
        <f t="shared" si="314"/>
        <v>766760.86632854259</v>
      </c>
      <c r="K314" s="101">
        <f t="shared" si="315"/>
        <v>1651280.9407725292</v>
      </c>
      <c r="L314" s="101">
        <f t="shared" si="316"/>
        <v>0</v>
      </c>
      <c r="M314" s="101">
        <f t="shared" si="317"/>
        <v>0</v>
      </c>
      <c r="N314" s="101"/>
      <c r="O314" s="101">
        <f t="shared" si="318"/>
        <v>488645.29053334374</v>
      </c>
      <c r="P314" s="101">
        <f t="shared" si="319"/>
        <v>0</v>
      </c>
      <c r="Q314" s="101">
        <f t="shared" si="320"/>
        <v>0</v>
      </c>
      <c r="R314" s="101"/>
      <c r="S314" s="101">
        <f t="shared" si="321"/>
        <v>0</v>
      </c>
      <c r="T314" s="101">
        <f t="shared" si="322"/>
        <v>171348.95208103961</v>
      </c>
      <c r="U314" s="101">
        <f t="shared" si="323"/>
        <v>0</v>
      </c>
      <c r="V314" s="101">
        <f t="shared" si="324"/>
        <v>204639.32903479275</v>
      </c>
      <c r="W314" s="101">
        <f t="shared" si="325"/>
        <v>324620.65550425241</v>
      </c>
      <c r="X314" s="101">
        <f t="shared" si="326"/>
        <v>104140.39055763136</v>
      </c>
      <c r="Y314" s="101">
        <f t="shared" si="327"/>
        <v>153524.46446935926</v>
      </c>
      <c r="Z314" s="101">
        <f t="shared" si="328"/>
        <v>26802.249963337807</v>
      </c>
      <c r="AA314" s="101">
        <f t="shared" si="329"/>
        <v>23850.770644726414</v>
      </c>
      <c r="AB314" s="101">
        <f t="shared" si="330"/>
        <v>14792.613608531801</v>
      </c>
      <c r="AC314" s="101">
        <f t="shared" si="331"/>
        <v>463040.34526585788</v>
      </c>
      <c r="AD314" s="101">
        <f t="shared" si="332"/>
        <v>17507.108701648995</v>
      </c>
      <c r="AE314" s="101"/>
      <c r="AF314" s="101">
        <f t="shared" si="333"/>
        <v>1160084.5955191979</v>
      </c>
      <c r="AG314" s="101"/>
      <c r="AH314" s="101">
        <f t="shared" si="334"/>
        <v>159471.06517221092</v>
      </c>
      <c r="AI314" s="101"/>
      <c r="AJ314" s="101">
        <f t="shared" si="335"/>
        <v>0</v>
      </c>
      <c r="AK314" s="101">
        <f t="shared" si="336"/>
        <v>7269103.8220331799</v>
      </c>
      <c r="AL314" s="98" t="str">
        <f t="shared" si="337"/>
        <v>ok</v>
      </c>
    </row>
    <row r="315" spans="1:38" x14ac:dyDescent="0.25">
      <c r="A315" s="97">
        <v>922</v>
      </c>
      <c r="B315" s="97" t="s">
        <v>1622</v>
      </c>
      <c r="C315" s="97" t="s">
        <v>1623</v>
      </c>
      <c r="D315" s="97" t="s">
        <v>743</v>
      </c>
      <c r="F315" s="101">
        <f>'Jurisdictional Study'!F1095</f>
        <v>-4414265.7425975818</v>
      </c>
      <c r="H315" s="101">
        <f t="shared" si="312"/>
        <v>-480951.10107385233</v>
      </c>
      <c r="I315" s="101">
        <f t="shared" si="313"/>
        <v>-453381.9011675198</v>
      </c>
      <c r="J315" s="101">
        <f t="shared" si="314"/>
        <v>-465626.34237514948</v>
      </c>
      <c r="K315" s="101">
        <f t="shared" si="315"/>
        <v>-1002763.6235105641</v>
      </c>
      <c r="L315" s="101">
        <f t="shared" si="316"/>
        <v>0</v>
      </c>
      <c r="M315" s="101">
        <f t="shared" si="317"/>
        <v>0</v>
      </c>
      <c r="N315" s="101"/>
      <c r="O315" s="101">
        <f t="shared" si="318"/>
        <v>-296736.7393687414</v>
      </c>
      <c r="P315" s="101">
        <f t="shared" si="319"/>
        <v>0</v>
      </c>
      <c r="Q315" s="101">
        <f t="shared" si="320"/>
        <v>0</v>
      </c>
      <c r="R315" s="101"/>
      <c r="S315" s="101">
        <f t="shared" si="321"/>
        <v>0</v>
      </c>
      <c r="T315" s="101">
        <f t="shared" si="322"/>
        <v>-104054.0660471358</v>
      </c>
      <c r="U315" s="101">
        <f t="shared" si="323"/>
        <v>0</v>
      </c>
      <c r="V315" s="101">
        <f t="shared" si="324"/>
        <v>-124270.11662818385</v>
      </c>
      <c r="W315" s="101">
        <f t="shared" si="325"/>
        <v>-197130.46807621341</v>
      </c>
      <c r="X315" s="101">
        <f t="shared" si="326"/>
        <v>-63240.719862315163</v>
      </c>
      <c r="Y315" s="101">
        <f t="shared" si="327"/>
        <v>-93229.8947366223</v>
      </c>
      <c r="Z315" s="101">
        <f t="shared" si="328"/>
        <v>-16276.044026099389</v>
      </c>
      <c r="AA315" s="101">
        <f t="shared" si="329"/>
        <v>-14483.716613380251</v>
      </c>
      <c r="AB315" s="101">
        <f t="shared" si="330"/>
        <v>-8983.0230925716278</v>
      </c>
      <c r="AC315" s="101">
        <f t="shared" si="331"/>
        <v>-281187.77549333824</v>
      </c>
      <c r="AD315" s="101">
        <f t="shared" si="332"/>
        <v>-10631.438494436796</v>
      </c>
      <c r="AE315" s="101"/>
      <c r="AF315" s="101">
        <f t="shared" si="333"/>
        <v>-704477.72020997736</v>
      </c>
      <c r="AG315" s="101"/>
      <c r="AH315" s="101">
        <f t="shared" si="334"/>
        <v>-96841.051821480476</v>
      </c>
      <c r="AI315" s="101"/>
      <c r="AJ315" s="101">
        <f t="shared" si="335"/>
        <v>0</v>
      </c>
      <c r="AK315" s="101">
        <f>SUM(H315:AJ315)</f>
        <v>-4414265.7425975828</v>
      </c>
      <c r="AL315" s="98" t="str">
        <f t="shared" si="337"/>
        <v>ok</v>
      </c>
    </row>
    <row r="316" spans="1:38" x14ac:dyDescent="0.25">
      <c r="A316" s="97">
        <v>923</v>
      </c>
      <c r="B316" s="97" t="s">
        <v>1248</v>
      </c>
      <c r="C316" s="97" t="s">
        <v>1249</v>
      </c>
      <c r="D316" s="97" t="s">
        <v>743</v>
      </c>
      <c r="F316" s="101">
        <f>'Jurisdictional Study'!F1096</f>
        <v>19133212.797257014</v>
      </c>
      <c r="H316" s="101">
        <f t="shared" si="312"/>
        <v>2084636.5621173657</v>
      </c>
      <c r="I316" s="101">
        <f t="shared" si="313"/>
        <v>1965140.501115026</v>
      </c>
      <c r="J316" s="101">
        <f t="shared" si="314"/>
        <v>2018212.8607938571</v>
      </c>
      <c r="K316" s="101">
        <f t="shared" si="315"/>
        <v>4346383.0482226592</v>
      </c>
      <c r="L316" s="101">
        <f t="shared" si="316"/>
        <v>0</v>
      </c>
      <c r="M316" s="101">
        <f t="shared" si="317"/>
        <v>0</v>
      </c>
      <c r="N316" s="101"/>
      <c r="O316" s="101">
        <f t="shared" si="318"/>
        <v>1286177.024712919</v>
      </c>
      <c r="P316" s="101">
        <f t="shared" si="319"/>
        <v>0</v>
      </c>
      <c r="Q316" s="101">
        <f t="shared" si="320"/>
        <v>0</v>
      </c>
      <c r="R316" s="101"/>
      <c r="S316" s="101">
        <f t="shared" si="321"/>
        <v>0</v>
      </c>
      <c r="T316" s="101">
        <f t="shared" si="322"/>
        <v>451012.40029290656</v>
      </c>
      <c r="U316" s="101">
        <f t="shared" si="323"/>
        <v>0</v>
      </c>
      <c r="V316" s="101">
        <f t="shared" si="324"/>
        <v>538636.93860620074</v>
      </c>
      <c r="W316" s="101">
        <f t="shared" si="325"/>
        <v>854443.16551399673</v>
      </c>
      <c r="X316" s="101">
        <f t="shared" si="326"/>
        <v>274110.8535675446</v>
      </c>
      <c r="Y316" s="101">
        <f t="shared" si="327"/>
        <v>404096.06468594557</v>
      </c>
      <c r="Z316" s="101">
        <f t="shared" si="328"/>
        <v>70546.956619252363</v>
      </c>
      <c r="AA316" s="101">
        <f t="shared" si="329"/>
        <v>62778.284819776003</v>
      </c>
      <c r="AB316" s="101">
        <f t="shared" si="330"/>
        <v>38936.054695181796</v>
      </c>
      <c r="AC316" s="101">
        <f t="shared" si="331"/>
        <v>1218781.5274880771</v>
      </c>
      <c r="AD316" s="101">
        <f t="shared" si="332"/>
        <v>46080.953643563356</v>
      </c>
      <c r="AE316" s="101"/>
      <c r="AF316" s="101">
        <f t="shared" si="333"/>
        <v>3053491.320568365</v>
      </c>
      <c r="AG316" s="101"/>
      <c r="AH316" s="101">
        <f t="shared" si="334"/>
        <v>419748.27979437629</v>
      </c>
      <c r="AI316" s="101"/>
      <c r="AJ316" s="101">
        <f t="shared" si="335"/>
        <v>0</v>
      </c>
      <c r="AK316" s="101">
        <f t="shared" si="336"/>
        <v>19133212.797257014</v>
      </c>
      <c r="AL316" s="98" t="str">
        <f t="shared" si="337"/>
        <v>ok</v>
      </c>
    </row>
    <row r="317" spans="1:38" x14ac:dyDescent="0.25">
      <c r="A317" s="97">
        <v>924</v>
      </c>
      <c r="B317" s="97" t="s">
        <v>1250</v>
      </c>
      <c r="C317" s="97" t="s">
        <v>1251</v>
      </c>
      <c r="D317" s="97" t="s">
        <v>196</v>
      </c>
      <c r="F317" s="101">
        <f>'Jurisdictional Study'!F1089</f>
        <v>5543868.9752872689</v>
      </c>
      <c r="H317" s="101">
        <f t="shared" si="312"/>
        <v>1154196.2601319388</v>
      </c>
      <c r="I317" s="101">
        <f t="shared" si="313"/>
        <v>1209093.6365587346</v>
      </c>
      <c r="J317" s="101">
        <f t="shared" si="314"/>
        <v>993870.89216258761</v>
      </c>
      <c r="K317" s="101">
        <f t="shared" si="315"/>
        <v>0</v>
      </c>
      <c r="L317" s="101">
        <f t="shared" si="316"/>
        <v>0</v>
      </c>
      <c r="M317" s="101">
        <f t="shared" si="317"/>
        <v>0</v>
      </c>
      <c r="N317" s="101"/>
      <c r="O317" s="101">
        <f t="shared" si="318"/>
        <v>744464.54269416269</v>
      </c>
      <c r="P317" s="101">
        <f t="shared" si="319"/>
        <v>0</v>
      </c>
      <c r="Q317" s="101">
        <f t="shared" si="320"/>
        <v>0</v>
      </c>
      <c r="R317" s="101"/>
      <c r="S317" s="101">
        <f t="shared" si="321"/>
        <v>0</v>
      </c>
      <c r="T317" s="101">
        <f t="shared" si="322"/>
        <v>174617.19454872946</v>
      </c>
      <c r="U317" s="101">
        <f t="shared" si="323"/>
        <v>0</v>
      </c>
      <c r="V317" s="101">
        <f t="shared" si="324"/>
        <v>190278.95106087715</v>
      </c>
      <c r="W317" s="101">
        <f t="shared" si="325"/>
        <v>352855.18244321377</v>
      </c>
      <c r="X317" s="101">
        <f t="shared" si="326"/>
        <v>87596.112366466696</v>
      </c>
      <c r="Y317" s="101">
        <f t="shared" si="327"/>
        <v>133905.64788002032</v>
      </c>
      <c r="Z317" s="101">
        <f t="shared" si="328"/>
        <v>135979.60770931275</v>
      </c>
      <c r="AA317" s="101">
        <f t="shared" si="329"/>
        <v>121005.45440293316</v>
      </c>
      <c r="AB317" s="101">
        <f t="shared" si="330"/>
        <v>81009.80314482098</v>
      </c>
      <c r="AC317" s="101">
        <f t="shared" si="331"/>
        <v>69120.31162713583</v>
      </c>
      <c r="AD317" s="101">
        <f t="shared" si="332"/>
        <v>95875.378556334239</v>
      </c>
      <c r="AE317" s="101"/>
      <c r="AF317" s="101">
        <f t="shared" si="333"/>
        <v>0</v>
      </c>
      <c r="AG317" s="101"/>
      <c r="AH317" s="101">
        <f t="shared" si="334"/>
        <v>0</v>
      </c>
      <c r="AI317" s="101"/>
      <c r="AJ317" s="101">
        <f t="shared" si="335"/>
        <v>0</v>
      </c>
      <c r="AK317" s="101">
        <f t="shared" si="336"/>
        <v>5543868.9752872679</v>
      </c>
      <c r="AL317" s="98" t="str">
        <f t="shared" si="337"/>
        <v>ok</v>
      </c>
    </row>
    <row r="318" spans="1:38" x14ac:dyDescent="0.25">
      <c r="A318" s="97">
        <v>925</v>
      </c>
      <c r="B318" s="97" t="s">
        <v>1226</v>
      </c>
      <c r="C318" s="97" t="s">
        <v>1227</v>
      </c>
      <c r="D318" s="97" t="s">
        <v>743</v>
      </c>
      <c r="F318" s="101">
        <f>'Jurisdictional Study'!F1097</f>
        <v>3904092.4577877838</v>
      </c>
      <c r="H318" s="101">
        <f t="shared" si="312"/>
        <v>425365.77445884229</v>
      </c>
      <c r="I318" s="101">
        <f t="shared" si="313"/>
        <v>400982.85061651381</v>
      </c>
      <c r="J318" s="101">
        <f t="shared" si="314"/>
        <v>411812.15572771966</v>
      </c>
      <c r="K318" s="101">
        <f t="shared" si="315"/>
        <v>886870.46221821336</v>
      </c>
      <c r="L318" s="101">
        <f t="shared" si="316"/>
        <v>0</v>
      </c>
      <c r="M318" s="101">
        <f t="shared" si="317"/>
        <v>0</v>
      </c>
      <c r="N318" s="101"/>
      <c r="O318" s="101">
        <f t="shared" si="318"/>
        <v>262441.75898579427</v>
      </c>
      <c r="P318" s="101">
        <f t="shared" si="319"/>
        <v>0</v>
      </c>
      <c r="Q318" s="101">
        <f t="shared" si="320"/>
        <v>0</v>
      </c>
      <c r="R318" s="101"/>
      <c r="S318" s="101">
        <f t="shared" si="321"/>
        <v>0</v>
      </c>
      <c r="T318" s="101">
        <f t="shared" si="322"/>
        <v>92028.146501602358</v>
      </c>
      <c r="U318" s="101">
        <f t="shared" si="323"/>
        <v>0</v>
      </c>
      <c r="V318" s="101">
        <f t="shared" si="324"/>
        <v>109907.75212617953</v>
      </c>
      <c r="W318" s="101">
        <f t="shared" si="325"/>
        <v>174347.35888003849</v>
      </c>
      <c r="X318" s="101">
        <f t="shared" si="326"/>
        <v>55931.752150075001</v>
      </c>
      <c r="Y318" s="101">
        <f t="shared" si="327"/>
        <v>82454.965356800793</v>
      </c>
      <c r="Z318" s="101">
        <f t="shared" si="328"/>
        <v>14394.960437412283</v>
      </c>
      <c r="AA318" s="101">
        <f t="shared" si="329"/>
        <v>12809.779041023256</v>
      </c>
      <c r="AB318" s="101">
        <f t="shared" si="330"/>
        <v>7944.82134716363</v>
      </c>
      <c r="AC318" s="101">
        <f t="shared" si="331"/>
        <v>248689.84731301523</v>
      </c>
      <c r="AD318" s="101">
        <f t="shared" si="332"/>
        <v>9402.7231847489693</v>
      </c>
      <c r="AE318" s="101"/>
      <c r="AF318" s="101">
        <f t="shared" si="333"/>
        <v>623058.58199938352</v>
      </c>
      <c r="AG318" s="101"/>
      <c r="AH318" s="101">
        <f t="shared" si="334"/>
        <v>85648.767443257311</v>
      </c>
      <c r="AI318" s="101"/>
      <c r="AJ318" s="101">
        <f t="shared" si="335"/>
        <v>0</v>
      </c>
      <c r="AK318" s="101">
        <f t="shared" si="336"/>
        <v>3904092.4577877834</v>
      </c>
      <c r="AL318" s="98" t="str">
        <f t="shared" si="337"/>
        <v>ok</v>
      </c>
    </row>
    <row r="319" spans="1:38" x14ac:dyDescent="0.25">
      <c r="A319" s="97">
        <v>926</v>
      </c>
      <c r="B319" s="97" t="s">
        <v>1228</v>
      </c>
      <c r="C319" s="97" t="s">
        <v>264</v>
      </c>
      <c r="D319" s="97" t="s">
        <v>743</v>
      </c>
      <c r="F319" s="101">
        <f>'Jurisdictional Study'!F1098+'Jurisdictional Study'!F1099</f>
        <v>38912105.991353229</v>
      </c>
      <c r="H319" s="101">
        <f t="shared" si="312"/>
        <v>4239622.4679103745</v>
      </c>
      <c r="I319" s="101">
        <f t="shared" si="313"/>
        <v>3996597.763144698</v>
      </c>
      <c r="J319" s="101">
        <f t="shared" si="314"/>
        <v>4104533.4928581081</v>
      </c>
      <c r="K319" s="101">
        <f t="shared" si="315"/>
        <v>8839441.637094399</v>
      </c>
      <c r="L319" s="101">
        <f t="shared" si="316"/>
        <v>0</v>
      </c>
      <c r="M319" s="101">
        <f t="shared" si="317"/>
        <v>0</v>
      </c>
      <c r="N319" s="101"/>
      <c r="O319" s="101">
        <f t="shared" si="318"/>
        <v>2615758.1185971778</v>
      </c>
      <c r="P319" s="101">
        <f t="shared" si="319"/>
        <v>0</v>
      </c>
      <c r="Q319" s="101">
        <f t="shared" si="320"/>
        <v>0</v>
      </c>
      <c r="R319" s="101"/>
      <c r="S319" s="101">
        <f t="shared" si="321"/>
        <v>0</v>
      </c>
      <c r="T319" s="101">
        <f t="shared" si="322"/>
        <v>917244.92428831407</v>
      </c>
      <c r="U319" s="101">
        <f t="shared" si="323"/>
        <v>0</v>
      </c>
      <c r="V319" s="101">
        <f t="shared" si="324"/>
        <v>1095451.0289514635</v>
      </c>
      <c r="W319" s="101">
        <f t="shared" si="325"/>
        <v>1737720.8612259075</v>
      </c>
      <c r="X319" s="101">
        <f t="shared" si="326"/>
        <v>557472.00955867372</v>
      </c>
      <c r="Y319" s="101">
        <f t="shared" si="327"/>
        <v>821828.98744545982</v>
      </c>
      <c r="Z319" s="101">
        <f t="shared" si="328"/>
        <v>143474.63138701385</v>
      </c>
      <c r="AA319" s="101">
        <f t="shared" si="329"/>
        <v>127675.12172407848</v>
      </c>
      <c r="AB319" s="101">
        <f t="shared" si="330"/>
        <v>79186.067872576357</v>
      </c>
      <c r="AC319" s="101">
        <f t="shared" si="331"/>
        <v>2478692.7569591692</v>
      </c>
      <c r="AD319" s="101">
        <f t="shared" si="332"/>
        <v>93716.981636144061</v>
      </c>
      <c r="AE319" s="101"/>
      <c r="AF319" s="101">
        <f t="shared" si="333"/>
        <v>6210027.5143893957</v>
      </c>
      <c r="AG319" s="101"/>
      <c r="AH319" s="101">
        <f t="shared" si="334"/>
        <v>853661.62631027354</v>
      </c>
      <c r="AI319" s="101"/>
      <c r="AJ319" s="101">
        <f t="shared" si="335"/>
        <v>0</v>
      </c>
      <c r="AK319" s="101">
        <f t="shared" si="336"/>
        <v>38912105.991353229</v>
      </c>
      <c r="AL319" s="98" t="str">
        <f t="shared" si="337"/>
        <v>ok</v>
      </c>
    </row>
    <row r="320" spans="1:38" x14ac:dyDescent="0.25">
      <c r="A320" s="97">
        <v>928</v>
      </c>
      <c r="B320" s="97" t="s">
        <v>575</v>
      </c>
      <c r="C320" s="97" t="s">
        <v>265</v>
      </c>
      <c r="D320" s="97" t="s">
        <v>196</v>
      </c>
      <c r="F320" s="101">
        <f>'Jurisdictional Study'!F1114</f>
        <v>1800306.6730721656</v>
      </c>
      <c r="H320" s="101">
        <f t="shared" si="312"/>
        <v>374811.74941418861</v>
      </c>
      <c r="I320" s="101">
        <f t="shared" si="313"/>
        <v>392639.03096717555</v>
      </c>
      <c r="J320" s="101">
        <f t="shared" si="314"/>
        <v>322747.95946810371</v>
      </c>
      <c r="K320" s="101">
        <f t="shared" si="315"/>
        <v>0</v>
      </c>
      <c r="L320" s="101">
        <f t="shared" si="316"/>
        <v>0</v>
      </c>
      <c r="M320" s="101">
        <f t="shared" si="317"/>
        <v>0</v>
      </c>
      <c r="N320" s="101"/>
      <c r="O320" s="101">
        <f t="shared" si="318"/>
        <v>241756.16163592145</v>
      </c>
      <c r="P320" s="101">
        <f t="shared" si="319"/>
        <v>0</v>
      </c>
      <c r="Q320" s="101">
        <f t="shared" si="320"/>
        <v>0</v>
      </c>
      <c r="R320" s="101"/>
      <c r="S320" s="101">
        <f t="shared" si="321"/>
        <v>0</v>
      </c>
      <c r="T320" s="101">
        <f t="shared" si="322"/>
        <v>56704.893636655383</v>
      </c>
      <c r="U320" s="101">
        <f t="shared" si="323"/>
        <v>0</v>
      </c>
      <c r="V320" s="101">
        <f t="shared" si="324"/>
        <v>61790.866066115603</v>
      </c>
      <c r="W320" s="101">
        <f t="shared" si="325"/>
        <v>114585.59760563196</v>
      </c>
      <c r="X320" s="101">
        <f t="shared" si="326"/>
        <v>28445.813985053217</v>
      </c>
      <c r="Y320" s="101">
        <f t="shared" si="327"/>
        <v>43484.294545031262</v>
      </c>
      <c r="Z320" s="101">
        <f t="shared" si="328"/>
        <v>44157.78876666649</v>
      </c>
      <c r="AA320" s="101">
        <f t="shared" si="329"/>
        <v>39295.107444064721</v>
      </c>
      <c r="AB320" s="101">
        <f t="shared" si="330"/>
        <v>26306.987022240464</v>
      </c>
      <c r="AC320" s="101">
        <f t="shared" si="331"/>
        <v>22446.013573167496</v>
      </c>
      <c r="AD320" s="101">
        <f t="shared" si="332"/>
        <v>31134.408942149392</v>
      </c>
      <c r="AE320" s="101"/>
      <c r="AF320" s="101">
        <f t="shared" si="333"/>
        <v>0</v>
      </c>
      <c r="AG320" s="101"/>
      <c r="AH320" s="101">
        <f t="shared" si="334"/>
        <v>0</v>
      </c>
      <c r="AI320" s="101"/>
      <c r="AJ320" s="101">
        <f t="shared" si="335"/>
        <v>0</v>
      </c>
      <c r="AK320" s="101">
        <f t="shared" si="336"/>
        <v>1800306.6730721649</v>
      </c>
      <c r="AL320" s="98" t="str">
        <f t="shared" si="337"/>
        <v>ok</v>
      </c>
    </row>
    <row r="321" spans="1:38" x14ac:dyDescent="0.25">
      <c r="A321" s="97">
        <v>929</v>
      </c>
      <c r="B321" s="97" t="s">
        <v>322</v>
      </c>
      <c r="C321" s="97" t="s">
        <v>489</v>
      </c>
      <c r="D321" s="97" t="s">
        <v>743</v>
      </c>
      <c r="F321" s="101">
        <f>'Jurisdictional Study'!F1117</f>
        <v>0</v>
      </c>
      <c r="H321" s="101">
        <f t="shared" si="312"/>
        <v>0</v>
      </c>
      <c r="I321" s="101">
        <f t="shared" si="313"/>
        <v>0</v>
      </c>
      <c r="J321" s="101">
        <f t="shared" si="314"/>
        <v>0</v>
      </c>
      <c r="K321" s="101">
        <f t="shared" si="315"/>
        <v>0</v>
      </c>
      <c r="L321" s="101">
        <f t="shared" si="316"/>
        <v>0</v>
      </c>
      <c r="M321" s="101">
        <f t="shared" si="317"/>
        <v>0</v>
      </c>
      <c r="N321" s="101"/>
      <c r="O321" s="101">
        <f t="shared" si="318"/>
        <v>0</v>
      </c>
      <c r="P321" s="101">
        <f t="shared" si="319"/>
        <v>0</v>
      </c>
      <c r="Q321" s="101">
        <f t="shared" si="320"/>
        <v>0</v>
      </c>
      <c r="R321" s="101"/>
      <c r="S321" s="101">
        <f t="shared" si="321"/>
        <v>0</v>
      </c>
      <c r="T321" s="101">
        <f t="shared" si="322"/>
        <v>0</v>
      </c>
      <c r="U321" s="101">
        <f t="shared" si="323"/>
        <v>0</v>
      </c>
      <c r="V321" s="101">
        <f t="shared" si="324"/>
        <v>0</v>
      </c>
      <c r="W321" s="101">
        <f t="shared" si="325"/>
        <v>0</v>
      </c>
      <c r="X321" s="101">
        <f t="shared" si="326"/>
        <v>0</v>
      </c>
      <c r="Y321" s="101">
        <f t="shared" si="327"/>
        <v>0</v>
      </c>
      <c r="Z321" s="101">
        <f t="shared" si="328"/>
        <v>0</v>
      </c>
      <c r="AA321" s="101">
        <f t="shared" si="329"/>
        <v>0</v>
      </c>
      <c r="AB321" s="101">
        <f t="shared" si="330"/>
        <v>0</v>
      </c>
      <c r="AC321" s="101">
        <f t="shared" si="331"/>
        <v>0</v>
      </c>
      <c r="AD321" s="101">
        <f t="shared" si="332"/>
        <v>0</v>
      </c>
      <c r="AE321" s="101"/>
      <c r="AF321" s="101">
        <f t="shared" si="333"/>
        <v>0</v>
      </c>
      <c r="AG321" s="101"/>
      <c r="AH321" s="101">
        <f t="shared" si="334"/>
        <v>0</v>
      </c>
      <c r="AI321" s="101"/>
      <c r="AJ321" s="101">
        <f t="shared" si="335"/>
        <v>0</v>
      </c>
      <c r="AK321" s="101">
        <f t="shared" si="336"/>
        <v>0</v>
      </c>
      <c r="AL321" s="98" t="str">
        <f t="shared" si="337"/>
        <v>ok</v>
      </c>
    </row>
    <row r="322" spans="1:38" x14ac:dyDescent="0.25">
      <c r="A322" s="97">
        <v>930</v>
      </c>
      <c r="B322" s="97" t="s">
        <v>266</v>
      </c>
      <c r="C322" s="97" t="s">
        <v>267</v>
      </c>
      <c r="D322" s="97" t="s">
        <v>743</v>
      </c>
      <c r="F322" s="101">
        <f>'Jurisdictional Study'!F1103+'Jurisdictional Study'!F1104</f>
        <v>5197262.0211860752</v>
      </c>
      <c r="H322" s="101">
        <f t="shared" si="312"/>
        <v>566261.53417484276</v>
      </c>
      <c r="I322" s="101">
        <f t="shared" si="313"/>
        <v>533802.14817889384</v>
      </c>
      <c r="J322" s="101">
        <f t="shared" si="314"/>
        <v>548218.49122887338</v>
      </c>
      <c r="K322" s="101">
        <f t="shared" si="315"/>
        <v>1180632.4314384384</v>
      </c>
      <c r="L322" s="101">
        <f t="shared" si="316"/>
        <v>0</v>
      </c>
      <c r="M322" s="101">
        <f t="shared" si="317"/>
        <v>0</v>
      </c>
      <c r="N322" s="101"/>
      <c r="O322" s="101">
        <f t="shared" si="318"/>
        <v>349371.48684307112</v>
      </c>
      <c r="P322" s="101">
        <f t="shared" si="319"/>
        <v>0</v>
      </c>
      <c r="Q322" s="101">
        <f t="shared" si="320"/>
        <v>0</v>
      </c>
      <c r="R322" s="101"/>
      <c r="S322" s="101">
        <f t="shared" si="321"/>
        <v>0</v>
      </c>
      <c r="T322" s="101">
        <f t="shared" si="322"/>
        <v>122511.030633723</v>
      </c>
      <c r="U322" s="101">
        <f t="shared" si="323"/>
        <v>0</v>
      </c>
      <c r="V322" s="101">
        <f t="shared" si="324"/>
        <v>146312.97596958088</v>
      </c>
      <c r="W322" s="101">
        <f t="shared" si="325"/>
        <v>232097.19457176278</v>
      </c>
      <c r="X322" s="101">
        <f t="shared" si="326"/>
        <v>74458.270230796537</v>
      </c>
      <c r="Y322" s="101">
        <f t="shared" si="327"/>
        <v>109766.88296719857</v>
      </c>
      <c r="Z322" s="101">
        <f t="shared" si="328"/>
        <v>19163.065933185349</v>
      </c>
      <c r="AA322" s="101">
        <f t="shared" si="329"/>
        <v>17052.817992794175</v>
      </c>
      <c r="AB322" s="101">
        <f t="shared" si="330"/>
        <v>10576.419154816649</v>
      </c>
      <c r="AC322" s="101">
        <f t="shared" si="331"/>
        <v>331064.46951998782</v>
      </c>
      <c r="AD322" s="101">
        <f t="shared" si="332"/>
        <v>12517.228173308275</v>
      </c>
      <c r="AE322" s="101"/>
      <c r="AF322" s="101">
        <f t="shared" si="333"/>
        <v>829436.99213372113</v>
      </c>
      <c r="AG322" s="101"/>
      <c r="AH322" s="101">
        <f t="shared" si="334"/>
        <v>114018.5820410804</v>
      </c>
      <c r="AI322" s="101"/>
      <c r="AJ322" s="101">
        <f t="shared" si="335"/>
        <v>0</v>
      </c>
      <c r="AK322" s="101">
        <f t="shared" si="336"/>
        <v>5197262.0211860742</v>
      </c>
      <c r="AL322" s="98" t="str">
        <f t="shared" si="337"/>
        <v>ok</v>
      </c>
    </row>
    <row r="323" spans="1:38" x14ac:dyDescent="0.25">
      <c r="A323" s="97">
        <v>931</v>
      </c>
      <c r="B323" s="97" t="s">
        <v>268</v>
      </c>
      <c r="C323" s="97" t="s">
        <v>269</v>
      </c>
      <c r="D323" s="97" t="s">
        <v>186</v>
      </c>
      <c r="F323" s="101">
        <f>'Jurisdictional Study'!F1105</f>
        <v>1831133.6799085943</v>
      </c>
      <c r="H323" s="101">
        <f t="shared" si="312"/>
        <v>383662.67107956141</v>
      </c>
      <c r="I323" s="101">
        <f t="shared" si="313"/>
        <v>401910.93162474554</v>
      </c>
      <c r="J323" s="101">
        <f t="shared" si="314"/>
        <v>330369.43054358586</v>
      </c>
      <c r="K323" s="101">
        <f t="shared" si="315"/>
        <v>0</v>
      </c>
      <c r="L323" s="101">
        <f t="shared" si="316"/>
        <v>0</v>
      </c>
      <c r="M323" s="101">
        <f t="shared" si="317"/>
        <v>0</v>
      </c>
      <c r="N323" s="101"/>
      <c r="O323" s="101">
        <f t="shared" si="318"/>
        <v>241214.34765703842</v>
      </c>
      <c r="P323" s="101">
        <f t="shared" si="319"/>
        <v>0</v>
      </c>
      <c r="Q323" s="101">
        <f t="shared" si="320"/>
        <v>0</v>
      </c>
      <c r="R323" s="101"/>
      <c r="S323" s="101">
        <f t="shared" si="321"/>
        <v>0</v>
      </c>
      <c r="T323" s="101">
        <f t="shared" si="322"/>
        <v>57385.873721027601</v>
      </c>
      <c r="U323" s="101">
        <f t="shared" si="323"/>
        <v>0</v>
      </c>
      <c r="V323" s="101">
        <f t="shared" si="324"/>
        <v>62532.92458150156</v>
      </c>
      <c r="W323" s="101">
        <f t="shared" si="325"/>
        <v>115961.67830909495</v>
      </c>
      <c r="X323" s="101">
        <f t="shared" si="326"/>
        <v>28787.425291684012</v>
      </c>
      <c r="Y323" s="101">
        <f t="shared" si="327"/>
        <v>44006.505886399515</v>
      </c>
      <c r="Z323" s="101">
        <f t="shared" si="328"/>
        <v>44688.088230989546</v>
      </c>
      <c r="AA323" s="101">
        <f t="shared" si="329"/>
        <v>39767.010023657545</v>
      </c>
      <c r="AB323" s="101">
        <f t="shared" si="330"/>
        <v>26622.912740341162</v>
      </c>
      <c r="AC323" s="101">
        <f t="shared" si="331"/>
        <v>22715.572111004072</v>
      </c>
      <c r="AD323" s="101">
        <f t="shared" si="332"/>
        <v>31508.308107963156</v>
      </c>
      <c r="AE323" s="101"/>
      <c r="AF323" s="101">
        <f t="shared" si="333"/>
        <v>0</v>
      </c>
      <c r="AG323" s="101"/>
      <c r="AH323" s="101">
        <f t="shared" si="334"/>
        <v>0</v>
      </c>
      <c r="AI323" s="101"/>
      <c r="AJ323" s="101">
        <f t="shared" si="335"/>
        <v>0</v>
      </c>
      <c r="AK323" s="101">
        <f t="shared" si="336"/>
        <v>1831133.6799085939</v>
      </c>
      <c r="AL323" s="98" t="str">
        <f t="shared" si="337"/>
        <v>ok</v>
      </c>
    </row>
    <row r="324" spans="1:38" x14ac:dyDescent="0.25">
      <c r="A324" s="97">
        <v>935</v>
      </c>
      <c r="B324" s="97" t="s">
        <v>270</v>
      </c>
      <c r="C324" s="97" t="s">
        <v>1624</v>
      </c>
      <c r="D324" s="97" t="s">
        <v>186</v>
      </c>
      <c r="F324" s="101">
        <f>'Jurisdictional Study'!F1106</f>
        <v>873720.0683666378</v>
      </c>
      <c r="H324" s="101">
        <f t="shared" si="312"/>
        <v>183063.51900102364</v>
      </c>
      <c r="I324" s="101">
        <f t="shared" si="313"/>
        <v>191770.62303501551</v>
      </c>
      <c r="J324" s="101">
        <f t="shared" si="314"/>
        <v>157634.80548028462</v>
      </c>
      <c r="K324" s="101">
        <f t="shared" si="315"/>
        <v>0</v>
      </c>
      <c r="L324" s="101">
        <f t="shared" si="316"/>
        <v>0</v>
      </c>
      <c r="M324" s="101">
        <f t="shared" si="317"/>
        <v>0</v>
      </c>
      <c r="N324" s="101"/>
      <c r="O324" s="101">
        <f t="shared" si="318"/>
        <v>115094.71899203004</v>
      </c>
      <c r="P324" s="101">
        <f t="shared" si="319"/>
        <v>0</v>
      </c>
      <c r="Q324" s="101">
        <f t="shared" si="320"/>
        <v>0</v>
      </c>
      <c r="R324" s="101"/>
      <c r="S324" s="101">
        <f t="shared" si="321"/>
        <v>0</v>
      </c>
      <c r="T324" s="101">
        <f t="shared" si="322"/>
        <v>27381.501449592855</v>
      </c>
      <c r="U324" s="101">
        <f t="shared" si="323"/>
        <v>0</v>
      </c>
      <c r="V324" s="101">
        <f t="shared" si="324"/>
        <v>29837.401681805481</v>
      </c>
      <c r="W324" s="101">
        <f t="shared" si="325"/>
        <v>55330.774924739548</v>
      </c>
      <c r="X324" s="101">
        <f t="shared" si="326"/>
        <v>13735.835602786337</v>
      </c>
      <c r="Y324" s="101">
        <f t="shared" si="327"/>
        <v>20997.575301854056</v>
      </c>
      <c r="Z324" s="101">
        <f t="shared" si="328"/>
        <v>21322.790319876345</v>
      </c>
      <c r="AA324" s="101">
        <f t="shared" si="329"/>
        <v>18974.712276790866</v>
      </c>
      <c r="AB324" s="101">
        <f t="shared" si="330"/>
        <v>12703.04478303902</v>
      </c>
      <c r="AC324" s="101">
        <f t="shared" si="331"/>
        <v>10838.668654057243</v>
      </c>
      <c r="AD324" s="101">
        <f t="shared" si="332"/>
        <v>15034.096863742279</v>
      </c>
      <c r="AE324" s="101"/>
      <c r="AF324" s="101">
        <f t="shared" si="333"/>
        <v>0</v>
      </c>
      <c r="AG324" s="101"/>
      <c r="AH324" s="101">
        <f t="shared" si="334"/>
        <v>0</v>
      </c>
      <c r="AI324" s="101"/>
      <c r="AJ324" s="101">
        <f t="shared" si="335"/>
        <v>0</v>
      </c>
      <c r="AK324" s="101"/>
      <c r="AL324" s="98"/>
    </row>
    <row r="325" spans="1:38" x14ac:dyDescent="0.25">
      <c r="F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98"/>
    </row>
    <row r="326" spans="1:38" x14ac:dyDescent="0.25">
      <c r="A326" s="97" t="s">
        <v>271</v>
      </c>
      <c r="C326" s="97" t="s">
        <v>272</v>
      </c>
      <c r="F326" s="100">
        <f t="shared" ref="F326:M326" si="338">SUM(F313:F325)</f>
        <v>113859772.5342399</v>
      </c>
      <c r="G326" s="100">
        <f t="shared" si="338"/>
        <v>0</v>
      </c>
      <c r="H326" s="100">
        <f t="shared" si="338"/>
        <v>13406310.890450487</v>
      </c>
      <c r="I326" s="100">
        <f t="shared" si="338"/>
        <v>12857643.192941865</v>
      </c>
      <c r="J326" s="100">
        <f t="shared" si="338"/>
        <v>12754805.846240658</v>
      </c>
      <c r="K326" s="100">
        <f t="shared" si="338"/>
        <v>23582095.645816974</v>
      </c>
      <c r="L326" s="100">
        <f t="shared" si="338"/>
        <v>0</v>
      </c>
      <c r="M326" s="100">
        <f t="shared" si="338"/>
        <v>0</v>
      </c>
      <c r="N326" s="100"/>
      <c r="O326" s="100">
        <f>SUM(O313:O325)</f>
        <v>8320918.3017910738</v>
      </c>
      <c r="P326" s="100">
        <f>SUM(P313:P325)</f>
        <v>0</v>
      </c>
      <c r="Q326" s="100">
        <f>SUM(Q313:Q325)</f>
        <v>0</v>
      </c>
      <c r="R326" s="100"/>
      <c r="S326" s="100">
        <f t="shared" ref="S326:AD326" si="339">SUM(S313:S325)</f>
        <v>0</v>
      </c>
      <c r="T326" s="100">
        <f t="shared" si="339"/>
        <v>2763139.6757173059</v>
      </c>
      <c r="U326" s="100">
        <f t="shared" si="339"/>
        <v>0</v>
      </c>
      <c r="V326" s="100">
        <f t="shared" si="339"/>
        <v>3266913.3040970406</v>
      </c>
      <c r="W326" s="100">
        <f t="shared" si="339"/>
        <v>5274670.8001074297</v>
      </c>
      <c r="X326" s="100">
        <f t="shared" si="339"/>
        <v>1645803.724362432</v>
      </c>
      <c r="Y326" s="100">
        <f t="shared" si="339"/>
        <v>2434891.0819245894</v>
      </c>
      <c r="Z326" s="100">
        <f t="shared" si="339"/>
        <v>628913.68250670703</v>
      </c>
      <c r="AA326" s="100">
        <f t="shared" si="339"/>
        <v>559657.34284681396</v>
      </c>
      <c r="AB326" s="100">
        <f t="shared" si="339"/>
        <v>357897.42904394312</v>
      </c>
      <c r="AC326" s="100">
        <f t="shared" si="339"/>
        <v>6737842.5082552433</v>
      </c>
      <c r="AD326" s="100">
        <f t="shared" si="339"/>
        <v>423572.82898940728</v>
      </c>
      <c r="AE326" s="100"/>
      <c r="AF326" s="100">
        <f>SUM(AF313:AF325)</f>
        <v>16567275.26690517</v>
      </c>
      <c r="AG326" s="100"/>
      <c r="AH326" s="100">
        <f>SUM(AH313:AH325)</f>
        <v>2277421.0122427843</v>
      </c>
      <c r="AI326" s="100"/>
      <c r="AJ326" s="100">
        <f>SUM(AJ313:AJ325)</f>
        <v>0</v>
      </c>
      <c r="AK326" s="101">
        <f>SUM(H326:AJ326)</f>
        <v>113859772.53423993</v>
      </c>
      <c r="AL326" s="98" t="str">
        <f>IF(ABS(AK326-F326)&lt;1,"ok","err")</f>
        <v>ok</v>
      </c>
    </row>
    <row r="327" spans="1:38" x14ac:dyDescent="0.25">
      <c r="F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98"/>
    </row>
    <row r="328" spans="1:38" x14ac:dyDescent="0.25">
      <c r="A328" s="97" t="s">
        <v>839</v>
      </c>
      <c r="C328" s="97" t="s">
        <v>840</v>
      </c>
      <c r="F328" s="100">
        <f>F279+F288+F302+F326</f>
        <v>933774238.57748604</v>
      </c>
      <c r="G328" s="100"/>
      <c r="H328" s="100">
        <f t="shared" ref="H328:M328" si="340">H279+H288+H302+H326</f>
        <v>37625250.163491994</v>
      </c>
      <c r="I328" s="100">
        <f t="shared" si="340"/>
        <v>35951279.322969064</v>
      </c>
      <c r="J328" s="100">
        <f t="shared" si="340"/>
        <v>35933655.745627098</v>
      </c>
      <c r="K328" s="100">
        <f t="shared" si="340"/>
        <v>640387546.76813221</v>
      </c>
      <c r="L328" s="100">
        <f t="shared" si="340"/>
        <v>0</v>
      </c>
      <c r="M328" s="100">
        <f t="shared" si="340"/>
        <v>0</v>
      </c>
      <c r="N328" s="100"/>
      <c r="O328" s="100">
        <f>O279+O288+O302+O326</f>
        <v>44026929.480304562</v>
      </c>
      <c r="P328" s="100">
        <f>P279+P288+P302+P326</f>
        <v>0</v>
      </c>
      <c r="Q328" s="100">
        <f>Q279+Q288+Q302+Q326</f>
        <v>0</v>
      </c>
      <c r="R328" s="100"/>
      <c r="S328" s="100">
        <f t="shared" ref="S328:AD328" si="341">S279+S288+S302+S326</f>
        <v>0</v>
      </c>
      <c r="T328" s="100">
        <f t="shared" si="341"/>
        <v>7273698.7604337949</v>
      </c>
      <c r="U328" s="100">
        <f t="shared" si="341"/>
        <v>0</v>
      </c>
      <c r="V328" s="100">
        <f t="shared" si="341"/>
        <v>13814191.157278344</v>
      </c>
      <c r="W328" s="100">
        <f t="shared" si="341"/>
        <v>21347292.750939507</v>
      </c>
      <c r="X328" s="100">
        <f t="shared" si="341"/>
        <v>7132524.2301955046</v>
      </c>
      <c r="Y328" s="100">
        <f t="shared" si="341"/>
        <v>10461859.976506073</v>
      </c>
      <c r="Z328" s="100">
        <f t="shared" si="341"/>
        <v>1406013.0594503474</v>
      </c>
      <c r="AA328" s="100">
        <f t="shared" si="341"/>
        <v>1251182.0854708615</v>
      </c>
      <c r="AB328" s="100">
        <f t="shared" si="341"/>
        <v>790358.70275707357</v>
      </c>
      <c r="AC328" s="100">
        <f t="shared" si="341"/>
        <v>17921938.677439213</v>
      </c>
      <c r="AD328" s="100">
        <f t="shared" si="341"/>
        <v>792592.22267536237</v>
      </c>
      <c r="AE328" s="100"/>
      <c r="AF328" s="100">
        <f>AF279+AF288+AF302+AF326</f>
        <v>51233939.006895855</v>
      </c>
      <c r="AG328" s="100"/>
      <c r="AH328" s="100">
        <f>AH279+AH288+AH302+AH326</f>
        <v>6423986.4669190757</v>
      </c>
      <c r="AI328" s="100"/>
      <c r="AJ328" s="100">
        <f>AJ279+AJ288+AJ302+AJ326</f>
        <v>0</v>
      </c>
      <c r="AK328" s="101">
        <f>SUM(H328:AJ328)</f>
        <v>933774238.57748604</v>
      </c>
      <c r="AL328" s="98" t="str">
        <f>IF(ABS(AK328-F328)&lt;1,"ok","err")</f>
        <v>ok</v>
      </c>
    </row>
    <row r="329" spans="1:38" x14ac:dyDescent="0.25">
      <c r="F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98"/>
    </row>
    <row r="330" spans="1:38" x14ac:dyDescent="0.25">
      <c r="A330" s="97" t="s">
        <v>1356</v>
      </c>
      <c r="C330" s="97" t="s">
        <v>797</v>
      </c>
      <c r="F330" s="102">
        <f>F328-F215-F216-F217-F218</f>
        <v>883154931.91190779</v>
      </c>
      <c r="G330" s="102">
        <f t="shared" ref="G330:M330" si="342">G328-G215</f>
        <v>0</v>
      </c>
      <c r="H330" s="102">
        <f t="shared" si="342"/>
        <v>35117936.311067909</v>
      </c>
      <c r="I330" s="102">
        <f t="shared" si="342"/>
        <v>33324709.363822792</v>
      </c>
      <c r="J330" s="102">
        <f t="shared" si="342"/>
        <v>33774624.096056968</v>
      </c>
      <c r="K330" s="102">
        <f t="shared" si="342"/>
        <v>597061155.56369448</v>
      </c>
      <c r="L330" s="102">
        <f t="shared" si="342"/>
        <v>0</v>
      </c>
      <c r="M330" s="102">
        <f t="shared" si="342"/>
        <v>0</v>
      </c>
      <c r="N330" s="102"/>
      <c r="O330" s="102">
        <f>O328-O215</f>
        <v>44026929.480304562</v>
      </c>
      <c r="P330" s="102">
        <f>P328-P215</f>
        <v>0</v>
      </c>
      <c r="Q330" s="102">
        <f>Q328-Q215</f>
        <v>0</v>
      </c>
      <c r="R330" s="102"/>
      <c r="S330" s="102">
        <f t="shared" ref="S330:AD330" si="343">S328-S215</f>
        <v>0</v>
      </c>
      <c r="T330" s="102">
        <f t="shared" si="343"/>
        <v>7273698.7604337949</v>
      </c>
      <c r="U330" s="102">
        <f t="shared" si="343"/>
        <v>0</v>
      </c>
      <c r="V330" s="102">
        <f t="shared" si="343"/>
        <v>13814191.157278344</v>
      </c>
      <c r="W330" s="102">
        <f t="shared" si="343"/>
        <v>21347292.750939507</v>
      </c>
      <c r="X330" s="102">
        <f t="shared" si="343"/>
        <v>7132524.2301955046</v>
      </c>
      <c r="Y330" s="102">
        <f t="shared" si="343"/>
        <v>10461859.976506073</v>
      </c>
      <c r="Z330" s="102">
        <f t="shared" si="343"/>
        <v>1406013.0594503474</v>
      </c>
      <c r="AA330" s="102">
        <f t="shared" si="343"/>
        <v>1251182.0854708615</v>
      </c>
      <c r="AB330" s="102">
        <f t="shared" si="343"/>
        <v>790358.70275707357</v>
      </c>
      <c r="AC330" s="102">
        <f t="shared" si="343"/>
        <v>17921938.677439213</v>
      </c>
      <c r="AD330" s="102">
        <f t="shared" si="343"/>
        <v>792592.22267536237</v>
      </c>
      <c r="AE330" s="102"/>
      <c r="AF330" s="102">
        <f>AF328-AF215</f>
        <v>51233939.006895855</v>
      </c>
      <c r="AG330" s="102"/>
      <c r="AH330" s="102">
        <f>AH328-AH215</f>
        <v>6423986.4669190757</v>
      </c>
      <c r="AI330" s="102"/>
      <c r="AJ330" s="102">
        <f>AJ328-AJ215</f>
        <v>0</v>
      </c>
      <c r="AK330" s="101">
        <f>SUM(H330:AJ330)</f>
        <v>883154931.91190791</v>
      </c>
      <c r="AL330" s="98" t="str">
        <f>IF(ABS(AK330-F330)&lt;1,"ok","err")</f>
        <v>ok</v>
      </c>
    </row>
    <row r="331" spans="1:38" x14ac:dyDescent="0.25">
      <c r="Y331" s="97"/>
      <c r="AL331" s="98"/>
    </row>
    <row r="332" spans="1:38" x14ac:dyDescent="0.25">
      <c r="F332" s="102"/>
      <c r="Y332" s="97"/>
      <c r="AL332" s="98"/>
    </row>
    <row r="333" spans="1:38" x14ac:dyDescent="0.25">
      <c r="Y333" s="97"/>
      <c r="AL333" s="98"/>
    </row>
    <row r="334" spans="1:38" x14ac:dyDescent="0.25">
      <c r="Y334" s="97"/>
      <c r="AL334" s="98"/>
    </row>
    <row r="335" spans="1:38" x14ac:dyDescent="0.25">
      <c r="Y335" s="97"/>
      <c r="AL335" s="98"/>
    </row>
    <row r="336" spans="1:38" x14ac:dyDescent="0.25">
      <c r="Y336" s="97"/>
      <c r="AL336" s="98"/>
    </row>
    <row r="337" spans="25:38" x14ac:dyDescent="0.25">
      <c r="Y337" s="97"/>
      <c r="AL337" s="98"/>
    </row>
    <row r="338" spans="25:38" x14ac:dyDescent="0.25">
      <c r="Y338" s="97"/>
      <c r="AL338" s="98"/>
    </row>
    <row r="339" spans="25:38" x14ac:dyDescent="0.25">
      <c r="Y339" s="97"/>
      <c r="AL339" s="98"/>
    </row>
    <row r="340" spans="25:38" x14ac:dyDescent="0.25">
      <c r="Y340" s="97"/>
      <c r="AL340" s="98"/>
    </row>
    <row r="341" spans="25:38" x14ac:dyDescent="0.25">
      <c r="Y341" s="97"/>
      <c r="AL341" s="98"/>
    </row>
    <row r="342" spans="25:38" x14ac:dyDescent="0.25">
      <c r="Y342" s="97"/>
      <c r="AL342" s="98"/>
    </row>
    <row r="343" spans="25:38" x14ac:dyDescent="0.25">
      <c r="Y343" s="97"/>
      <c r="AL343" s="98"/>
    </row>
    <row r="344" spans="25:38" x14ac:dyDescent="0.25">
      <c r="AL344" s="98"/>
    </row>
    <row r="345" spans="25:38" x14ac:dyDescent="0.25">
      <c r="AL345" s="98"/>
    </row>
    <row r="346" spans="25:38" x14ac:dyDescent="0.25">
      <c r="AL346" s="98"/>
    </row>
    <row r="347" spans="25:38" x14ac:dyDescent="0.25">
      <c r="AL347" s="98"/>
    </row>
    <row r="348" spans="25:38" x14ac:dyDescent="0.25">
      <c r="AL348" s="98"/>
    </row>
    <row r="349" spans="25:38" x14ac:dyDescent="0.25">
      <c r="AL349" s="98"/>
    </row>
    <row r="350" spans="25:38" x14ac:dyDescent="0.25">
      <c r="AL350" s="98"/>
    </row>
    <row r="351" spans="25:38" x14ac:dyDescent="0.25">
      <c r="AL351" s="98"/>
    </row>
    <row r="352" spans="25:38" x14ac:dyDescent="0.25">
      <c r="AL352" s="98"/>
    </row>
    <row r="353" spans="1:38" x14ac:dyDescent="0.25">
      <c r="AL353" s="98"/>
    </row>
    <row r="354" spans="1:38" x14ac:dyDescent="0.25">
      <c r="AL354" s="98"/>
    </row>
    <row r="355" spans="1:38" x14ac:dyDescent="0.25">
      <c r="AL355" s="98"/>
    </row>
    <row r="356" spans="1:38" x14ac:dyDescent="0.25">
      <c r="A356" s="23" t="s">
        <v>841</v>
      </c>
      <c r="Y356" s="97"/>
      <c r="AL356" s="98"/>
    </row>
    <row r="357" spans="1:38" x14ac:dyDescent="0.25">
      <c r="A357" s="23"/>
      <c r="Y357" s="97"/>
      <c r="AL357" s="98"/>
    </row>
    <row r="358" spans="1:38" x14ac:dyDescent="0.25">
      <c r="A358" s="24" t="s">
        <v>1563</v>
      </c>
      <c r="Y358" s="97"/>
      <c r="AL358" s="98"/>
    </row>
    <row r="359" spans="1:38" x14ac:dyDescent="0.25">
      <c r="A359" s="97">
        <v>500</v>
      </c>
      <c r="B359" s="97" t="s">
        <v>1555</v>
      </c>
      <c r="C359" s="97" t="s">
        <v>1625</v>
      </c>
      <c r="D359" s="97" t="s">
        <v>744</v>
      </c>
      <c r="F359" s="100">
        <f>'Jurisdictional Study'!F1324</f>
        <v>7176310.5488311965</v>
      </c>
      <c r="H359" s="101">
        <f t="shared" ref="H359:H364" si="344">IF(VLOOKUP($D359,$C$5:$AJ$644,6,)=0,0,((VLOOKUP($D359,$C$5:$AJ$644,6,)/VLOOKUP($D359,$C$5:$AJ$644,4,))*$F359))</f>
        <v>2127494.798009533</v>
      </c>
      <c r="I359" s="101">
        <f t="shared" ref="I359:I364" si="345">IF(VLOOKUP($D359,$C$5:$AJ$644,7,)=0,0,((VLOOKUP($D359,$C$5:$AJ$644,7,)/VLOOKUP($D359,$C$5:$AJ$644,4,))*$F359))</f>
        <v>2005542.0064366513</v>
      </c>
      <c r="J359" s="101">
        <f t="shared" ref="J359:J364" si="346">IF(VLOOKUP($D359,$C$5:$AJ$644,8,)=0,0,((VLOOKUP($D359,$C$5:$AJ$644,8,)/VLOOKUP($D359,$C$5:$AJ$644,4,))*$F359))</f>
        <v>2059705.4856668729</v>
      </c>
      <c r="K359" s="101">
        <f t="shared" ref="K359:K364" si="347">IF(VLOOKUP($D359,$C$5:$AJ$644,9,)=0,0,((VLOOKUP($D359,$C$5:$AJ$644,9,)/VLOOKUP($D359,$C$5:$AJ$644,4,))*$F359))</f>
        <v>983568.25871814007</v>
      </c>
      <c r="L359" s="101">
        <f t="shared" ref="L359:L364" si="348">IF(VLOOKUP($D359,$C$5:$AJ$644,10,)=0,0,((VLOOKUP($D359,$C$5:$AJ$644,10,)/VLOOKUP($D359,$C$5:$AJ$644,4,))*$F359))</f>
        <v>0</v>
      </c>
      <c r="M359" s="101">
        <f t="shared" ref="M359:M364" si="349">IF(VLOOKUP($D359,$C$5:$AJ$644,11,)=0,0,((VLOOKUP($D359,$C$5:$AJ$644,11,)/VLOOKUP($D359,$C$5:$AJ$644,4,))*$F359))</f>
        <v>0</v>
      </c>
      <c r="N359" s="101"/>
      <c r="O359" s="101">
        <f t="shared" ref="O359:O364" si="350">IF(VLOOKUP($D359,$C$5:$AJ$644,13,)=0,0,((VLOOKUP($D359,$C$5:$AJ$644,13,)/VLOOKUP($D359,$C$5:$AJ$644,4,))*$F359))</f>
        <v>0</v>
      </c>
      <c r="P359" s="101">
        <f t="shared" ref="P359:P364" si="351">IF(VLOOKUP($D359,$C$5:$AJ$644,14,)=0,0,((VLOOKUP($D359,$C$5:$AJ$644,14,)/VLOOKUP($D359,$C$5:$AJ$644,4,))*$F359))</f>
        <v>0</v>
      </c>
      <c r="Q359" s="101">
        <f t="shared" ref="Q359:Q364" si="352">IF(VLOOKUP($D359,$C$5:$AJ$644,15,)=0,0,((VLOOKUP($D359,$C$5:$AJ$644,15,)/VLOOKUP($D359,$C$5:$AJ$644,4,))*$F359))</f>
        <v>0</v>
      </c>
      <c r="R359" s="101"/>
      <c r="S359" s="101">
        <f t="shared" ref="S359:S364" si="353">IF(VLOOKUP($D359,$C$5:$AJ$644,17,)=0,0,((VLOOKUP($D359,$C$5:$AJ$644,17,)/VLOOKUP($D359,$C$5:$AJ$644,4,))*$F359))</f>
        <v>0</v>
      </c>
      <c r="T359" s="101">
        <f t="shared" ref="T359:T364" si="354">IF(VLOOKUP($D359,$C$5:$AJ$644,18,)=0,0,((VLOOKUP($D359,$C$5:$AJ$644,18,)/VLOOKUP($D359,$C$5:$AJ$644,4,))*$F359))</f>
        <v>0</v>
      </c>
      <c r="U359" s="101">
        <f t="shared" ref="U359:U364" si="355">IF(VLOOKUP($D359,$C$5:$AJ$644,19,)=0,0,((VLOOKUP($D359,$C$5:$AJ$644,19,)/VLOOKUP($D359,$C$5:$AJ$644,4,))*$F359))</f>
        <v>0</v>
      </c>
      <c r="V359" s="101">
        <f t="shared" ref="V359:V364" si="356">IF(VLOOKUP($D359,$C$5:$AJ$644,20,)=0,0,((VLOOKUP($D359,$C$5:$AJ$644,20,)/VLOOKUP($D359,$C$5:$AJ$644,4,))*$F359))</f>
        <v>0</v>
      </c>
      <c r="W359" s="101">
        <f t="shared" ref="W359:W364" si="357">IF(VLOOKUP($D359,$C$5:$AJ$644,21,)=0,0,((VLOOKUP($D359,$C$5:$AJ$644,21,)/VLOOKUP($D359,$C$5:$AJ$644,4,))*$F359))</f>
        <v>0</v>
      </c>
      <c r="X359" s="101">
        <f t="shared" ref="X359:X364" si="358">IF(VLOOKUP($D359,$C$5:$AJ$644,22,)=0,0,((VLOOKUP($D359,$C$5:$AJ$644,22,)/VLOOKUP($D359,$C$5:$AJ$644,4,))*$F359))</f>
        <v>0</v>
      </c>
      <c r="Y359" s="101">
        <f t="shared" ref="Y359:Y364" si="359">IF(VLOOKUP($D359,$C$5:$AJ$644,23,)=0,0,((VLOOKUP($D359,$C$5:$AJ$644,23,)/VLOOKUP($D359,$C$5:$AJ$644,4,))*$F359))</f>
        <v>0</v>
      </c>
      <c r="Z359" s="101">
        <f t="shared" ref="Z359:Z364" si="360">IF(VLOOKUP($D359,$C$5:$AJ$644,24,)=0,0,((VLOOKUP($D359,$C$5:$AJ$644,24,)/VLOOKUP($D359,$C$5:$AJ$644,4,))*$F359))</f>
        <v>0</v>
      </c>
      <c r="AA359" s="101">
        <f t="shared" ref="AA359:AA364" si="361">IF(VLOOKUP($D359,$C$5:$AJ$644,25,)=0,0,((VLOOKUP($D359,$C$5:$AJ$644,25,)/VLOOKUP($D359,$C$5:$AJ$644,4,))*$F359))</f>
        <v>0</v>
      </c>
      <c r="AB359" s="101">
        <f t="shared" ref="AB359:AB364" si="362">IF(VLOOKUP($D359,$C$5:$AJ$644,26,)=0,0,((VLOOKUP($D359,$C$5:$AJ$644,26,)/VLOOKUP($D359,$C$5:$AJ$644,4,))*$F359))</f>
        <v>0</v>
      </c>
      <c r="AC359" s="101">
        <f t="shared" ref="AC359:AC364" si="363">IF(VLOOKUP($D359,$C$5:$AJ$644,27,)=0,0,((VLOOKUP($D359,$C$5:$AJ$644,27,)/VLOOKUP($D359,$C$5:$AJ$644,4,))*$F359))</f>
        <v>0</v>
      </c>
      <c r="AD359" s="101">
        <f t="shared" ref="AD359:AD364" si="364">IF(VLOOKUP($D359,$C$5:$AJ$644,28,)=0,0,((VLOOKUP($D359,$C$5:$AJ$644,28,)/VLOOKUP($D359,$C$5:$AJ$644,4,))*$F359))</f>
        <v>0</v>
      </c>
      <c r="AE359" s="101"/>
      <c r="AF359" s="101">
        <f t="shared" ref="AF359:AF364" si="365">IF(VLOOKUP($D359,$C$5:$AJ$644,30,)=0,0,((VLOOKUP($D359,$C$5:$AJ$644,30,)/VLOOKUP($D359,$C$5:$AJ$644,4,))*$F359))</f>
        <v>0</v>
      </c>
      <c r="AG359" s="101"/>
      <c r="AH359" s="101">
        <f t="shared" ref="AH359:AH364" si="366">IF(VLOOKUP($D359,$C$5:$AJ$644,32,)=0,0,((VLOOKUP($D359,$C$5:$AJ$644,32,)/VLOOKUP($D359,$C$5:$AJ$644,4,))*$F359))</f>
        <v>0</v>
      </c>
      <c r="AI359" s="101"/>
      <c r="AJ359" s="101">
        <f t="shared" ref="AJ359:AJ364" si="367">IF(VLOOKUP($D359,$C$5:$AJ$644,34,)=0,0,((VLOOKUP($D359,$C$5:$AJ$644,34,)/VLOOKUP($D359,$C$5:$AJ$644,4,))*$F359))</f>
        <v>0</v>
      </c>
      <c r="AK359" s="101">
        <f t="shared" ref="AK359:AK377" si="368">SUM(H359:AJ359)</f>
        <v>7176310.5488311974</v>
      </c>
      <c r="AL359" s="98" t="str">
        <f t="shared" ref="AL359:AL377" si="369">IF(ABS(AK359-F359)&lt;1,"ok","err")</f>
        <v>ok</v>
      </c>
    </row>
    <row r="360" spans="1:38" x14ac:dyDescent="0.25">
      <c r="A360" s="111">
        <v>501</v>
      </c>
      <c r="B360" s="97" t="s">
        <v>1557</v>
      </c>
      <c r="C360" s="97" t="s">
        <v>1626</v>
      </c>
      <c r="D360" s="97" t="s">
        <v>110</v>
      </c>
      <c r="F360" s="101">
        <f>'Jurisdictional Study'!F1315</f>
        <v>2518295.3741893796</v>
      </c>
      <c r="H360" s="101">
        <f t="shared" si="344"/>
        <v>0</v>
      </c>
      <c r="I360" s="101">
        <f t="shared" si="345"/>
        <v>0</v>
      </c>
      <c r="J360" s="101">
        <f t="shared" si="346"/>
        <v>0</v>
      </c>
      <c r="K360" s="101">
        <f t="shared" si="347"/>
        <v>2518295.3741893796</v>
      </c>
      <c r="L360" s="101">
        <f t="shared" si="348"/>
        <v>0</v>
      </c>
      <c r="M360" s="101">
        <f t="shared" si="349"/>
        <v>0</v>
      </c>
      <c r="N360" s="101"/>
      <c r="O360" s="101">
        <f t="shared" si="350"/>
        <v>0</v>
      </c>
      <c r="P360" s="101">
        <f t="shared" si="351"/>
        <v>0</v>
      </c>
      <c r="Q360" s="101">
        <f t="shared" si="352"/>
        <v>0</v>
      </c>
      <c r="R360" s="101"/>
      <c r="S360" s="101">
        <f t="shared" si="353"/>
        <v>0</v>
      </c>
      <c r="T360" s="101">
        <f t="shared" si="354"/>
        <v>0</v>
      </c>
      <c r="U360" s="101">
        <f t="shared" si="355"/>
        <v>0</v>
      </c>
      <c r="V360" s="101">
        <f t="shared" si="356"/>
        <v>0</v>
      </c>
      <c r="W360" s="101">
        <f t="shared" si="357"/>
        <v>0</v>
      </c>
      <c r="X360" s="101">
        <f t="shared" si="358"/>
        <v>0</v>
      </c>
      <c r="Y360" s="101">
        <f t="shared" si="359"/>
        <v>0</v>
      </c>
      <c r="Z360" s="101">
        <f t="shared" si="360"/>
        <v>0</v>
      </c>
      <c r="AA360" s="101">
        <f t="shared" si="361"/>
        <v>0</v>
      </c>
      <c r="AB360" s="101">
        <f t="shared" si="362"/>
        <v>0</v>
      </c>
      <c r="AC360" s="101">
        <f t="shared" si="363"/>
        <v>0</v>
      </c>
      <c r="AD360" s="101">
        <f t="shared" si="364"/>
        <v>0</v>
      </c>
      <c r="AE360" s="101"/>
      <c r="AF360" s="101">
        <f t="shared" si="365"/>
        <v>0</v>
      </c>
      <c r="AG360" s="101"/>
      <c r="AH360" s="101">
        <f t="shared" si="366"/>
        <v>0</v>
      </c>
      <c r="AI360" s="101"/>
      <c r="AJ360" s="101">
        <f t="shared" si="367"/>
        <v>0</v>
      </c>
      <c r="AK360" s="101">
        <f t="shared" si="368"/>
        <v>2518295.3741893796</v>
      </c>
      <c r="AL360" s="98" t="str">
        <f t="shared" si="369"/>
        <v>ok</v>
      </c>
    </row>
    <row r="361" spans="1:38" x14ac:dyDescent="0.25">
      <c r="A361" s="97">
        <v>502</v>
      </c>
      <c r="B361" s="97" t="s">
        <v>1559</v>
      </c>
      <c r="C361" s="97" t="s">
        <v>1627</v>
      </c>
      <c r="D361" s="97" t="s">
        <v>736</v>
      </c>
      <c r="F361" s="101">
        <f>'Jurisdictional Study'!F1325</f>
        <v>8257131.4473512508</v>
      </c>
      <c r="H361" s="101">
        <f t="shared" si="344"/>
        <v>2836708.4205598361</v>
      </c>
      <c r="I361" s="101">
        <f t="shared" si="345"/>
        <v>2674101.9074490941</v>
      </c>
      <c r="J361" s="101">
        <f t="shared" si="346"/>
        <v>2746321.1193423206</v>
      </c>
      <c r="K361" s="101">
        <f t="shared" si="347"/>
        <v>0</v>
      </c>
      <c r="L361" s="101">
        <f t="shared" si="348"/>
        <v>0</v>
      </c>
      <c r="M361" s="101">
        <f t="shared" si="349"/>
        <v>0</v>
      </c>
      <c r="N361" s="101"/>
      <c r="O361" s="101">
        <f t="shared" si="350"/>
        <v>0</v>
      </c>
      <c r="P361" s="101">
        <f t="shared" si="351"/>
        <v>0</v>
      </c>
      <c r="Q361" s="101">
        <f t="shared" si="352"/>
        <v>0</v>
      </c>
      <c r="R361" s="101"/>
      <c r="S361" s="101">
        <f t="shared" si="353"/>
        <v>0</v>
      </c>
      <c r="T361" s="101">
        <f t="shared" si="354"/>
        <v>0</v>
      </c>
      <c r="U361" s="101">
        <f t="shared" si="355"/>
        <v>0</v>
      </c>
      <c r="V361" s="101">
        <f t="shared" si="356"/>
        <v>0</v>
      </c>
      <c r="W361" s="101">
        <f t="shared" si="357"/>
        <v>0</v>
      </c>
      <c r="X361" s="101">
        <f t="shared" si="358"/>
        <v>0</v>
      </c>
      <c r="Y361" s="101">
        <f t="shared" si="359"/>
        <v>0</v>
      </c>
      <c r="Z361" s="101">
        <f t="shared" si="360"/>
        <v>0</v>
      </c>
      <c r="AA361" s="101">
        <f t="shared" si="361"/>
        <v>0</v>
      </c>
      <c r="AB361" s="101">
        <f t="shared" si="362"/>
        <v>0</v>
      </c>
      <c r="AC361" s="101">
        <f t="shared" si="363"/>
        <v>0</v>
      </c>
      <c r="AD361" s="101">
        <f t="shared" si="364"/>
        <v>0</v>
      </c>
      <c r="AE361" s="101"/>
      <c r="AF361" s="101">
        <f t="shared" si="365"/>
        <v>0</v>
      </c>
      <c r="AG361" s="101"/>
      <c r="AH361" s="101">
        <f t="shared" si="366"/>
        <v>0</v>
      </c>
      <c r="AI361" s="101"/>
      <c r="AJ361" s="101">
        <f t="shared" si="367"/>
        <v>0</v>
      </c>
      <c r="AK361" s="101">
        <f t="shared" si="368"/>
        <v>8257131.4473512508</v>
      </c>
      <c r="AL361" s="98" t="str">
        <f t="shared" si="369"/>
        <v>ok</v>
      </c>
    </row>
    <row r="362" spans="1:38" x14ac:dyDescent="0.25">
      <c r="A362" s="97">
        <v>505</v>
      </c>
      <c r="B362" s="97" t="s">
        <v>1561</v>
      </c>
      <c r="C362" s="97" t="s">
        <v>1628</v>
      </c>
      <c r="D362" s="97" t="s">
        <v>736</v>
      </c>
      <c r="F362" s="101">
        <f>'Jurisdictional Study'!F1326</f>
        <v>5890263.7626936706</v>
      </c>
      <c r="H362" s="101">
        <f t="shared" si="344"/>
        <v>2023579.3654843117</v>
      </c>
      <c r="I362" s="101">
        <f t="shared" si="345"/>
        <v>1907583.2404545445</v>
      </c>
      <c r="J362" s="101">
        <f t="shared" si="346"/>
        <v>1959101.1567548143</v>
      </c>
      <c r="K362" s="101">
        <f t="shared" si="347"/>
        <v>0</v>
      </c>
      <c r="L362" s="101">
        <f t="shared" si="348"/>
        <v>0</v>
      </c>
      <c r="M362" s="101">
        <f t="shared" si="349"/>
        <v>0</v>
      </c>
      <c r="N362" s="101"/>
      <c r="O362" s="101">
        <f t="shared" si="350"/>
        <v>0</v>
      </c>
      <c r="P362" s="101">
        <f t="shared" si="351"/>
        <v>0</v>
      </c>
      <c r="Q362" s="101">
        <f t="shared" si="352"/>
        <v>0</v>
      </c>
      <c r="R362" s="101"/>
      <c r="S362" s="101">
        <f t="shared" si="353"/>
        <v>0</v>
      </c>
      <c r="T362" s="101">
        <f t="shared" si="354"/>
        <v>0</v>
      </c>
      <c r="U362" s="101">
        <f t="shared" si="355"/>
        <v>0</v>
      </c>
      <c r="V362" s="101">
        <f t="shared" si="356"/>
        <v>0</v>
      </c>
      <c r="W362" s="101">
        <f t="shared" si="357"/>
        <v>0</v>
      </c>
      <c r="X362" s="101">
        <f t="shared" si="358"/>
        <v>0</v>
      </c>
      <c r="Y362" s="101">
        <f t="shared" si="359"/>
        <v>0</v>
      </c>
      <c r="Z362" s="101">
        <f t="shared" si="360"/>
        <v>0</v>
      </c>
      <c r="AA362" s="101">
        <f t="shared" si="361"/>
        <v>0</v>
      </c>
      <c r="AB362" s="101">
        <f t="shared" si="362"/>
        <v>0</v>
      </c>
      <c r="AC362" s="101">
        <f t="shared" si="363"/>
        <v>0</v>
      </c>
      <c r="AD362" s="101">
        <f t="shared" si="364"/>
        <v>0</v>
      </c>
      <c r="AE362" s="101"/>
      <c r="AF362" s="101">
        <f t="shared" si="365"/>
        <v>0</v>
      </c>
      <c r="AG362" s="101"/>
      <c r="AH362" s="101">
        <f t="shared" si="366"/>
        <v>0</v>
      </c>
      <c r="AI362" s="101"/>
      <c r="AJ362" s="101">
        <f t="shared" si="367"/>
        <v>0</v>
      </c>
      <c r="AK362" s="101">
        <f t="shared" si="368"/>
        <v>5890263.7626936706</v>
      </c>
      <c r="AL362" s="98" t="str">
        <f t="shared" si="369"/>
        <v>ok</v>
      </c>
    </row>
    <row r="363" spans="1:38" x14ac:dyDescent="0.25">
      <c r="A363" s="97">
        <v>506</v>
      </c>
      <c r="B363" s="97" t="s">
        <v>1564</v>
      </c>
      <c r="C363" s="97" t="s">
        <v>1629</v>
      </c>
      <c r="D363" s="97" t="s">
        <v>736</v>
      </c>
      <c r="F363" s="101">
        <f>'Jurisdictional Study'!F1327</f>
        <v>1708295.6629641708</v>
      </c>
      <c r="H363" s="101">
        <f t="shared" si="344"/>
        <v>586878.9570366845</v>
      </c>
      <c r="I363" s="101">
        <f t="shared" si="345"/>
        <v>553237.73394510895</v>
      </c>
      <c r="J363" s="101">
        <f t="shared" si="346"/>
        <v>568178.97198237735</v>
      </c>
      <c r="K363" s="101">
        <f t="shared" si="347"/>
        <v>0</v>
      </c>
      <c r="L363" s="101">
        <f t="shared" si="348"/>
        <v>0</v>
      </c>
      <c r="M363" s="101">
        <f t="shared" si="349"/>
        <v>0</v>
      </c>
      <c r="N363" s="101"/>
      <c r="O363" s="101">
        <f t="shared" si="350"/>
        <v>0</v>
      </c>
      <c r="P363" s="101">
        <f t="shared" si="351"/>
        <v>0</v>
      </c>
      <c r="Q363" s="101">
        <f t="shared" si="352"/>
        <v>0</v>
      </c>
      <c r="R363" s="101"/>
      <c r="S363" s="101">
        <f t="shared" si="353"/>
        <v>0</v>
      </c>
      <c r="T363" s="101">
        <f t="shared" si="354"/>
        <v>0</v>
      </c>
      <c r="U363" s="101">
        <f t="shared" si="355"/>
        <v>0</v>
      </c>
      <c r="V363" s="101">
        <f t="shared" si="356"/>
        <v>0</v>
      </c>
      <c r="W363" s="101">
        <f t="shared" si="357"/>
        <v>0</v>
      </c>
      <c r="X363" s="101">
        <f t="shared" si="358"/>
        <v>0</v>
      </c>
      <c r="Y363" s="101">
        <f t="shared" si="359"/>
        <v>0</v>
      </c>
      <c r="Z363" s="101">
        <f t="shared" si="360"/>
        <v>0</v>
      </c>
      <c r="AA363" s="101">
        <f t="shared" si="361"/>
        <v>0</v>
      </c>
      <c r="AB363" s="101">
        <f t="shared" si="362"/>
        <v>0</v>
      </c>
      <c r="AC363" s="101">
        <f t="shared" si="363"/>
        <v>0</v>
      </c>
      <c r="AD363" s="101">
        <f t="shared" si="364"/>
        <v>0</v>
      </c>
      <c r="AE363" s="101"/>
      <c r="AF363" s="101">
        <f t="shared" si="365"/>
        <v>0</v>
      </c>
      <c r="AG363" s="101"/>
      <c r="AH363" s="101">
        <f t="shared" si="366"/>
        <v>0</v>
      </c>
      <c r="AI363" s="101"/>
      <c r="AJ363" s="101">
        <f t="shared" si="367"/>
        <v>0</v>
      </c>
      <c r="AK363" s="101">
        <f t="shared" si="368"/>
        <v>1708295.6629641708</v>
      </c>
      <c r="AL363" s="98" t="str">
        <f t="shared" si="369"/>
        <v>ok</v>
      </c>
    </row>
    <row r="364" spans="1:38" x14ac:dyDescent="0.25">
      <c r="A364" s="97">
        <v>507</v>
      </c>
      <c r="B364" s="97" t="s">
        <v>373</v>
      </c>
      <c r="C364" s="97" t="s">
        <v>138</v>
      </c>
      <c r="D364" s="97" t="s">
        <v>736</v>
      </c>
      <c r="F364" s="101">
        <v>0</v>
      </c>
      <c r="H364" s="101">
        <f t="shared" si="344"/>
        <v>0</v>
      </c>
      <c r="I364" s="101">
        <f t="shared" si="345"/>
        <v>0</v>
      </c>
      <c r="J364" s="101">
        <f t="shared" si="346"/>
        <v>0</v>
      </c>
      <c r="K364" s="101">
        <f t="shared" si="347"/>
        <v>0</v>
      </c>
      <c r="L364" s="101">
        <f t="shared" si="348"/>
        <v>0</v>
      </c>
      <c r="M364" s="101">
        <f t="shared" si="349"/>
        <v>0</v>
      </c>
      <c r="N364" s="101"/>
      <c r="O364" s="101">
        <f t="shared" si="350"/>
        <v>0</v>
      </c>
      <c r="P364" s="101">
        <f t="shared" si="351"/>
        <v>0</v>
      </c>
      <c r="Q364" s="101">
        <f t="shared" si="352"/>
        <v>0</v>
      </c>
      <c r="R364" s="101"/>
      <c r="S364" s="101">
        <f t="shared" si="353"/>
        <v>0</v>
      </c>
      <c r="T364" s="101">
        <f t="shared" si="354"/>
        <v>0</v>
      </c>
      <c r="U364" s="101">
        <f t="shared" si="355"/>
        <v>0</v>
      </c>
      <c r="V364" s="101">
        <f t="shared" si="356"/>
        <v>0</v>
      </c>
      <c r="W364" s="101">
        <f t="shared" si="357"/>
        <v>0</v>
      </c>
      <c r="X364" s="101">
        <f t="shared" si="358"/>
        <v>0</v>
      </c>
      <c r="Y364" s="101">
        <f t="shared" si="359"/>
        <v>0</v>
      </c>
      <c r="Z364" s="101">
        <f t="shared" si="360"/>
        <v>0</v>
      </c>
      <c r="AA364" s="101">
        <f t="shared" si="361"/>
        <v>0</v>
      </c>
      <c r="AB364" s="101">
        <f t="shared" si="362"/>
        <v>0</v>
      </c>
      <c r="AC364" s="101">
        <f t="shared" si="363"/>
        <v>0</v>
      </c>
      <c r="AD364" s="101">
        <f t="shared" si="364"/>
        <v>0</v>
      </c>
      <c r="AE364" s="101"/>
      <c r="AF364" s="101">
        <f t="shared" si="365"/>
        <v>0</v>
      </c>
      <c r="AG364" s="101"/>
      <c r="AH364" s="101">
        <f t="shared" si="366"/>
        <v>0</v>
      </c>
      <c r="AI364" s="101"/>
      <c r="AJ364" s="101">
        <f t="shared" si="367"/>
        <v>0</v>
      </c>
      <c r="AK364" s="101">
        <f t="shared" si="368"/>
        <v>0</v>
      </c>
      <c r="AL364" s="98" t="str">
        <f t="shared" si="369"/>
        <v>ok</v>
      </c>
    </row>
    <row r="365" spans="1:38" x14ac:dyDescent="0.25">
      <c r="F365" s="100"/>
      <c r="Y365" s="97"/>
      <c r="AK365" s="101"/>
      <c r="AL365" s="98"/>
    </row>
    <row r="366" spans="1:38" x14ac:dyDescent="0.25">
      <c r="B366" s="97" t="s">
        <v>1566</v>
      </c>
      <c r="C366" s="97" t="s">
        <v>734</v>
      </c>
      <c r="F366" s="100">
        <f>SUM(F359:F365)</f>
        <v>25550296.796029665</v>
      </c>
      <c r="H366" s="100">
        <f t="shared" ref="H366:M366" si="370">SUM(H359:H365)</f>
        <v>7574661.5410903646</v>
      </c>
      <c r="I366" s="100">
        <f t="shared" si="370"/>
        <v>7140464.8882853985</v>
      </c>
      <c r="J366" s="100">
        <f t="shared" si="370"/>
        <v>7333306.7337463852</v>
      </c>
      <c r="K366" s="100">
        <f t="shared" si="370"/>
        <v>3501863.6329075196</v>
      </c>
      <c r="L366" s="100">
        <f t="shared" si="370"/>
        <v>0</v>
      </c>
      <c r="M366" s="100">
        <f t="shared" si="370"/>
        <v>0</v>
      </c>
      <c r="O366" s="100">
        <f>SUM(O359:O365)</f>
        <v>0</v>
      </c>
      <c r="P366" s="100">
        <f>SUM(P359:P365)</f>
        <v>0</v>
      </c>
      <c r="Q366" s="100">
        <f>SUM(Q359:Q365)</f>
        <v>0</v>
      </c>
      <c r="S366" s="100">
        <f t="shared" ref="S366:AD366" si="371">SUM(S359:S365)</f>
        <v>0</v>
      </c>
      <c r="T366" s="100">
        <f t="shared" si="371"/>
        <v>0</v>
      </c>
      <c r="U366" s="100">
        <f t="shared" si="371"/>
        <v>0</v>
      </c>
      <c r="V366" s="100">
        <f t="shared" si="371"/>
        <v>0</v>
      </c>
      <c r="W366" s="100">
        <f t="shared" si="371"/>
        <v>0</v>
      </c>
      <c r="X366" s="100">
        <f t="shared" si="371"/>
        <v>0</v>
      </c>
      <c r="Y366" s="100">
        <f t="shared" si="371"/>
        <v>0</v>
      </c>
      <c r="Z366" s="100">
        <f t="shared" si="371"/>
        <v>0</v>
      </c>
      <c r="AA366" s="100">
        <f t="shared" si="371"/>
        <v>0</v>
      </c>
      <c r="AB366" s="100">
        <f t="shared" si="371"/>
        <v>0</v>
      </c>
      <c r="AC366" s="100">
        <f t="shared" si="371"/>
        <v>0</v>
      </c>
      <c r="AD366" s="100">
        <f t="shared" si="371"/>
        <v>0</v>
      </c>
      <c r="AF366" s="100">
        <f>SUM(AF359:AF365)</f>
        <v>0</v>
      </c>
      <c r="AH366" s="100">
        <f>SUM(AH359:AH365)</f>
        <v>0</v>
      </c>
      <c r="AJ366" s="100">
        <f>SUM(AJ359:AJ365)</f>
        <v>0</v>
      </c>
      <c r="AK366" s="101">
        <f t="shared" si="368"/>
        <v>25550296.796029668</v>
      </c>
      <c r="AL366" s="98" t="str">
        <f t="shared" si="369"/>
        <v>ok</v>
      </c>
    </row>
    <row r="367" spans="1:38" x14ac:dyDescent="0.25">
      <c r="F367" s="100"/>
      <c r="Y367" s="97"/>
      <c r="AK367" s="101"/>
      <c r="AL367" s="98"/>
    </row>
    <row r="368" spans="1:38" x14ac:dyDescent="0.25">
      <c r="A368" s="24" t="s">
        <v>1567</v>
      </c>
      <c r="F368" s="100"/>
      <c r="Y368" s="97"/>
      <c r="AK368" s="101"/>
      <c r="AL368" s="98"/>
    </row>
    <row r="369" spans="1:38" x14ac:dyDescent="0.25">
      <c r="A369" s="97">
        <v>510</v>
      </c>
      <c r="B369" s="97" t="s">
        <v>587</v>
      </c>
      <c r="C369" s="97" t="s">
        <v>1630</v>
      </c>
      <c r="D369" s="97" t="s">
        <v>745</v>
      </c>
      <c r="F369" s="100">
        <f>'Jurisdictional Study'!D1316</f>
        <v>8497622</v>
      </c>
      <c r="H369" s="101">
        <f>IF(VLOOKUP($D369,$C$5:$AJ$644,6,)=0,0,((VLOOKUP($D369,$C$5:$AJ$644,6,)/VLOOKUP($D369,$C$5:$AJ$644,4,))*$F369))</f>
        <v>281620.29704588739</v>
      </c>
      <c r="I369" s="101">
        <f>IF(VLOOKUP($D369,$C$5:$AJ$644,7,)=0,0,((VLOOKUP($D369,$C$5:$AJ$644,7,)/VLOOKUP($D369,$C$5:$AJ$644,4,))*$F369))</f>
        <v>265477.18759130145</v>
      </c>
      <c r="J369" s="101">
        <f>IF(VLOOKUP($D369,$C$5:$AJ$644,8,)=0,0,((VLOOKUP($D369,$C$5:$AJ$644,8,)/VLOOKUP($D369,$C$5:$AJ$644,4,))*$F369))</f>
        <v>272646.9043511849</v>
      </c>
      <c r="K369" s="101">
        <f>IF(VLOOKUP($D369,$C$5:$AJ$644,9,)=0,0,((VLOOKUP($D369,$C$5:$AJ$644,9,)/VLOOKUP($D369,$C$5:$AJ$644,4,))*$F369))</f>
        <v>7677877.6110116253</v>
      </c>
      <c r="L369" s="101">
        <f>IF(VLOOKUP($D369,$C$5:$AJ$644,10,)=0,0,((VLOOKUP($D369,$C$5:$AJ$644,10,)/VLOOKUP($D369,$C$5:$AJ$644,4,))*$F369))</f>
        <v>0</v>
      </c>
      <c r="M369" s="101">
        <f>IF(VLOOKUP($D369,$C$5:$AJ$644,11,)=0,0,((VLOOKUP($D369,$C$5:$AJ$644,11,)/VLOOKUP($D369,$C$5:$AJ$644,4,))*$F369))</f>
        <v>0</v>
      </c>
      <c r="N369" s="101"/>
      <c r="O369" s="101">
        <f>IF(VLOOKUP($D369,$C$5:$AJ$644,13,)=0,0,((VLOOKUP($D369,$C$5:$AJ$644,13,)/VLOOKUP($D369,$C$5:$AJ$644,4,))*$F369))</f>
        <v>0</v>
      </c>
      <c r="P369" s="101">
        <f>IF(VLOOKUP($D369,$C$5:$AJ$644,14,)=0,0,((VLOOKUP($D369,$C$5:$AJ$644,14,)/VLOOKUP($D369,$C$5:$AJ$644,4,))*$F369))</f>
        <v>0</v>
      </c>
      <c r="Q369" s="101">
        <f>IF(VLOOKUP($D369,$C$5:$AJ$644,15,)=0,0,((VLOOKUP($D369,$C$5:$AJ$644,15,)/VLOOKUP($D369,$C$5:$AJ$644,4,))*$F369))</f>
        <v>0</v>
      </c>
      <c r="R369" s="101"/>
      <c r="S369" s="101">
        <f>IF(VLOOKUP($D369,$C$5:$AJ$644,17,)=0,0,((VLOOKUP($D369,$C$5:$AJ$644,17,)/VLOOKUP($D369,$C$5:$AJ$644,4,))*$F369))</f>
        <v>0</v>
      </c>
      <c r="T369" s="101">
        <f>IF(VLOOKUP($D369,$C$5:$AJ$644,18,)=0,0,((VLOOKUP($D369,$C$5:$AJ$644,18,)/VLOOKUP($D369,$C$5:$AJ$644,4,))*$F369))</f>
        <v>0</v>
      </c>
      <c r="U369" s="101">
        <f>IF(VLOOKUP($D369,$C$5:$AJ$644,19,)=0,0,((VLOOKUP($D369,$C$5:$AJ$644,19,)/VLOOKUP($D369,$C$5:$AJ$644,4,))*$F369))</f>
        <v>0</v>
      </c>
      <c r="V369" s="101">
        <f>IF(VLOOKUP($D369,$C$5:$AJ$644,20,)=0,0,((VLOOKUP($D369,$C$5:$AJ$644,20,)/VLOOKUP($D369,$C$5:$AJ$644,4,))*$F369))</f>
        <v>0</v>
      </c>
      <c r="W369" s="101">
        <f>IF(VLOOKUP($D369,$C$5:$AJ$644,21,)=0,0,((VLOOKUP($D369,$C$5:$AJ$644,21,)/VLOOKUP($D369,$C$5:$AJ$644,4,))*$F369))</f>
        <v>0</v>
      </c>
      <c r="X369" s="101">
        <f>IF(VLOOKUP($D369,$C$5:$AJ$644,22,)=0,0,((VLOOKUP($D369,$C$5:$AJ$644,22,)/VLOOKUP($D369,$C$5:$AJ$644,4,))*$F369))</f>
        <v>0</v>
      </c>
      <c r="Y369" s="101">
        <f>IF(VLOOKUP($D369,$C$5:$AJ$644,23,)=0,0,((VLOOKUP($D369,$C$5:$AJ$644,23,)/VLOOKUP($D369,$C$5:$AJ$644,4,))*$F369))</f>
        <v>0</v>
      </c>
      <c r="Z369" s="101">
        <f>IF(VLOOKUP($D369,$C$5:$AJ$644,24,)=0,0,((VLOOKUP($D369,$C$5:$AJ$644,24,)/VLOOKUP($D369,$C$5:$AJ$644,4,))*$F369))</f>
        <v>0</v>
      </c>
      <c r="AA369" s="101">
        <f>IF(VLOOKUP($D369,$C$5:$AJ$644,25,)=0,0,((VLOOKUP($D369,$C$5:$AJ$644,25,)/VLOOKUP($D369,$C$5:$AJ$644,4,))*$F369))</f>
        <v>0</v>
      </c>
      <c r="AB369" s="101">
        <f>IF(VLOOKUP($D369,$C$5:$AJ$644,26,)=0,0,((VLOOKUP($D369,$C$5:$AJ$644,26,)/VLOOKUP($D369,$C$5:$AJ$644,4,))*$F369))</f>
        <v>0</v>
      </c>
      <c r="AC369" s="101">
        <f>IF(VLOOKUP($D369,$C$5:$AJ$644,27,)=0,0,((VLOOKUP($D369,$C$5:$AJ$644,27,)/VLOOKUP($D369,$C$5:$AJ$644,4,))*$F369))</f>
        <v>0</v>
      </c>
      <c r="AD369" s="101">
        <f>IF(VLOOKUP($D369,$C$5:$AJ$644,28,)=0,0,((VLOOKUP($D369,$C$5:$AJ$644,28,)/VLOOKUP($D369,$C$5:$AJ$644,4,))*$F369))</f>
        <v>0</v>
      </c>
      <c r="AE369" s="101"/>
      <c r="AF369" s="101">
        <f>IF(VLOOKUP($D369,$C$5:$AJ$644,30,)=0,0,((VLOOKUP($D369,$C$5:$AJ$644,30,)/VLOOKUP($D369,$C$5:$AJ$644,4,))*$F369))</f>
        <v>0</v>
      </c>
      <c r="AG369" s="101"/>
      <c r="AH369" s="101">
        <f>IF(VLOOKUP($D369,$C$5:$AJ$644,32,)=0,0,((VLOOKUP($D369,$C$5:$AJ$644,32,)/VLOOKUP($D369,$C$5:$AJ$644,4,))*$F369))</f>
        <v>0</v>
      </c>
      <c r="AI369" s="101"/>
      <c r="AJ369" s="101">
        <f>IF(VLOOKUP($D369,$C$5:$AJ$644,34,)=0,0,((VLOOKUP($D369,$C$5:$AJ$644,34,)/VLOOKUP($D369,$C$5:$AJ$644,4,))*$F369))</f>
        <v>0</v>
      </c>
      <c r="AK369" s="101">
        <f t="shared" si="368"/>
        <v>8497622</v>
      </c>
      <c r="AL369" s="98" t="str">
        <f t="shared" si="369"/>
        <v>ok</v>
      </c>
    </row>
    <row r="370" spans="1:38" x14ac:dyDescent="0.25">
      <c r="A370" s="97">
        <v>511</v>
      </c>
      <c r="B370" s="97" t="s">
        <v>586</v>
      </c>
      <c r="C370" s="97" t="s">
        <v>1631</v>
      </c>
      <c r="D370" s="97" t="s">
        <v>736</v>
      </c>
      <c r="F370" s="101">
        <f>'Jurisdictional Study'!F1329</f>
        <v>1238874.0419501355</v>
      </c>
      <c r="H370" s="101">
        <f>IF(VLOOKUP($D370,$C$5:$AJ$644,6,)=0,0,((VLOOKUP($D370,$C$5:$AJ$644,6,)/VLOOKUP($D370,$C$5:$AJ$644,4,))*$F370))</f>
        <v>425610.8128132422</v>
      </c>
      <c r="I370" s="101">
        <f>IF(VLOOKUP($D370,$C$5:$AJ$644,7,)=0,0,((VLOOKUP($D370,$C$5:$AJ$644,7,)/VLOOKUP($D370,$C$5:$AJ$644,4,))*$F370))</f>
        <v>401213.84282077051</v>
      </c>
      <c r="J370" s="101">
        <f>IF(VLOOKUP($D370,$C$5:$AJ$644,8,)=0,0,((VLOOKUP($D370,$C$5:$AJ$644,8,)/VLOOKUP($D370,$C$5:$AJ$644,4,))*$F370))</f>
        <v>412049.38631612272</v>
      </c>
      <c r="K370" s="101">
        <f>IF(VLOOKUP($D370,$C$5:$AJ$644,9,)=0,0,((VLOOKUP($D370,$C$5:$AJ$644,9,)/VLOOKUP($D370,$C$5:$AJ$644,4,))*$F370))</f>
        <v>0</v>
      </c>
      <c r="L370" s="101">
        <f>IF(VLOOKUP($D370,$C$5:$AJ$644,10,)=0,0,((VLOOKUP($D370,$C$5:$AJ$644,10,)/VLOOKUP($D370,$C$5:$AJ$644,4,))*$F370))</f>
        <v>0</v>
      </c>
      <c r="M370" s="101">
        <f>IF(VLOOKUP($D370,$C$5:$AJ$644,11,)=0,0,((VLOOKUP($D370,$C$5:$AJ$644,11,)/VLOOKUP($D370,$C$5:$AJ$644,4,))*$F370))</f>
        <v>0</v>
      </c>
      <c r="N370" s="101"/>
      <c r="O370" s="101">
        <f>IF(VLOOKUP($D370,$C$5:$AJ$644,13,)=0,0,((VLOOKUP($D370,$C$5:$AJ$644,13,)/VLOOKUP($D370,$C$5:$AJ$644,4,))*$F370))</f>
        <v>0</v>
      </c>
      <c r="P370" s="101">
        <f>IF(VLOOKUP($D370,$C$5:$AJ$644,14,)=0,0,((VLOOKUP($D370,$C$5:$AJ$644,14,)/VLOOKUP($D370,$C$5:$AJ$644,4,))*$F370))</f>
        <v>0</v>
      </c>
      <c r="Q370" s="101">
        <f>IF(VLOOKUP($D370,$C$5:$AJ$644,15,)=0,0,((VLOOKUP($D370,$C$5:$AJ$644,15,)/VLOOKUP($D370,$C$5:$AJ$644,4,))*$F370))</f>
        <v>0</v>
      </c>
      <c r="R370" s="101"/>
      <c r="S370" s="101">
        <f>IF(VLOOKUP($D370,$C$5:$AJ$644,17,)=0,0,((VLOOKUP($D370,$C$5:$AJ$644,17,)/VLOOKUP($D370,$C$5:$AJ$644,4,))*$F370))</f>
        <v>0</v>
      </c>
      <c r="T370" s="101">
        <f>IF(VLOOKUP($D370,$C$5:$AJ$644,18,)=0,0,((VLOOKUP($D370,$C$5:$AJ$644,18,)/VLOOKUP($D370,$C$5:$AJ$644,4,))*$F370))</f>
        <v>0</v>
      </c>
      <c r="U370" s="101">
        <f>IF(VLOOKUP($D370,$C$5:$AJ$644,19,)=0,0,((VLOOKUP($D370,$C$5:$AJ$644,19,)/VLOOKUP($D370,$C$5:$AJ$644,4,))*$F370))</f>
        <v>0</v>
      </c>
      <c r="V370" s="101">
        <f>IF(VLOOKUP($D370,$C$5:$AJ$644,20,)=0,0,((VLOOKUP($D370,$C$5:$AJ$644,20,)/VLOOKUP($D370,$C$5:$AJ$644,4,))*$F370))</f>
        <v>0</v>
      </c>
      <c r="W370" s="101">
        <f>IF(VLOOKUP($D370,$C$5:$AJ$644,21,)=0,0,((VLOOKUP($D370,$C$5:$AJ$644,21,)/VLOOKUP($D370,$C$5:$AJ$644,4,))*$F370))</f>
        <v>0</v>
      </c>
      <c r="X370" s="101">
        <f>IF(VLOOKUP($D370,$C$5:$AJ$644,22,)=0,0,((VLOOKUP($D370,$C$5:$AJ$644,22,)/VLOOKUP($D370,$C$5:$AJ$644,4,))*$F370))</f>
        <v>0</v>
      </c>
      <c r="Y370" s="101">
        <f>IF(VLOOKUP($D370,$C$5:$AJ$644,23,)=0,0,((VLOOKUP($D370,$C$5:$AJ$644,23,)/VLOOKUP($D370,$C$5:$AJ$644,4,))*$F370))</f>
        <v>0</v>
      </c>
      <c r="Z370" s="101">
        <f>IF(VLOOKUP($D370,$C$5:$AJ$644,24,)=0,0,((VLOOKUP($D370,$C$5:$AJ$644,24,)/VLOOKUP($D370,$C$5:$AJ$644,4,))*$F370))</f>
        <v>0</v>
      </c>
      <c r="AA370" s="101">
        <f>IF(VLOOKUP($D370,$C$5:$AJ$644,25,)=0,0,((VLOOKUP($D370,$C$5:$AJ$644,25,)/VLOOKUP($D370,$C$5:$AJ$644,4,))*$F370))</f>
        <v>0</v>
      </c>
      <c r="AB370" s="101">
        <f>IF(VLOOKUP($D370,$C$5:$AJ$644,26,)=0,0,((VLOOKUP($D370,$C$5:$AJ$644,26,)/VLOOKUP($D370,$C$5:$AJ$644,4,))*$F370))</f>
        <v>0</v>
      </c>
      <c r="AC370" s="101">
        <f>IF(VLOOKUP($D370,$C$5:$AJ$644,27,)=0,0,((VLOOKUP($D370,$C$5:$AJ$644,27,)/VLOOKUP($D370,$C$5:$AJ$644,4,))*$F370))</f>
        <v>0</v>
      </c>
      <c r="AD370" s="101">
        <f>IF(VLOOKUP($D370,$C$5:$AJ$644,28,)=0,0,((VLOOKUP($D370,$C$5:$AJ$644,28,)/VLOOKUP($D370,$C$5:$AJ$644,4,))*$F370))</f>
        <v>0</v>
      </c>
      <c r="AE370" s="101"/>
      <c r="AF370" s="101">
        <f>IF(VLOOKUP($D370,$C$5:$AJ$644,30,)=0,0,((VLOOKUP($D370,$C$5:$AJ$644,30,)/VLOOKUP($D370,$C$5:$AJ$644,4,))*$F370))</f>
        <v>0</v>
      </c>
      <c r="AG370" s="101"/>
      <c r="AH370" s="101">
        <f>IF(VLOOKUP($D370,$C$5:$AJ$644,32,)=0,0,((VLOOKUP($D370,$C$5:$AJ$644,32,)/VLOOKUP($D370,$C$5:$AJ$644,4,))*$F370))</f>
        <v>0</v>
      </c>
      <c r="AI370" s="101"/>
      <c r="AJ370" s="101">
        <f>IF(VLOOKUP($D370,$C$5:$AJ$644,34,)=0,0,((VLOOKUP($D370,$C$5:$AJ$644,34,)/VLOOKUP($D370,$C$5:$AJ$644,4,))*$F370))</f>
        <v>0</v>
      </c>
      <c r="AK370" s="101">
        <f t="shared" si="368"/>
        <v>1238874.0419501355</v>
      </c>
      <c r="AL370" s="98" t="str">
        <f t="shared" si="369"/>
        <v>ok</v>
      </c>
    </row>
    <row r="371" spans="1:38" x14ac:dyDescent="0.25">
      <c r="A371" s="97">
        <v>512</v>
      </c>
      <c r="B371" s="97" t="s">
        <v>1570</v>
      </c>
      <c r="C371" s="97" t="s">
        <v>1632</v>
      </c>
      <c r="D371" s="97" t="s">
        <v>110</v>
      </c>
      <c r="F371" s="101">
        <f>'Jurisdictional Study'!F1317</f>
        <v>9213874.4899729565</v>
      </c>
      <c r="H371" s="101">
        <f>IF(VLOOKUP($D371,$C$5:$AJ$644,6,)=0,0,((VLOOKUP($D371,$C$5:$AJ$644,6,)/VLOOKUP($D371,$C$5:$AJ$644,4,))*$F371))</f>
        <v>0</v>
      </c>
      <c r="I371" s="101">
        <f>IF(VLOOKUP($D371,$C$5:$AJ$644,7,)=0,0,((VLOOKUP($D371,$C$5:$AJ$644,7,)/VLOOKUP($D371,$C$5:$AJ$644,4,))*$F371))</f>
        <v>0</v>
      </c>
      <c r="J371" s="101">
        <f>IF(VLOOKUP($D371,$C$5:$AJ$644,8,)=0,0,((VLOOKUP($D371,$C$5:$AJ$644,8,)/VLOOKUP($D371,$C$5:$AJ$644,4,))*$F371))</f>
        <v>0</v>
      </c>
      <c r="K371" s="101">
        <f>IF(VLOOKUP($D371,$C$5:$AJ$644,9,)=0,0,((VLOOKUP($D371,$C$5:$AJ$644,9,)/VLOOKUP($D371,$C$5:$AJ$644,4,))*$F371))</f>
        <v>9213874.4899729565</v>
      </c>
      <c r="L371" s="101">
        <f>IF(VLOOKUP($D371,$C$5:$AJ$644,10,)=0,0,((VLOOKUP($D371,$C$5:$AJ$644,10,)/VLOOKUP($D371,$C$5:$AJ$644,4,))*$F371))</f>
        <v>0</v>
      </c>
      <c r="M371" s="101">
        <f>IF(VLOOKUP($D371,$C$5:$AJ$644,11,)=0,0,((VLOOKUP($D371,$C$5:$AJ$644,11,)/VLOOKUP($D371,$C$5:$AJ$644,4,))*$F371))</f>
        <v>0</v>
      </c>
      <c r="N371" s="101"/>
      <c r="O371" s="101">
        <f>IF(VLOOKUP($D371,$C$5:$AJ$644,13,)=0,0,((VLOOKUP($D371,$C$5:$AJ$644,13,)/VLOOKUP($D371,$C$5:$AJ$644,4,))*$F371))</f>
        <v>0</v>
      </c>
      <c r="P371" s="101">
        <f>IF(VLOOKUP($D371,$C$5:$AJ$644,14,)=0,0,((VLOOKUP($D371,$C$5:$AJ$644,14,)/VLOOKUP($D371,$C$5:$AJ$644,4,))*$F371))</f>
        <v>0</v>
      </c>
      <c r="Q371" s="101">
        <f>IF(VLOOKUP($D371,$C$5:$AJ$644,15,)=0,0,((VLOOKUP($D371,$C$5:$AJ$644,15,)/VLOOKUP($D371,$C$5:$AJ$644,4,))*$F371))</f>
        <v>0</v>
      </c>
      <c r="R371" s="101"/>
      <c r="S371" s="101">
        <f>IF(VLOOKUP($D371,$C$5:$AJ$644,17,)=0,0,((VLOOKUP($D371,$C$5:$AJ$644,17,)/VLOOKUP($D371,$C$5:$AJ$644,4,))*$F371))</f>
        <v>0</v>
      </c>
      <c r="T371" s="101">
        <f>IF(VLOOKUP($D371,$C$5:$AJ$644,18,)=0,0,((VLOOKUP($D371,$C$5:$AJ$644,18,)/VLOOKUP($D371,$C$5:$AJ$644,4,))*$F371))</f>
        <v>0</v>
      </c>
      <c r="U371" s="101">
        <f>IF(VLOOKUP($D371,$C$5:$AJ$644,19,)=0,0,((VLOOKUP($D371,$C$5:$AJ$644,19,)/VLOOKUP($D371,$C$5:$AJ$644,4,))*$F371))</f>
        <v>0</v>
      </c>
      <c r="V371" s="101">
        <f>IF(VLOOKUP($D371,$C$5:$AJ$644,20,)=0,0,((VLOOKUP($D371,$C$5:$AJ$644,20,)/VLOOKUP($D371,$C$5:$AJ$644,4,))*$F371))</f>
        <v>0</v>
      </c>
      <c r="W371" s="101">
        <f>IF(VLOOKUP($D371,$C$5:$AJ$644,21,)=0,0,((VLOOKUP($D371,$C$5:$AJ$644,21,)/VLOOKUP($D371,$C$5:$AJ$644,4,))*$F371))</f>
        <v>0</v>
      </c>
      <c r="X371" s="101">
        <f>IF(VLOOKUP($D371,$C$5:$AJ$644,22,)=0,0,((VLOOKUP($D371,$C$5:$AJ$644,22,)/VLOOKUP($D371,$C$5:$AJ$644,4,))*$F371))</f>
        <v>0</v>
      </c>
      <c r="Y371" s="101">
        <f>IF(VLOOKUP($D371,$C$5:$AJ$644,23,)=0,0,((VLOOKUP($D371,$C$5:$AJ$644,23,)/VLOOKUP($D371,$C$5:$AJ$644,4,))*$F371))</f>
        <v>0</v>
      </c>
      <c r="Z371" s="101">
        <f>IF(VLOOKUP($D371,$C$5:$AJ$644,24,)=0,0,((VLOOKUP($D371,$C$5:$AJ$644,24,)/VLOOKUP($D371,$C$5:$AJ$644,4,))*$F371))</f>
        <v>0</v>
      </c>
      <c r="AA371" s="101">
        <f>IF(VLOOKUP($D371,$C$5:$AJ$644,25,)=0,0,((VLOOKUP($D371,$C$5:$AJ$644,25,)/VLOOKUP($D371,$C$5:$AJ$644,4,))*$F371))</f>
        <v>0</v>
      </c>
      <c r="AB371" s="101">
        <f>IF(VLOOKUP($D371,$C$5:$AJ$644,26,)=0,0,((VLOOKUP($D371,$C$5:$AJ$644,26,)/VLOOKUP($D371,$C$5:$AJ$644,4,))*$F371))</f>
        <v>0</v>
      </c>
      <c r="AC371" s="101">
        <f>IF(VLOOKUP($D371,$C$5:$AJ$644,27,)=0,0,((VLOOKUP($D371,$C$5:$AJ$644,27,)/VLOOKUP($D371,$C$5:$AJ$644,4,))*$F371))</f>
        <v>0</v>
      </c>
      <c r="AD371" s="101">
        <f>IF(VLOOKUP($D371,$C$5:$AJ$644,28,)=0,0,((VLOOKUP($D371,$C$5:$AJ$644,28,)/VLOOKUP($D371,$C$5:$AJ$644,4,))*$F371))</f>
        <v>0</v>
      </c>
      <c r="AE371" s="101"/>
      <c r="AF371" s="101">
        <f>IF(VLOOKUP($D371,$C$5:$AJ$644,30,)=0,0,((VLOOKUP($D371,$C$5:$AJ$644,30,)/VLOOKUP($D371,$C$5:$AJ$644,4,))*$F371))</f>
        <v>0</v>
      </c>
      <c r="AG371" s="101"/>
      <c r="AH371" s="101">
        <f>IF(VLOOKUP($D371,$C$5:$AJ$644,32,)=0,0,((VLOOKUP($D371,$C$5:$AJ$644,32,)/VLOOKUP($D371,$C$5:$AJ$644,4,))*$F371))</f>
        <v>0</v>
      </c>
      <c r="AI371" s="101"/>
      <c r="AJ371" s="101">
        <f>IF(VLOOKUP($D371,$C$5:$AJ$644,34,)=0,0,((VLOOKUP($D371,$C$5:$AJ$644,34,)/VLOOKUP($D371,$C$5:$AJ$644,4,))*$F371))</f>
        <v>0</v>
      </c>
      <c r="AK371" s="101">
        <f t="shared" si="368"/>
        <v>9213874.4899729565</v>
      </c>
      <c r="AL371" s="98" t="str">
        <f t="shared" si="369"/>
        <v>ok</v>
      </c>
    </row>
    <row r="372" spans="1:38" x14ac:dyDescent="0.25">
      <c r="A372" s="97">
        <v>513</v>
      </c>
      <c r="B372" s="97" t="s">
        <v>1571</v>
      </c>
      <c r="C372" s="97" t="s">
        <v>1633</v>
      </c>
      <c r="D372" s="97" t="s">
        <v>110</v>
      </c>
      <c r="F372" s="101">
        <f>'Jurisdictional Study'!F1318</f>
        <v>1992105.4662811111</v>
      </c>
      <c r="H372" s="101">
        <f>IF(VLOOKUP($D372,$C$5:$AJ$644,6,)=0,0,((VLOOKUP($D372,$C$5:$AJ$644,6,)/VLOOKUP($D372,$C$5:$AJ$644,4,))*$F372))</f>
        <v>0</v>
      </c>
      <c r="I372" s="101">
        <f>IF(VLOOKUP($D372,$C$5:$AJ$644,7,)=0,0,((VLOOKUP($D372,$C$5:$AJ$644,7,)/VLOOKUP($D372,$C$5:$AJ$644,4,))*$F372))</f>
        <v>0</v>
      </c>
      <c r="J372" s="101">
        <f>IF(VLOOKUP($D372,$C$5:$AJ$644,8,)=0,0,((VLOOKUP($D372,$C$5:$AJ$644,8,)/VLOOKUP($D372,$C$5:$AJ$644,4,))*$F372))</f>
        <v>0</v>
      </c>
      <c r="K372" s="101">
        <f>IF(VLOOKUP($D372,$C$5:$AJ$644,9,)=0,0,((VLOOKUP($D372,$C$5:$AJ$644,9,)/VLOOKUP($D372,$C$5:$AJ$644,4,))*$F372))</f>
        <v>1992105.4662811111</v>
      </c>
      <c r="L372" s="101">
        <f>IF(VLOOKUP($D372,$C$5:$AJ$644,10,)=0,0,((VLOOKUP($D372,$C$5:$AJ$644,10,)/VLOOKUP($D372,$C$5:$AJ$644,4,))*$F372))</f>
        <v>0</v>
      </c>
      <c r="M372" s="101">
        <f>IF(VLOOKUP($D372,$C$5:$AJ$644,11,)=0,0,((VLOOKUP($D372,$C$5:$AJ$644,11,)/VLOOKUP($D372,$C$5:$AJ$644,4,))*$F372))</f>
        <v>0</v>
      </c>
      <c r="N372" s="101"/>
      <c r="O372" s="101">
        <f>IF(VLOOKUP($D372,$C$5:$AJ$644,13,)=0,0,((VLOOKUP($D372,$C$5:$AJ$644,13,)/VLOOKUP($D372,$C$5:$AJ$644,4,))*$F372))</f>
        <v>0</v>
      </c>
      <c r="P372" s="101">
        <f>IF(VLOOKUP($D372,$C$5:$AJ$644,14,)=0,0,((VLOOKUP($D372,$C$5:$AJ$644,14,)/VLOOKUP($D372,$C$5:$AJ$644,4,))*$F372))</f>
        <v>0</v>
      </c>
      <c r="Q372" s="101">
        <f>IF(VLOOKUP($D372,$C$5:$AJ$644,15,)=0,0,((VLOOKUP($D372,$C$5:$AJ$644,15,)/VLOOKUP($D372,$C$5:$AJ$644,4,))*$F372))</f>
        <v>0</v>
      </c>
      <c r="R372" s="101"/>
      <c r="S372" s="101">
        <f>IF(VLOOKUP($D372,$C$5:$AJ$644,17,)=0,0,((VLOOKUP($D372,$C$5:$AJ$644,17,)/VLOOKUP($D372,$C$5:$AJ$644,4,))*$F372))</f>
        <v>0</v>
      </c>
      <c r="T372" s="101">
        <f>IF(VLOOKUP($D372,$C$5:$AJ$644,18,)=0,0,((VLOOKUP($D372,$C$5:$AJ$644,18,)/VLOOKUP($D372,$C$5:$AJ$644,4,))*$F372))</f>
        <v>0</v>
      </c>
      <c r="U372" s="101">
        <f>IF(VLOOKUP($D372,$C$5:$AJ$644,19,)=0,0,((VLOOKUP($D372,$C$5:$AJ$644,19,)/VLOOKUP($D372,$C$5:$AJ$644,4,))*$F372))</f>
        <v>0</v>
      </c>
      <c r="V372" s="101">
        <f>IF(VLOOKUP($D372,$C$5:$AJ$644,20,)=0,0,((VLOOKUP($D372,$C$5:$AJ$644,20,)/VLOOKUP($D372,$C$5:$AJ$644,4,))*$F372))</f>
        <v>0</v>
      </c>
      <c r="W372" s="101">
        <f>IF(VLOOKUP($D372,$C$5:$AJ$644,21,)=0,0,((VLOOKUP($D372,$C$5:$AJ$644,21,)/VLOOKUP($D372,$C$5:$AJ$644,4,))*$F372))</f>
        <v>0</v>
      </c>
      <c r="X372" s="101">
        <f>IF(VLOOKUP($D372,$C$5:$AJ$644,22,)=0,0,((VLOOKUP($D372,$C$5:$AJ$644,22,)/VLOOKUP($D372,$C$5:$AJ$644,4,))*$F372))</f>
        <v>0</v>
      </c>
      <c r="Y372" s="101">
        <f>IF(VLOOKUP($D372,$C$5:$AJ$644,23,)=0,0,((VLOOKUP($D372,$C$5:$AJ$644,23,)/VLOOKUP($D372,$C$5:$AJ$644,4,))*$F372))</f>
        <v>0</v>
      </c>
      <c r="Z372" s="101">
        <f>IF(VLOOKUP($D372,$C$5:$AJ$644,24,)=0,0,((VLOOKUP($D372,$C$5:$AJ$644,24,)/VLOOKUP($D372,$C$5:$AJ$644,4,))*$F372))</f>
        <v>0</v>
      </c>
      <c r="AA372" s="101">
        <f>IF(VLOOKUP($D372,$C$5:$AJ$644,25,)=0,0,((VLOOKUP($D372,$C$5:$AJ$644,25,)/VLOOKUP($D372,$C$5:$AJ$644,4,))*$F372))</f>
        <v>0</v>
      </c>
      <c r="AB372" s="101">
        <f>IF(VLOOKUP($D372,$C$5:$AJ$644,26,)=0,0,((VLOOKUP($D372,$C$5:$AJ$644,26,)/VLOOKUP($D372,$C$5:$AJ$644,4,))*$F372))</f>
        <v>0</v>
      </c>
      <c r="AC372" s="101">
        <f>IF(VLOOKUP($D372,$C$5:$AJ$644,27,)=0,0,((VLOOKUP($D372,$C$5:$AJ$644,27,)/VLOOKUP($D372,$C$5:$AJ$644,4,))*$F372))</f>
        <v>0</v>
      </c>
      <c r="AD372" s="101">
        <f>IF(VLOOKUP($D372,$C$5:$AJ$644,28,)=0,0,((VLOOKUP($D372,$C$5:$AJ$644,28,)/VLOOKUP($D372,$C$5:$AJ$644,4,))*$F372))</f>
        <v>0</v>
      </c>
      <c r="AE372" s="101"/>
      <c r="AF372" s="101">
        <f>IF(VLOOKUP($D372,$C$5:$AJ$644,30,)=0,0,((VLOOKUP($D372,$C$5:$AJ$644,30,)/VLOOKUP($D372,$C$5:$AJ$644,4,))*$F372))</f>
        <v>0</v>
      </c>
      <c r="AG372" s="101"/>
      <c r="AH372" s="101">
        <f>IF(VLOOKUP($D372,$C$5:$AJ$644,32,)=0,0,((VLOOKUP($D372,$C$5:$AJ$644,32,)/VLOOKUP($D372,$C$5:$AJ$644,4,))*$F372))</f>
        <v>0</v>
      </c>
      <c r="AI372" s="101"/>
      <c r="AJ372" s="101">
        <f>IF(VLOOKUP($D372,$C$5:$AJ$644,34,)=0,0,((VLOOKUP($D372,$C$5:$AJ$644,34,)/VLOOKUP($D372,$C$5:$AJ$644,4,))*$F372))</f>
        <v>0</v>
      </c>
      <c r="AK372" s="101">
        <f t="shared" si="368"/>
        <v>1992105.4662811111</v>
      </c>
      <c r="AL372" s="98" t="str">
        <f t="shared" si="369"/>
        <v>ok</v>
      </c>
    </row>
    <row r="373" spans="1:38" x14ac:dyDescent="0.25">
      <c r="A373" s="97">
        <v>514</v>
      </c>
      <c r="B373" s="97" t="s">
        <v>1574</v>
      </c>
      <c r="C373" s="97" t="s">
        <v>1634</v>
      </c>
      <c r="D373" s="97" t="s">
        <v>110</v>
      </c>
      <c r="F373" s="101">
        <f>'Jurisdictional Study'!F1330</f>
        <v>397543.52902510809</v>
      </c>
      <c r="H373" s="101">
        <f>IF(VLOOKUP($D373,$C$5:$AJ$644,6,)=0,0,((VLOOKUP($D373,$C$5:$AJ$644,6,)/VLOOKUP($D373,$C$5:$AJ$644,4,))*$F373))</f>
        <v>0</v>
      </c>
      <c r="I373" s="101">
        <f>IF(VLOOKUP($D373,$C$5:$AJ$644,7,)=0,0,((VLOOKUP($D373,$C$5:$AJ$644,7,)/VLOOKUP($D373,$C$5:$AJ$644,4,))*$F373))</f>
        <v>0</v>
      </c>
      <c r="J373" s="101">
        <f>IF(VLOOKUP($D373,$C$5:$AJ$644,8,)=0,0,((VLOOKUP($D373,$C$5:$AJ$644,8,)/VLOOKUP($D373,$C$5:$AJ$644,4,))*$F373))</f>
        <v>0</v>
      </c>
      <c r="K373" s="101">
        <f>IF(VLOOKUP($D373,$C$5:$AJ$644,9,)=0,0,((VLOOKUP($D373,$C$5:$AJ$644,9,)/VLOOKUP($D373,$C$5:$AJ$644,4,))*$F373))</f>
        <v>397543.52902510809</v>
      </c>
      <c r="L373" s="101">
        <f>IF(VLOOKUP($D373,$C$5:$AJ$644,10,)=0,0,((VLOOKUP($D373,$C$5:$AJ$644,10,)/VLOOKUP($D373,$C$5:$AJ$644,4,))*$F373))</f>
        <v>0</v>
      </c>
      <c r="M373" s="101">
        <f>IF(VLOOKUP($D373,$C$5:$AJ$644,11,)=0,0,((VLOOKUP($D373,$C$5:$AJ$644,11,)/VLOOKUP($D373,$C$5:$AJ$644,4,))*$F373))</f>
        <v>0</v>
      </c>
      <c r="N373" s="101"/>
      <c r="O373" s="101">
        <f>IF(VLOOKUP($D373,$C$5:$AJ$644,13,)=0,0,((VLOOKUP($D373,$C$5:$AJ$644,13,)/VLOOKUP($D373,$C$5:$AJ$644,4,))*$F373))</f>
        <v>0</v>
      </c>
      <c r="P373" s="101">
        <f>IF(VLOOKUP($D373,$C$5:$AJ$644,14,)=0,0,((VLOOKUP($D373,$C$5:$AJ$644,14,)/VLOOKUP($D373,$C$5:$AJ$644,4,))*$F373))</f>
        <v>0</v>
      </c>
      <c r="Q373" s="101">
        <f>IF(VLOOKUP($D373,$C$5:$AJ$644,15,)=0,0,((VLOOKUP($D373,$C$5:$AJ$644,15,)/VLOOKUP($D373,$C$5:$AJ$644,4,))*$F373))</f>
        <v>0</v>
      </c>
      <c r="R373" s="101"/>
      <c r="S373" s="101">
        <f>IF(VLOOKUP($D373,$C$5:$AJ$644,17,)=0,0,((VLOOKUP($D373,$C$5:$AJ$644,17,)/VLOOKUP($D373,$C$5:$AJ$644,4,))*$F373))</f>
        <v>0</v>
      </c>
      <c r="T373" s="101">
        <f>IF(VLOOKUP($D373,$C$5:$AJ$644,18,)=0,0,((VLOOKUP($D373,$C$5:$AJ$644,18,)/VLOOKUP($D373,$C$5:$AJ$644,4,))*$F373))</f>
        <v>0</v>
      </c>
      <c r="U373" s="101">
        <f>IF(VLOOKUP($D373,$C$5:$AJ$644,19,)=0,0,((VLOOKUP($D373,$C$5:$AJ$644,19,)/VLOOKUP($D373,$C$5:$AJ$644,4,))*$F373))</f>
        <v>0</v>
      </c>
      <c r="V373" s="101">
        <f>IF(VLOOKUP($D373,$C$5:$AJ$644,20,)=0,0,((VLOOKUP($D373,$C$5:$AJ$644,20,)/VLOOKUP($D373,$C$5:$AJ$644,4,))*$F373))</f>
        <v>0</v>
      </c>
      <c r="W373" s="101">
        <f>IF(VLOOKUP($D373,$C$5:$AJ$644,21,)=0,0,((VLOOKUP($D373,$C$5:$AJ$644,21,)/VLOOKUP($D373,$C$5:$AJ$644,4,))*$F373))</f>
        <v>0</v>
      </c>
      <c r="X373" s="101">
        <f>IF(VLOOKUP($D373,$C$5:$AJ$644,22,)=0,0,((VLOOKUP($D373,$C$5:$AJ$644,22,)/VLOOKUP($D373,$C$5:$AJ$644,4,))*$F373))</f>
        <v>0</v>
      </c>
      <c r="Y373" s="101">
        <f>IF(VLOOKUP($D373,$C$5:$AJ$644,23,)=0,0,((VLOOKUP($D373,$C$5:$AJ$644,23,)/VLOOKUP($D373,$C$5:$AJ$644,4,))*$F373))</f>
        <v>0</v>
      </c>
      <c r="Z373" s="101">
        <f>IF(VLOOKUP($D373,$C$5:$AJ$644,24,)=0,0,((VLOOKUP($D373,$C$5:$AJ$644,24,)/VLOOKUP($D373,$C$5:$AJ$644,4,))*$F373))</f>
        <v>0</v>
      </c>
      <c r="AA373" s="101">
        <f>IF(VLOOKUP($D373,$C$5:$AJ$644,25,)=0,0,((VLOOKUP($D373,$C$5:$AJ$644,25,)/VLOOKUP($D373,$C$5:$AJ$644,4,))*$F373))</f>
        <v>0</v>
      </c>
      <c r="AB373" s="101">
        <f>IF(VLOOKUP($D373,$C$5:$AJ$644,26,)=0,0,((VLOOKUP($D373,$C$5:$AJ$644,26,)/VLOOKUP($D373,$C$5:$AJ$644,4,))*$F373))</f>
        <v>0</v>
      </c>
      <c r="AC373" s="101">
        <f>IF(VLOOKUP($D373,$C$5:$AJ$644,27,)=0,0,((VLOOKUP($D373,$C$5:$AJ$644,27,)/VLOOKUP($D373,$C$5:$AJ$644,4,))*$F373))</f>
        <v>0</v>
      </c>
      <c r="AD373" s="101">
        <f>IF(VLOOKUP($D373,$C$5:$AJ$644,28,)=0,0,((VLOOKUP($D373,$C$5:$AJ$644,28,)/VLOOKUP($D373,$C$5:$AJ$644,4,))*$F373))</f>
        <v>0</v>
      </c>
      <c r="AE373" s="101"/>
      <c r="AF373" s="101">
        <f>IF(VLOOKUP($D373,$C$5:$AJ$644,30,)=0,0,((VLOOKUP($D373,$C$5:$AJ$644,30,)/VLOOKUP($D373,$C$5:$AJ$644,4,))*$F373))</f>
        <v>0</v>
      </c>
      <c r="AG373" s="101"/>
      <c r="AH373" s="101">
        <f>IF(VLOOKUP($D373,$C$5:$AJ$644,32,)=0,0,((VLOOKUP($D373,$C$5:$AJ$644,32,)/VLOOKUP($D373,$C$5:$AJ$644,4,))*$F373))</f>
        <v>0</v>
      </c>
      <c r="AI373" s="101"/>
      <c r="AJ373" s="101">
        <f>IF(VLOOKUP($D373,$C$5:$AJ$644,34,)=0,0,((VLOOKUP($D373,$C$5:$AJ$644,34,)/VLOOKUP($D373,$C$5:$AJ$644,4,))*$F373))</f>
        <v>0</v>
      </c>
      <c r="AK373" s="101">
        <f t="shared" si="368"/>
        <v>397543.52902510809</v>
      </c>
      <c r="AL373" s="98" t="str">
        <f t="shared" si="369"/>
        <v>ok</v>
      </c>
    </row>
    <row r="374" spans="1:38" x14ac:dyDescent="0.25">
      <c r="F374" s="100"/>
      <c r="Y374" s="97"/>
      <c r="AK374" s="101"/>
      <c r="AL374" s="98"/>
    </row>
    <row r="375" spans="1:38" x14ac:dyDescent="0.25">
      <c r="B375" s="97" t="s">
        <v>1576</v>
      </c>
      <c r="C375" s="97" t="s">
        <v>1042</v>
      </c>
      <c r="F375" s="100">
        <f>SUM(F369:F374)</f>
        <v>21340019.527229313</v>
      </c>
      <c r="H375" s="100">
        <f t="shared" ref="H375:M375" si="372">SUM(H369:H374)</f>
        <v>707231.10985912965</v>
      </c>
      <c r="I375" s="100">
        <f t="shared" si="372"/>
        <v>666691.03041207197</v>
      </c>
      <c r="J375" s="100">
        <f t="shared" si="372"/>
        <v>684696.29066730756</v>
      </c>
      <c r="K375" s="100">
        <f t="shared" si="372"/>
        <v>19281401.096290801</v>
      </c>
      <c r="L375" s="100">
        <f t="shared" si="372"/>
        <v>0</v>
      </c>
      <c r="M375" s="100">
        <f t="shared" si="372"/>
        <v>0</v>
      </c>
      <c r="O375" s="100">
        <f>SUM(O369:O374)</f>
        <v>0</v>
      </c>
      <c r="P375" s="100">
        <f>SUM(P369:P374)</f>
        <v>0</v>
      </c>
      <c r="Q375" s="100">
        <f>SUM(Q369:Q374)</f>
        <v>0</v>
      </c>
      <c r="S375" s="100">
        <f t="shared" ref="S375:AD375" si="373">SUM(S369:S374)</f>
        <v>0</v>
      </c>
      <c r="T375" s="100">
        <f t="shared" si="373"/>
        <v>0</v>
      </c>
      <c r="U375" s="100">
        <f t="shared" si="373"/>
        <v>0</v>
      </c>
      <c r="V375" s="100">
        <f t="shared" si="373"/>
        <v>0</v>
      </c>
      <c r="W375" s="100">
        <f t="shared" si="373"/>
        <v>0</v>
      </c>
      <c r="X375" s="100">
        <f t="shared" si="373"/>
        <v>0</v>
      </c>
      <c r="Y375" s="100">
        <f t="shared" si="373"/>
        <v>0</v>
      </c>
      <c r="Z375" s="100">
        <f t="shared" si="373"/>
        <v>0</v>
      </c>
      <c r="AA375" s="100">
        <f t="shared" si="373"/>
        <v>0</v>
      </c>
      <c r="AB375" s="100">
        <f t="shared" si="373"/>
        <v>0</v>
      </c>
      <c r="AC375" s="100">
        <f t="shared" si="373"/>
        <v>0</v>
      </c>
      <c r="AD375" s="100">
        <f t="shared" si="373"/>
        <v>0</v>
      </c>
      <c r="AF375" s="100">
        <f>SUM(AF369:AF374)</f>
        <v>0</v>
      </c>
      <c r="AH375" s="100">
        <f>SUM(AH369:AH374)</f>
        <v>0</v>
      </c>
      <c r="AJ375" s="100">
        <f>SUM(AJ369:AJ374)</f>
        <v>0</v>
      </c>
      <c r="AK375" s="101">
        <f t="shared" si="368"/>
        <v>21340019.527229309</v>
      </c>
      <c r="AL375" s="98" t="str">
        <f t="shared" si="369"/>
        <v>ok</v>
      </c>
    </row>
    <row r="376" spans="1:38" x14ac:dyDescent="0.25">
      <c r="F376" s="100"/>
      <c r="H376" s="100"/>
      <c r="I376" s="100"/>
      <c r="J376" s="100"/>
      <c r="K376" s="100"/>
      <c r="L376" s="100"/>
      <c r="M376" s="100"/>
      <c r="O376" s="100"/>
      <c r="P376" s="100"/>
      <c r="Q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F376" s="100"/>
      <c r="AH376" s="100"/>
      <c r="AJ376" s="100"/>
      <c r="AK376" s="101"/>
      <c r="AL376" s="98"/>
    </row>
    <row r="377" spans="1:38" x14ac:dyDescent="0.25">
      <c r="B377" s="97" t="s">
        <v>1577</v>
      </c>
      <c r="F377" s="100">
        <f>F366+F375</f>
        <v>46890316.323258981</v>
      </c>
      <c r="H377" s="100">
        <f t="shared" ref="H377:M377" si="374">H366+H375</f>
        <v>8281892.650949494</v>
      </c>
      <c r="I377" s="100">
        <f t="shared" si="374"/>
        <v>7807155.9186974708</v>
      </c>
      <c r="J377" s="100">
        <f t="shared" si="374"/>
        <v>8018003.0244136928</v>
      </c>
      <c r="K377" s="100">
        <f t="shared" si="374"/>
        <v>22783264.729198322</v>
      </c>
      <c r="L377" s="100">
        <f t="shared" si="374"/>
        <v>0</v>
      </c>
      <c r="M377" s="100">
        <f t="shared" si="374"/>
        <v>0</v>
      </c>
      <c r="O377" s="100">
        <f>O366+O375</f>
        <v>0</v>
      </c>
      <c r="P377" s="100">
        <f>P366+P375</f>
        <v>0</v>
      </c>
      <c r="Q377" s="100">
        <f>Q366+Q375</f>
        <v>0</v>
      </c>
      <c r="S377" s="100">
        <f t="shared" ref="S377:AD377" si="375">S366+S375</f>
        <v>0</v>
      </c>
      <c r="T377" s="100">
        <f t="shared" si="375"/>
        <v>0</v>
      </c>
      <c r="U377" s="100">
        <f t="shared" si="375"/>
        <v>0</v>
      </c>
      <c r="V377" s="100">
        <f t="shared" si="375"/>
        <v>0</v>
      </c>
      <c r="W377" s="100">
        <f t="shared" si="375"/>
        <v>0</v>
      </c>
      <c r="X377" s="100">
        <f t="shared" si="375"/>
        <v>0</v>
      </c>
      <c r="Y377" s="100">
        <f t="shared" si="375"/>
        <v>0</v>
      </c>
      <c r="Z377" s="100">
        <f t="shared" si="375"/>
        <v>0</v>
      </c>
      <c r="AA377" s="100">
        <f t="shared" si="375"/>
        <v>0</v>
      </c>
      <c r="AB377" s="100">
        <f t="shared" si="375"/>
        <v>0</v>
      </c>
      <c r="AC377" s="100">
        <f t="shared" si="375"/>
        <v>0</v>
      </c>
      <c r="AD377" s="100">
        <f t="shared" si="375"/>
        <v>0</v>
      </c>
      <c r="AF377" s="100">
        <f>AF366+AF375</f>
        <v>0</v>
      </c>
      <c r="AH377" s="100">
        <f>AH366+AH375</f>
        <v>0</v>
      </c>
      <c r="AJ377" s="100">
        <f>AJ366+AJ375</f>
        <v>0</v>
      </c>
      <c r="AK377" s="101">
        <f t="shared" si="368"/>
        <v>46890316.323258981</v>
      </c>
      <c r="AL377" s="98" t="str">
        <f t="shared" si="369"/>
        <v>ok</v>
      </c>
    </row>
    <row r="378" spans="1:38" x14ac:dyDescent="0.25">
      <c r="F378" s="100"/>
      <c r="Y378" s="97"/>
      <c r="AK378" s="101"/>
      <c r="AL378" s="98"/>
    </row>
    <row r="379" spans="1:38" x14ac:dyDescent="0.25">
      <c r="A379" s="24" t="s">
        <v>1667</v>
      </c>
      <c r="Y379" s="97"/>
      <c r="AL379" s="98"/>
    </row>
    <row r="380" spans="1:38" x14ac:dyDescent="0.25">
      <c r="A380" s="112">
        <v>535</v>
      </c>
      <c r="B380" s="97" t="s">
        <v>1555</v>
      </c>
      <c r="C380" s="97" t="s">
        <v>1816</v>
      </c>
      <c r="D380" s="97" t="s">
        <v>746</v>
      </c>
      <c r="F380" s="100">
        <f>'Jurisdictional Study'!F1331</f>
        <v>0</v>
      </c>
      <c r="H380" s="101">
        <f t="shared" ref="H380:H385" si="376">IF(VLOOKUP($D380,$C$5:$AJ$644,6,)=0,0,((VLOOKUP($D380,$C$5:$AJ$644,6,)/VLOOKUP($D380,$C$5:$AJ$644,4,))*$F380))</f>
        <v>0</v>
      </c>
      <c r="I380" s="101">
        <f t="shared" ref="I380:I385" si="377">IF(VLOOKUP($D380,$C$5:$AJ$644,7,)=0,0,((VLOOKUP($D380,$C$5:$AJ$644,7,)/VLOOKUP($D380,$C$5:$AJ$644,4,))*$F380))</f>
        <v>0</v>
      </c>
      <c r="J380" s="101">
        <f t="shared" ref="J380:J385" si="378">IF(VLOOKUP($D380,$C$5:$AJ$644,8,)=0,0,((VLOOKUP($D380,$C$5:$AJ$644,8,)/VLOOKUP($D380,$C$5:$AJ$644,4,))*$F380))</f>
        <v>0</v>
      </c>
      <c r="K380" s="101">
        <f t="shared" ref="K380:K385" si="379">IF(VLOOKUP($D380,$C$5:$AJ$644,9,)=0,0,((VLOOKUP($D380,$C$5:$AJ$644,9,)/VLOOKUP($D380,$C$5:$AJ$644,4,))*$F380))</f>
        <v>0</v>
      </c>
      <c r="L380" s="101">
        <f t="shared" ref="L380:L385" si="380">IF(VLOOKUP($D380,$C$5:$AJ$644,10,)=0,0,((VLOOKUP($D380,$C$5:$AJ$644,10,)/VLOOKUP($D380,$C$5:$AJ$644,4,))*$F380))</f>
        <v>0</v>
      </c>
      <c r="M380" s="101">
        <f t="shared" ref="M380:M385" si="381">IF(VLOOKUP($D380,$C$5:$AJ$644,11,)=0,0,((VLOOKUP($D380,$C$5:$AJ$644,11,)/VLOOKUP($D380,$C$5:$AJ$644,4,))*$F380))</f>
        <v>0</v>
      </c>
      <c r="N380" s="101"/>
      <c r="O380" s="101">
        <f t="shared" ref="O380:O385" si="382">IF(VLOOKUP($D380,$C$5:$AJ$644,13,)=0,0,((VLOOKUP($D380,$C$5:$AJ$644,13,)/VLOOKUP($D380,$C$5:$AJ$644,4,))*$F380))</f>
        <v>0</v>
      </c>
      <c r="P380" s="101">
        <f t="shared" ref="P380:P385" si="383">IF(VLOOKUP($D380,$C$5:$AJ$644,14,)=0,0,((VLOOKUP($D380,$C$5:$AJ$644,14,)/VLOOKUP($D380,$C$5:$AJ$644,4,))*$F380))</f>
        <v>0</v>
      </c>
      <c r="Q380" s="101">
        <f t="shared" ref="Q380:Q385" si="384">IF(VLOOKUP($D380,$C$5:$AJ$644,15,)=0,0,((VLOOKUP($D380,$C$5:$AJ$644,15,)/VLOOKUP($D380,$C$5:$AJ$644,4,))*$F380))</f>
        <v>0</v>
      </c>
      <c r="R380" s="101"/>
      <c r="S380" s="101">
        <f t="shared" ref="S380:S385" si="385">IF(VLOOKUP($D380,$C$5:$AJ$644,17,)=0,0,((VLOOKUP($D380,$C$5:$AJ$644,17,)/VLOOKUP($D380,$C$5:$AJ$644,4,))*$F380))</f>
        <v>0</v>
      </c>
      <c r="T380" s="101">
        <f t="shared" ref="T380:T385" si="386">IF(VLOOKUP($D380,$C$5:$AJ$644,18,)=0,0,((VLOOKUP($D380,$C$5:$AJ$644,18,)/VLOOKUP($D380,$C$5:$AJ$644,4,))*$F380))</f>
        <v>0</v>
      </c>
      <c r="U380" s="101">
        <f t="shared" ref="U380:U385" si="387">IF(VLOOKUP($D380,$C$5:$AJ$644,19,)=0,0,((VLOOKUP($D380,$C$5:$AJ$644,19,)/VLOOKUP($D380,$C$5:$AJ$644,4,))*$F380))</f>
        <v>0</v>
      </c>
      <c r="V380" s="101">
        <f t="shared" ref="V380:V385" si="388">IF(VLOOKUP($D380,$C$5:$AJ$644,20,)=0,0,((VLOOKUP($D380,$C$5:$AJ$644,20,)/VLOOKUP($D380,$C$5:$AJ$644,4,))*$F380))</f>
        <v>0</v>
      </c>
      <c r="W380" s="101">
        <f t="shared" ref="W380:W385" si="389">IF(VLOOKUP($D380,$C$5:$AJ$644,21,)=0,0,((VLOOKUP($D380,$C$5:$AJ$644,21,)/VLOOKUP($D380,$C$5:$AJ$644,4,))*$F380))</f>
        <v>0</v>
      </c>
      <c r="X380" s="101">
        <f t="shared" ref="X380:X385" si="390">IF(VLOOKUP($D380,$C$5:$AJ$644,22,)=0,0,((VLOOKUP($D380,$C$5:$AJ$644,22,)/VLOOKUP($D380,$C$5:$AJ$644,4,))*$F380))</f>
        <v>0</v>
      </c>
      <c r="Y380" s="101">
        <f t="shared" ref="Y380:Y385" si="391">IF(VLOOKUP($D380,$C$5:$AJ$644,23,)=0,0,((VLOOKUP($D380,$C$5:$AJ$644,23,)/VLOOKUP($D380,$C$5:$AJ$644,4,))*$F380))</f>
        <v>0</v>
      </c>
      <c r="Z380" s="101">
        <f t="shared" ref="Z380:Z385" si="392">IF(VLOOKUP($D380,$C$5:$AJ$644,24,)=0,0,((VLOOKUP($D380,$C$5:$AJ$644,24,)/VLOOKUP($D380,$C$5:$AJ$644,4,))*$F380))</f>
        <v>0</v>
      </c>
      <c r="AA380" s="101">
        <f t="shared" ref="AA380:AA385" si="393">IF(VLOOKUP($D380,$C$5:$AJ$644,25,)=0,0,((VLOOKUP($D380,$C$5:$AJ$644,25,)/VLOOKUP($D380,$C$5:$AJ$644,4,))*$F380))</f>
        <v>0</v>
      </c>
      <c r="AB380" s="101">
        <f t="shared" ref="AB380:AB385" si="394">IF(VLOOKUP($D380,$C$5:$AJ$644,26,)=0,0,((VLOOKUP($D380,$C$5:$AJ$644,26,)/VLOOKUP($D380,$C$5:$AJ$644,4,))*$F380))</f>
        <v>0</v>
      </c>
      <c r="AC380" s="101">
        <f t="shared" ref="AC380:AC385" si="395">IF(VLOOKUP($D380,$C$5:$AJ$644,27,)=0,0,((VLOOKUP($D380,$C$5:$AJ$644,27,)/VLOOKUP($D380,$C$5:$AJ$644,4,))*$F380))</f>
        <v>0</v>
      </c>
      <c r="AD380" s="101">
        <f t="shared" ref="AD380:AD385" si="396">IF(VLOOKUP($D380,$C$5:$AJ$644,28,)=0,0,((VLOOKUP($D380,$C$5:$AJ$644,28,)/VLOOKUP($D380,$C$5:$AJ$644,4,))*$F380))</f>
        <v>0</v>
      </c>
      <c r="AE380" s="101"/>
      <c r="AF380" s="101">
        <f t="shared" ref="AF380:AF385" si="397">IF(VLOOKUP($D380,$C$5:$AJ$644,30,)=0,0,((VLOOKUP($D380,$C$5:$AJ$644,30,)/VLOOKUP($D380,$C$5:$AJ$644,4,))*$F380))</f>
        <v>0</v>
      </c>
      <c r="AG380" s="101"/>
      <c r="AH380" s="101">
        <f t="shared" ref="AH380:AH385" si="398">IF(VLOOKUP($D380,$C$5:$AJ$644,32,)=0,0,((VLOOKUP($D380,$C$5:$AJ$644,32,)/VLOOKUP($D380,$C$5:$AJ$644,4,))*$F380))</f>
        <v>0</v>
      </c>
      <c r="AI380" s="101"/>
      <c r="AJ380" s="101">
        <f t="shared" ref="AJ380:AJ385" si="399">IF(VLOOKUP($D380,$C$5:$AJ$644,34,)=0,0,((VLOOKUP($D380,$C$5:$AJ$644,34,)/VLOOKUP($D380,$C$5:$AJ$644,4,))*$F380))</f>
        <v>0</v>
      </c>
      <c r="AK380" s="101">
        <f t="shared" ref="AK380:AK385" si="400">SUM(H380:AJ380)</f>
        <v>0</v>
      </c>
      <c r="AL380" s="98" t="str">
        <f t="shared" ref="AL380:AL385" si="401">IF(ABS(AK380-F380)&lt;1,"ok","err")</f>
        <v>ok</v>
      </c>
    </row>
    <row r="381" spans="1:38" x14ac:dyDescent="0.25">
      <c r="A381" s="113">
        <v>536</v>
      </c>
      <c r="B381" s="97" t="s">
        <v>1674</v>
      </c>
      <c r="C381" s="97" t="s">
        <v>1817</v>
      </c>
      <c r="D381" s="97" t="s">
        <v>736</v>
      </c>
      <c r="F381" s="101">
        <v>0</v>
      </c>
      <c r="H381" s="101">
        <f t="shared" si="376"/>
        <v>0</v>
      </c>
      <c r="I381" s="101">
        <f t="shared" si="377"/>
        <v>0</v>
      </c>
      <c r="J381" s="101">
        <f t="shared" si="378"/>
        <v>0</v>
      </c>
      <c r="K381" s="101">
        <f t="shared" si="379"/>
        <v>0</v>
      </c>
      <c r="L381" s="101">
        <f t="shared" si="380"/>
        <v>0</v>
      </c>
      <c r="M381" s="101">
        <f t="shared" si="381"/>
        <v>0</v>
      </c>
      <c r="N381" s="101"/>
      <c r="O381" s="101">
        <f t="shared" si="382"/>
        <v>0</v>
      </c>
      <c r="P381" s="101">
        <f t="shared" si="383"/>
        <v>0</v>
      </c>
      <c r="Q381" s="101">
        <f t="shared" si="384"/>
        <v>0</v>
      </c>
      <c r="R381" s="101"/>
      <c r="S381" s="101">
        <f t="shared" si="385"/>
        <v>0</v>
      </c>
      <c r="T381" s="101">
        <f t="shared" si="386"/>
        <v>0</v>
      </c>
      <c r="U381" s="101">
        <f t="shared" si="387"/>
        <v>0</v>
      </c>
      <c r="V381" s="101">
        <f t="shared" si="388"/>
        <v>0</v>
      </c>
      <c r="W381" s="101">
        <f t="shared" si="389"/>
        <v>0</v>
      </c>
      <c r="X381" s="101">
        <f t="shared" si="390"/>
        <v>0</v>
      </c>
      <c r="Y381" s="101">
        <f t="shared" si="391"/>
        <v>0</v>
      </c>
      <c r="Z381" s="101">
        <f t="shared" si="392"/>
        <v>0</v>
      </c>
      <c r="AA381" s="101">
        <f t="shared" si="393"/>
        <v>0</v>
      </c>
      <c r="AB381" s="101">
        <f t="shared" si="394"/>
        <v>0</v>
      </c>
      <c r="AC381" s="101">
        <f t="shared" si="395"/>
        <v>0</v>
      </c>
      <c r="AD381" s="101">
        <f t="shared" si="396"/>
        <v>0</v>
      </c>
      <c r="AE381" s="101"/>
      <c r="AF381" s="101">
        <f t="shared" si="397"/>
        <v>0</v>
      </c>
      <c r="AG381" s="101"/>
      <c r="AH381" s="101">
        <f t="shared" si="398"/>
        <v>0</v>
      </c>
      <c r="AI381" s="101"/>
      <c r="AJ381" s="101">
        <f t="shared" si="399"/>
        <v>0</v>
      </c>
      <c r="AK381" s="101">
        <f t="shared" si="400"/>
        <v>0</v>
      </c>
      <c r="AL381" s="98" t="str">
        <f t="shared" si="401"/>
        <v>ok</v>
      </c>
    </row>
    <row r="382" spans="1:38" x14ac:dyDescent="0.25">
      <c r="A382" s="97">
        <v>537</v>
      </c>
      <c r="B382" s="97" t="s">
        <v>1673</v>
      </c>
      <c r="C382" s="97" t="s">
        <v>1818</v>
      </c>
      <c r="D382" s="97" t="s">
        <v>736</v>
      </c>
      <c r="F382" s="101">
        <v>0</v>
      </c>
      <c r="H382" s="101">
        <f t="shared" si="376"/>
        <v>0</v>
      </c>
      <c r="I382" s="101">
        <f t="shared" si="377"/>
        <v>0</v>
      </c>
      <c r="J382" s="101">
        <f t="shared" si="378"/>
        <v>0</v>
      </c>
      <c r="K382" s="101">
        <f t="shared" si="379"/>
        <v>0</v>
      </c>
      <c r="L382" s="101">
        <f t="shared" si="380"/>
        <v>0</v>
      </c>
      <c r="M382" s="101">
        <f t="shared" si="381"/>
        <v>0</v>
      </c>
      <c r="N382" s="101"/>
      <c r="O382" s="101">
        <f t="shared" si="382"/>
        <v>0</v>
      </c>
      <c r="P382" s="101">
        <f t="shared" si="383"/>
        <v>0</v>
      </c>
      <c r="Q382" s="101">
        <f t="shared" si="384"/>
        <v>0</v>
      </c>
      <c r="R382" s="101"/>
      <c r="S382" s="101">
        <f t="shared" si="385"/>
        <v>0</v>
      </c>
      <c r="T382" s="101">
        <f t="shared" si="386"/>
        <v>0</v>
      </c>
      <c r="U382" s="101">
        <f t="shared" si="387"/>
        <v>0</v>
      </c>
      <c r="V382" s="101">
        <f t="shared" si="388"/>
        <v>0</v>
      </c>
      <c r="W382" s="101">
        <f t="shared" si="389"/>
        <v>0</v>
      </c>
      <c r="X382" s="101">
        <f t="shared" si="390"/>
        <v>0</v>
      </c>
      <c r="Y382" s="101">
        <f t="shared" si="391"/>
        <v>0</v>
      </c>
      <c r="Z382" s="101">
        <f t="shared" si="392"/>
        <v>0</v>
      </c>
      <c r="AA382" s="101">
        <f t="shared" si="393"/>
        <v>0</v>
      </c>
      <c r="AB382" s="101">
        <f t="shared" si="394"/>
        <v>0</v>
      </c>
      <c r="AC382" s="101">
        <f t="shared" si="395"/>
        <v>0</v>
      </c>
      <c r="AD382" s="101">
        <f t="shared" si="396"/>
        <v>0</v>
      </c>
      <c r="AE382" s="101"/>
      <c r="AF382" s="101">
        <f t="shared" si="397"/>
        <v>0</v>
      </c>
      <c r="AG382" s="101"/>
      <c r="AH382" s="101">
        <f t="shared" si="398"/>
        <v>0</v>
      </c>
      <c r="AI382" s="101"/>
      <c r="AJ382" s="101">
        <f t="shared" si="399"/>
        <v>0</v>
      </c>
      <c r="AK382" s="101">
        <f t="shared" si="400"/>
        <v>0</v>
      </c>
      <c r="AL382" s="98" t="str">
        <f t="shared" si="401"/>
        <v>ok</v>
      </c>
    </row>
    <row r="383" spans="1:38" x14ac:dyDescent="0.25">
      <c r="A383" s="111">
        <v>538</v>
      </c>
      <c r="B383" s="97" t="s">
        <v>1561</v>
      </c>
      <c r="C383" s="97" t="s">
        <v>1819</v>
      </c>
      <c r="D383" s="97" t="s">
        <v>736</v>
      </c>
      <c r="F383" s="101">
        <f>'Jurisdictional Study'!F1332</f>
        <v>0</v>
      </c>
      <c r="H383" s="101">
        <f t="shared" si="376"/>
        <v>0</v>
      </c>
      <c r="I383" s="101">
        <f t="shared" si="377"/>
        <v>0</v>
      </c>
      <c r="J383" s="101">
        <f t="shared" si="378"/>
        <v>0</v>
      </c>
      <c r="K383" s="101">
        <f t="shared" si="379"/>
        <v>0</v>
      </c>
      <c r="L383" s="101">
        <f t="shared" si="380"/>
        <v>0</v>
      </c>
      <c r="M383" s="101">
        <f t="shared" si="381"/>
        <v>0</v>
      </c>
      <c r="N383" s="101"/>
      <c r="O383" s="101">
        <f t="shared" si="382"/>
        <v>0</v>
      </c>
      <c r="P383" s="101">
        <f t="shared" si="383"/>
        <v>0</v>
      </c>
      <c r="Q383" s="101">
        <f t="shared" si="384"/>
        <v>0</v>
      </c>
      <c r="R383" s="101"/>
      <c r="S383" s="101">
        <f t="shared" si="385"/>
        <v>0</v>
      </c>
      <c r="T383" s="101">
        <f t="shared" si="386"/>
        <v>0</v>
      </c>
      <c r="U383" s="101">
        <f t="shared" si="387"/>
        <v>0</v>
      </c>
      <c r="V383" s="101">
        <f t="shared" si="388"/>
        <v>0</v>
      </c>
      <c r="W383" s="101">
        <f t="shared" si="389"/>
        <v>0</v>
      </c>
      <c r="X383" s="101">
        <f t="shared" si="390"/>
        <v>0</v>
      </c>
      <c r="Y383" s="101">
        <f t="shared" si="391"/>
        <v>0</v>
      </c>
      <c r="Z383" s="101">
        <f t="shared" si="392"/>
        <v>0</v>
      </c>
      <c r="AA383" s="101">
        <f t="shared" si="393"/>
        <v>0</v>
      </c>
      <c r="AB383" s="101">
        <f t="shared" si="394"/>
        <v>0</v>
      </c>
      <c r="AC383" s="101">
        <f t="shared" si="395"/>
        <v>0</v>
      </c>
      <c r="AD383" s="101">
        <f t="shared" si="396"/>
        <v>0</v>
      </c>
      <c r="AE383" s="101"/>
      <c r="AF383" s="101">
        <f t="shared" si="397"/>
        <v>0</v>
      </c>
      <c r="AG383" s="101"/>
      <c r="AH383" s="101">
        <f t="shared" si="398"/>
        <v>0</v>
      </c>
      <c r="AI383" s="101"/>
      <c r="AJ383" s="101">
        <f t="shared" si="399"/>
        <v>0</v>
      </c>
      <c r="AK383" s="101">
        <f t="shared" si="400"/>
        <v>0</v>
      </c>
      <c r="AL383" s="98" t="str">
        <f t="shared" si="401"/>
        <v>ok</v>
      </c>
    </row>
    <row r="384" spans="1:38" x14ac:dyDescent="0.25">
      <c r="A384" s="97">
        <v>539</v>
      </c>
      <c r="B384" s="97" t="s">
        <v>676</v>
      </c>
      <c r="C384" s="97" t="s">
        <v>1820</v>
      </c>
      <c r="D384" s="97" t="s">
        <v>736</v>
      </c>
      <c r="F384" s="101">
        <f>'Jurisdictional Study'!F1333</f>
        <v>0</v>
      </c>
      <c r="H384" s="101">
        <f t="shared" si="376"/>
        <v>0</v>
      </c>
      <c r="I384" s="101">
        <f t="shared" si="377"/>
        <v>0</v>
      </c>
      <c r="J384" s="101">
        <f t="shared" si="378"/>
        <v>0</v>
      </c>
      <c r="K384" s="101">
        <f t="shared" si="379"/>
        <v>0</v>
      </c>
      <c r="L384" s="101">
        <f t="shared" si="380"/>
        <v>0</v>
      </c>
      <c r="M384" s="101">
        <f t="shared" si="381"/>
        <v>0</v>
      </c>
      <c r="N384" s="101"/>
      <c r="O384" s="101">
        <f t="shared" si="382"/>
        <v>0</v>
      </c>
      <c r="P384" s="101">
        <f t="shared" si="383"/>
        <v>0</v>
      </c>
      <c r="Q384" s="101">
        <f t="shared" si="384"/>
        <v>0</v>
      </c>
      <c r="R384" s="101"/>
      <c r="S384" s="101">
        <f t="shared" si="385"/>
        <v>0</v>
      </c>
      <c r="T384" s="101">
        <f t="shared" si="386"/>
        <v>0</v>
      </c>
      <c r="U384" s="101">
        <f t="shared" si="387"/>
        <v>0</v>
      </c>
      <c r="V384" s="101">
        <f t="shared" si="388"/>
        <v>0</v>
      </c>
      <c r="W384" s="101">
        <f t="shared" si="389"/>
        <v>0</v>
      </c>
      <c r="X384" s="101">
        <f t="shared" si="390"/>
        <v>0</v>
      </c>
      <c r="Y384" s="101">
        <f t="shared" si="391"/>
        <v>0</v>
      </c>
      <c r="Z384" s="101">
        <f t="shared" si="392"/>
        <v>0</v>
      </c>
      <c r="AA384" s="101">
        <f t="shared" si="393"/>
        <v>0</v>
      </c>
      <c r="AB384" s="101">
        <f t="shared" si="394"/>
        <v>0</v>
      </c>
      <c r="AC384" s="101">
        <f t="shared" si="395"/>
        <v>0</v>
      </c>
      <c r="AD384" s="101">
        <f t="shared" si="396"/>
        <v>0</v>
      </c>
      <c r="AE384" s="101"/>
      <c r="AF384" s="101">
        <f t="shared" si="397"/>
        <v>0</v>
      </c>
      <c r="AG384" s="101"/>
      <c r="AH384" s="101">
        <f t="shared" si="398"/>
        <v>0</v>
      </c>
      <c r="AI384" s="101"/>
      <c r="AJ384" s="101">
        <f t="shared" si="399"/>
        <v>0</v>
      </c>
      <c r="AK384" s="101">
        <f t="shared" si="400"/>
        <v>0</v>
      </c>
      <c r="AL384" s="98" t="str">
        <f t="shared" si="401"/>
        <v>ok</v>
      </c>
    </row>
    <row r="385" spans="1:38" x14ac:dyDescent="0.25">
      <c r="A385" s="111">
        <v>540</v>
      </c>
      <c r="B385" s="97" t="s">
        <v>373</v>
      </c>
      <c r="C385" s="97" t="s">
        <v>1821</v>
      </c>
      <c r="D385" s="97" t="s">
        <v>736</v>
      </c>
      <c r="F385" s="101">
        <v>0</v>
      </c>
      <c r="H385" s="101">
        <f t="shared" si="376"/>
        <v>0</v>
      </c>
      <c r="I385" s="101">
        <f t="shared" si="377"/>
        <v>0</v>
      </c>
      <c r="J385" s="101">
        <f t="shared" si="378"/>
        <v>0</v>
      </c>
      <c r="K385" s="101">
        <f t="shared" si="379"/>
        <v>0</v>
      </c>
      <c r="L385" s="101">
        <f t="shared" si="380"/>
        <v>0</v>
      </c>
      <c r="M385" s="101">
        <f t="shared" si="381"/>
        <v>0</v>
      </c>
      <c r="N385" s="101"/>
      <c r="O385" s="101">
        <f t="shared" si="382"/>
        <v>0</v>
      </c>
      <c r="P385" s="101">
        <f t="shared" si="383"/>
        <v>0</v>
      </c>
      <c r="Q385" s="101">
        <f t="shared" si="384"/>
        <v>0</v>
      </c>
      <c r="R385" s="101"/>
      <c r="S385" s="101">
        <f t="shared" si="385"/>
        <v>0</v>
      </c>
      <c r="T385" s="101">
        <f t="shared" si="386"/>
        <v>0</v>
      </c>
      <c r="U385" s="101">
        <f t="shared" si="387"/>
        <v>0</v>
      </c>
      <c r="V385" s="101">
        <f t="shared" si="388"/>
        <v>0</v>
      </c>
      <c r="W385" s="101">
        <f t="shared" si="389"/>
        <v>0</v>
      </c>
      <c r="X385" s="101">
        <f t="shared" si="390"/>
        <v>0</v>
      </c>
      <c r="Y385" s="101">
        <f t="shared" si="391"/>
        <v>0</v>
      </c>
      <c r="Z385" s="101">
        <f t="shared" si="392"/>
        <v>0</v>
      </c>
      <c r="AA385" s="101">
        <f t="shared" si="393"/>
        <v>0</v>
      </c>
      <c r="AB385" s="101">
        <f t="shared" si="394"/>
        <v>0</v>
      </c>
      <c r="AC385" s="101">
        <f t="shared" si="395"/>
        <v>0</v>
      </c>
      <c r="AD385" s="101">
        <f t="shared" si="396"/>
        <v>0</v>
      </c>
      <c r="AE385" s="101"/>
      <c r="AF385" s="101">
        <f t="shared" si="397"/>
        <v>0</v>
      </c>
      <c r="AG385" s="101"/>
      <c r="AH385" s="101">
        <f t="shared" si="398"/>
        <v>0</v>
      </c>
      <c r="AI385" s="101"/>
      <c r="AJ385" s="101">
        <f t="shared" si="399"/>
        <v>0</v>
      </c>
      <c r="AK385" s="101">
        <f t="shared" si="400"/>
        <v>0</v>
      </c>
      <c r="AL385" s="98" t="str">
        <f t="shared" si="401"/>
        <v>ok</v>
      </c>
    </row>
    <row r="386" spans="1:38" x14ac:dyDescent="0.25">
      <c r="F386" s="100"/>
      <c r="Y386" s="97"/>
      <c r="AK386" s="101"/>
      <c r="AL386" s="98"/>
    </row>
    <row r="387" spans="1:38" x14ac:dyDescent="0.25">
      <c r="B387" s="97" t="s">
        <v>1670</v>
      </c>
      <c r="C387" s="97" t="s">
        <v>737</v>
      </c>
      <c r="F387" s="100">
        <f>SUM(F380:F386)</f>
        <v>0</v>
      </c>
      <c r="H387" s="100">
        <f t="shared" ref="H387:M387" si="402">SUM(H380:H386)</f>
        <v>0</v>
      </c>
      <c r="I387" s="100">
        <f t="shared" si="402"/>
        <v>0</v>
      </c>
      <c r="J387" s="100">
        <f t="shared" si="402"/>
        <v>0</v>
      </c>
      <c r="K387" s="100">
        <f t="shared" si="402"/>
        <v>0</v>
      </c>
      <c r="L387" s="100">
        <f t="shared" si="402"/>
        <v>0</v>
      </c>
      <c r="M387" s="100">
        <f t="shared" si="402"/>
        <v>0</v>
      </c>
      <c r="O387" s="100">
        <f>SUM(O380:O386)</f>
        <v>0</v>
      </c>
      <c r="P387" s="100">
        <f>SUM(P380:P386)</f>
        <v>0</v>
      </c>
      <c r="Q387" s="100">
        <f>SUM(Q380:Q386)</f>
        <v>0</v>
      </c>
      <c r="S387" s="100">
        <f t="shared" ref="S387:AD387" si="403">SUM(S380:S386)</f>
        <v>0</v>
      </c>
      <c r="T387" s="100">
        <f t="shared" si="403"/>
        <v>0</v>
      </c>
      <c r="U387" s="100">
        <f t="shared" si="403"/>
        <v>0</v>
      </c>
      <c r="V387" s="100">
        <f t="shared" si="403"/>
        <v>0</v>
      </c>
      <c r="W387" s="100">
        <f t="shared" si="403"/>
        <v>0</v>
      </c>
      <c r="X387" s="100">
        <f t="shared" si="403"/>
        <v>0</v>
      </c>
      <c r="Y387" s="100">
        <f t="shared" si="403"/>
        <v>0</v>
      </c>
      <c r="Z387" s="100">
        <f t="shared" si="403"/>
        <v>0</v>
      </c>
      <c r="AA387" s="100">
        <f t="shared" si="403"/>
        <v>0</v>
      </c>
      <c r="AB387" s="100">
        <f t="shared" si="403"/>
        <v>0</v>
      </c>
      <c r="AC387" s="100">
        <f t="shared" si="403"/>
        <v>0</v>
      </c>
      <c r="AD387" s="100">
        <f t="shared" si="403"/>
        <v>0</v>
      </c>
      <c r="AF387" s="100">
        <f>SUM(AF380:AF386)</f>
        <v>0</v>
      </c>
      <c r="AH387" s="100">
        <f>SUM(AH380:AH386)</f>
        <v>0</v>
      </c>
      <c r="AJ387" s="100">
        <f>SUM(AJ380:AJ386)</f>
        <v>0</v>
      </c>
      <c r="AK387" s="101">
        <f>SUM(H387:AJ387)</f>
        <v>0</v>
      </c>
      <c r="AL387" s="98" t="str">
        <f>IF(ABS(AK387-F387)&lt;1,"ok","err")</f>
        <v>ok</v>
      </c>
    </row>
    <row r="388" spans="1:38" x14ac:dyDescent="0.25">
      <c r="F388" s="100"/>
      <c r="Y388" s="97"/>
      <c r="AL388" s="98"/>
    </row>
    <row r="389" spans="1:38" x14ac:dyDescent="0.25">
      <c r="A389" s="24" t="s">
        <v>1668</v>
      </c>
      <c r="F389" s="100"/>
      <c r="Y389" s="97"/>
      <c r="AL389" s="98"/>
    </row>
    <row r="390" spans="1:38" x14ac:dyDescent="0.25">
      <c r="A390" s="112">
        <v>541</v>
      </c>
      <c r="B390" s="97" t="s">
        <v>587</v>
      </c>
      <c r="C390" s="97" t="s">
        <v>1822</v>
      </c>
      <c r="D390" s="97" t="s">
        <v>747</v>
      </c>
      <c r="F390" s="100">
        <f>'Jurisdictional Study'!F1334</f>
        <v>166691.70550431299</v>
      </c>
      <c r="H390" s="101">
        <f>IF(VLOOKUP($D390,$C$5:$AJ$644,6,)=0,0,((VLOOKUP($D390,$C$5:$AJ$644,6,)/VLOOKUP($D390,$C$5:$AJ$644,4,))*$F390))</f>
        <v>57266.348205374547</v>
      </c>
      <c r="I390" s="101">
        <f>IF(VLOOKUP($D390,$C$5:$AJ$644,7,)=0,0,((VLOOKUP($D390,$C$5:$AJ$644,7,)/VLOOKUP($D390,$C$5:$AJ$644,4,))*$F390))</f>
        <v>53983.712199230562</v>
      </c>
      <c r="J390" s="101">
        <f>IF(VLOOKUP($D390,$C$5:$AJ$644,8,)=0,0,((VLOOKUP($D390,$C$5:$AJ$644,8,)/VLOOKUP($D390,$C$5:$AJ$644,4,))*$F390))</f>
        <v>55441.645099707879</v>
      </c>
      <c r="K390" s="101">
        <f>IF(VLOOKUP($D390,$C$5:$AJ$644,9,)=0,0,((VLOOKUP($D390,$C$5:$AJ$644,9,)/VLOOKUP($D390,$C$5:$AJ$644,4,))*$F390))</f>
        <v>0</v>
      </c>
      <c r="L390" s="101">
        <f>IF(VLOOKUP($D390,$C$5:$AJ$644,10,)=0,0,((VLOOKUP($D390,$C$5:$AJ$644,10,)/VLOOKUP($D390,$C$5:$AJ$644,4,))*$F390))</f>
        <v>0</v>
      </c>
      <c r="M390" s="101">
        <f>IF(VLOOKUP($D390,$C$5:$AJ$644,11,)=0,0,((VLOOKUP($D390,$C$5:$AJ$644,11,)/VLOOKUP($D390,$C$5:$AJ$644,4,))*$F390))</f>
        <v>0</v>
      </c>
      <c r="N390" s="101"/>
      <c r="O390" s="101">
        <f>IF(VLOOKUP($D390,$C$5:$AJ$644,13,)=0,0,((VLOOKUP($D390,$C$5:$AJ$644,13,)/VLOOKUP($D390,$C$5:$AJ$644,4,))*$F390))</f>
        <v>0</v>
      </c>
      <c r="P390" s="101">
        <f>IF(VLOOKUP($D390,$C$5:$AJ$644,14,)=0,0,((VLOOKUP($D390,$C$5:$AJ$644,14,)/VLOOKUP($D390,$C$5:$AJ$644,4,))*$F390))</f>
        <v>0</v>
      </c>
      <c r="Q390" s="101">
        <f>IF(VLOOKUP($D390,$C$5:$AJ$644,15,)=0,0,((VLOOKUP($D390,$C$5:$AJ$644,15,)/VLOOKUP($D390,$C$5:$AJ$644,4,))*$F390))</f>
        <v>0</v>
      </c>
      <c r="R390" s="101"/>
      <c r="S390" s="101">
        <f>IF(VLOOKUP($D390,$C$5:$AJ$644,17,)=0,0,((VLOOKUP($D390,$C$5:$AJ$644,17,)/VLOOKUP($D390,$C$5:$AJ$644,4,))*$F390))</f>
        <v>0</v>
      </c>
      <c r="T390" s="101">
        <f>IF(VLOOKUP($D390,$C$5:$AJ$644,18,)=0,0,((VLOOKUP($D390,$C$5:$AJ$644,18,)/VLOOKUP($D390,$C$5:$AJ$644,4,))*$F390))</f>
        <v>0</v>
      </c>
      <c r="U390" s="101">
        <f>IF(VLOOKUP($D390,$C$5:$AJ$644,19,)=0,0,((VLOOKUP($D390,$C$5:$AJ$644,19,)/VLOOKUP($D390,$C$5:$AJ$644,4,))*$F390))</f>
        <v>0</v>
      </c>
      <c r="V390" s="101">
        <f>IF(VLOOKUP($D390,$C$5:$AJ$644,20,)=0,0,((VLOOKUP($D390,$C$5:$AJ$644,20,)/VLOOKUP($D390,$C$5:$AJ$644,4,))*$F390))</f>
        <v>0</v>
      </c>
      <c r="W390" s="101">
        <f>IF(VLOOKUP($D390,$C$5:$AJ$644,21,)=0,0,((VLOOKUP($D390,$C$5:$AJ$644,21,)/VLOOKUP($D390,$C$5:$AJ$644,4,))*$F390))</f>
        <v>0</v>
      </c>
      <c r="X390" s="101">
        <f>IF(VLOOKUP($D390,$C$5:$AJ$644,22,)=0,0,((VLOOKUP($D390,$C$5:$AJ$644,22,)/VLOOKUP($D390,$C$5:$AJ$644,4,))*$F390))</f>
        <v>0</v>
      </c>
      <c r="Y390" s="101">
        <f>IF(VLOOKUP($D390,$C$5:$AJ$644,23,)=0,0,((VLOOKUP($D390,$C$5:$AJ$644,23,)/VLOOKUP($D390,$C$5:$AJ$644,4,))*$F390))</f>
        <v>0</v>
      </c>
      <c r="Z390" s="101">
        <f>IF(VLOOKUP($D390,$C$5:$AJ$644,24,)=0,0,((VLOOKUP($D390,$C$5:$AJ$644,24,)/VLOOKUP($D390,$C$5:$AJ$644,4,))*$F390))</f>
        <v>0</v>
      </c>
      <c r="AA390" s="101">
        <f>IF(VLOOKUP($D390,$C$5:$AJ$644,25,)=0,0,((VLOOKUP($D390,$C$5:$AJ$644,25,)/VLOOKUP($D390,$C$5:$AJ$644,4,))*$F390))</f>
        <v>0</v>
      </c>
      <c r="AB390" s="101">
        <f>IF(VLOOKUP($D390,$C$5:$AJ$644,26,)=0,0,((VLOOKUP($D390,$C$5:$AJ$644,26,)/VLOOKUP($D390,$C$5:$AJ$644,4,))*$F390))</f>
        <v>0</v>
      </c>
      <c r="AC390" s="101">
        <f>IF(VLOOKUP($D390,$C$5:$AJ$644,27,)=0,0,((VLOOKUP($D390,$C$5:$AJ$644,27,)/VLOOKUP($D390,$C$5:$AJ$644,4,))*$F390))</f>
        <v>0</v>
      </c>
      <c r="AD390" s="101">
        <f>IF(VLOOKUP($D390,$C$5:$AJ$644,28,)=0,0,((VLOOKUP($D390,$C$5:$AJ$644,28,)/VLOOKUP($D390,$C$5:$AJ$644,4,))*$F390))</f>
        <v>0</v>
      </c>
      <c r="AE390" s="101"/>
      <c r="AF390" s="101">
        <f>IF(VLOOKUP($D390,$C$5:$AJ$644,30,)=0,0,((VLOOKUP($D390,$C$5:$AJ$644,30,)/VLOOKUP($D390,$C$5:$AJ$644,4,))*$F390))</f>
        <v>0</v>
      </c>
      <c r="AG390" s="101"/>
      <c r="AH390" s="101">
        <f>IF(VLOOKUP($D390,$C$5:$AJ$644,32,)=0,0,((VLOOKUP($D390,$C$5:$AJ$644,32,)/VLOOKUP($D390,$C$5:$AJ$644,4,))*$F390))</f>
        <v>0</v>
      </c>
      <c r="AI390" s="101"/>
      <c r="AJ390" s="101">
        <f>IF(VLOOKUP($D390,$C$5:$AJ$644,34,)=0,0,((VLOOKUP($D390,$C$5:$AJ$644,34,)/VLOOKUP($D390,$C$5:$AJ$644,4,))*$F390))</f>
        <v>0</v>
      </c>
      <c r="AK390" s="101">
        <f>SUM(H390:AJ390)</f>
        <v>166691.70550431299</v>
      </c>
      <c r="AL390" s="98" t="str">
        <f>IF(ABS(AK390-F390)&lt;1,"ok","err")</f>
        <v>ok</v>
      </c>
    </row>
    <row r="391" spans="1:38" x14ac:dyDescent="0.25">
      <c r="A391" s="112">
        <v>542</v>
      </c>
      <c r="B391" s="97" t="s">
        <v>586</v>
      </c>
      <c r="C391" s="97" t="s">
        <v>1823</v>
      </c>
      <c r="D391" s="97" t="s">
        <v>736</v>
      </c>
      <c r="F391" s="101">
        <f>'Jurisdictional Study'!F1335</f>
        <v>47184.925882498494</v>
      </c>
      <c r="H391" s="101">
        <f>IF(VLOOKUP($D391,$C$5:$AJ$644,6,)=0,0,((VLOOKUP($D391,$C$5:$AJ$644,6,)/VLOOKUP($D391,$C$5:$AJ$644,4,))*$F391))</f>
        <v>16210.215064132475</v>
      </c>
      <c r="I391" s="101">
        <f>IF(VLOOKUP($D391,$C$5:$AJ$644,7,)=0,0,((VLOOKUP($D391,$C$5:$AJ$644,7,)/VLOOKUP($D391,$C$5:$AJ$644,4,))*$F391))</f>
        <v>15281.009041670144</v>
      </c>
      <c r="J391" s="101">
        <f>IF(VLOOKUP($D391,$C$5:$AJ$644,8,)=0,0,((VLOOKUP($D391,$C$5:$AJ$644,8,)/VLOOKUP($D391,$C$5:$AJ$644,4,))*$F391))</f>
        <v>15693.701776695874</v>
      </c>
      <c r="K391" s="101">
        <f>IF(VLOOKUP($D391,$C$5:$AJ$644,9,)=0,0,((VLOOKUP($D391,$C$5:$AJ$644,9,)/VLOOKUP($D391,$C$5:$AJ$644,4,))*$F391))</f>
        <v>0</v>
      </c>
      <c r="L391" s="101">
        <f>IF(VLOOKUP($D391,$C$5:$AJ$644,10,)=0,0,((VLOOKUP($D391,$C$5:$AJ$644,10,)/VLOOKUP($D391,$C$5:$AJ$644,4,))*$F391))</f>
        <v>0</v>
      </c>
      <c r="M391" s="101">
        <f>IF(VLOOKUP($D391,$C$5:$AJ$644,11,)=0,0,((VLOOKUP($D391,$C$5:$AJ$644,11,)/VLOOKUP($D391,$C$5:$AJ$644,4,))*$F391))</f>
        <v>0</v>
      </c>
      <c r="N391" s="101"/>
      <c r="O391" s="101">
        <f>IF(VLOOKUP($D391,$C$5:$AJ$644,13,)=0,0,((VLOOKUP($D391,$C$5:$AJ$644,13,)/VLOOKUP($D391,$C$5:$AJ$644,4,))*$F391))</f>
        <v>0</v>
      </c>
      <c r="P391" s="101">
        <f>IF(VLOOKUP($D391,$C$5:$AJ$644,14,)=0,0,((VLOOKUP($D391,$C$5:$AJ$644,14,)/VLOOKUP($D391,$C$5:$AJ$644,4,))*$F391))</f>
        <v>0</v>
      </c>
      <c r="Q391" s="101">
        <f>IF(VLOOKUP($D391,$C$5:$AJ$644,15,)=0,0,((VLOOKUP($D391,$C$5:$AJ$644,15,)/VLOOKUP($D391,$C$5:$AJ$644,4,))*$F391))</f>
        <v>0</v>
      </c>
      <c r="R391" s="101"/>
      <c r="S391" s="101">
        <f>IF(VLOOKUP($D391,$C$5:$AJ$644,17,)=0,0,((VLOOKUP($D391,$C$5:$AJ$644,17,)/VLOOKUP($D391,$C$5:$AJ$644,4,))*$F391))</f>
        <v>0</v>
      </c>
      <c r="T391" s="101">
        <f>IF(VLOOKUP($D391,$C$5:$AJ$644,18,)=0,0,((VLOOKUP($D391,$C$5:$AJ$644,18,)/VLOOKUP($D391,$C$5:$AJ$644,4,))*$F391))</f>
        <v>0</v>
      </c>
      <c r="U391" s="101">
        <f>IF(VLOOKUP($D391,$C$5:$AJ$644,19,)=0,0,((VLOOKUP($D391,$C$5:$AJ$644,19,)/VLOOKUP($D391,$C$5:$AJ$644,4,))*$F391))</f>
        <v>0</v>
      </c>
      <c r="V391" s="101">
        <f>IF(VLOOKUP($D391,$C$5:$AJ$644,20,)=0,0,((VLOOKUP($D391,$C$5:$AJ$644,20,)/VLOOKUP($D391,$C$5:$AJ$644,4,))*$F391))</f>
        <v>0</v>
      </c>
      <c r="W391" s="101">
        <f>IF(VLOOKUP($D391,$C$5:$AJ$644,21,)=0,0,((VLOOKUP($D391,$C$5:$AJ$644,21,)/VLOOKUP($D391,$C$5:$AJ$644,4,))*$F391))</f>
        <v>0</v>
      </c>
      <c r="X391" s="101">
        <f>IF(VLOOKUP($D391,$C$5:$AJ$644,22,)=0,0,((VLOOKUP($D391,$C$5:$AJ$644,22,)/VLOOKUP($D391,$C$5:$AJ$644,4,))*$F391))</f>
        <v>0</v>
      </c>
      <c r="Y391" s="101">
        <f>IF(VLOOKUP($D391,$C$5:$AJ$644,23,)=0,0,((VLOOKUP($D391,$C$5:$AJ$644,23,)/VLOOKUP($D391,$C$5:$AJ$644,4,))*$F391))</f>
        <v>0</v>
      </c>
      <c r="Z391" s="101">
        <f>IF(VLOOKUP($D391,$C$5:$AJ$644,24,)=0,0,((VLOOKUP($D391,$C$5:$AJ$644,24,)/VLOOKUP($D391,$C$5:$AJ$644,4,))*$F391))</f>
        <v>0</v>
      </c>
      <c r="AA391" s="101">
        <f>IF(VLOOKUP($D391,$C$5:$AJ$644,25,)=0,0,((VLOOKUP($D391,$C$5:$AJ$644,25,)/VLOOKUP($D391,$C$5:$AJ$644,4,))*$F391))</f>
        <v>0</v>
      </c>
      <c r="AB391" s="101">
        <f>IF(VLOOKUP($D391,$C$5:$AJ$644,26,)=0,0,((VLOOKUP($D391,$C$5:$AJ$644,26,)/VLOOKUP($D391,$C$5:$AJ$644,4,))*$F391))</f>
        <v>0</v>
      </c>
      <c r="AC391" s="101">
        <f>IF(VLOOKUP($D391,$C$5:$AJ$644,27,)=0,0,((VLOOKUP($D391,$C$5:$AJ$644,27,)/VLOOKUP($D391,$C$5:$AJ$644,4,))*$F391))</f>
        <v>0</v>
      </c>
      <c r="AD391" s="101">
        <f>IF(VLOOKUP($D391,$C$5:$AJ$644,28,)=0,0,((VLOOKUP($D391,$C$5:$AJ$644,28,)/VLOOKUP($D391,$C$5:$AJ$644,4,))*$F391))</f>
        <v>0</v>
      </c>
      <c r="AE391" s="101"/>
      <c r="AF391" s="101">
        <f>IF(VLOOKUP($D391,$C$5:$AJ$644,30,)=0,0,((VLOOKUP($D391,$C$5:$AJ$644,30,)/VLOOKUP($D391,$C$5:$AJ$644,4,))*$F391))</f>
        <v>0</v>
      </c>
      <c r="AG391" s="101"/>
      <c r="AH391" s="101">
        <f>IF(VLOOKUP($D391,$C$5:$AJ$644,32,)=0,0,((VLOOKUP($D391,$C$5:$AJ$644,32,)/VLOOKUP($D391,$C$5:$AJ$644,4,))*$F391))</f>
        <v>0</v>
      </c>
      <c r="AI391" s="101"/>
      <c r="AJ391" s="101">
        <f>IF(VLOOKUP($D391,$C$5:$AJ$644,34,)=0,0,((VLOOKUP($D391,$C$5:$AJ$644,34,)/VLOOKUP($D391,$C$5:$AJ$644,4,))*$F391))</f>
        <v>0</v>
      </c>
      <c r="AK391" s="101">
        <f>SUM(H391:AJ391)</f>
        <v>47184.925882498494</v>
      </c>
      <c r="AL391" s="98" t="str">
        <f>IF(ABS(AK391-F391)&lt;1,"ok","err")</f>
        <v>ok</v>
      </c>
    </row>
    <row r="392" spans="1:38" x14ac:dyDescent="0.25">
      <c r="A392" s="112">
        <v>543</v>
      </c>
      <c r="B392" s="97" t="s">
        <v>1669</v>
      </c>
      <c r="C392" s="97" t="s">
        <v>1824</v>
      </c>
      <c r="D392" s="97" t="s">
        <v>736</v>
      </c>
      <c r="F392" s="101">
        <f>'Jurisdictional Study'!F1336</f>
        <v>0</v>
      </c>
      <c r="H392" s="101">
        <f>IF(VLOOKUP($D392,$C$5:$AJ$644,6,)=0,0,((VLOOKUP($D392,$C$5:$AJ$644,6,)/VLOOKUP($D392,$C$5:$AJ$644,4,))*$F392))</f>
        <v>0</v>
      </c>
      <c r="I392" s="101">
        <f>IF(VLOOKUP($D392,$C$5:$AJ$644,7,)=0,0,((VLOOKUP($D392,$C$5:$AJ$644,7,)/VLOOKUP($D392,$C$5:$AJ$644,4,))*$F392))</f>
        <v>0</v>
      </c>
      <c r="J392" s="101">
        <f>IF(VLOOKUP($D392,$C$5:$AJ$644,8,)=0,0,((VLOOKUP($D392,$C$5:$AJ$644,8,)/VLOOKUP($D392,$C$5:$AJ$644,4,))*$F392))</f>
        <v>0</v>
      </c>
      <c r="K392" s="101">
        <f>IF(VLOOKUP($D392,$C$5:$AJ$644,9,)=0,0,((VLOOKUP($D392,$C$5:$AJ$644,9,)/VLOOKUP($D392,$C$5:$AJ$644,4,))*$F392))</f>
        <v>0</v>
      </c>
      <c r="L392" s="101">
        <f>IF(VLOOKUP($D392,$C$5:$AJ$644,10,)=0,0,((VLOOKUP($D392,$C$5:$AJ$644,10,)/VLOOKUP($D392,$C$5:$AJ$644,4,))*$F392))</f>
        <v>0</v>
      </c>
      <c r="M392" s="101">
        <f>IF(VLOOKUP($D392,$C$5:$AJ$644,11,)=0,0,((VLOOKUP($D392,$C$5:$AJ$644,11,)/VLOOKUP($D392,$C$5:$AJ$644,4,))*$F392))</f>
        <v>0</v>
      </c>
      <c r="N392" s="101"/>
      <c r="O392" s="101">
        <f>IF(VLOOKUP($D392,$C$5:$AJ$644,13,)=0,0,((VLOOKUP($D392,$C$5:$AJ$644,13,)/VLOOKUP($D392,$C$5:$AJ$644,4,))*$F392))</f>
        <v>0</v>
      </c>
      <c r="P392" s="101">
        <f>IF(VLOOKUP($D392,$C$5:$AJ$644,14,)=0,0,((VLOOKUP($D392,$C$5:$AJ$644,14,)/VLOOKUP($D392,$C$5:$AJ$644,4,))*$F392))</f>
        <v>0</v>
      </c>
      <c r="Q392" s="101">
        <f>IF(VLOOKUP($D392,$C$5:$AJ$644,15,)=0,0,((VLOOKUP($D392,$C$5:$AJ$644,15,)/VLOOKUP($D392,$C$5:$AJ$644,4,))*$F392))</f>
        <v>0</v>
      </c>
      <c r="R392" s="101"/>
      <c r="S392" s="101">
        <f>IF(VLOOKUP($D392,$C$5:$AJ$644,17,)=0,0,((VLOOKUP($D392,$C$5:$AJ$644,17,)/VLOOKUP($D392,$C$5:$AJ$644,4,))*$F392))</f>
        <v>0</v>
      </c>
      <c r="T392" s="101">
        <f>IF(VLOOKUP($D392,$C$5:$AJ$644,18,)=0,0,((VLOOKUP($D392,$C$5:$AJ$644,18,)/VLOOKUP($D392,$C$5:$AJ$644,4,))*$F392))</f>
        <v>0</v>
      </c>
      <c r="U392" s="101">
        <f>IF(VLOOKUP($D392,$C$5:$AJ$644,19,)=0,0,((VLOOKUP($D392,$C$5:$AJ$644,19,)/VLOOKUP($D392,$C$5:$AJ$644,4,))*$F392))</f>
        <v>0</v>
      </c>
      <c r="V392" s="101">
        <f>IF(VLOOKUP($D392,$C$5:$AJ$644,20,)=0,0,((VLOOKUP($D392,$C$5:$AJ$644,20,)/VLOOKUP($D392,$C$5:$AJ$644,4,))*$F392))</f>
        <v>0</v>
      </c>
      <c r="W392" s="101">
        <f>IF(VLOOKUP($D392,$C$5:$AJ$644,21,)=0,0,((VLOOKUP($D392,$C$5:$AJ$644,21,)/VLOOKUP($D392,$C$5:$AJ$644,4,))*$F392))</f>
        <v>0</v>
      </c>
      <c r="X392" s="101">
        <f>IF(VLOOKUP($D392,$C$5:$AJ$644,22,)=0,0,((VLOOKUP($D392,$C$5:$AJ$644,22,)/VLOOKUP($D392,$C$5:$AJ$644,4,))*$F392))</f>
        <v>0</v>
      </c>
      <c r="Y392" s="101">
        <f>IF(VLOOKUP($D392,$C$5:$AJ$644,23,)=0,0,((VLOOKUP($D392,$C$5:$AJ$644,23,)/VLOOKUP($D392,$C$5:$AJ$644,4,))*$F392))</f>
        <v>0</v>
      </c>
      <c r="Z392" s="101">
        <f>IF(VLOOKUP($D392,$C$5:$AJ$644,24,)=0,0,((VLOOKUP($D392,$C$5:$AJ$644,24,)/VLOOKUP($D392,$C$5:$AJ$644,4,))*$F392))</f>
        <v>0</v>
      </c>
      <c r="AA392" s="101">
        <f>IF(VLOOKUP($D392,$C$5:$AJ$644,25,)=0,0,((VLOOKUP($D392,$C$5:$AJ$644,25,)/VLOOKUP($D392,$C$5:$AJ$644,4,))*$F392))</f>
        <v>0</v>
      </c>
      <c r="AB392" s="101">
        <f>IF(VLOOKUP($D392,$C$5:$AJ$644,26,)=0,0,((VLOOKUP($D392,$C$5:$AJ$644,26,)/VLOOKUP($D392,$C$5:$AJ$644,4,))*$F392))</f>
        <v>0</v>
      </c>
      <c r="AC392" s="101">
        <f>IF(VLOOKUP($D392,$C$5:$AJ$644,27,)=0,0,((VLOOKUP($D392,$C$5:$AJ$644,27,)/VLOOKUP($D392,$C$5:$AJ$644,4,))*$F392))</f>
        <v>0</v>
      </c>
      <c r="AD392" s="101">
        <f>IF(VLOOKUP($D392,$C$5:$AJ$644,28,)=0,0,((VLOOKUP($D392,$C$5:$AJ$644,28,)/VLOOKUP($D392,$C$5:$AJ$644,4,))*$F392))</f>
        <v>0</v>
      </c>
      <c r="AE392" s="101"/>
      <c r="AF392" s="101">
        <f>IF(VLOOKUP($D392,$C$5:$AJ$644,30,)=0,0,((VLOOKUP($D392,$C$5:$AJ$644,30,)/VLOOKUP($D392,$C$5:$AJ$644,4,))*$F392))</f>
        <v>0</v>
      </c>
      <c r="AG392" s="101"/>
      <c r="AH392" s="101">
        <f>IF(VLOOKUP($D392,$C$5:$AJ$644,32,)=0,0,((VLOOKUP($D392,$C$5:$AJ$644,32,)/VLOOKUP($D392,$C$5:$AJ$644,4,))*$F392))</f>
        <v>0</v>
      </c>
      <c r="AI392" s="101"/>
      <c r="AJ392" s="101">
        <f>IF(VLOOKUP($D392,$C$5:$AJ$644,34,)=0,0,((VLOOKUP($D392,$C$5:$AJ$644,34,)/VLOOKUP($D392,$C$5:$AJ$644,4,))*$F392))</f>
        <v>0</v>
      </c>
      <c r="AK392" s="101">
        <f>SUM(H392:AJ392)</f>
        <v>0</v>
      </c>
      <c r="AL392" s="98" t="str">
        <f>IF(ABS(AK392-F392)&lt;1,"ok","err")</f>
        <v>ok</v>
      </c>
    </row>
    <row r="393" spans="1:38" x14ac:dyDescent="0.25">
      <c r="A393" s="97">
        <v>544</v>
      </c>
      <c r="B393" s="97" t="s">
        <v>1571</v>
      </c>
      <c r="C393" s="97" t="s">
        <v>1825</v>
      </c>
      <c r="D393" s="97" t="s">
        <v>110</v>
      </c>
      <c r="F393" s="101">
        <f>'Jurisdictional Study'!F1337</f>
        <v>0</v>
      </c>
      <c r="H393" s="101">
        <f>IF(VLOOKUP($D393,$C$5:$AJ$644,6,)=0,0,((VLOOKUP($D393,$C$5:$AJ$644,6,)/VLOOKUP($D393,$C$5:$AJ$644,4,))*$F393))</f>
        <v>0</v>
      </c>
      <c r="I393" s="101">
        <f>IF(VLOOKUP($D393,$C$5:$AJ$644,7,)=0,0,((VLOOKUP($D393,$C$5:$AJ$644,7,)/VLOOKUP($D393,$C$5:$AJ$644,4,))*$F393))</f>
        <v>0</v>
      </c>
      <c r="J393" s="101">
        <f>IF(VLOOKUP($D393,$C$5:$AJ$644,8,)=0,0,((VLOOKUP($D393,$C$5:$AJ$644,8,)/VLOOKUP($D393,$C$5:$AJ$644,4,))*$F393))</f>
        <v>0</v>
      </c>
      <c r="K393" s="101">
        <f>IF(VLOOKUP($D393,$C$5:$AJ$644,9,)=0,0,((VLOOKUP($D393,$C$5:$AJ$644,9,)/VLOOKUP($D393,$C$5:$AJ$644,4,))*$F393))</f>
        <v>0</v>
      </c>
      <c r="L393" s="101">
        <f>IF(VLOOKUP($D393,$C$5:$AJ$644,10,)=0,0,((VLOOKUP($D393,$C$5:$AJ$644,10,)/VLOOKUP($D393,$C$5:$AJ$644,4,))*$F393))</f>
        <v>0</v>
      </c>
      <c r="M393" s="101">
        <f>IF(VLOOKUP($D393,$C$5:$AJ$644,11,)=0,0,((VLOOKUP($D393,$C$5:$AJ$644,11,)/VLOOKUP($D393,$C$5:$AJ$644,4,))*$F393))</f>
        <v>0</v>
      </c>
      <c r="N393" s="101"/>
      <c r="O393" s="101">
        <f>IF(VLOOKUP($D393,$C$5:$AJ$644,13,)=0,0,((VLOOKUP($D393,$C$5:$AJ$644,13,)/VLOOKUP($D393,$C$5:$AJ$644,4,))*$F393))</f>
        <v>0</v>
      </c>
      <c r="P393" s="101">
        <f>IF(VLOOKUP($D393,$C$5:$AJ$644,14,)=0,0,((VLOOKUP($D393,$C$5:$AJ$644,14,)/VLOOKUP($D393,$C$5:$AJ$644,4,))*$F393))</f>
        <v>0</v>
      </c>
      <c r="Q393" s="101">
        <f>IF(VLOOKUP($D393,$C$5:$AJ$644,15,)=0,0,((VLOOKUP($D393,$C$5:$AJ$644,15,)/VLOOKUP($D393,$C$5:$AJ$644,4,))*$F393))</f>
        <v>0</v>
      </c>
      <c r="R393" s="101"/>
      <c r="S393" s="101">
        <f>IF(VLOOKUP($D393,$C$5:$AJ$644,17,)=0,0,((VLOOKUP($D393,$C$5:$AJ$644,17,)/VLOOKUP($D393,$C$5:$AJ$644,4,))*$F393))</f>
        <v>0</v>
      </c>
      <c r="T393" s="101">
        <f>IF(VLOOKUP($D393,$C$5:$AJ$644,18,)=0,0,((VLOOKUP($D393,$C$5:$AJ$644,18,)/VLOOKUP($D393,$C$5:$AJ$644,4,))*$F393))</f>
        <v>0</v>
      </c>
      <c r="U393" s="101">
        <f>IF(VLOOKUP($D393,$C$5:$AJ$644,19,)=0,0,((VLOOKUP($D393,$C$5:$AJ$644,19,)/VLOOKUP($D393,$C$5:$AJ$644,4,))*$F393))</f>
        <v>0</v>
      </c>
      <c r="V393" s="101">
        <f>IF(VLOOKUP($D393,$C$5:$AJ$644,20,)=0,0,((VLOOKUP($D393,$C$5:$AJ$644,20,)/VLOOKUP($D393,$C$5:$AJ$644,4,))*$F393))</f>
        <v>0</v>
      </c>
      <c r="W393" s="101">
        <f>IF(VLOOKUP($D393,$C$5:$AJ$644,21,)=0,0,((VLOOKUP($D393,$C$5:$AJ$644,21,)/VLOOKUP($D393,$C$5:$AJ$644,4,))*$F393))</f>
        <v>0</v>
      </c>
      <c r="X393" s="101">
        <f>IF(VLOOKUP($D393,$C$5:$AJ$644,22,)=0,0,((VLOOKUP($D393,$C$5:$AJ$644,22,)/VLOOKUP($D393,$C$5:$AJ$644,4,))*$F393))</f>
        <v>0</v>
      </c>
      <c r="Y393" s="101">
        <f>IF(VLOOKUP($D393,$C$5:$AJ$644,23,)=0,0,((VLOOKUP($D393,$C$5:$AJ$644,23,)/VLOOKUP($D393,$C$5:$AJ$644,4,))*$F393))</f>
        <v>0</v>
      </c>
      <c r="Z393" s="101">
        <f>IF(VLOOKUP($D393,$C$5:$AJ$644,24,)=0,0,((VLOOKUP($D393,$C$5:$AJ$644,24,)/VLOOKUP($D393,$C$5:$AJ$644,4,))*$F393))</f>
        <v>0</v>
      </c>
      <c r="AA393" s="101">
        <f>IF(VLOOKUP($D393,$C$5:$AJ$644,25,)=0,0,((VLOOKUP($D393,$C$5:$AJ$644,25,)/VLOOKUP($D393,$C$5:$AJ$644,4,))*$F393))</f>
        <v>0</v>
      </c>
      <c r="AB393" s="101">
        <f>IF(VLOOKUP($D393,$C$5:$AJ$644,26,)=0,0,((VLOOKUP($D393,$C$5:$AJ$644,26,)/VLOOKUP($D393,$C$5:$AJ$644,4,))*$F393))</f>
        <v>0</v>
      </c>
      <c r="AC393" s="101">
        <f>IF(VLOOKUP($D393,$C$5:$AJ$644,27,)=0,0,((VLOOKUP($D393,$C$5:$AJ$644,27,)/VLOOKUP($D393,$C$5:$AJ$644,4,))*$F393))</f>
        <v>0</v>
      </c>
      <c r="AD393" s="101">
        <f>IF(VLOOKUP($D393,$C$5:$AJ$644,28,)=0,0,((VLOOKUP($D393,$C$5:$AJ$644,28,)/VLOOKUP($D393,$C$5:$AJ$644,4,))*$F393))</f>
        <v>0</v>
      </c>
      <c r="AE393" s="101"/>
      <c r="AF393" s="101">
        <f>IF(VLOOKUP($D393,$C$5:$AJ$644,30,)=0,0,((VLOOKUP($D393,$C$5:$AJ$644,30,)/VLOOKUP($D393,$C$5:$AJ$644,4,))*$F393))</f>
        <v>0</v>
      </c>
      <c r="AG393" s="101"/>
      <c r="AH393" s="101">
        <f>IF(VLOOKUP($D393,$C$5:$AJ$644,32,)=0,0,((VLOOKUP($D393,$C$5:$AJ$644,32,)/VLOOKUP($D393,$C$5:$AJ$644,4,))*$F393))</f>
        <v>0</v>
      </c>
      <c r="AI393" s="101"/>
      <c r="AJ393" s="101">
        <f>IF(VLOOKUP($D393,$C$5:$AJ$644,34,)=0,0,((VLOOKUP($D393,$C$5:$AJ$644,34,)/VLOOKUP($D393,$C$5:$AJ$644,4,))*$F393))</f>
        <v>0</v>
      </c>
      <c r="AK393" s="101">
        <f>SUM(H393:AJ393)</f>
        <v>0</v>
      </c>
      <c r="AL393" s="98" t="str">
        <f>IF(ABS(AK393-F393)&lt;1,"ok","err")</f>
        <v>ok</v>
      </c>
    </row>
    <row r="394" spans="1:38" x14ac:dyDescent="0.25">
      <c r="A394" s="97">
        <v>545</v>
      </c>
      <c r="B394" s="97" t="s">
        <v>1675</v>
      </c>
      <c r="C394" s="97" t="s">
        <v>1826</v>
      </c>
      <c r="D394" s="97" t="s">
        <v>110</v>
      </c>
      <c r="F394" s="101">
        <f>'Jurisdictional Study'!F1338</f>
        <v>0</v>
      </c>
      <c r="H394" s="101">
        <f>IF(VLOOKUP($D394,$C$5:$AJ$644,6,)=0,0,((VLOOKUP($D394,$C$5:$AJ$644,6,)/VLOOKUP($D394,$C$5:$AJ$644,4,))*$F394))</f>
        <v>0</v>
      </c>
      <c r="I394" s="101">
        <f>IF(VLOOKUP($D394,$C$5:$AJ$644,7,)=0,0,((VLOOKUP($D394,$C$5:$AJ$644,7,)/VLOOKUP($D394,$C$5:$AJ$644,4,))*$F394))</f>
        <v>0</v>
      </c>
      <c r="J394" s="101">
        <f>IF(VLOOKUP($D394,$C$5:$AJ$644,8,)=0,0,((VLOOKUP($D394,$C$5:$AJ$644,8,)/VLOOKUP($D394,$C$5:$AJ$644,4,))*$F394))</f>
        <v>0</v>
      </c>
      <c r="K394" s="101">
        <f>IF(VLOOKUP($D394,$C$5:$AJ$644,9,)=0,0,((VLOOKUP($D394,$C$5:$AJ$644,9,)/VLOOKUP($D394,$C$5:$AJ$644,4,))*$F394))</f>
        <v>0</v>
      </c>
      <c r="L394" s="101">
        <f>IF(VLOOKUP($D394,$C$5:$AJ$644,10,)=0,0,((VLOOKUP($D394,$C$5:$AJ$644,10,)/VLOOKUP($D394,$C$5:$AJ$644,4,))*$F394))</f>
        <v>0</v>
      </c>
      <c r="M394" s="101">
        <f>IF(VLOOKUP($D394,$C$5:$AJ$644,11,)=0,0,((VLOOKUP($D394,$C$5:$AJ$644,11,)/VLOOKUP($D394,$C$5:$AJ$644,4,))*$F394))</f>
        <v>0</v>
      </c>
      <c r="N394" s="101"/>
      <c r="O394" s="101">
        <f>IF(VLOOKUP($D394,$C$5:$AJ$644,13,)=0,0,((VLOOKUP($D394,$C$5:$AJ$644,13,)/VLOOKUP($D394,$C$5:$AJ$644,4,))*$F394))</f>
        <v>0</v>
      </c>
      <c r="P394" s="101">
        <f>IF(VLOOKUP($D394,$C$5:$AJ$644,14,)=0,0,((VLOOKUP($D394,$C$5:$AJ$644,14,)/VLOOKUP($D394,$C$5:$AJ$644,4,))*$F394))</f>
        <v>0</v>
      </c>
      <c r="Q394" s="101">
        <f>IF(VLOOKUP($D394,$C$5:$AJ$644,15,)=0,0,((VLOOKUP($D394,$C$5:$AJ$644,15,)/VLOOKUP($D394,$C$5:$AJ$644,4,))*$F394))</f>
        <v>0</v>
      </c>
      <c r="R394" s="101"/>
      <c r="S394" s="101">
        <f>IF(VLOOKUP($D394,$C$5:$AJ$644,17,)=0,0,((VLOOKUP($D394,$C$5:$AJ$644,17,)/VLOOKUP($D394,$C$5:$AJ$644,4,))*$F394))</f>
        <v>0</v>
      </c>
      <c r="T394" s="101">
        <f>IF(VLOOKUP($D394,$C$5:$AJ$644,18,)=0,0,((VLOOKUP($D394,$C$5:$AJ$644,18,)/VLOOKUP($D394,$C$5:$AJ$644,4,))*$F394))</f>
        <v>0</v>
      </c>
      <c r="U394" s="101">
        <f>IF(VLOOKUP($D394,$C$5:$AJ$644,19,)=0,0,((VLOOKUP($D394,$C$5:$AJ$644,19,)/VLOOKUP($D394,$C$5:$AJ$644,4,))*$F394))</f>
        <v>0</v>
      </c>
      <c r="V394" s="101">
        <f>IF(VLOOKUP($D394,$C$5:$AJ$644,20,)=0,0,((VLOOKUP($D394,$C$5:$AJ$644,20,)/VLOOKUP($D394,$C$5:$AJ$644,4,))*$F394))</f>
        <v>0</v>
      </c>
      <c r="W394" s="101">
        <f>IF(VLOOKUP($D394,$C$5:$AJ$644,21,)=0,0,((VLOOKUP($D394,$C$5:$AJ$644,21,)/VLOOKUP($D394,$C$5:$AJ$644,4,))*$F394))</f>
        <v>0</v>
      </c>
      <c r="X394" s="101">
        <f>IF(VLOOKUP($D394,$C$5:$AJ$644,22,)=0,0,((VLOOKUP($D394,$C$5:$AJ$644,22,)/VLOOKUP($D394,$C$5:$AJ$644,4,))*$F394))</f>
        <v>0</v>
      </c>
      <c r="Y394" s="101">
        <f>IF(VLOOKUP($D394,$C$5:$AJ$644,23,)=0,0,((VLOOKUP($D394,$C$5:$AJ$644,23,)/VLOOKUP($D394,$C$5:$AJ$644,4,))*$F394))</f>
        <v>0</v>
      </c>
      <c r="Z394" s="101">
        <f>IF(VLOOKUP($D394,$C$5:$AJ$644,24,)=0,0,((VLOOKUP($D394,$C$5:$AJ$644,24,)/VLOOKUP($D394,$C$5:$AJ$644,4,))*$F394))</f>
        <v>0</v>
      </c>
      <c r="AA394" s="101">
        <f>IF(VLOOKUP($D394,$C$5:$AJ$644,25,)=0,0,((VLOOKUP($D394,$C$5:$AJ$644,25,)/VLOOKUP($D394,$C$5:$AJ$644,4,))*$F394))</f>
        <v>0</v>
      </c>
      <c r="AB394" s="101">
        <f>IF(VLOOKUP($D394,$C$5:$AJ$644,26,)=0,0,((VLOOKUP($D394,$C$5:$AJ$644,26,)/VLOOKUP($D394,$C$5:$AJ$644,4,))*$F394))</f>
        <v>0</v>
      </c>
      <c r="AC394" s="101">
        <f>IF(VLOOKUP($D394,$C$5:$AJ$644,27,)=0,0,((VLOOKUP($D394,$C$5:$AJ$644,27,)/VLOOKUP($D394,$C$5:$AJ$644,4,))*$F394))</f>
        <v>0</v>
      </c>
      <c r="AD394" s="101">
        <f>IF(VLOOKUP($D394,$C$5:$AJ$644,28,)=0,0,((VLOOKUP($D394,$C$5:$AJ$644,28,)/VLOOKUP($D394,$C$5:$AJ$644,4,))*$F394))</f>
        <v>0</v>
      </c>
      <c r="AE394" s="101"/>
      <c r="AF394" s="101">
        <f>IF(VLOOKUP($D394,$C$5:$AJ$644,30,)=0,0,((VLOOKUP($D394,$C$5:$AJ$644,30,)/VLOOKUP($D394,$C$5:$AJ$644,4,))*$F394))</f>
        <v>0</v>
      </c>
      <c r="AG394" s="101"/>
      <c r="AH394" s="101">
        <f>IF(VLOOKUP($D394,$C$5:$AJ$644,32,)=0,0,((VLOOKUP($D394,$C$5:$AJ$644,32,)/VLOOKUP($D394,$C$5:$AJ$644,4,))*$F394))</f>
        <v>0</v>
      </c>
      <c r="AI394" s="101"/>
      <c r="AJ394" s="101">
        <f>IF(VLOOKUP($D394,$C$5:$AJ$644,34,)=0,0,((VLOOKUP($D394,$C$5:$AJ$644,34,)/VLOOKUP($D394,$C$5:$AJ$644,4,))*$F394))</f>
        <v>0</v>
      </c>
      <c r="AK394" s="101">
        <f>SUM(H394:AJ394)</f>
        <v>0</v>
      </c>
      <c r="AL394" s="98" t="str">
        <f>IF(ABS(AK394-F394)&lt;1,"ok","err")</f>
        <v>ok</v>
      </c>
    </row>
    <row r="395" spans="1:38" x14ac:dyDescent="0.25">
      <c r="F395" s="100"/>
      <c r="Y395" s="97"/>
      <c r="AL395" s="98"/>
    </row>
    <row r="396" spans="1:38" x14ac:dyDescent="0.25">
      <c r="B396" s="97" t="s">
        <v>1672</v>
      </c>
      <c r="C396" s="97" t="s">
        <v>738</v>
      </c>
      <c r="F396" s="100">
        <f>SUM(F390:F395)</f>
        <v>213876.6313868115</v>
      </c>
      <c r="H396" s="100">
        <f t="shared" ref="H396:M396" si="404">SUM(H390:H395)</f>
        <v>73476.563269507024</v>
      </c>
      <c r="I396" s="100">
        <f t="shared" si="404"/>
        <v>69264.721240900704</v>
      </c>
      <c r="J396" s="100">
        <f t="shared" si="404"/>
        <v>71135.346876403753</v>
      </c>
      <c r="K396" s="100">
        <f t="shared" si="404"/>
        <v>0</v>
      </c>
      <c r="L396" s="100">
        <f t="shared" si="404"/>
        <v>0</v>
      </c>
      <c r="M396" s="100">
        <f t="shared" si="404"/>
        <v>0</v>
      </c>
      <c r="O396" s="100">
        <f>SUM(O390:O395)</f>
        <v>0</v>
      </c>
      <c r="P396" s="100">
        <f>SUM(P390:P395)</f>
        <v>0</v>
      </c>
      <c r="Q396" s="100">
        <f>SUM(Q390:Q395)</f>
        <v>0</v>
      </c>
      <c r="S396" s="100">
        <f t="shared" ref="S396:AD396" si="405">SUM(S390:S395)</f>
        <v>0</v>
      </c>
      <c r="T396" s="100">
        <f t="shared" si="405"/>
        <v>0</v>
      </c>
      <c r="U396" s="100">
        <f t="shared" si="405"/>
        <v>0</v>
      </c>
      <c r="V396" s="100">
        <f t="shared" si="405"/>
        <v>0</v>
      </c>
      <c r="W396" s="100">
        <f t="shared" si="405"/>
        <v>0</v>
      </c>
      <c r="X396" s="100">
        <f t="shared" si="405"/>
        <v>0</v>
      </c>
      <c r="Y396" s="100">
        <f t="shared" si="405"/>
        <v>0</v>
      </c>
      <c r="Z396" s="100">
        <f t="shared" si="405"/>
        <v>0</v>
      </c>
      <c r="AA396" s="100">
        <f t="shared" si="405"/>
        <v>0</v>
      </c>
      <c r="AB396" s="100">
        <f t="shared" si="405"/>
        <v>0</v>
      </c>
      <c r="AC396" s="100">
        <f t="shared" si="405"/>
        <v>0</v>
      </c>
      <c r="AD396" s="100">
        <f t="shared" si="405"/>
        <v>0</v>
      </c>
      <c r="AF396" s="100">
        <f>SUM(AF390:AF395)</f>
        <v>0</v>
      </c>
      <c r="AH396" s="100">
        <f>SUM(AH390:AH395)</f>
        <v>0</v>
      </c>
      <c r="AJ396" s="100">
        <f>SUM(AJ390:AJ395)</f>
        <v>0</v>
      </c>
      <c r="AK396" s="101">
        <f>SUM(H396:AJ396)</f>
        <v>213876.63138681147</v>
      </c>
      <c r="AL396" s="98" t="str">
        <f>IF(ABS(AK396-F396)&lt;1,"ok","err")</f>
        <v>ok</v>
      </c>
    </row>
    <row r="397" spans="1:38" x14ac:dyDescent="0.25">
      <c r="F397" s="100"/>
      <c r="H397" s="100"/>
      <c r="I397" s="100"/>
      <c r="J397" s="100"/>
      <c r="K397" s="100"/>
      <c r="L397" s="100"/>
      <c r="M397" s="100"/>
      <c r="O397" s="100"/>
      <c r="P397" s="100"/>
      <c r="Q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F397" s="100"/>
      <c r="AH397" s="100"/>
      <c r="AJ397" s="100"/>
      <c r="AK397" s="101"/>
      <c r="AL397" s="98"/>
    </row>
    <row r="398" spans="1:38" x14ac:dyDescent="0.25">
      <c r="B398" s="97" t="s">
        <v>1671</v>
      </c>
      <c r="F398" s="100">
        <f>F387+F396</f>
        <v>213876.6313868115</v>
      </c>
      <c r="H398" s="100">
        <f t="shared" ref="H398:M398" si="406">H387+H396</f>
        <v>73476.563269507024</v>
      </c>
      <c r="I398" s="100">
        <f t="shared" si="406"/>
        <v>69264.721240900704</v>
      </c>
      <c r="J398" s="100">
        <f t="shared" si="406"/>
        <v>71135.346876403753</v>
      </c>
      <c r="K398" s="100">
        <f t="shared" si="406"/>
        <v>0</v>
      </c>
      <c r="L398" s="100">
        <f t="shared" si="406"/>
        <v>0</v>
      </c>
      <c r="M398" s="100">
        <f t="shared" si="406"/>
        <v>0</v>
      </c>
      <c r="O398" s="100">
        <f>O387+O396</f>
        <v>0</v>
      </c>
      <c r="P398" s="100">
        <f>P387+P396</f>
        <v>0</v>
      </c>
      <c r="Q398" s="100">
        <f>Q387+Q396</f>
        <v>0</v>
      </c>
      <c r="S398" s="100">
        <f t="shared" ref="S398:AD398" si="407">S387+S396</f>
        <v>0</v>
      </c>
      <c r="T398" s="100">
        <f t="shared" si="407"/>
        <v>0</v>
      </c>
      <c r="U398" s="100">
        <f t="shared" si="407"/>
        <v>0</v>
      </c>
      <c r="V398" s="100">
        <f t="shared" si="407"/>
        <v>0</v>
      </c>
      <c r="W398" s="100">
        <f t="shared" si="407"/>
        <v>0</v>
      </c>
      <c r="X398" s="100">
        <f t="shared" si="407"/>
        <v>0</v>
      </c>
      <c r="Y398" s="100">
        <f t="shared" si="407"/>
        <v>0</v>
      </c>
      <c r="Z398" s="100">
        <f t="shared" si="407"/>
        <v>0</v>
      </c>
      <c r="AA398" s="100">
        <f t="shared" si="407"/>
        <v>0</v>
      </c>
      <c r="AB398" s="100">
        <f t="shared" si="407"/>
        <v>0</v>
      </c>
      <c r="AC398" s="100">
        <f t="shared" si="407"/>
        <v>0</v>
      </c>
      <c r="AD398" s="100">
        <f t="shared" si="407"/>
        <v>0</v>
      </c>
      <c r="AF398" s="100">
        <f>AF387+AF396</f>
        <v>0</v>
      </c>
      <c r="AH398" s="100">
        <f>AH387+AH396</f>
        <v>0</v>
      </c>
      <c r="AJ398" s="100">
        <f>AJ387+AJ396</f>
        <v>0</v>
      </c>
      <c r="AK398" s="101">
        <f>SUM(H398:AJ398)</f>
        <v>213876.63138681147</v>
      </c>
      <c r="AL398" s="98" t="str">
        <f>IF(ABS(AK398-F398)&lt;1,"ok","err")</f>
        <v>ok</v>
      </c>
    </row>
    <row r="399" spans="1:38" x14ac:dyDescent="0.25">
      <c r="F399" s="100"/>
      <c r="Y399" s="97"/>
      <c r="AK399" s="101"/>
      <c r="AL399" s="98"/>
    </row>
    <row r="400" spans="1:38" x14ac:dyDescent="0.25">
      <c r="A400" s="24" t="s">
        <v>1578</v>
      </c>
      <c r="F400" s="100"/>
      <c r="Y400" s="97"/>
      <c r="AK400" s="101"/>
      <c r="AL400" s="98"/>
    </row>
    <row r="401" spans="1:38" x14ac:dyDescent="0.25">
      <c r="A401" s="97">
        <v>546</v>
      </c>
      <c r="B401" s="97" t="s">
        <v>1555</v>
      </c>
      <c r="C401" s="97" t="s">
        <v>1635</v>
      </c>
      <c r="D401" s="97" t="s">
        <v>736</v>
      </c>
      <c r="F401" s="100">
        <f>'Jurisdictional Study'!F1339</f>
        <v>848267.98828943621</v>
      </c>
      <c r="H401" s="101">
        <f>IF(VLOOKUP($D401,$C$5:$AJ$644,6,)=0,0,((VLOOKUP($D401,$C$5:$AJ$644,6,)/VLOOKUP($D401,$C$5:$AJ$644,4,))*$F401))</f>
        <v>291419.47910298721</v>
      </c>
      <c r="I401" s="101">
        <f>IF(VLOOKUP($D401,$C$5:$AJ$644,7,)=0,0,((VLOOKUP($D401,$C$5:$AJ$644,7,)/VLOOKUP($D401,$C$5:$AJ$644,4,))*$F401))</f>
        <v>274714.65847142803</v>
      </c>
      <c r="J401" s="101">
        <f>IF(VLOOKUP($D401,$C$5:$AJ$644,8,)=0,0,((VLOOKUP($D401,$C$5:$AJ$644,8,)/VLOOKUP($D401,$C$5:$AJ$644,4,))*$F401))</f>
        <v>282133.85071502096</v>
      </c>
      <c r="K401" s="101">
        <f>IF(VLOOKUP($D401,$C$5:$AJ$644,9,)=0,0,((VLOOKUP($D401,$C$5:$AJ$644,9,)/VLOOKUP($D401,$C$5:$AJ$644,4,))*$F401))</f>
        <v>0</v>
      </c>
      <c r="L401" s="101">
        <f>IF(VLOOKUP($D401,$C$5:$AJ$644,10,)=0,0,((VLOOKUP($D401,$C$5:$AJ$644,10,)/VLOOKUP($D401,$C$5:$AJ$644,4,))*$F401))</f>
        <v>0</v>
      </c>
      <c r="M401" s="101">
        <f>IF(VLOOKUP($D401,$C$5:$AJ$644,11,)=0,0,((VLOOKUP($D401,$C$5:$AJ$644,11,)/VLOOKUP($D401,$C$5:$AJ$644,4,))*$F401))</f>
        <v>0</v>
      </c>
      <c r="N401" s="101"/>
      <c r="O401" s="101">
        <f>IF(VLOOKUP($D401,$C$5:$AJ$644,13,)=0,0,((VLOOKUP($D401,$C$5:$AJ$644,13,)/VLOOKUP($D401,$C$5:$AJ$644,4,))*$F401))</f>
        <v>0</v>
      </c>
      <c r="P401" s="101">
        <f>IF(VLOOKUP($D401,$C$5:$AJ$644,14,)=0,0,((VLOOKUP($D401,$C$5:$AJ$644,14,)/VLOOKUP($D401,$C$5:$AJ$644,4,))*$F401))</f>
        <v>0</v>
      </c>
      <c r="Q401" s="101">
        <f>IF(VLOOKUP($D401,$C$5:$AJ$644,15,)=0,0,((VLOOKUP($D401,$C$5:$AJ$644,15,)/VLOOKUP($D401,$C$5:$AJ$644,4,))*$F401))</f>
        <v>0</v>
      </c>
      <c r="R401" s="101"/>
      <c r="S401" s="101">
        <f>IF(VLOOKUP($D401,$C$5:$AJ$644,17,)=0,0,((VLOOKUP($D401,$C$5:$AJ$644,17,)/VLOOKUP($D401,$C$5:$AJ$644,4,))*$F401))</f>
        <v>0</v>
      </c>
      <c r="T401" s="101">
        <f>IF(VLOOKUP($D401,$C$5:$AJ$644,18,)=0,0,((VLOOKUP($D401,$C$5:$AJ$644,18,)/VLOOKUP($D401,$C$5:$AJ$644,4,))*$F401))</f>
        <v>0</v>
      </c>
      <c r="U401" s="101">
        <f>IF(VLOOKUP($D401,$C$5:$AJ$644,19,)=0,0,((VLOOKUP($D401,$C$5:$AJ$644,19,)/VLOOKUP($D401,$C$5:$AJ$644,4,))*$F401))</f>
        <v>0</v>
      </c>
      <c r="V401" s="101">
        <f>IF(VLOOKUP($D401,$C$5:$AJ$644,20,)=0,0,((VLOOKUP($D401,$C$5:$AJ$644,20,)/VLOOKUP($D401,$C$5:$AJ$644,4,))*$F401))</f>
        <v>0</v>
      </c>
      <c r="W401" s="101">
        <f>IF(VLOOKUP($D401,$C$5:$AJ$644,21,)=0,0,((VLOOKUP($D401,$C$5:$AJ$644,21,)/VLOOKUP($D401,$C$5:$AJ$644,4,))*$F401))</f>
        <v>0</v>
      </c>
      <c r="X401" s="101">
        <f>IF(VLOOKUP($D401,$C$5:$AJ$644,22,)=0,0,((VLOOKUP($D401,$C$5:$AJ$644,22,)/VLOOKUP($D401,$C$5:$AJ$644,4,))*$F401))</f>
        <v>0</v>
      </c>
      <c r="Y401" s="101">
        <f>IF(VLOOKUP($D401,$C$5:$AJ$644,23,)=0,0,((VLOOKUP($D401,$C$5:$AJ$644,23,)/VLOOKUP($D401,$C$5:$AJ$644,4,))*$F401))</f>
        <v>0</v>
      </c>
      <c r="Z401" s="101">
        <f>IF(VLOOKUP($D401,$C$5:$AJ$644,24,)=0,0,((VLOOKUP($D401,$C$5:$AJ$644,24,)/VLOOKUP($D401,$C$5:$AJ$644,4,))*$F401))</f>
        <v>0</v>
      </c>
      <c r="AA401" s="101">
        <f>IF(VLOOKUP($D401,$C$5:$AJ$644,25,)=0,0,((VLOOKUP($D401,$C$5:$AJ$644,25,)/VLOOKUP($D401,$C$5:$AJ$644,4,))*$F401))</f>
        <v>0</v>
      </c>
      <c r="AB401" s="101">
        <f>IF(VLOOKUP($D401,$C$5:$AJ$644,26,)=0,0,((VLOOKUP($D401,$C$5:$AJ$644,26,)/VLOOKUP($D401,$C$5:$AJ$644,4,))*$F401))</f>
        <v>0</v>
      </c>
      <c r="AC401" s="101">
        <f>IF(VLOOKUP($D401,$C$5:$AJ$644,27,)=0,0,((VLOOKUP($D401,$C$5:$AJ$644,27,)/VLOOKUP($D401,$C$5:$AJ$644,4,))*$F401))</f>
        <v>0</v>
      </c>
      <c r="AD401" s="101">
        <f>IF(VLOOKUP($D401,$C$5:$AJ$644,28,)=0,0,((VLOOKUP($D401,$C$5:$AJ$644,28,)/VLOOKUP($D401,$C$5:$AJ$644,4,))*$F401))</f>
        <v>0</v>
      </c>
      <c r="AE401" s="101"/>
      <c r="AF401" s="101">
        <f>IF(VLOOKUP($D401,$C$5:$AJ$644,30,)=0,0,((VLOOKUP($D401,$C$5:$AJ$644,30,)/VLOOKUP($D401,$C$5:$AJ$644,4,))*$F401))</f>
        <v>0</v>
      </c>
      <c r="AG401" s="101"/>
      <c r="AH401" s="101">
        <f>IF(VLOOKUP($D401,$C$5:$AJ$644,32,)=0,0,((VLOOKUP($D401,$C$5:$AJ$644,32,)/VLOOKUP($D401,$C$5:$AJ$644,4,))*$F401))</f>
        <v>0</v>
      </c>
      <c r="AI401" s="101"/>
      <c r="AJ401" s="101">
        <f>IF(VLOOKUP($D401,$C$5:$AJ$644,34,)=0,0,((VLOOKUP($D401,$C$5:$AJ$644,34,)/VLOOKUP($D401,$C$5:$AJ$644,4,))*$F401))</f>
        <v>0</v>
      </c>
      <c r="AK401" s="101">
        <f t="shared" ref="AK401:AK407" si="408">SUM(H401:AJ401)</f>
        <v>848267.98828943609</v>
      </c>
      <c r="AL401" s="98" t="str">
        <f t="shared" ref="AL401:AL407" si="409">IF(ABS(AK401-F401)&lt;1,"ok","err")</f>
        <v>ok</v>
      </c>
    </row>
    <row r="402" spans="1:38" x14ac:dyDescent="0.25">
      <c r="A402" s="97">
        <v>547</v>
      </c>
      <c r="B402" s="97" t="s">
        <v>1557</v>
      </c>
      <c r="C402" s="97" t="s">
        <v>1636</v>
      </c>
      <c r="D402" s="97" t="s">
        <v>110</v>
      </c>
      <c r="F402" s="101">
        <f>'Jurisdictional Study'!F1319</f>
        <v>0</v>
      </c>
      <c r="H402" s="101">
        <f>IF(VLOOKUP($D402,$C$5:$AJ$644,6,)=0,0,((VLOOKUP($D402,$C$5:$AJ$644,6,)/VLOOKUP($D402,$C$5:$AJ$644,4,))*$F402))</f>
        <v>0</v>
      </c>
      <c r="I402" s="101">
        <f>IF(VLOOKUP($D402,$C$5:$AJ$644,7,)=0,0,((VLOOKUP($D402,$C$5:$AJ$644,7,)/VLOOKUP($D402,$C$5:$AJ$644,4,))*$F402))</f>
        <v>0</v>
      </c>
      <c r="J402" s="101">
        <f>IF(VLOOKUP($D402,$C$5:$AJ$644,8,)=0,0,((VLOOKUP($D402,$C$5:$AJ$644,8,)/VLOOKUP($D402,$C$5:$AJ$644,4,))*$F402))</f>
        <v>0</v>
      </c>
      <c r="K402" s="101">
        <f>IF(VLOOKUP($D402,$C$5:$AJ$644,9,)=0,0,((VLOOKUP($D402,$C$5:$AJ$644,9,)/VLOOKUP($D402,$C$5:$AJ$644,4,))*$F402))</f>
        <v>0</v>
      </c>
      <c r="L402" s="101">
        <f>IF(VLOOKUP($D402,$C$5:$AJ$644,10,)=0,0,((VLOOKUP($D402,$C$5:$AJ$644,10,)/VLOOKUP($D402,$C$5:$AJ$644,4,))*$F402))</f>
        <v>0</v>
      </c>
      <c r="M402" s="101">
        <f>IF(VLOOKUP($D402,$C$5:$AJ$644,11,)=0,0,((VLOOKUP($D402,$C$5:$AJ$644,11,)/VLOOKUP($D402,$C$5:$AJ$644,4,))*$F402))</f>
        <v>0</v>
      </c>
      <c r="N402" s="101"/>
      <c r="O402" s="101">
        <f>IF(VLOOKUP($D402,$C$5:$AJ$644,13,)=0,0,((VLOOKUP($D402,$C$5:$AJ$644,13,)/VLOOKUP($D402,$C$5:$AJ$644,4,))*$F402))</f>
        <v>0</v>
      </c>
      <c r="P402" s="101">
        <f>IF(VLOOKUP($D402,$C$5:$AJ$644,14,)=0,0,((VLOOKUP($D402,$C$5:$AJ$644,14,)/VLOOKUP($D402,$C$5:$AJ$644,4,))*$F402))</f>
        <v>0</v>
      </c>
      <c r="Q402" s="101">
        <f>IF(VLOOKUP($D402,$C$5:$AJ$644,15,)=0,0,((VLOOKUP($D402,$C$5:$AJ$644,15,)/VLOOKUP($D402,$C$5:$AJ$644,4,))*$F402))</f>
        <v>0</v>
      </c>
      <c r="R402" s="101"/>
      <c r="S402" s="101">
        <f>IF(VLOOKUP($D402,$C$5:$AJ$644,17,)=0,0,((VLOOKUP($D402,$C$5:$AJ$644,17,)/VLOOKUP($D402,$C$5:$AJ$644,4,))*$F402))</f>
        <v>0</v>
      </c>
      <c r="T402" s="101">
        <f>IF(VLOOKUP($D402,$C$5:$AJ$644,18,)=0,0,((VLOOKUP($D402,$C$5:$AJ$644,18,)/VLOOKUP($D402,$C$5:$AJ$644,4,))*$F402))</f>
        <v>0</v>
      </c>
      <c r="U402" s="101">
        <f>IF(VLOOKUP($D402,$C$5:$AJ$644,19,)=0,0,((VLOOKUP($D402,$C$5:$AJ$644,19,)/VLOOKUP($D402,$C$5:$AJ$644,4,))*$F402))</f>
        <v>0</v>
      </c>
      <c r="V402" s="101">
        <f>IF(VLOOKUP($D402,$C$5:$AJ$644,20,)=0,0,((VLOOKUP($D402,$C$5:$AJ$644,20,)/VLOOKUP($D402,$C$5:$AJ$644,4,))*$F402))</f>
        <v>0</v>
      </c>
      <c r="W402" s="101">
        <f>IF(VLOOKUP($D402,$C$5:$AJ$644,21,)=0,0,((VLOOKUP($D402,$C$5:$AJ$644,21,)/VLOOKUP($D402,$C$5:$AJ$644,4,))*$F402))</f>
        <v>0</v>
      </c>
      <c r="X402" s="101">
        <f>IF(VLOOKUP($D402,$C$5:$AJ$644,22,)=0,0,((VLOOKUP($D402,$C$5:$AJ$644,22,)/VLOOKUP($D402,$C$5:$AJ$644,4,))*$F402))</f>
        <v>0</v>
      </c>
      <c r="Y402" s="101">
        <f>IF(VLOOKUP($D402,$C$5:$AJ$644,23,)=0,0,((VLOOKUP($D402,$C$5:$AJ$644,23,)/VLOOKUP($D402,$C$5:$AJ$644,4,))*$F402))</f>
        <v>0</v>
      </c>
      <c r="Z402" s="101">
        <f>IF(VLOOKUP($D402,$C$5:$AJ$644,24,)=0,0,((VLOOKUP($D402,$C$5:$AJ$644,24,)/VLOOKUP($D402,$C$5:$AJ$644,4,))*$F402))</f>
        <v>0</v>
      </c>
      <c r="AA402" s="101">
        <f>IF(VLOOKUP($D402,$C$5:$AJ$644,25,)=0,0,((VLOOKUP($D402,$C$5:$AJ$644,25,)/VLOOKUP($D402,$C$5:$AJ$644,4,))*$F402))</f>
        <v>0</v>
      </c>
      <c r="AB402" s="101">
        <f>IF(VLOOKUP($D402,$C$5:$AJ$644,26,)=0,0,((VLOOKUP($D402,$C$5:$AJ$644,26,)/VLOOKUP($D402,$C$5:$AJ$644,4,))*$F402))</f>
        <v>0</v>
      </c>
      <c r="AC402" s="101">
        <f>IF(VLOOKUP($D402,$C$5:$AJ$644,27,)=0,0,((VLOOKUP($D402,$C$5:$AJ$644,27,)/VLOOKUP($D402,$C$5:$AJ$644,4,))*$F402))</f>
        <v>0</v>
      </c>
      <c r="AD402" s="101">
        <f>IF(VLOOKUP($D402,$C$5:$AJ$644,28,)=0,0,((VLOOKUP($D402,$C$5:$AJ$644,28,)/VLOOKUP($D402,$C$5:$AJ$644,4,))*$F402))</f>
        <v>0</v>
      </c>
      <c r="AE402" s="101"/>
      <c r="AF402" s="101">
        <f>IF(VLOOKUP($D402,$C$5:$AJ$644,30,)=0,0,((VLOOKUP($D402,$C$5:$AJ$644,30,)/VLOOKUP($D402,$C$5:$AJ$644,4,))*$F402))</f>
        <v>0</v>
      </c>
      <c r="AG402" s="101"/>
      <c r="AH402" s="101">
        <f>IF(VLOOKUP($D402,$C$5:$AJ$644,32,)=0,0,((VLOOKUP($D402,$C$5:$AJ$644,32,)/VLOOKUP($D402,$C$5:$AJ$644,4,))*$F402))</f>
        <v>0</v>
      </c>
      <c r="AI402" s="101"/>
      <c r="AJ402" s="101">
        <f>IF(VLOOKUP($D402,$C$5:$AJ$644,34,)=0,0,((VLOOKUP($D402,$C$5:$AJ$644,34,)/VLOOKUP($D402,$C$5:$AJ$644,4,))*$F402))</f>
        <v>0</v>
      </c>
      <c r="AK402" s="101">
        <f t="shared" si="408"/>
        <v>0</v>
      </c>
      <c r="AL402" s="98" t="str">
        <f t="shared" si="409"/>
        <v>ok</v>
      </c>
    </row>
    <row r="403" spans="1:38" x14ac:dyDescent="0.25">
      <c r="A403" s="97">
        <v>548</v>
      </c>
      <c r="B403" s="97" t="s">
        <v>1581</v>
      </c>
      <c r="C403" s="97" t="s">
        <v>1637</v>
      </c>
      <c r="D403" s="97" t="s">
        <v>736</v>
      </c>
      <c r="F403" s="101">
        <f>'Jurisdictional Study'!F1340</f>
        <v>327050.66979425657</v>
      </c>
      <c r="H403" s="101">
        <f>IF(VLOOKUP($D403,$C$5:$AJ$644,6,)=0,0,((VLOOKUP($D403,$C$5:$AJ$644,6,)/VLOOKUP($D403,$C$5:$AJ$644,4,))*$F403))</f>
        <v>112357.10547549874</v>
      </c>
      <c r="I403" s="101">
        <f>IF(VLOOKUP($D403,$C$5:$AJ$644,7,)=0,0,((VLOOKUP($D403,$C$5:$AJ$644,7,)/VLOOKUP($D403,$C$5:$AJ$644,4,))*$F403))</f>
        <v>105916.54323365189</v>
      </c>
      <c r="J403" s="101">
        <f>IF(VLOOKUP($D403,$C$5:$AJ$644,8,)=0,0,((VLOOKUP($D403,$C$5:$AJ$644,8,)/VLOOKUP($D403,$C$5:$AJ$644,4,))*$F403))</f>
        <v>108777.02108510594</v>
      </c>
      <c r="K403" s="101">
        <f>IF(VLOOKUP($D403,$C$5:$AJ$644,9,)=0,0,((VLOOKUP($D403,$C$5:$AJ$644,9,)/VLOOKUP($D403,$C$5:$AJ$644,4,))*$F403))</f>
        <v>0</v>
      </c>
      <c r="L403" s="101">
        <f>IF(VLOOKUP($D403,$C$5:$AJ$644,10,)=0,0,((VLOOKUP($D403,$C$5:$AJ$644,10,)/VLOOKUP($D403,$C$5:$AJ$644,4,))*$F403))</f>
        <v>0</v>
      </c>
      <c r="M403" s="101">
        <f>IF(VLOOKUP($D403,$C$5:$AJ$644,11,)=0,0,((VLOOKUP($D403,$C$5:$AJ$644,11,)/VLOOKUP($D403,$C$5:$AJ$644,4,))*$F403))</f>
        <v>0</v>
      </c>
      <c r="N403" s="101"/>
      <c r="O403" s="101">
        <f>IF(VLOOKUP($D403,$C$5:$AJ$644,13,)=0,0,((VLOOKUP($D403,$C$5:$AJ$644,13,)/VLOOKUP($D403,$C$5:$AJ$644,4,))*$F403))</f>
        <v>0</v>
      </c>
      <c r="P403" s="101">
        <f>IF(VLOOKUP($D403,$C$5:$AJ$644,14,)=0,0,((VLOOKUP($D403,$C$5:$AJ$644,14,)/VLOOKUP($D403,$C$5:$AJ$644,4,))*$F403))</f>
        <v>0</v>
      </c>
      <c r="Q403" s="101">
        <f>IF(VLOOKUP($D403,$C$5:$AJ$644,15,)=0,0,((VLOOKUP($D403,$C$5:$AJ$644,15,)/VLOOKUP($D403,$C$5:$AJ$644,4,))*$F403))</f>
        <v>0</v>
      </c>
      <c r="R403" s="101"/>
      <c r="S403" s="101">
        <f>IF(VLOOKUP($D403,$C$5:$AJ$644,17,)=0,0,((VLOOKUP($D403,$C$5:$AJ$644,17,)/VLOOKUP($D403,$C$5:$AJ$644,4,))*$F403))</f>
        <v>0</v>
      </c>
      <c r="T403" s="101">
        <f>IF(VLOOKUP($D403,$C$5:$AJ$644,18,)=0,0,((VLOOKUP($D403,$C$5:$AJ$644,18,)/VLOOKUP($D403,$C$5:$AJ$644,4,))*$F403))</f>
        <v>0</v>
      </c>
      <c r="U403" s="101">
        <f>IF(VLOOKUP($D403,$C$5:$AJ$644,19,)=0,0,((VLOOKUP($D403,$C$5:$AJ$644,19,)/VLOOKUP($D403,$C$5:$AJ$644,4,))*$F403))</f>
        <v>0</v>
      </c>
      <c r="V403" s="101">
        <f>IF(VLOOKUP($D403,$C$5:$AJ$644,20,)=0,0,((VLOOKUP($D403,$C$5:$AJ$644,20,)/VLOOKUP($D403,$C$5:$AJ$644,4,))*$F403))</f>
        <v>0</v>
      </c>
      <c r="W403" s="101">
        <f>IF(VLOOKUP($D403,$C$5:$AJ$644,21,)=0,0,((VLOOKUP($D403,$C$5:$AJ$644,21,)/VLOOKUP($D403,$C$5:$AJ$644,4,))*$F403))</f>
        <v>0</v>
      </c>
      <c r="X403" s="101">
        <f>IF(VLOOKUP($D403,$C$5:$AJ$644,22,)=0,0,((VLOOKUP($D403,$C$5:$AJ$644,22,)/VLOOKUP($D403,$C$5:$AJ$644,4,))*$F403))</f>
        <v>0</v>
      </c>
      <c r="Y403" s="101">
        <f>IF(VLOOKUP($D403,$C$5:$AJ$644,23,)=0,0,((VLOOKUP($D403,$C$5:$AJ$644,23,)/VLOOKUP($D403,$C$5:$AJ$644,4,))*$F403))</f>
        <v>0</v>
      </c>
      <c r="Z403" s="101">
        <f>IF(VLOOKUP($D403,$C$5:$AJ$644,24,)=0,0,((VLOOKUP($D403,$C$5:$AJ$644,24,)/VLOOKUP($D403,$C$5:$AJ$644,4,))*$F403))</f>
        <v>0</v>
      </c>
      <c r="AA403" s="101">
        <f>IF(VLOOKUP($D403,$C$5:$AJ$644,25,)=0,0,((VLOOKUP($D403,$C$5:$AJ$644,25,)/VLOOKUP($D403,$C$5:$AJ$644,4,))*$F403))</f>
        <v>0</v>
      </c>
      <c r="AB403" s="101">
        <f>IF(VLOOKUP($D403,$C$5:$AJ$644,26,)=0,0,((VLOOKUP($D403,$C$5:$AJ$644,26,)/VLOOKUP($D403,$C$5:$AJ$644,4,))*$F403))</f>
        <v>0</v>
      </c>
      <c r="AC403" s="101">
        <f>IF(VLOOKUP($D403,$C$5:$AJ$644,27,)=0,0,((VLOOKUP($D403,$C$5:$AJ$644,27,)/VLOOKUP($D403,$C$5:$AJ$644,4,))*$F403))</f>
        <v>0</v>
      </c>
      <c r="AD403" s="101">
        <f>IF(VLOOKUP($D403,$C$5:$AJ$644,28,)=0,0,((VLOOKUP($D403,$C$5:$AJ$644,28,)/VLOOKUP($D403,$C$5:$AJ$644,4,))*$F403))</f>
        <v>0</v>
      </c>
      <c r="AE403" s="101"/>
      <c r="AF403" s="101">
        <f>IF(VLOOKUP($D403,$C$5:$AJ$644,30,)=0,0,((VLOOKUP($D403,$C$5:$AJ$644,30,)/VLOOKUP($D403,$C$5:$AJ$644,4,))*$F403))</f>
        <v>0</v>
      </c>
      <c r="AG403" s="101"/>
      <c r="AH403" s="101">
        <f>IF(VLOOKUP($D403,$C$5:$AJ$644,32,)=0,0,((VLOOKUP($D403,$C$5:$AJ$644,32,)/VLOOKUP($D403,$C$5:$AJ$644,4,))*$F403))</f>
        <v>0</v>
      </c>
      <c r="AI403" s="101"/>
      <c r="AJ403" s="101">
        <f>IF(VLOOKUP($D403,$C$5:$AJ$644,34,)=0,0,((VLOOKUP($D403,$C$5:$AJ$644,34,)/VLOOKUP($D403,$C$5:$AJ$644,4,))*$F403))</f>
        <v>0</v>
      </c>
      <c r="AK403" s="101">
        <f t="shared" si="408"/>
        <v>327050.66979425657</v>
      </c>
      <c r="AL403" s="98" t="str">
        <f t="shared" si="409"/>
        <v>ok</v>
      </c>
    </row>
    <row r="404" spans="1:38" x14ac:dyDescent="0.25">
      <c r="A404" s="97">
        <v>549</v>
      </c>
      <c r="B404" s="97" t="s">
        <v>1583</v>
      </c>
      <c r="C404" s="97" t="s">
        <v>1638</v>
      </c>
      <c r="D404" s="97" t="s">
        <v>736</v>
      </c>
      <c r="F404" s="101">
        <f>'Jurisdictional Study'!F1341</f>
        <v>1662761.3567689022</v>
      </c>
      <c r="H404" s="101">
        <f>IF(VLOOKUP($D404,$C$5:$AJ$644,6,)=0,0,((VLOOKUP($D404,$C$5:$AJ$644,6,)/VLOOKUP($D404,$C$5:$AJ$644,4,))*$F404))</f>
        <v>571235.80655130581</v>
      </c>
      <c r="I404" s="101">
        <f>IF(VLOOKUP($D404,$C$5:$AJ$644,7,)=0,0,((VLOOKUP($D404,$C$5:$AJ$644,7,)/VLOOKUP($D404,$C$5:$AJ$644,4,))*$F404))</f>
        <v>538491.28406387346</v>
      </c>
      <c r="J404" s="101">
        <f>IF(VLOOKUP($D404,$C$5:$AJ$644,8,)=0,0,((VLOOKUP($D404,$C$5:$AJ$644,8,)/VLOOKUP($D404,$C$5:$AJ$644,4,))*$F404))</f>
        <v>553034.26615372289</v>
      </c>
      <c r="K404" s="101">
        <f>IF(VLOOKUP($D404,$C$5:$AJ$644,9,)=0,0,((VLOOKUP($D404,$C$5:$AJ$644,9,)/VLOOKUP($D404,$C$5:$AJ$644,4,))*$F404))</f>
        <v>0</v>
      </c>
      <c r="L404" s="101">
        <f>IF(VLOOKUP($D404,$C$5:$AJ$644,10,)=0,0,((VLOOKUP($D404,$C$5:$AJ$644,10,)/VLOOKUP($D404,$C$5:$AJ$644,4,))*$F404))</f>
        <v>0</v>
      </c>
      <c r="M404" s="101">
        <f>IF(VLOOKUP($D404,$C$5:$AJ$644,11,)=0,0,((VLOOKUP($D404,$C$5:$AJ$644,11,)/VLOOKUP($D404,$C$5:$AJ$644,4,))*$F404))</f>
        <v>0</v>
      </c>
      <c r="N404" s="101"/>
      <c r="O404" s="101">
        <f>IF(VLOOKUP($D404,$C$5:$AJ$644,13,)=0,0,((VLOOKUP($D404,$C$5:$AJ$644,13,)/VLOOKUP($D404,$C$5:$AJ$644,4,))*$F404))</f>
        <v>0</v>
      </c>
      <c r="P404" s="101">
        <f>IF(VLOOKUP($D404,$C$5:$AJ$644,14,)=0,0,((VLOOKUP($D404,$C$5:$AJ$644,14,)/VLOOKUP($D404,$C$5:$AJ$644,4,))*$F404))</f>
        <v>0</v>
      </c>
      <c r="Q404" s="101">
        <f>IF(VLOOKUP($D404,$C$5:$AJ$644,15,)=0,0,((VLOOKUP($D404,$C$5:$AJ$644,15,)/VLOOKUP($D404,$C$5:$AJ$644,4,))*$F404))</f>
        <v>0</v>
      </c>
      <c r="R404" s="101"/>
      <c r="S404" s="101">
        <f>IF(VLOOKUP($D404,$C$5:$AJ$644,17,)=0,0,((VLOOKUP($D404,$C$5:$AJ$644,17,)/VLOOKUP($D404,$C$5:$AJ$644,4,))*$F404))</f>
        <v>0</v>
      </c>
      <c r="T404" s="101">
        <f>IF(VLOOKUP($D404,$C$5:$AJ$644,18,)=0,0,((VLOOKUP($D404,$C$5:$AJ$644,18,)/VLOOKUP($D404,$C$5:$AJ$644,4,))*$F404))</f>
        <v>0</v>
      </c>
      <c r="U404" s="101">
        <f>IF(VLOOKUP($D404,$C$5:$AJ$644,19,)=0,0,((VLOOKUP($D404,$C$5:$AJ$644,19,)/VLOOKUP($D404,$C$5:$AJ$644,4,))*$F404))</f>
        <v>0</v>
      </c>
      <c r="V404" s="101">
        <f>IF(VLOOKUP($D404,$C$5:$AJ$644,20,)=0,0,((VLOOKUP($D404,$C$5:$AJ$644,20,)/VLOOKUP($D404,$C$5:$AJ$644,4,))*$F404))</f>
        <v>0</v>
      </c>
      <c r="W404" s="101">
        <f>IF(VLOOKUP($D404,$C$5:$AJ$644,21,)=0,0,((VLOOKUP($D404,$C$5:$AJ$644,21,)/VLOOKUP($D404,$C$5:$AJ$644,4,))*$F404))</f>
        <v>0</v>
      </c>
      <c r="X404" s="101">
        <f>IF(VLOOKUP($D404,$C$5:$AJ$644,22,)=0,0,((VLOOKUP($D404,$C$5:$AJ$644,22,)/VLOOKUP($D404,$C$5:$AJ$644,4,))*$F404))</f>
        <v>0</v>
      </c>
      <c r="Y404" s="101">
        <f>IF(VLOOKUP($D404,$C$5:$AJ$644,23,)=0,0,((VLOOKUP($D404,$C$5:$AJ$644,23,)/VLOOKUP($D404,$C$5:$AJ$644,4,))*$F404))</f>
        <v>0</v>
      </c>
      <c r="Z404" s="101">
        <f>IF(VLOOKUP($D404,$C$5:$AJ$644,24,)=0,0,((VLOOKUP($D404,$C$5:$AJ$644,24,)/VLOOKUP($D404,$C$5:$AJ$644,4,))*$F404))</f>
        <v>0</v>
      </c>
      <c r="AA404" s="101">
        <f>IF(VLOOKUP($D404,$C$5:$AJ$644,25,)=0,0,((VLOOKUP($D404,$C$5:$AJ$644,25,)/VLOOKUP($D404,$C$5:$AJ$644,4,))*$F404))</f>
        <v>0</v>
      </c>
      <c r="AB404" s="101">
        <f>IF(VLOOKUP($D404,$C$5:$AJ$644,26,)=0,0,((VLOOKUP($D404,$C$5:$AJ$644,26,)/VLOOKUP($D404,$C$5:$AJ$644,4,))*$F404))</f>
        <v>0</v>
      </c>
      <c r="AC404" s="101">
        <f>IF(VLOOKUP($D404,$C$5:$AJ$644,27,)=0,0,((VLOOKUP($D404,$C$5:$AJ$644,27,)/VLOOKUP($D404,$C$5:$AJ$644,4,))*$F404))</f>
        <v>0</v>
      </c>
      <c r="AD404" s="101">
        <f>IF(VLOOKUP($D404,$C$5:$AJ$644,28,)=0,0,((VLOOKUP($D404,$C$5:$AJ$644,28,)/VLOOKUP($D404,$C$5:$AJ$644,4,))*$F404))</f>
        <v>0</v>
      </c>
      <c r="AE404" s="101"/>
      <c r="AF404" s="101">
        <f>IF(VLOOKUP($D404,$C$5:$AJ$644,30,)=0,0,((VLOOKUP($D404,$C$5:$AJ$644,30,)/VLOOKUP($D404,$C$5:$AJ$644,4,))*$F404))</f>
        <v>0</v>
      </c>
      <c r="AG404" s="101"/>
      <c r="AH404" s="101">
        <f>IF(VLOOKUP($D404,$C$5:$AJ$644,32,)=0,0,((VLOOKUP($D404,$C$5:$AJ$644,32,)/VLOOKUP($D404,$C$5:$AJ$644,4,))*$F404))</f>
        <v>0</v>
      </c>
      <c r="AI404" s="101"/>
      <c r="AJ404" s="101">
        <f>IF(VLOOKUP($D404,$C$5:$AJ$644,34,)=0,0,((VLOOKUP($D404,$C$5:$AJ$644,34,)/VLOOKUP($D404,$C$5:$AJ$644,4,))*$F404))</f>
        <v>0</v>
      </c>
      <c r="AK404" s="101">
        <f t="shared" si="408"/>
        <v>1662761.3567689024</v>
      </c>
      <c r="AL404" s="98" t="str">
        <f t="shared" si="409"/>
        <v>ok</v>
      </c>
    </row>
    <row r="405" spans="1:38" x14ac:dyDescent="0.25">
      <c r="A405" s="97">
        <v>550</v>
      </c>
      <c r="B405" s="97" t="s">
        <v>373</v>
      </c>
      <c r="C405" s="97" t="s">
        <v>1639</v>
      </c>
      <c r="D405" s="97" t="s">
        <v>736</v>
      </c>
      <c r="F405" s="101">
        <f>'Jurisdictional Study'!F1342</f>
        <v>0</v>
      </c>
      <c r="H405" s="101">
        <f>IF(VLOOKUP($D405,$C$5:$AJ$644,6,)=0,0,((VLOOKUP($D405,$C$5:$AJ$644,6,)/VLOOKUP($D405,$C$5:$AJ$644,4,))*$F405))</f>
        <v>0</v>
      </c>
      <c r="I405" s="101">
        <f>IF(VLOOKUP($D405,$C$5:$AJ$644,7,)=0,0,((VLOOKUP($D405,$C$5:$AJ$644,7,)/VLOOKUP($D405,$C$5:$AJ$644,4,))*$F405))</f>
        <v>0</v>
      </c>
      <c r="J405" s="101">
        <f>IF(VLOOKUP($D405,$C$5:$AJ$644,8,)=0,0,((VLOOKUP($D405,$C$5:$AJ$644,8,)/VLOOKUP($D405,$C$5:$AJ$644,4,))*$F405))</f>
        <v>0</v>
      </c>
      <c r="K405" s="101">
        <f>IF(VLOOKUP($D405,$C$5:$AJ$644,9,)=0,0,((VLOOKUP($D405,$C$5:$AJ$644,9,)/VLOOKUP($D405,$C$5:$AJ$644,4,))*$F405))</f>
        <v>0</v>
      </c>
      <c r="L405" s="101">
        <f>IF(VLOOKUP($D405,$C$5:$AJ$644,10,)=0,0,((VLOOKUP($D405,$C$5:$AJ$644,10,)/VLOOKUP($D405,$C$5:$AJ$644,4,))*$F405))</f>
        <v>0</v>
      </c>
      <c r="M405" s="101">
        <f>IF(VLOOKUP($D405,$C$5:$AJ$644,11,)=0,0,((VLOOKUP($D405,$C$5:$AJ$644,11,)/VLOOKUP($D405,$C$5:$AJ$644,4,))*$F405))</f>
        <v>0</v>
      </c>
      <c r="N405" s="101"/>
      <c r="O405" s="101">
        <f>IF(VLOOKUP($D405,$C$5:$AJ$644,13,)=0,0,((VLOOKUP($D405,$C$5:$AJ$644,13,)/VLOOKUP($D405,$C$5:$AJ$644,4,))*$F405))</f>
        <v>0</v>
      </c>
      <c r="P405" s="101">
        <f>IF(VLOOKUP($D405,$C$5:$AJ$644,14,)=0,0,((VLOOKUP($D405,$C$5:$AJ$644,14,)/VLOOKUP($D405,$C$5:$AJ$644,4,))*$F405))</f>
        <v>0</v>
      </c>
      <c r="Q405" s="101">
        <f>IF(VLOOKUP($D405,$C$5:$AJ$644,15,)=0,0,((VLOOKUP($D405,$C$5:$AJ$644,15,)/VLOOKUP($D405,$C$5:$AJ$644,4,))*$F405))</f>
        <v>0</v>
      </c>
      <c r="R405" s="101"/>
      <c r="S405" s="101">
        <f>IF(VLOOKUP($D405,$C$5:$AJ$644,17,)=0,0,((VLOOKUP($D405,$C$5:$AJ$644,17,)/VLOOKUP($D405,$C$5:$AJ$644,4,))*$F405))</f>
        <v>0</v>
      </c>
      <c r="T405" s="101">
        <f>IF(VLOOKUP($D405,$C$5:$AJ$644,18,)=0,0,((VLOOKUP($D405,$C$5:$AJ$644,18,)/VLOOKUP($D405,$C$5:$AJ$644,4,))*$F405))</f>
        <v>0</v>
      </c>
      <c r="U405" s="101">
        <f>IF(VLOOKUP($D405,$C$5:$AJ$644,19,)=0,0,((VLOOKUP($D405,$C$5:$AJ$644,19,)/VLOOKUP($D405,$C$5:$AJ$644,4,))*$F405))</f>
        <v>0</v>
      </c>
      <c r="V405" s="101">
        <f>IF(VLOOKUP($D405,$C$5:$AJ$644,20,)=0,0,((VLOOKUP($D405,$C$5:$AJ$644,20,)/VLOOKUP($D405,$C$5:$AJ$644,4,))*$F405))</f>
        <v>0</v>
      </c>
      <c r="W405" s="101">
        <f>IF(VLOOKUP($D405,$C$5:$AJ$644,21,)=0,0,((VLOOKUP($D405,$C$5:$AJ$644,21,)/VLOOKUP($D405,$C$5:$AJ$644,4,))*$F405))</f>
        <v>0</v>
      </c>
      <c r="X405" s="101">
        <f>IF(VLOOKUP($D405,$C$5:$AJ$644,22,)=0,0,((VLOOKUP($D405,$C$5:$AJ$644,22,)/VLOOKUP($D405,$C$5:$AJ$644,4,))*$F405))</f>
        <v>0</v>
      </c>
      <c r="Y405" s="101">
        <f>IF(VLOOKUP($D405,$C$5:$AJ$644,23,)=0,0,((VLOOKUP($D405,$C$5:$AJ$644,23,)/VLOOKUP($D405,$C$5:$AJ$644,4,))*$F405))</f>
        <v>0</v>
      </c>
      <c r="Z405" s="101">
        <f>IF(VLOOKUP($D405,$C$5:$AJ$644,24,)=0,0,((VLOOKUP($D405,$C$5:$AJ$644,24,)/VLOOKUP($D405,$C$5:$AJ$644,4,))*$F405))</f>
        <v>0</v>
      </c>
      <c r="AA405" s="101">
        <f>IF(VLOOKUP($D405,$C$5:$AJ$644,25,)=0,0,((VLOOKUP($D405,$C$5:$AJ$644,25,)/VLOOKUP($D405,$C$5:$AJ$644,4,))*$F405))</f>
        <v>0</v>
      </c>
      <c r="AB405" s="101">
        <f>IF(VLOOKUP($D405,$C$5:$AJ$644,26,)=0,0,((VLOOKUP($D405,$C$5:$AJ$644,26,)/VLOOKUP($D405,$C$5:$AJ$644,4,))*$F405))</f>
        <v>0</v>
      </c>
      <c r="AC405" s="101">
        <f>IF(VLOOKUP($D405,$C$5:$AJ$644,27,)=0,0,((VLOOKUP($D405,$C$5:$AJ$644,27,)/VLOOKUP($D405,$C$5:$AJ$644,4,))*$F405))</f>
        <v>0</v>
      </c>
      <c r="AD405" s="101">
        <f>IF(VLOOKUP($D405,$C$5:$AJ$644,28,)=0,0,((VLOOKUP($D405,$C$5:$AJ$644,28,)/VLOOKUP($D405,$C$5:$AJ$644,4,))*$F405))</f>
        <v>0</v>
      </c>
      <c r="AE405" s="101"/>
      <c r="AF405" s="101">
        <f>IF(VLOOKUP($D405,$C$5:$AJ$644,30,)=0,0,((VLOOKUP($D405,$C$5:$AJ$644,30,)/VLOOKUP($D405,$C$5:$AJ$644,4,))*$F405))</f>
        <v>0</v>
      </c>
      <c r="AG405" s="101"/>
      <c r="AH405" s="101">
        <f>IF(VLOOKUP($D405,$C$5:$AJ$644,32,)=0,0,((VLOOKUP($D405,$C$5:$AJ$644,32,)/VLOOKUP($D405,$C$5:$AJ$644,4,))*$F405))</f>
        <v>0</v>
      </c>
      <c r="AI405" s="101"/>
      <c r="AJ405" s="101">
        <f>IF(VLOOKUP($D405,$C$5:$AJ$644,34,)=0,0,((VLOOKUP($D405,$C$5:$AJ$644,34,)/VLOOKUP($D405,$C$5:$AJ$644,4,))*$F405))</f>
        <v>0</v>
      </c>
      <c r="AK405" s="101">
        <f t="shared" si="408"/>
        <v>0</v>
      </c>
      <c r="AL405" s="98" t="str">
        <f t="shared" si="409"/>
        <v>ok</v>
      </c>
    </row>
    <row r="406" spans="1:38" x14ac:dyDescent="0.25">
      <c r="F406" s="100"/>
      <c r="Y406" s="97"/>
      <c r="AK406" s="101"/>
      <c r="AL406" s="98"/>
    </row>
    <row r="407" spans="1:38" x14ac:dyDescent="0.25">
      <c r="B407" s="97" t="s">
        <v>1586</v>
      </c>
      <c r="C407" s="97" t="s">
        <v>739</v>
      </c>
      <c r="F407" s="100">
        <f>SUM(F401:F406)</f>
        <v>2838080.0148525946</v>
      </c>
      <c r="H407" s="100">
        <f t="shared" ref="H407:M407" si="410">SUM(H401:H406)</f>
        <v>975012.39112979174</v>
      </c>
      <c r="I407" s="100">
        <f t="shared" si="410"/>
        <v>919122.48576895334</v>
      </c>
      <c r="J407" s="100">
        <f t="shared" si="410"/>
        <v>943945.13795384974</v>
      </c>
      <c r="K407" s="100">
        <f t="shared" si="410"/>
        <v>0</v>
      </c>
      <c r="L407" s="100">
        <f t="shared" si="410"/>
        <v>0</v>
      </c>
      <c r="M407" s="100">
        <f t="shared" si="410"/>
        <v>0</v>
      </c>
      <c r="O407" s="100">
        <f>SUM(O401:O406)</f>
        <v>0</v>
      </c>
      <c r="P407" s="100">
        <f>SUM(P401:P406)</f>
        <v>0</v>
      </c>
      <c r="Q407" s="100">
        <f>SUM(Q401:Q406)</f>
        <v>0</v>
      </c>
      <c r="S407" s="100">
        <f t="shared" ref="S407:AD407" si="411">SUM(S401:S406)</f>
        <v>0</v>
      </c>
      <c r="T407" s="100">
        <f t="shared" si="411"/>
        <v>0</v>
      </c>
      <c r="U407" s="100">
        <f t="shared" si="411"/>
        <v>0</v>
      </c>
      <c r="V407" s="100">
        <f t="shared" si="411"/>
        <v>0</v>
      </c>
      <c r="W407" s="100">
        <f t="shared" si="411"/>
        <v>0</v>
      </c>
      <c r="X407" s="100">
        <f t="shared" si="411"/>
        <v>0</v>
      </c>
      <c r="Y407" s="100">
        <f t="shared" si="411"/>
        <v>0</v>
      </c>
      <c r="Z407" s="100">
        <f t="shared" si="411"/>
        <v>0</v>
      </c>
      <c r="AA407" s="100">
        <f t="shared" si="411"/>
        <v>0</v>
      </c>
      <c r="AB407" s="100">
        <f t="shared" si="411"/>
        <v>0</v>
      </c>
      <c r="AC407" s="100">
        <f t="shared" si="411"/>
        <v>0</v>
      </c>
      <c r="AD407" s="100">
        <f t="shared" si="411"/>
        <v>0</v>
      </c>
      <c r="AF407" s="100">
        <f>SUM(AF401:AF406)</f>
        <v>0</v>
      </c>
      <c r="AH407" s="100">
        <f>SUM(AH401:AH406)</f>
        <v>0</v>
      </c>
      <c r="AJ407" s="100">
        <f>SUM(AJ401:AJ406)</f>
        <v>0</v>
      </c>
      <c r="AK407" s="101">
        <f t="shared" si="408"/>
        <v>2838080.0148525946</v>
      </c>
      <c r="AL407" s="98" t="str">
        <f t="shared" si="409"/>
        <v>ok</v>
      </c>
    </row>
    <row r="408" spans="1:38" x14ac:dyDescent="0.25">
      <c r="F408" s="100"/>
      <c r="Y408" s="97"/>
      <c r="AK408" s="101"/>
      <c r="AL408" s="98"/>
    </row>
    <row r="409" spans="1:38" x14ac:dyDescent="0.25">
      <c r="A409" s="24" t="s">
        <v>1587</v>
      </c>
      <c r="F409" s="100"/>
      <c r="Y409" s="97"/>
      <c r="AK409" s="101"/>
      <c r="AL409" s="98"/>
    </row>
    <row r="410" spans="1:38" x14ac:dyDescent="0.25">
      <c r="A410" s="97">
        <v>551</v>
      </c>
      <c r="B410" s="97" t="s">
        <v>587</v>
      </c>
      <c r="C410" s="97" t="s">
        <v>1640</v>
      </c>
      <c r="D410" s="97" t="s">
        <v>736</v>
      </c>
      <c r="F410" s="100">
        <f>'Jurisdictional Study'!F1343</f>
        <v>201321.65433513024</v>
      </c>
      <c r="H410" s="101">
        <f>IF(VLOOKUP($D410,$C$5:$AJ$644,6,)=0,0,((VLOOKUP($D410,$C$5:$AJ$644,6,)/VLOOKUP($D410,$C$5:$AJ$644,4,))*$F410))</f>
        <v>69163.345132006696</v>
      </c>
      <c r="I410" s="101">
        <f>IF(VLOOKUP($D410,$C$5:$AJ$644,7,)=0,0,((VLOOKUP($D410,$C$5:$AJ$644,7,)/VLOOKUP($D410,$C$5:$AJ$644,4,))*$F410))</f>
        <v>65198.746477637105</v>
      </c>
      <c r="J410" s="101">
        <f>IF(VLOOKUP($D410,$C$5:$AJ$644,8,)=0,0,((VLOOKUP($D410,$C$5:$AJ$644,8,)/VLOOKUP($D410,$C$5:$AJ$644,4,))*$F410))</f>
        <v>66959.562725486423</v>
      </c>
      <c r="K410" s="101">
        <f>IF(VLOOKUP($D410,$C$5:$AJ$644,9,)=0,0,((VLOOKUP($D410,$C$5:$AJ$644,9,)/VLOOKUP($D410,$C$5:$AJ$644,4,))*$F410))</f>
        <v>0</v>
      </c>
      <c r="L410" s="101">
        <f>IF(VLOOKUP($D410,$C$5:$AJ$644,10,)=0,0,((VLOOKUP($D410,$C$5:$AJ$644,10,)/VLOOKUP($D410,$C$5:$AJ$644,4,))*$F410))</f>
        <v>0</v>
      </c>
      <c r="M410" s="101">
        <f>IF(VLOOKUP($D410,$C$5:$AJ$644,11,)=0,0,((VLOOKUP($D410,$C$5:$AJ$644,11,)/VLOOKUP($D410,$C$5:$AJ$644,4,))*$F410))</f>
        <v>0</v>
      </c>
      <c r="N410" s="101"/>
      <c r="O410" s="101">
        <f>IF(VLOOKUP($D410,$C$5:$AJ$644,13,)=0,0,((VLOOKUP($D410,$C$5:$AJ$644,13,)/VLOOKUP($D410,$C$5:$AJ$644,4,))*$F410))</f>
        <v>0</v>
      </c>
      <c r="P410" s="101">
        <f>IF(VLOOKUP($D410,$C$5:$AJ$644,14,)=0,0,((VLOOKUP($D410,$C$5:$AJ$644,14,)/VLOOKUP($D410,$C$5:$AJ$644,4,))*$F410))</f>
        <v>0</v>
      </c>
      <c r="Q410" s="101">
        <f>IF(VLOOKUP($D410,$C$5:$AJ$644,15,)=0,0,((VLOOKUP($D410,$C$5:$AJ$644,15,)/VLOOKUP($D410,$C$5:$AJ$644,4,))*$F410))</f>
        <v>0</v>
      </c>
      <c r="R410" s="101"/>
      <c r="S410" s="101">
        <f>IF(VLOOKUP($D410,$C$5:$AJ$644,17,)=0,0,((VLOOKUP($D410,$C$5:$AJ$644,17,)/VLOOKUP($D410,$C$5:$AJ$644,4,))*$F410))</f>
        <v>0</v>
      </c>
      <c r="T410" s="101">
        <f>IF(VLOOKUP($D410,$C$5:$AJ$644,18,)=0,0,((VLOOKUP($D410,$C$5:$AJ$644,18,)/VLOOKUP($D410,$C$5:$AJ$644,4,))*$F410))</f>
        <v>0</v>
      </c>
      <c r="U410" s="101">
        <f>IF(VLOOKUP($D410,$C$5:$AJ$644,19,)=0,0,((VLOOKUP($D410,$C$5:$AJ$644,19,)/VLOOKUP($D410,$C$5:$AJ$644,4,))*$F410))</f>
        <v>0</v>
      </c>
      <c r="V410" s="101">
        <f>IF(VLOOKUP($D410,$C$5:$AJ$644,20,)=0,0,((VLOOKUP($D410,$C$5:$AJ$644,20,)/VLOOKUP($D410,$C$5:$AJ$644,4,))*$F410))</f>
        <v>0</v>
      </c>
      <c r="W410" s="101">
        <f>IF(VLOOKUP($D410,$C$5:$AJ$644,21,)=0,0,((VLOOKUP($D410,$C$5:$AJ$644,21,)/VLOOKUP($D410,$C$5:$AJ$644,4,))*$F410))</f>
        <v>0</v>
      </c>
      <c r="X410" s="101">
        <f>IF(VLOOKUP($D410,$C$5:$AJ$644,22,)=0,0,((VLOOKUP($D410,$C$5:$AJ$644,22,)/VLOOKUP($D410,$C$5:$AJ$644,4,))*$F410))</f>
        <v>0</v>
      </c>
      <c r="Y410" s="101">
        <f>IF(VLOOKUP($D410,$C$5:$AJ$644,23,)=0,0,((VLOOKUP($D410,$C$5:$AJ$644,23,)/VLOOKUP($D410,$C$5:$AJ$644,4,))*$F410))</f>
        <v>0</v>
      </c>
      <c r="Z410" s="101">
        <f>IF(VLOOKUP($D410,$C$5:$AJ$644,24,)=0,0,((VLOOKUP($D410,$C$5:$AJ$644,24,)/VLOOKUP($D410,$C$5:$AJ$644,4,))*$F410))</f>
        <v>0</v>
      </c>
      <c r="AA410" s="101">
        <f>IF(VLOOKUP($D410,$C$5:$AJ$644,25,)=0,0,((VLOOKUP($D410,$C$5:$AJ$644,25,)/VLOOKUP($D410,$C$5:$AJ$644,4,))*$F410))</f>
        <v>0</v>
      </c>
      <c r="AB410" s="101">
        <f>IF(VLOOKUP($D410,$C$5:$AJ$644,26,)=0,0,((VLOOKUP($D410,$C$5:$AJ$644,26,)/VLOOKUP($D410,$C$5:$AJ$644,4,))*$F410))</f>
        <v>0</v>
      </c>
      <c r="AC410" s="101">
        <f>IF(VLOOKUP($D410,$C$5:$AJ$644,27,)=0,0,((VLOOKUP($D410,$C$5:$AJ$644,27,)/VLOOKUP($D410,$C$5:$AJ$644,4,))*$F410))</f>
        <v>0</v>
      </c>
      <c r="AD410" s="101">
        <f>IF(VLOOKUP($D410,$C$5:$AJ$644,28,)=0,0,((VLOOKUP($D410,$C$5:$AJ$644,28,)/VLOOKUP($D410,$C$5:$AJ$644,4,))*$F410))</f>
        <v>0</v>
      </c>
      <c r="AE410" s="101"/>
      <c r="AF410" s="101">
        <f>IF(VLOOKUP($D410,$C$5:$AJ$644,30,)=0,0,((VLOOKUP($D410,$C$5:$AJ$644,30,)/VLOOKUP($D410,$C$5:$AJ$644,4,))*$F410))</f>
        <v>0</v>
      </c>
      <c r="AG410" s="101"/>
      <c r="AH410" s="101">
        <f>IF(VLOOKUP($D410,$C$5:$AJ$644,32,)=0,0,((VLOOKUP($D410,$C$5:$AJ$644,32,)/VLOOKUP($D410,$C$5:$AJ$644,4,))*$F410))</f>
        <v>0</v>
      </c>
      <c r="AI410" s="101"/>
      <c r="AJ410" s="101">
        <f>IF(VLOOKUP($D410,$C$5:$AJ$644,34,)=0,0,((VLOOKUP($D410,$C$5:$AJ$644,34,)/VLOOKUP($D410,$C$5:$AJ$644,4,))*$F410))</f>
        <v>0</v>
      </c>
      <c r="AK410" s="101">
        <f t="shared" ref="AK410:AK417" si="412">SUM(H410:AJ410)</f>
        <v>201321.65433513024</v>
      </c>
      <c r="AL410" s="98" t="str">
        <f t="shared" ref="AL410:AL417" si="413">IF(ABS(AK410-F410)&lt;1,"ok","err")</f>
        <v>ok</v>
      </c>
    </row>
    <row r="411" spans="1:38" x14ac:dyDescent="0.25">
      <c r="A411" s="97">
        <v>552</v>
      </c>
      <c r="B411" s="97" t="s">
        <v>586</v>
      </c>
      <c r="C411" s="97" t="s">
        <v>1641</v>
      </c>
      <c r="D411" s="97" t="s">
        <v>736</v>
      </c>
      <c r="F411" s="101">
        <f>'Jurisdictional Study'!F1344</f>
        <v>0</v>
      </c>
      <c r="H411" s="101">
        <f>IF(VLOOKUP($D411,$C$5:$AJ$644,6,)=0,0,((VLOOKUP($D411,$C$5:$AJ$644,6,)/VLOOKUP($D411,$C$5:$AJ$644,4,))*$F411))</f>
        <v>0</v>
      </c>
      <c r="I411" s="101">
        <f>IF(VLOOKUP($D411,$C$5:$AJ$644,7,)=0,0,((VLOOKUP($D411,$C$5:$AJ$644,7,)/VLOOKUP($D411,$C$5:$AJ$644,4,))*$F411))</f>
        <v>0</v>
      </c>
      <c r="J411" s="101">
        <f>IF(VLOOKUP($D411,$C$5:$AJ$644,8,)=0,0,((VLOOKUP($D411,$C$5:$AJ$644,8,)/VLOOKUP($D411,$C$5:$AJ$644,4,))*$F411))</f>
        <v>0</v>
      </c>
      <c r="K411" s="101">
        <f>IF(VLOOKUP($D411,$C$5:$AJ$644,9,)=0,0,((VLOOKUP($D411,$C$5:$AJ$644,9,)/VLOOKUP($D411,$C$5:$AJ$644,4,))*$F411))</f>
        <v>0</v>
      </c>
      <c r="L411" s="101">
        <f>IF(VLOOKUP($D411,$C$5:$AJ$644,10,)=0,0,((VLOOKUP($D411,$C$5:$AJ$644,10,)/VLOOKUP($D411,$C$5:$AJ$644,4,))*$F411))</f>
        <v>0</v>
      </c>
      <c r="M411" s="101">
        <f>IF(VLOOKUP($D411,$C$5:$AJ$644,11,)=0,0,((VLOOKUP($D411,$C$5:$AJ$644,11,)/VLOOKUP($D411,$C$5:$AJ$644,4,))*$F411))</f>
        <v>0</v>
      </c>
      <c r="N411" s="101"/>
      <c r="O411" s="101">
        <f>IF(VLOOKUP($D411,$C$5:$AJ$644,13,)=0,0,((VLOOKUP($D411,$C$5:$AJ$644,13,)/VLOOKUP($D411,$C$5:$AJ$644,4,))*$F411))</f>
        <v>0</v>
      </c>
      <c r="P411" s="101">
        <f>IF(VLOOKUP($D411,$C$5:$AJ$644,14,)=0,0,((VLOOKUP($D411,$C$5:$AJ$644,14,)/VLOOKUP($D411,$C$5:$AJ$644,4,))*$F411))</f>
        <v>0</v>
      </c>
      <c r="Q411" s="101">
        <f>IF(VLOOKUP($D411,$C$5:$AJ$644,15,)=0,0,((VLOOKUP($D411,$C$5:$AJ$644,15,)/VLOOKUP($D411,$C$5:$AJ$644,4,))*$F411))</f>
        <v>0</v>
      </c>
      <c r="R411" s="101"/>
      <c r="S411" s="101">
        <f>IF(VLOOKUP($D411,$C$5:$AJ$644,17,)=0,0,((VLOOKUP($D411,$C$5:$AJ$644,17,)/VLOOKUP($D411,$C$5:$AJ$644,4,))*$F411))</f>
        <v>0</v>
      </c>
      <c r="T411" s="101">
        <f>IF(VLOOKUP($D411,$C$5:$AJ$644,18,)=0,0,((VLOOKUP($D411,$C$5:$AJ$644,18,)/VLOOKUP($D411,$C$5:$AJ$644,4,))*$F411))</f>
        <v>0</v>
      </c>
      <c r="U411" s="101">
        <f>IF(VLOOKUP($D411,$C$5:$AJ$644,19,)=0,0,((VLOOKUP($D411,$C$5:$AJ$644,19,)/VLOOKUP($D411,$C$5:$AJ$644,4,))*$F411))</f>
        <v>0</v>
      </c>
      <c r="V411" s="101">
        <f>IF(VLOOKUP($D411,$C$5:$AJ$644,20,)=0,0,((VLOOKUP($D411,$C$5:$AJ$644,20,)/VLOOKUP($D411,$C$5:$AJ$644,4,))*$F411))</f>
        <v>0</v>
      </c>
      <c r="W411" s="101">
        <f>IF(VLOOKUP($D411,$C$5:$AJ$644,21,)=0,0,((VLOOKUP($D411,$C$5:$AJ$644,21,)/VLOOKUP($D411,$C$5:$AJ$644,4,))*$F411))</f>
        <v>0</v>
      </c>
      <c r="X411" s="101">
        <f>IF(VLOOKUP($D411,$C$5:$AJ$644,22,)=0,0,((VLOOKUP($D411,$C$5:$AJ$644,22,)/VLOOKUP($D411,$C$5:$AJ$644,4,))*$F411))</f>
        <v>0</v>
      </c>
      <c r="Y411" s="101">
        <f>IF(VLOOKUP($D411,$C$5:$AJ$644,23,)=0,0,((VLOOKUP($D411,$C$5:$AJ$644,23,)/VLOOKUP($D411,$C$5:$AJ$644,4,))*$F411))</f>
        <v>0</v>
      </c>
      <c r="Z411" s="101">
        <f>IF(VLOOKUP($D411,$C$5:$AJ$644,24,)=0,0,((VLOOKUP($D411,$C$5:$AJ$644,24,)/VLOOKUP($D411,$C$5:$AJ$644,4,))*$F411))</f>
        <v>0</v>
      </c>
      <c r="AA411" s="101">
        <f>IF(VLOOKUP($D411,$C$5:$AJ$644,25,)=0,0,((VLOOKUP($D411,$C$5:$AJ$644,25,)/VLOOKUP($D411,$C$5:$AJ$644,4,))*$F411))</f>
        <v>0</v>
      </c>
      <c r="AB411" s="101">
        <f>IF(VLOOKUP($D411,$C$5:$AJ$644,26,)=0,0,((VLOOKUP($D411,$C$5:$AJ$644,26,)/VLOOKUP($D411,$C$5:$AJ$644,4,))*$F411))</f>
        <v>0</v>
      </c>
      <c r="AC411" s="101">
        <f>IF(VLOOKUP($D411,$C$5:$AJ$644,27,)=0,0,((VLOOKUP($D411,$C$5:$AJ$644,27,)/VLOOKUP($D411,$C$5:$AJ$644,4,))*$F411))</f>
        <v>0</v>
      </c>
      <c r="AD411" s="101">
        <f>IF(VLOOKUP($D411,$C$5:$AJ$644,28,)=0,0,((VLOOKUP($D411,$C$5:$AJ$644,28,)/VLOOKUP($D411,$C$5:$AJ$644,4,))*$F411))</f>
        <v>0</v>
      </c>
      <c r="AE411" s="101"/>
      <c r="AF411" s="101">
        <f>IF(VLOOKUP($D411,$C$5:$AJ$644,30,)=0,0,((VLOOKUP($D411,$C$5:$AJ$644,30,)/VLOOKUP($D411,$C$5:$AJ$644,4,))*$F411))</f>
        <v>0</v>
      </c>
      <c r="AG411" s="101"/>
      <c r="AH411" s="101">
        <f>IF(VLOOKUP($D411,$C$5:$AJ$644,32,)=0,0,((VLOOKUP($D411,$C$5:$AJ$644,32,)/VLOOKUP($D411,$C$5:$AJ$644,4,))*$F411))</f>
        <v>0</v>
      </c>
      <c r="AI411" s="101"/>
      <c r="AJ411" s="101">
        <f>IF(VLOOKUP($D411,$C$5:$AJ$644,34,)=0,0,((VLOOKUP($D411,$C$5:$AJ$644,34,)/VLOOKUP($D411,$C$5:$AJ$644,4,))*$F411))</f>
        <v>0</v>
      </c>
      <c r="AK411" s="101">
        <f t="shared" si="412"/>
        <v>0</v>
      </c>
      <c r="AL411" s="98" t="str">
        <f t="shared" si="413"/>
        <v>ok</v>
      </c>
    </row>
    <row r="412" spans="1:38" x14ac:dyDescent="0.25">
      <c r="A412" s="97">
        <v>553</v>
      </c>
      <c r="B412" s="97" t="s">
        <v>1590</v>
      </c>
      <c r="C412" s="97" t="s">
        <v>1642</v>
      </c>
      <c r="D412" s="97" t="s">
        <v>736</v>
      </c>
      <c r="F412" s="101">
        <f>'Jurisdictional Study'!F1345</f>
        <v>1017670.1209554366</v>
      </c>
      <c r="H412" s="101">
        <f>IF(VLOOKUP($D412,$C$5:$AJ$644,6,)=0,0,((VLOOKUP($D412,$C$5:$AJ$644,6,)/VLOOKUP($D412,$C$5:$AJ$644,4,))*$F412))</f>
        <v>349616.98501148139</v>
      </c>
      <c r="I412" s="101">
        <f>IF(VLOOKUP($D412,$C$5:$AJ$644,7,)=0,0,((VLOOKUP($D412,$C$5:$AJ$644,7,)/VLOOKUP($D412,$C$5:$AJ$644,4,))*$F412))</f>
        <v>329576.15231786674</v>
      </c>
      <c r="J412" s="101">
        <f>IF(VLOOKUP($D412,$C$5:$AJ$644,8,)=0,0,((VLOOKUP($D412,$C$5:$AJ$644,8,)/VLOOKUP($D412,$C$5:$AJ$644,4,))*$F412))</f>
        <v>338476.98362608848</v>
      </c>
      <c r="K412" s="101">
        <f>IF(VLOOKUP($D412,$C$5:$AJ$644,9,)=0,0,((VLOOKUP($D412,$C$5:$AJ$644,9,)/VLOOKUP($D412,$C$5:$AJ$644,4,))*$F412))</f>
        <v>0</v>
      </c>
      <c r="L412" s="101">
        <f>IF(VLOOKUP($D412,$C$5:$AJ$644,10,)=0,0,((VLOOKUP($D412,$C$5:$AJ$644,10,)/VLOOKUP($D412,$C$5:$AJ$644,4,))*$F412))</f>
        <v>0</v>
      </c>
      <c r="M412" s="101">
        <f>IF(VLOOKUP($D412,$C$5:$AJ$644,11,)=0,0,((VLOOKUP($D412,$C$5:$AJ$644,11,)/VLOOKUP($D412,$C$5:$AJ$644,4,))*$F412))</f>
        <v>0</v>
      </c>
      <c r="N412" s="101"/>
      <c r="O412" s="101">
        <f>IF(VLOOKUP($D412,$C$5:$AJ$644,13,)=0,0,((VLOOKUP($D412,$C$5:$AJ$644,13,)/VLOOKUP($D412,$C$5:$AJ$644,4,))*$F412))</f>
        <v>0</v>
      </c>
      <c r="P412" s="101">
        <f>IF(VLOOKUP($D412,$C$5:$AJ$644,14,)=0,0,((VLOOKUP($D412,$C$5:$AJ$644,14,)/VLOOKUP($D412,$C$5:$AJ$644,4,))*$F412))</f>
        <v>0</v>
      </c>
      <c r="Q412" s="101">
        <f>IF(VLOOKUP($D412,$C$5:$AJ$644,15,)=0,0,((VLOOKUP($D412,$C$5:$AJ$644,15,)/VLOOKUP($D412,$C$5:$AJ$644,4,))*$F412))</f>
        <v>0</v>
      </c>
      <c r="R412" s="101"/>
      <c r="S412" s="101">
        <f>IF(VLOOKUP($D412,$C$5:$AJ$644,17,)=0,0,((VLOOKUP($D412,$C$5:$AJ$644,17,)/VLOOKUP($D412,$C$5:$AJ$644,4,))*$F412))</f>
        <v>0</v>
      </c>
      <c r="T412" s="101">
        <f>IF(VLOOKUP($D412,$C$5:$AJ$644,18,)=0,0,((VLOOKUP($D412,$C$5:$AJ$644,18,)/VLOOKUP($D412,$C$5:$AJ$644,4,))*$F412))</f>
        <v>0</v>
      </c>
      <c r="U412" s="101">
        <f>IF(VLOOKUP($D412,$C$5:$AJ$644,19,)=0,0,((VLOOKUP($D412,$C$5:$AJ$644,19,)/VLOOKUP($D412,$C$5:$AJ$644,4,))*$F412))</f>
        <v>0</v>
      </c>
      <c r="V412" s="101">
        <f>IF(VLOOKUP($D412,$C$5:$AJ$644,20,)=0,0,((VLOOKUP($D412,$C$5:$AJ$644,20,)/VLOOKUP($D412,$C$5:$AJ$644,4,))*$F412))</f>
        <v>0</v>
      </c>
      <c r="W412" s="101">
        <f>IF(VLOOKUP($D412,$C$5:$AJ$644,21,)=0,0,((VLOOKUP($D412,$C$5:$AJ$644,21,)/VLOOKUP($D412,$C$5:$AJ$644,4,))*$F412))</f>
        <v>0</v>
      </c>
      <c r="X412" s="101">
        <f>IF(VLOOKUP($D412,$C$5:$AJ$644,22,)=0,0,((VLOOKUP($D412,$C$5:$AJ$644,22,)/VLOOKUP($D412,$C$5:$AJ$644,4,))*$F412))</f>
        <v>0</v>
      </c>
      <c r="Y412" s="101">
        <f>IF(VLOOKUP($D412,$C$5:$AJ$644,23,)=0,0,((VLOOKUP($D412,$C$5:$AJ$644,23,)/VLOOKUP($D412,$C$5:$AJ$644,4,))*$F412))</f>
        <v>0</v>
      </c>
      <c r="Z412" s="101">
        <f>IF(VLOOKUP($D412,$C$5:$AJ$644,24,)=0,0,((VLOOKUP($D412,$C$5:$AJ$644,24,)/VLOOKUP($D412,$C$5:$AJ$644,4,))*$F412))</f>
        <v>0</v>
      </c>
      <c r="AA412" s="101">
        <f>IF(VLOOKUP($D412,$C$5:$AJ$644,25,)=0,0,((VLOOKUP($D412,$C$5:$AJ$644,25,)/VLOOKUP($D412,$C$5:$AJ$644,4,))*$F412))</f>
        <v>0</v>
      </c>
      <c r="AB412" s="101">
        <f>IF(VLOOKUP($D412,$C$5:$AJ$644,26,)=0,0,((VLOOKUP($D412,$C$5:$AJ$644,26,)/VLOOKUP($D412,$C$5:$AJ$644,4,))*$F412))</f>
        <v>0</v>
      </c>
      <c r="AC412" s="101">
        <f>IF(VLOOKUP($D412,$C$5:$AJ$644,27,)=0,0,((VLOOKUP($D412,$C$5:$AJ$644,27,)/VLOOKUP($D412,$C$5:$AJ$644,4,))*$F412))</f>
        <v>0</v>
      </c>
      <c r="AD412" s="101">
        <f>IF(VLOOKUP($D412,$C$5:$AJ$644,28,)=0,0,((VLOOKUP($D412,$C$5:$AJ$644,28,)/VLOOKUP($D412,$C$5:$AJ$644,4,))*$F412))</f>
        <v>0</v>
      </c>
      <c r="AE412" s="101"/>
      <c r="AF412" s="101">
        <f>IF(VLOOKUP($D412,$C$5:$AJ$644,30,)=0,0,((VLOOKUP($D412,$C$5:$AJ$644,30,)/VLOOKUP($D412,$C$5:$AJ$644,4,))*$F412))</f>
        <v>0</v>
      </c>
      <c r="AG412" s="101"/>
      <c r="AH412" s="101">
        <f>IF(VLOOKUP($D412,$C$5:$AJ$644,32,)=0,0,((VLOOKUP($D412,$C$5:$AJ$644,32,)/VLOOKUP($D412,$C$5:$AJ$644,4,))*$F412))</f>
        <v>0</v>
      </c>
      <c r="AI412" s="101"/>
      <c r="AJ412" s="101">
        <f>IF(VLOOKUP($D412,$C$5:$AJ$644,34,)=0,0,((VLOOKUP($D412,$C$5:$AJ$644,34,)/VLOOKUP($D412,$C$5:$AJ$644,4,))*$F412))</f>
        <v>0</v>
      </c>
      <c r="AK412" s="101">
        <f t="shared" si="412"/>
        <v>1017670.1209554366</v>
      </c>
      <c r="AL412" s="98" t="str">
        <f t="shared" si="413"/>
        <v>ok</v>
      </c>
    </row>
    <row r="413" spans="1:38" x14ac:dyDescent="0.25">
      <c r="A413" s="97">
        <v>554</v>
      </c>
      <c r="B413" s="97" t="s">
        <v>1592</v>
      </c>
      <c r="C413" s="97" t="s">
        <v>1643</v>
      </c>
      <c r="D413" s="97" t="s">
        <v>736</v>
      </c>
      <c r="F413" s="101">
        <f>'Jurisdictional Study'!F1346</f>
        <v>1600551.1800908926</v>
      </c>
      <c r="H413" s="101">
        <f>IF(VLOOKUP($D413,$C$5:$AJ$644,6,)=0,0,((VLOOKUP($D413,$C$5:$AJ$644,6,)/VLOOKUP($D413,$C$5:$AJ$644,4,))*$F413))</f>
        <v>549863.71950724709</v>
      </c>
      <c r="I413" s="101">
        <f>IF(VLOOKUP($D413,$C$5:$AJ$644,7,)=0,0,((VLOOKUP($D413,$C$5:$AJ$644,7,)/VLOOKUP($D413,$C$5:$AJ$644,4,))*$F413))</f>
        <v>518344.29316538473</v>
      </c>
      <c r="J413" s="101">
        <f>IF(VLOOKUP($D413,$C$5:$AJ$644,8,)=0,0,((VLOOKUP($D413,$C$5:$AJ$644,8,)/VLOOKUP($D413,$C$5:$AJ$644,4,))*$F413))</f>
        <v>532343.16741826071</v>
      </c>
      <c r="K413" s="101">
        <f>IF(VLOOKUP($D413,$C$5:$AJ$644,9,)=0,0,((VLOOKUP($D413,$C$5:$AJ$644,9,)/VLOOKUP($D413,$C$5:$AJ$644,4,))*$F413))</f>
        <v>0</v>
      </c>
      <c r="L413" s="101">
        <f>IF(VLOOKUP($D413,$C$5:$AJ$644,10,)=0,0,((VLOOKUP($D413,$C$5:$AJ$644,10,)/VLOOKUP($D413,$C$5:$AJ$644,4,))*$F413))</f>
        <v>0</v>
      </c>
      <c r="M413" s="101">
        <f>IF(VLOOKUP($D413,$C$5:$AJ$644,11,)=0,0,((VLOOKUP($D413,$C$5:$AJ$644,11,)/VLOOKUP($D413,$C$5:$AJ$644,4,))*$F413))</f>
        <v>0</v>
      </c>
      <c r="N413" s="101"/>
      <c r="O413" s="101">
        <f>IF(VLOOKUP($D413,$C$5:$AJ$644,13,)=0,0,((VLOOKUP($D413,$C$5:$AJ$644,13,)/VLOOKUP($D413,$C$5:$AJ$644,4,))*$F413))</f>
        <v>0</v>
      </c>
      <c r="P413" s="101">
        <f>IF(VLOOKUP($D413,$C$5:$AJ$644,14,)=0,0,((VLOOKUP($D413,$C$5:$AJ$644,14,)/VLOOKUP($D413,$C$5:$AJ$644,4,))*$F413))</f>
        <v>0</v>
      </c>
      <c r="Q413" s="101">
        <f>IF(VLOOKUP($D413,$C$5:$AJ$644,15,)=0,0,((VLOOKUP($D413,$C$5:$AJ$644,15,)/VLOOKUP($D413,$C$5:$AJ$644,4,))*$F413))</f>
        <v>0</v>
      </c>
      <c r="R413" s="101"/>
      <c r="S413" s="101">
        <f>IF(VLOOKUP($D413,$C$5:$AJ$644,17,)=0,0,((VLOOKUP($D413,$C$5:$AJ$644,17,)/VLOOKUP($D413,$C$5:$AJ$644,4,))*$F413))</f>
        <v>0</v>
      </c>
      <c r="T413" s="101">
        <f>IF(VLOOKUP($D413,$C$5:$AJ$644,18,)=0,0,((VLOOKUP($D413,$C$5:$AJ$644,18,)/VLOOKUP($D413,$C$5:$AJ$644,4,))*$F413))</f>
        <v>0</v>
      </c>
      <c r="U413" s="101">
        <f>IF(VLOOKUP($D413,$C$5:$AJ$644,19,)=0,0,((VLOOKUP($D413,$C$5:$AJ$644,19,)/VLOOKUP($D413,$C$5:$AJ$644,4,))*$F413))</f>
        <v>0</v>
      </c>
      <c r="V413" s="101">
        <f>IF(VLOOKUP($D413,$C$5:$AJ$644,20,)=0,0,((VLOOKUP($D413,$C$5:$AJ$644,20,)/VLOOKUP($D413,$C$5:$AJ$644,4,))*$F413))</f>
        <v>0</v>
      </c>
      <c r="W413" s="101">
        <f>IF(VLOOKUP($D413,$C$5:$AJ$644,21,)=0,0,((VLOOKUP($D413,$C$5:$AJ$644,21,)/VLOOKUP($D413,$C$5:$AJ$644,4,))*$F413))</f>
        <v>0</v>
      </c>
      <c r="X413" s="101">
        <f>IF(VLOOKUP($D413,$C$5:$AJ$644,22,)=0,0,((VLOOKUP($D413,$C$5:$AJ$644,22,)/VLOOKUP($D413,$C$5:$AJ$644,4,))*$F413))</f>
        <v>0</v>
      </c>
      <c r="Y413" s="101">
        <f>IF(VLOOKUP($D413,$C$5:$AJ$644,23,)=0,0,((VLOOKUP($D413,$C$5:$AJ$644,23,)/VLOOKUP($D413,$C$5:$AJ$644,4,))*$F413))</f>
        <v>0</v>
      </c>
      <c r="Z413" s="101">
        <f>IF(VLOOKUP($D413,$C$5:$AJ$644,24,)=0,0,((VLOOKUP($D413,$C$5:$AJ$644,24,)/VLOOKUP($D413,$C$5:$AJ$644,4,))*$F413))</f>
        <v>0</v>
      </c>
      <c r="AA413" s="101">
        <f>IF(VLOOKUP($D413,$C$5:$AJ$644,25,)=0,0,((VLOOKUP($D413,$C$5:$AJ$644,25,)/VLOOKUP($D413,$C$5:$AJ$644,4,))*$F413))</f>
        <v>0</v>
      </c>
      <c r="AB413" s="101">
        <f>IF(VLOOKUP($D413,$C$5:$AJ$644,26,)=0,0,((VLOOKUP($D413,$C$5:$AJ$644,26,)/VLOOKUP($D413,$C$5:$AJ$644,4,))*$F413))</f>
        <v>0</v>
      </c>
      <c r="AC413" s="101">
        <f>IF(VLOOKUP($D413,$C$5:$AJ$644,27,)=0,0,((VLOOKUP($D413,$C$5:$AJ$644,27,)/VLOOKUP($D413,$C$5:$AJ$644,4,))*$F413))</f>
        <v>0</v>
      </c>
      <c r="AD413" s="101">
        <f>IF(VLOOKUP($D413,$C$5:$AJ$644,28,)=0,0,((VLOOKUP($D413,$C$5:$AJ$644,28,)/VLOOKUP($D413,$C$5:$AJ$644,4,))*$F413))</f>
        <v>0</v>
      </c>
      <c r="AE413" s="101"/>
      <c r="AF413" s="101">
        <f>IF(VLOOKUP($D413,$C$5:$AJ$644,30,)=0,0,((VLOOKUP($D413,$C$5:$AJ$644,30,)/VLOOKUP($D413,$C$5:$AJ$644,4,))*$F413))</f>
        <v>0</v>
      </c>
      <c r="AG413" s="101"/>
      <c r="AH413" s="101">
        <f>IF(VLOOKUP($D413,$C$5:$AJ$644,32,)=0,0,((VLOOKUP($D413,$C$5:$AJ$644,32,)/VLOOKUP($D413,$C$5:$AJ$644,4,))*$F413))</f>
        <v>0</v>
      </c>
      <c r="AI413" s="101"/>
      <c r="AJ413" s="101">
        <f>IF(VLOOKUP($D413,$C$5:$AJ$644,34,)=0,0,((VLOOKUP($D413,$C$5:$AJ$644,34,)/VLOOKUP($D413,$C$5:$AJ$644,4,))*$F413))</f>
        <v>0</v>
      </c>
      <c r="AK413" s="101">
        <f t="shared" si="412"/>
        <v>1600551.1800908926</v>
      </c>
      <c r="AL413" s="98" t="str">
        <f t="shared" si="413"/>
        <v>ok</v>
      </c>
    </row>
    <row r="414" spans="1:38" x14ac:dyDescent="0.25">
      <c r="F414" s="100"/>
      <c r="Y414" s="97"/>
      <c r="AK414" s="101"/>
      <c r="AL414" s="98"/>
    </row>
    <row r="415" spans="1:38" x14ac:dyDescent="0.25">
      <c r="B415" s="97" t="s">
        <v>1595</v>
      </c>
      <c r="C415" s="97" t="s">
        <v>218</v>
      </c>
      <c r="F415" s="100">
        <f>SUM(F410:F414)</f>
        <v>2819542.9553814596</v>
      </c>
      <c r="H415" s="100">
        <f t="shared" ref="H415:M415" si="414">SUM(H410:H414)</f>
        <v>968644.04965073522</v>
      </c>
      <c r="I415" s="100">
        <f t="shared" si="414"/>
        <v>913119.19196088857</v>
      </c>
      <c r="J415" s="100">
        <f t="shared" si="414"/>
        <v>937779.71376983565</v>
      </c>
      <c r="K415" s="100">
        <f t="shared" si="414"/>
        <v>0</v>
      </c>
      <c r="L415" s="100">
        <f t="shared" si="414"/>
        <v>0</v>
      </c>
      <c r="M415" s="100">
        <f t="shared" si="414"/>
        <v>0</v>
      </c>
      <c r="O415" s="100">
        <f>SUM(O410:O414)</f>
        <v>0</v>
      </c>
      <c r="P415" s="100">
        <f>SUM(P410:P414)</f>
        <v>0</v>
      </c>
      <c r="Q415" s="100">
        <f>SUM(Q410:Q414)</f>
        <v>0</v>
      </c>
      <c r="S415" s="100">
        <f t="shared" ref="S415:AD415" si="415">SUM(S410:S414)</f>
        <v>0</v>
      </c>
      <c r="T415" s="100">
        <f t="shared" si="415"/>
        <v>0</v>
      </c>
      <c r="U415" s="100">
        <f t="shared" si="415"/>
        <v>0</v>
      </c>
      <c r="V415" s="100">
        <f t="shared" si="415"/>
        <v>0</v>
      </c>
      <c r="W415" s="100">
        <f t="shared" si="415"/>
        <v>0</v>
      </c>
      <c r="X415" s="100">
        <f t="shared" si="415"/>
        <v>0</v>
      </c>
      <c r="Y415" s="100">
        <f t="shared" si="415"/>
        <v>0</v>
      </c>
      <c r="Z415" s="100">
        <f t="shared" si="415"/>
        <v>0</v>
      </c>
      <c r="AA415" s="100">
        <f t="shared" si="415"/>
        <v>0</v>
      </c>
      <c r="AB415" s="100">
        <f t="shared" si="415"/>
        <v>0</v>
      </c>
      <c r="AC415" s="100">
        <f t="shared" si="415"/>
        <v>0</v>
      </c>
      <c r="AD415" s="100">
        <f t="shared" si="415"/>
        <v>0</v>
      </c>
      <c r="AF415" s="100">
        <f>SUM(AF410:AF414)</f>
        <v>0</v>
      </c>
      <c r="AH415" s="100">
        <f>SUM(AH410:AH414)</f>
        <v>0</v>
      </c>
      <c r="AJ415" s="100">
        <f>SUM(AJ410:AJ414)</f>
        <v>0</v>
      </c>
      <c r="AK415" s="101">
        <f t="shared" si="412"/>
        <v>2819542.9553814596</v>
      </c>
      <c r="AL415" s="98" t="str">
        <f t="shared" si="413"/>
        <v>ok</v>
      </c>
    </row>
    <row r="416" spans="1:38" x14ac:dyDescent="0.25">
      <c r="F416" s="100"/>
      <c r="H416" s="100"/>
      <c r="I416" s="100"/>
      <c r="J416" s="100"/>
      <c r="K416" s="100"/>
      <c r="L416" s="100"/>
      <c r="M416" s="100"/>
      <c r="O416" s="100"/>
      <c r="P416" s="100"/>
      <c r="Q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F416" s="100"/>
      <c r="AH416" s="100"/>
      <c r="AJ416" s="100"/>
      <c r="AK416" s="101"/>
      <c r="AL416" s="98"/>
    </row>
    <row r="417" spans="1:38" x14ac:dyDescent="0.25">
      <c r="B417" s="97" t="s">
        <v>1594</v>
      </c>
      <c r="F417" s="100">
        <f>F407+F415</f>
        <v>5657622.9702340541</v>
      </c>
      <c r="H417" s="100">
        <f t="shared" ref="H417:M417" si="416">H407+H415</f>
        <v>1943656.440780527</v>
      </c>
      <c r="I417" s="100">
        <f t="shared" si="416"/>
        <v>1832241.6777298418</v>
      </c>
      <c r="J417" s="100">
        <f t="shared" si="416"/>
        <v>1881724.8517236854</v>
      </c>
      <c r="K417" s="100">
        <f t="shared" si="416"/>
        <v>0</v>
      </c>
      <c r="L417" s="100">
        <f t="shared" si="416"/>
        <v>0</v>
      </c>
      <c r="M417" s="100">
        <f t="shared" si="416"/>
        <v>0</v>
      </c>
      <c r="O417" s="100">
        <f>O407+O415</f>
        <v>0</v>
      </c>
      <c r="P417" s="100">
        <f>P407+P415</f>
        <v>0</v>
      </c>
      <c r="Q417" s="100">
        <f>Q407+Q415</f>
        <v>0</v>
      </c>
      <c r="S417" s="100">
        <f t="shared" ref="S417:AD417" si="417">S407+S415</f>
        <v>0</v>
      </c>
      <c r="T417" s="100">
        <f t="shared" si="417"/>
        <v>0</v>
      </c>
      <c r="U417" s="100">
        <f t="shared" si="417"/>
        <v>0</v>
      </c>
      <c r="V417" s="100">
        <f t="shared" si="417"/>
        <v>0</v>
      </c>
      <c r="W417" s="100">
        <f t="shared" si="417"/>
        <v>0</v>
      </c>
      <c r="X417" s="100">
        <f t="shared" si="417"/>
        <v>0</v>
      </c>
      <c r="Y417" s="100">
        <f t="shared" si="417"/>
        <v>0</v>
      </c>
      <c r="Z417" s="100">
        <f t="shared" si="417"/>
        <v>0</v>
      </c>
      <c r="AA417" s="100">
        <f t="shared" si="417"/>
        <v>0</v>
      </c>
      <c r="AB417" s="100">
        <f t="shared" si="417"/>
        <v>0</v>
      </c>
      <c r="AC417" s="100">
        <f t="shared" si="417"/>
        <v>0</v>
      </c>
      <c r="AD417" s="100">
        <f t="shared" si="417"/>
        <v>0</v>
      </c>
      <c r="AF417" s="100">
        <f>AF407+AF415</f>
        <v>0</v>
      </c>
      <c r="AH417" s="100">
        <f>AH407+AH415</f>
        <v>0</v>
      </c>
      <c r="AJ417" s="100">
        <f>AJ407+AJ415</f>
        <v>0</v>
      </c>
      <c r="AK417" s="101">
        <f t="shared" si="412"/>
        <v>5657622.9702340541</v>
      </c>
      <c r="AL417" s="98" t="str">
        <f t="shared" si="413"/>
        <v>ok</v>
      </c>
    </row>
    <row r="418" spans="1:38" x14ac:dyDescent="0.25">
      <c r="F418" s="100"/>
      <c r="Y418" s="97"/>
      <c r="AK418" s="101"/>
      <c r="AL418" s="98"/>
    </row>
    <row r="419" spans="1:38" x14ac:dyDescent="0.25">
      <c r="B419" s="97" t="s">
        <v>1687</v>
      </c>
      <c r="C419" s="97" t="s">
        <v>1689</v>
      </c>
      <c r="F419" s="100">
        <f>F417+F377+F398</f>
        <v>52761815.924879842</v>
      </c>
      <c r="H419" s="100">
        <f t="shared" ref="H419:M419" si="418">H417+H377+H398</f>
        <v>10299025.654999528</v>
      </c>
      <c r="I419" s="100">
        <f t="shared" si="418"/>
        <v>9708662.3176682126</v>
      </c>
      <c r="J419" s="100">
        <f t="shared" si="418"/>
        <v>9970863.223013781</v>
      </c>
      <c r="K419" s="100">
        <f t="shared" si="418"/>
        <v>22783264.729198322</v>
      </c>
      <c r="L419" s="100">
        <f t="shared" si="418"/>
        <v>0</v>
      </c>
      <c r="M419" s="100">
        <f t="shared" si="418"/>
        <v>0</v>
      </c>
      <c r="N419" s="101"/>
      <c r="O419" s="100">
        <f>O417+O377+O398</f>
        <v>0</v>
      </c>
      <c r="P419" s="100">
        <f>P417+P377+P398</f>
        <v>0</v>
      </c>
      <c r="Q419" s="100">
        <f>Q417+Q377+Q398</f>
        <v>0</v>
      </c>
      <c r="R419" s="101"/>
      <c r="S419" s="100">
        <f t="shared" ref="S419:AD419" si="419">S417+S377+S398</f>
        <v>0</v>
      </c>
      <c r="T419" s="100">
        <f t="shared" si="419"/>
        <v>0</v>
      </c>
      <c r="U419" s="100">
        <f t="shared" si="419"/>
        <v>0</v>
      </c>
      <c r="V419" s="100">
        <f t="shared" si="419"/>
        <v>0</v>
      </c>
      <c r="W419" s="100">
        <f t="shared" si="419"/>
        <v>0</v>
      </c>
      <c r="X419" s="100">
        <f t="shared" si="419"/>
        <v>0</v>
      </c>
      <c r="Y419" s="100">
        <f t="shared" si="419"/>
        <v>0</v>
      </c>
      <c r="Z419" s="100">
        <f t="shared" si="419"/>
        <v>0</v>
      </c>
      <c r="AA419" s="100">
        <f t="shared" si="419"/>
        <v>0</v>
      </c>
      <c r="AB419" s="100">
        <f t="shared" si="419"/>
        <v>0</v>
      </c>
      <c r="AC419" s="100">
        <f t="shared" si="419"/>
        <v>0</v>
      </c>
      <c r="AD419" s="100">
        <f t="shared" si="419"/>
        <v>0</v>
      </c>
      <c r="AE419" s="101"/>
      <c r="AF419" s="100">
        <f>AF417+AF377+AF398</f>
        <v>0</v>
      </c>
      <c r="AG419" s="101"/>
      <c r="AH419" s="100">
        <f>AH417+AH377+AH398</f>
        <v>0</v>
      </c>
      <c r="AI419" s="101"/>
      <c r="AJ419" s="100">
        <f>AJ417+AJ377+AJ398</f>
        <v>0</v>
      </c>
      <c r="AK419" s="101">
        <f>SUM(H419:AJ419)</f>
        <v>52761815.924879842</v>
      </c>
      <c r="AL419" s="98" t="str">
        <f>IF(ABS(AK419-F419)&lt;1,"ok","err")</f>
        <v>ok</v>
      </c>
    </row>
    <row r="420" spans="1:38" x14ac:dyDescent="0.25">
      <c r="A420" s="23"/>
      <c r="Y420" s="97"/>
      <c r="AL420" s="98"/>
    </row>
    <row r="421" spans="1:38" x14ac:dyDescent="0.25">
      <c r="A421" s="24" t="s">
        <v>805</v>
      </c>
      <c r="Y421" s="97"/>
      <c r="AL421" s="98"/>
    </row>
    <row r="422" spans="1:38" x14ac:dyDescent="0.25">
      <c r="A422" s="97">
        <v>555</v>
      </c>
      <c r="B422" s="97" t="s">
        <v>481</v>
      </c>
      <c r="C422" s="97" t="s">
        <v>1056</v>
      </c>
      <c r="D422" s="97" t="s">
        <v>806</v>
      </c>
      <c r="F422" s="100">
        <f>'Jurisdictional Study'!F1347</f>
        <v>0</v>
      </c>
      <c r="G422" s="100"/>
      <c r="H422" s="101">
        <f>IF(VLOOKUP($D422,$C$5:$AJ$644,6,)=0,0,((VLOOKUP($D422,$C$5:$AJ$644,6,)/VLOOKUP($D422,$C$5:$AJ$644,4,))*$F422))</f>
        <v>0</v>
      </c>
      <c r="I422" s="101">
        <f>IF(VLOOKUP($D422,$C$5:$AJ$644,7,)=0,0,((VLOOKUP($D422,$C$5:$AJ$644,7,)/VLOOKUP($D422,$C$5:$AJ$644,4,))*$F422))</f>
        <v>0</v>
      </c>
      <c r="J422" s="101">
        <f>IF(VLOOKUP($D422,$C$5:$AJ$644,8,)=0,0,((VLOOKUP($D422,$C$5:$AJ$644,8,)/VLOOKUP($D422,$C$5:$AJ$644,4,))*$F422))</f>
        <v>0</v>
      </c>
      <c r="K422" s="101">
        <f>IF(VLOOKUP($D422,$C$5:$AJ$644,9,)=0,0,((VLOOKUP($D422,$C$5:$AJ$644,9,)/VLOOKUP($D422,$C$5:$AJ$644,4,))*$F422))</f>
        <v>0</v>
      </c>
      <c r="L422" s="101">
        <f>IF(VLOOKUP($D422,$C$5:$AJ$644,10,)=0,0,((VLOOKUP($D422,$C$5:$AJ$644,10,)/VLOOKUP($D422,$C$5:$AJ$644,4,))*$F422))</f>
        <v>0</v>
      </c>
      <c r="M422" s="101">
        <f>IF(VLOOKUP($D422,$C$5:$AJ$644,11,)=0,0,((VLOOKUP($D422,$C$5:$AJ$644,11,)/VLOOKUP($D422,$C$5:$AJ$644,4,))*$F422))</f>
        <v>0</v>
      </c>
      <c r="N422" s="101"/>
      <c r="O422" s="101">
        <f>IF(VLOOKUP($D422,$C$5:$AJ$644,13,)=0,0,((VLOOKUP($D422,$C$5:$AJ$644,13,)/VLOOKUP($D422,$C$5:$AJ$644,4,))*$F422))</f>
        <v>0</v>
      </c>
      <c r="P422" s="101">
        <f>IF(VLOOKUP($D422,$C$5:$AJ$644,14,)=0,0,((VLOOKUP($D422,$C$5:$AJ$644,14,)/VLOOKUP($D422,$C$5:$AJ$644,4,))*$F422))</f>
        <v>0</v>
      </c>
      <c r="Q422" s="101">
        <f>IF(VLOOKUP($D422,$C$5:$AJ$644,15,)=0,0,((VLOOKUP($D422,$C$5:$AJ$644,15,)/VLOOKUP($D422,$C$5:$AJ$644,4,))*$F422))</f>
        <v>0</v>
      </c>
      <c r="R422" s="101"/>
      <c r="S422" s="101">
        <f>IF(VLOOKUP($D422,$C$5:$AJ$644,17,)=0,0,((VLOOKUP($D422,$C$5:$AJ$644,17,)/VLOOKUP($D422,$C$5:$AJ$644,4,))*$F422))</f>
        <v>0</v>
      </c>
      <c r="T422" s="101">
        <f>IF(VLOOKUP($D422,$C$5:$AJ$644,18,)=0,0,((VLOOKUP($D422,$C$5:$AJ$644,18,)/VLOOKUP($D422,$C$5:$AJ$644,4,))*$F422))</f>
        <v>0</v>
      </c>
      <c r="U422" s="101">
        <f>IF(VLOOKUP($D422,$C$5:$AJ$644,19,)=0,0,((VLOOKUP($D422,$C$5:$AJ$644,19,)/VLOOKUP($D422,$C$5:$AJ$644,4,))*$F422))</f>
        <v>0</v>
      </c>
      <c r="V422" s="101">
        <f>IF(VLOOKUP($D422,$C$5:$AJ$644,20,)=0,0,((VLOOKUP($D422,$C$5:$AJ$644,20,)/VLOOKUP($D422,$C$5:$AJ$644,4,))*$F422))</f>
        <v>0</v>
      </c>
      <c r="W422" s="101">
        <f>IF(VLOOKUP($D422,$C$5:$AJ$644,21,)=0,0,((VLOOKUP($D422,$C$5:$AJ$644,21,)/VLOOKUP($D422,$C$5:$AJ$644,4,))*$F422))</f>
        <v>0</v>
      </c>
      <c r="X422" s="101">
        <f>IF(VLOOKUP($D422,$C$5:$AJ$644,22,)=0,0,((VLOOKUP($D422,$C$5:$AJ$644,22,)/VLOOKUP($D422,$C$5:$AJ$644,4,))*$F422))</f>
        <v>0</v>
      </c>
      <c r="Y422" s="101">
        <f>IF(VLOOKUP($D422,$C$5:$AJ$644,23,)=0,0,((VLOOKUP($D422,$C$5:$AJ$644,23,)/VLOOKUP($D422,$C$5:$AJ$644,4,))*$F422))</f>
        <v>0</v>
      </c>
      <c r="Z422" s="101">
        <f>IF(VLOOKUP($D422,$C$5:$AJ$644,24,)=0,0,((VLOOKUP($D422,$C$5:$AJ$644,24,)/VLOOKUP($D422,$C$5:$AJ$644,4,))*$F422))</f>
        <v>0</v>
      </c>
      <c r="AA422" s="101">
        <f>IF(VLOOKUP($D422,$C$5:$AJ$644,25,)=0,0,((VLOOKUP($D422,$C$5:$AJ$644,25,)/VLOOKUP($D422,$C$5:$AJ$644,4,))*$F422))</f>
        <v>0</v>
      </c>
      <c r="AB422" s="101">
        <f>IF(VLOOKUP($D422,$C$5:$AJ$644,26,)=0,0,((VLOOKUP($D422,$C$5:$AJ$644,26,)/VLOOKUP($D422,$C$5:$AJ$644,4,))*$F422))</f>
        <v>0</v>
      </c>
      <c r="AC422" s="101">
        <f>IF(VLOOKUP($D422,$C$5:$AJ$644,27,)=0,0,((VLOOKUP($D422,$C$5:$AJ$644,27,)/VLOOKUP($D422,$C$5:$AJ$644,4,))*$F422))</f>
        <v>0</v>
      </c>
      <c r="AD422" s="101">
        <f>IF(VLOOKUP($D422,$C$5:$AJ$644,28,)=0,0,((VLOOKUP($D422,$C$5:$AJ$644,28,)/VLOOKUP($D422,$C$5:$AJ$644,4,))*$F422))</f>
        <v>0</v>
      </c>
      <c r="AE422" s="101"/>
      <c r="AF422" s="101">
        <f>IF(VLOOKUP($D422,$C$5:$AJ$644,30,)=0,0,((VLOOKUP($D422,$C$5:$AJ$644,30,)/VLOOKUP($D422,$C$5:$AJ$644,4,))*$F422))</f>
        <v>0</v>
      </c>
      <c r="AG422" s="101"/>
      <c r="AH422" s="101">
        <f>IF(VLOOKUP($D422,$C$5:$AJ$644,32,)=0,0,((VLOOKUP($D422,$C$5:$AJ$644,32,)/VLOOKUP($D422,$C$5:$AJ$644,4,))*$F422))</f>
        <v>0</v>
      </c>
      <c r="AI422" s="101"/>
      <c r="AJ422" s="101">
        <f>IF(VLOOKUP($D422,$C$5:$AJ$644,34,)=0,0,((VLOOKUP($D422,$C$5:$AJ$644,34,)/VLOOKUP($D422,$C$5:$AJ$644,4,))*$F422))</f>
        <v>0</v>
      </c>
      <c r="AK422" s="101">
        <f>SUM(H422:AJ422)</f>
        <v>0</v>
      </c>
      <c r="AL422" s="98" t="str">
        <f>IF(ABS(AK422-F422)&lt;1,"ok","err")</f>
        <v>ok</v>
      </c>
    </row>
    <row r="423" spans="1:38" x14ac:dyDescent="0.25">
      <c r="A423" s="97">
        <v>556</v>
      </c>
      <c r="B423" s="97" t="s">
        <v>1604</v>
      </c>
      <c r="C423" s="97" t="s">
        <v>1813</v>
      </c>
      <c r="D423" s="97" t="s">
        <v>736</v>
      </c>
      <c r="F423" s="100">
        <f>'Jurisdictional Study'!F1348</f>
        <v>1829188.5454651404</v>
      </c>
      <c r="G423" s="100"/>
      <c r="H423" s="101">
        <f>IF(VLOOKUP($D423,$C$5:$AJ$644,6,)=0,0,((VLOOKUP($D423,$C$5:$AJ$644,6,)/VLOOKUP($D423,$C$5:$AJ$644,4,))*$F423))</f>
        <v>628411.28093910462</v>
      </c>
      <c r="I423" s="101">
        <f>IF(VLOOKUP($D423,$C$5:$AJ$644,7,)=0,0,((VLOOKUP($D423,$C$5:$AJ$644,7,)/VLOOKUP($D423,$C$5:$AJ$644,4,))*$F423))</f>
        <v>592389.33153734112</v>
      </c>
      <c r="J423" s="101">
        <f>IF(VLOOKUP($D423,$C$5:$AJ$644,8,)=0,0,((VLOOKUP($D423,$C$5:$AJ$644,8,)/VLOOKUP($D423,$C$5:$AJ$644,4,))*$F423))</f>
        <v>608387.93298869464</v>
      </c>
      <c r="K423" s="101">
        <f>IF(VLOOKUP($D423,$C$5:$AJ$644,9,)=0,0,((VLOOKUP($D423,$C$5:$AJ$644,9,)/VLOOKUP($D423,$C$5:$AJ$644,4,))*$F423))</f>
        <v>0</v>
      </c>
      <c r="L423" s="101">
        <f>IF(VLOOKUP($D423,$C$5:$AJ$644,10,)=0,0,((VLOOKUP($D423,$C$5:$AJ$644,10,)/VLOOKUP($D423,$C$5:$AJ$644,4,))*$F423))</f>
        <v>0</v>
      </c>
      <c r="M423" s="101">
        <f>IF(VLOOKUP($D423,$C$5:$AJ$644,11,)=0,0,((VLOOKUP($D423,$C$5:$AJ$644,11,)/VLOOKUP($D423,$C$5:$AJ$644,4,))*$F423))</f>
        <v>0</v>
      </c>
      <c r="N423" s="101"/>
      <c r="O423" s="101">
        <f>IF(VLOOKUP($D423,$C$5:$AJ$644,13,)=0,0,((VLOOKUP($D423,$C$5:$AJ$644,13,)/VLOOKUP($D423,$C$5:$AJ$644,4,))*$F423))</f>
        <v>0</v>
      </c>
      <c r="P423" s="101">
        <f>IF(VLOOKUP($D423,$C$5:$AJ$644,14,)=0,0,((VLOOKUP($D423,$C$5:$AJ$644,14,)/VLOOKUP($D423,$C$5:$AJ$644,4,))*$F423))</f>
        <v>0</v>
      </c>
      <c r="Q423" s="101">
        <f>IF(VLOOKUP($D423,$C$5:$AJ$644,15,)=0,0,((VLOOKUP($D423,$C$5:$AJ$644,15,)/VLOOKUP($D423,$C$5:$AJ$644,4,))*$F423))</f>
        <v>0</v>
      </c>
      <c r="R423" s="101"/>
      <c r="S423" s="101">
        <f>IF(VLOOKUP($D423,$C$5:$AJ$644,17,)=0,0,((VLOOKUP($D423,$C$5:$AJ$644,17,)/VLOOKUP($D423,$C$5:$AJ$644,4,))*$F423))</f>
        <v>0</v>
      </c>
      <c r="T423" s="101">
        <f>IF(VLOOKUP($D423,$C$5:$AJ$644,18,)=0,0,((VLOOKUP($D423,$C$5:$AJ$644,18,)/VLOOKUP($D423,$C$5:$AJ$644,4,))*$F423))</f>
        <v>0</v>
      </c>
      <c r="U423" s="101">
        <f>IF(VLOOKUP($D423,$C$5:$AJ$644,19,)=0,0,((VLOOKUP($D423,$C$5:$AJ$644,19,)/VLOOKUP($D423,$C$5:$AJ$644,4,))*$F423))</f>
        <v>0</v>
      </c>
      <c r="V423" s="101">
        <f>IF(VLOOKUP($D423,$C$5:$AJ$644,20,)=0,0,((VLOOKUP($D423,$C$5:$AJ$644,20,)/VLOOKUP($D423,$C$5:$AJ$644,4,))*$F423))</f>
        <v>0</v>
      </c>
      <c r="W423" s="101">
        <f>IF(VLOOKUP($D423,$C$5:$AJ$644,21,)=0,0,((VLOOKUP($D423,$C$5:$AJ$644,21,)/VLOOKUP($D423,$C$5:$AJ$644,4,))*$F423))</f>
        <v>0</v>
      </c>
      <c r="X423" s="101">
        <f>IF(VLOOKUP($D423,$C$5:$AJ$644,22,)=0,0,((VLOOKUP($D423,$C$5:$AJ$644,22,)/VLOOKUP($D423,$C$5:$AJ$644,4,))*$F423))</f>
        <v>0</v>
      </c>
      <c r="Y423" s="101">
        <f>IF(VLOOKUP($D423,$C$5:$AJ$644,23,)=0,0,((VLOOKUP($D423,$C$5:$AJ$644,23,)/VLOOKUP($D423,$C$5:$AJ$644,4,))*$F423))</f>
        <v>0</v>
      </c>
      <c r="Z423" s="101">
        <f>IF(VLOOKUP($D423,$C$5:$AJ$644,24,)=0,0,((VLOOKUP($D423,$C$5:$AJ$644,24,)/VLOOKUP($D423,$C$5:$AJ$644,4,))*$F423))</f>
        <v>0</v>
      </c>
      <c r="AA423" s="101">
        <f>IF(VLOOKUP($D423,$C$5:$AJ$644,25,)=0,0,((VLOOKUP($D423,$C$5:$AJ$644,25,)/VLOOKUP($D423,$C$5:$AJ$644,4,))*$F423))</f>
        <v>0</v>
      </c>
      <c r="AB423" s="101">
        <f>IF(VLOOKUP($D423,$C$5:$AJ$644,26,)=0,0,((VLOOKUP($D423,$C$5:$AJ$644,26,)/VLOOKUP($D423,$C$5:$AJ$644,4,))*$F423))</f>
        <v>0</v>
      </c>
      <c r="AC423" s="101">
        <f>IF(VLOOKUP($D423,$C$5:$AJ$644,27,)=0,0,((VLOOKUP($D423,$C$5:$AJ$644,27,)/VLOOKUP($D423,$C$5:$AJ$644,4,))*$F423))</f>
        <v>0</v>
      </c>
      <c r="AD423" s="101">
        <f>IF(VLOOKUP($D423,$C$5:$AJ$644,28,)=0,0,((VLOOKUP($D423,$C$5:$AJ$644,28,)/VLOOKUP($D423,$C$5:$AJ$644,4,))*$F423))</f>
        <v>0</v>
      </c>
      <c r="AE423" s="101"/>
      <c r="AF423" s="101">
        <f>IF(VLOOKUP($D423,$C$5:$AJ$644,30,)=0,0,((VLOOKUP($D423,$C$5:$AJ$644,30,)/VLOOKUP($D423,$C$5:$AJ$644,4,))*$F423))</f>
        <v>0</v>
      </c>
      <c r="AG423" s="101"/>
      <c r="AH423" s="101">
        <f>IF(VLOOKUP($D423,$C$5:$AJ$644,32,)=0,0,((VLOOKUP($D423,$C$5:$AJ$644,32,)/VLOOKUP($D423,$C$5:$AJ$644,4,))*$F423))</f>
        <v>0</v>
      </c>
      <c r="AI423" s="101"/>
      <c r="AJ423" s="101">
        <f>IF(VLOOKUP($D423,$C$5:$AJ$644,34,)=0,0,((VLOOKUP($D423,$C$5:$AJ$644,34,)/VLOOKUP($D423,$C$5:$AJ$644,4,))*$F423))</f>
        <v>0</v>
      </c>
      <c r="AK423" s="101">
        <f>SUM(H423:AJ423)</f>
        <v>1829188.5454651404</v>
      </c>
      <c r="AL423" s="98" t="str">
        <f>IF(ABS(AK423-F423)&lt;1,"ok","err")</f>
        <v>ok</v>
      </c>
    </row>
    <row r="424" spans="1:38" x14ac:dyDescent="0.25">
      <c r="A424" s="97">
        <v>557</v>
      </c>
      <c r="B424" s="97" t="s">
        <v>499</v>
      </c>
      <c r="C424" s="97" t="s">
        <v>1001</v>
      </c>
      <c r="D424" s="97" t="s">
        <v>736</v>
      </c>
      <c r="F424" s="100">
        <f>'Jurisdictional Study'!F1349</f>
        <v>0</v>
      </c>
      <c r="G424" s="100"/>
      <c r="H424" s="101">
        <f>IF(VLOOKUP($D424,$C$5:$AJ$644,6,)=0,0,((VLOOKUP($D424,$C$5:$AJ$644,6,)/VLOOKUP($D424,$C$5:$AJ$644,4,))*$F424))</f>
        <v>0</v>
      </c>
      <c r="I424" s="101">
        <f>IF(VLOOKUP($D424,$C$5:$AJ$644,7,)=0,0,((VLOOKUP($D424,$C$5:$AJ$644,7,)/VLOOKUP($D424,$C$5:$AJ$644,4,))*$F424))</f>
        <v>0</v>
      </c>
      <c r="J424" s="101">
        <f>IF(VLOOKUP($D424,$C$5:$AJ$644,8,)=0,0,((VLOOKUP($D424,$C$5:$AJ$644,8,)/VLOOKUP($D424,$C$5:$AJ$644,4,))*$F424))</f>
        <v>0</v>
      </c>
      <c r="K424" s="101">
        <f>IF(VLOOKUP($D424,$C$5:$AJ$644,9,)=0,0,((VLOOKUP($D424,$C$5:$AJ$644,9,)/VLOOKUP($D424,$C$5:$AJ$644,4,))*$F424))</f>
        <v>0</v>
      </c>
      <c r="L424" s="101">
        <f>IF(VLOOKUP($D424,$C$5:$AJ$644,10,)=0,0,((VLOOKUP($D424,$C$5:$AJ$644,10,)/VLOOKUP($D424,$C$5:$AJ$644,4,))*$F424))</f>
        <v>0</v>
      </c>
      <c r="M424" s="101">
        <f>IF(VLOOKUP($D424,$C$5:$AJ$644,11,)=0,0,((VLOOKUP($D424,$C$5:$AJ$644,11,)/VLOOKUP($D424,$C$5:$AJ$644,4,))*$F424))</f>
        <v>0</v>
      </c>
      <c r="N424" s="101"/>
      <c r="O424" s="101">
        <f>IF(VLOOKUP($D424,$C$5:$AJ$644,13,)=0,0,((VLOOKUP($D424,$C$5:$AJ$644,13,)/VLOOKUP($D424,$C$5:$AJ$644,4,))*$F424))</f>
        <v>0</v>
      </c>
      <c r="P424" s="101">
        <f>IF(VLOOKUP($D424,$C$5:$AJ$644,14,)=0,0,((VLOOKUP($D424,$C$5:$AJ$644,14,)/VLOOKUP($D424,$C$5:$AJ$644,4,))*$F424))</f>
        <v>0</v>
      </c>
      <c r="Q424" s="101">
        <f>IF(VLOOKUP($D424,$C$5:$AJ$644,15,)=0,0,((VLOOKUP($D424,$C$5:$AJ$644,15,)/VLOOKUP($D424,$C$5:$AJ$644,4,))*$F424))</f>
        <v>0</v>
      </c>
      <c r="R424" s="101"/>
      <c r="S424" s="101">
        <f>IF(VLOOKUP($D424,$C$5:$AJ$644,17,)=0,0,((VLOOKUP($D424,$C$5:$AJ$644,17,)/VLOOKUP($D424,$C$5:$AJ$644,4,))*$F424))</f>
        <v>0</v>
      </c>
      <c r="T424" s="101">
        <f>IF(VLOOKUP($D424,$C$5:$AJ$644,18,)=0,0,((VLOOKUP($D424,$C$5:$AJ$644,18,)/VLOOKUP($D424,$C$5:$AJ$644,4,))*$F424))</f>
        <v>0</v>
      </c>
      <c r="U424" s="101">
        <f>IF(VLOOKUP($D424,$C$5:$AJ$644,19,)=0,0,((VLOOKUP($D424,$C$5:$AJ$644,19,)/VLOOKUP($D424,$C$5:$AJ$644,4,))*$F424))</f>
        <v>0</v>
      </c>
      <c r="V424" s="101">
        <f>IF(VLOOKUP($D424,$C$5:$AJ$644,20,)=0,0,((VLOOKUP($D424,$C$5:$AJ$644,20,)/VLOOKUP($D424,$C$5:$AJ$644,4,))*$F424))</f>
        <v>0</v>
      </c>
      <c r="W424" s="101">
        <f>IF(VLOOKUP($D424,$C$5:$AJ$644,21,)=0,0,((VLOOKUP($D424,$C$5:$AJ$644,21,)/VLOOKUP($D424,$C$5:$AJ$644,4,))*$F424))</f>
        <v>0</v>
      </c>
      <c r="X424" s="101">
        <f>IF(VLOOKUP($D424,$C$5:$AJ$644,22,)=0,0,((VLOOKUP($D424,$C$5:$AJ$644,22,)/VLOOKUP($D424,$C$5:$AJ$644,4,))*$F424))</f>
        <v>0</v>
      </c>
      <c r="Y424" s="101">
        <f>IF(VLOOKUP($D424,$C$5:$AJ$644,23,)=0,0,((VLOOKUP($D424,$C$5:$AJ$644,23,)/VLOOKUP($D424,$C$5:$AJ$644,4,))*$F424))</f>
        <v>0</v>
      </c>
      <c r="Z424" s="101">
        <f>IF(VLOOKUP($D424,$C$5:$AJ$644,24,)=0,0,((VLOOKUP($D424,$C$5:$AJ$644,24,)/VLOOKUP($D424,$C$5:$AJ$644,4,))*$F424))</f>
        <v>0</v>
      </c>
      <c r="AA424" s="101">
        <f>IF(VLOOKUP($D424,$C$5:$AJ$644,25,)=0,0,((VLOOKUP($D424,$C$5:$AJ$644,25,)/VLOOKUP($D424,$C$5:$AJ$644,4,))*$F424))</f>
        <v>0</v>
      </c>
      <c r="AB424" s="101">
        <f>IF(VLOOKUP($D424,$C$5:$AJ$644,26,)=0,0,((VLOOKUP($D424,$C$5:$AJ$644,26,)/VLOOKUP($D424,$C$5:$AJ$644,4,))*$F424))</f>
        <v>0</v>
      </c>
      <c r="AC424" s="101">
        <f>IF(VLOOKUP($D424,$C$5:$AJ$644,27,)=0,0,((VLOOKUP($D424,$C$5:$AJ$644,27,)/VLOOKUP($D424,$C$5:$AJ$644,4,))*$F424))</f>
        <v>0</v>
      </c>
      <c r="AD424" s="101">
        <f>IF(VLOOKUP($D424,$C$5:$AJ$644,28,)=0,0,((VLOOKUP($D424,$C$5:$AJ$644,28,)/VLOOKUP($D424,$C$5:$AJ$644,4,))*$F424))</f>
        <v>0</v>
      </c>
      <c r="AE424" s="101"/>
      <c r="AF424" s="101">
        <f>IF(VLOOKUP($D424,$C$5:$AJ$644,30,)=0,0,((VLOOKUP($D424,$C$5:$AJ$644,30,)/VLOOKUP($D424,$C$5:$AJ$644,4,))*$F424))</f>
        <v>0</v>
      </c>
      <c r="AG424" s="101"/>
      <c r="AH424" s="101">
        <f>IF(VLOOKUP($D424,$C$5:$AJ$644,32,)=0,0,((VLOOKUP($D424,$C$5:$AJ$644,32,)/VLOOKUP($D424,$C$5:$AJ$644,4,))*$F424))</f>
        <v>0</v>
      </c>
      <c r="AI424" s="101"/>
      <c r="AJ424" s="101">
        <f>IF(VLOOKUP($D424,$C$5:$AJ$644,34,)=0,0,((VLOOKUP($D424,$C$5:$AJ$644,34,)/VLOOKUP($D424,$C$5:$AJ$644,4,))*$F424))</f>
        <v>0</v>
      </c>
      <c r="AK424" s="101">
        <f>SUM(H424:AJ424)</f>
        <v>0</v>
      </c>
      <c r="AL424" s="98" t="str">
        <f>IF(ABS(AK424-F424)&lt;1,"ok","err")</f>
        <v>ok</v>
      </c>
    </row>
    <row r="425" spans="1:38" x14ac:dyDescent="0.25"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1"/>
      <c r="AL425" s="98"/>
    </row>
    <row r="426" spans="1:38" x14ac:dyDescent="0.25">
      <c r="B426" s="97" t="s">
        <v>1058</v>
      </c>
      <c r="C426" s="97" t="s">
        <v>1000</v>
      </c>
      <c r="F426" s="100">
        <f>SUM(F422:F424)</f>
        <v>1829188.5454651404</v>
      </c>
      <c r="G426" s="100"/>
      <c r="H426" s="100">
        <f t="shared" ref="H426:M426" si="420">SUM(H422:H424)</f>
        <v>628411.28093910462</v>
      </c>
      <c r="I426" s="100">
        <f t="shared" si="420"/>
        <v>592389.33153734112</v>
      </c>
      <c r="J426" s="100">
        <f t="shared" si="420"/>
        <v>608387.93298869464</v>
      </c>
      <c r="K426" s="100">
        <f t="shared" si="420"/>
        <v>0</v>
      </c>
      <c r="L426" s="100">
        <f t="shared" si="420"/>
        <v>0</v>
      </c>
      <c r="M426" s="100">
        <f t="shared" si="420"/>
        <v>0</v>
      </c>
      <c r="N426" s="100"/>
      <c r="O426" s="100">
        <f>SUM(O422:O424)</f>
        <v>0</v>
      </c>
      <c r="P426" s="100">
        <f>SUM(P422:P424)</f>
        <v>0</v>
      </c>
      <c r="Q426" s="100">
        <f>SUM(Q422:Q424)</f>
        <v>0</v>
      </c>
      <c r="R426" s="100"/>
      <c r="S426" s="100">
        <f t="shared" ref="S426:AD426" si="421">SUM(S422:S424)</f>
        <v>0</v>
      </c>
      <c r="T426" s="100">
        <f t="shared" si="421"/>
        <v>0</v>
      </c>
      <c r="U426" s="100">
        <f t="shared" si="421"/>
        <v>0</v>
      </c>
      <c r="V426" s="100">
        <f t="shared" si="421"/>
        <v>0</v>
      </c>
      <c r="W426" s="100">
        <f t="shared" si="421"/>
        <v>0</v>
      </c>
      <c r="X426" s="100">
        <f t="shared" si="421"/>
        <v>0</v>
      </c>
      <c r="Y426" s="100">
        <f t="shared" si="421"/>
        <v>0</v>
      </c>
      <c r="Z426" s="100">
        <f t="shared" si="421"/>
        <v>0</v>
      </c>
      <c r="AA426" s="100">
        <f t="shared" si="421"/>
        <v>0</v>
      </c>
      <c r="AB426" s="100">
        <f t="shared" si="421"/>
        <v>0</v>
      </c>
      <c r="AC426" s="100">
        <f t="shared" si="421"/>
        <v>0</v>
      </c>
      <c r="AD426" s="100">
        <f t="shared" si="421"/>
        <v>0</v>
      </c>
      <c r="AE426" s="100"/>
      <c r="AF426" s="100">
        <f>SUM(AF422:AF424)</f>
        <v>0</v>
      </c>
      <c r="AG426" s="100"/>
      <c r="AH426" s="100">
        <f>SUM(AH422:AH424)</f>
        <v>0</v>
      </c>
      <c r="AI426" s="100"/>
      <c r="AJ426" s="100">
        <f>SUM(AJ422:AJ424)</f>
        <v>0</v>
      </c>
      <c r="AK426" s="101">
        <f>SUM(H426:AJ426)</f>
        <v>1829188.5454651404</v>
      </c>
      <c r="AL426" s="98" t="str">
        <f>IF(ABS(AK426-F426)&lt;1,"ok","err")</f>
        <v>ok</v>
      </c>
    </row>
    <row r="427" spans="1:38" x14ac:dyDescent="0.25">
      <c r="D427" s="102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1"/>
      <c r="AL427" s="98"/>
    </row>
    <row r="428" spans="1:38" x14ac:dyDescent="0.25">
      <c r="A428" s="24" t="s">
        <v>1060</v>
      </c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1"/>
      <c r="AL428" s="98"/>
    </row>
    <row r="429" spans="1:38" x14ac:dyDescent="0.25">
      <c r="A429" s="97">
        <v>560</v>
      </c>
      <c r="B429" s="97" t="s">
        <v>476</v>
      </c>
      <c r="C429" s="97" t="s">
        <v>1057</v>
      </c>
      <c r="D429" s="97" t="s">
        <v>491</v>
      </c>
      <c r="F429" s="100">
        <f>'Jurisdictional Study'!F1359</f>
        <v>1648654.4511149053</v>
      </c>
      <c r="G429" s="100"/>
      <c r="H429" s="101">
        <f t="shared" ref="H429:H438" si="422">IF(VLOOKUP($D429,$C$5:$AJ$644,6,)=0,0,((VLOOKUP($D429,$C$5:$AJ$644,6,)/VLOOKUP($D429,$C$5:$AJ$644,4,))*$F429))</f>
        <v>0</v>
      </c>
      <c r="I429" s="101">
        <f t="shared" ref="I429:I438" si="423">IF(VLOOKUP($D429,$C$5:$AJ$644,7,)=0,0,((VLOOKUP($D429,$C$5:$AJ$644,7,)/VLOOKUP($D429,$C$5:$AJ$644,4,))*$F429))</f>
        <v>0</v>
      </c>
      <c r="J429" s="101">
        <f t="shared" ref="J429:J438" si="424">IF(VLOOKUP($D429,$C$5:$AJ$644,8,)=0,0,((VLOOKUP($D429,$C$5:$AJ$644,8,)/VLOOKUP($D429,$C$5:$AJ$644,4,))*$F429))</f>
        <v>0</v>
      </c>
      <c r="K429" s="101">
        <f t="shared" ref="K429:K438" si="425">IF(VLOOKUP($D429,$C$5:$AJ$644,9,)=0,0,((VLOOKUP($D429,$C$5:$AJ$644,9,)/VLOOKUP($D429,$C$5:$AJ$644,4,))*$F429))</f>
        <v>0</v>
      </c>
      <c r="L429" s="101">
        <f t="shared" ref="L429:L438" si="426">IF(VLOOKUP($D429,$C$5:$AJ$644,10,)=0,0,((VLOOKUP($D429,$C$5:$AJ$644,10,)/VLOOKUP($D429,$C$5:$AJ$644,4,))*$F429))</f>
        <v>0</v>
      </c>
      <c r="M429" s="101">
        <f t="shared" ref="M429:M438" si="427">IF(VLOOKUP($D429,$C$5:$AJ$644,11,)=0,0,((VLOOKUP($D429,$C$5:$AJ$644,11,)/VLOOKUP($D429,$C$5:$AJ$644,4,))*$F429))</f>
        <v>0</v>
      </c>
      <c r="N429" s="101"/>
      <c r="O429" s="101">
        <f t="shared" ref="O429:O438" si="428">IF(VLOOKUP($D429,$C$5:$AJ$644,13,)=0,0,((VLOOKUP($D429,$C$5:$AJ$644,13,)/VLOOKUP($D429,$C$5:$AJ$644,4,))*$F429))</f>
        <v>1648654.4511149053</v>
      </c>
      <c r="P429" s="101">
        <f t="shared" ref="P429:P438" si="429">IF(VLOOKUP($D429,$C$5:$AJ$644,14,)=0,0,((VLOOKUP($D429,$C$5:$AJ$644,14,)/VLOOKUP($D429,$C$5:$AJ$644,4,))*$F429))</f>
        <v>0</v>
      </c>
      <c r="Q429" s="101">
        <f t="shared" ref="Q429:Q438" si="430">IF(VLOOKUP($D429,$C$5:$AJ$644,15,)=0,0,((VLOOKUP($D429,$C$5:$AJ$644,15,)/VLOOKUP($D429,$C$5:$AJ$644,4,))*$F429))</f>
        <v>0</v>
      </c>
      <c r="R429" s="101"/>
      <c r="S429" s="101">
        <f t="shared" ref="S429:S438" si="431">IF(VLOOKUP($D429,$C$5:$AJ$644,17,)=0,0,((VLOOKUP($D429,$C$5:$AJ$644,17,)/VLOOKUP($D429,$C$5:$AJ$644,4,))*$F429))</f>
        <v>0</v>
      </c>
      <c r="T429" s="101">
        <f t="shared" ref="T429:T438" si="432">IF(VLOOKUP($D429,$C$5:$AJ$644,18,)=0,0,((VLOOKUP($D429,$C$5:$AJ$644,18,)/VLOOKUP($D429,$C$5:$AJ$644,4,))*$F429))</f>
        <v>0</v>
      </c>
      <c r="U429" s="101">
        <f t="shared" ref="U429:U438" si="433">IF(VLOOKUP($D429,$C$5:$AJ$644,19,)=0,0,((VLOOKUP($D429,$C$5:$AJ$644,19,)/VLOOKUP($D429,$C$5:$AJ$644,4,))*$F429))</f>
        <v>0</v>
      </c>
      <c r="V429" s="101">
        <f t="shared" ref="V429:V438" si="434">IF(VLOOKUP($D429,$C$5:$AJ$644,20,)=0,0,((VLOOKUP($D429,$C$5:$AJ$644,20,)/VLOOKUP($D429,$C$5:$AJ$644,4,))*$F429))</f>
        <v>0</v>
      </c>
      <c r="W429" s="101">
        <f t="shared" ref="W429:W438" si="435">IF(VLOOKUP($D429,$C$5:$AJ$644,21,)=0,0,((VLOOKUP($D429,$C$5:$AJ$644,21,)/VLOOKUP($D429,$C$5:$AJ$644,4,))*$F429))</f>
        <v>0</v>
      </c>
      <c r="X429" s="101">
        <f t="shared" ref="X429:X438" si="436">IF(VLOOKUP($D429,$C$5:$AJ$644,22,)=0,0,((VLOOKUP($D429,$C$5:$AJ$644,22,)/VLOOKUP($D429,$C$5:$AJ$644,4,))*$F429))</f>
        <v>0</v>
      </c>
      <c r="Y429" s="101">
        <f t="shared" ref="Y429:Y438" si="437">IF(VLOOKUP($D429,$C$5:$AJ$644,23,)=0,0,((VLOOKUP($D429,$C$5:$AJ$644,23,)/VLOOKUP($D429,$C$5:$AJ$644,4,))*$F429))</f>
        <v>0</v>
      </c>
      <c r="Z429" s="101">
        <f t="shared" ref="Z429:Z438" si="438">IF(VLOOKUP($D429,$C$5:$AJ$644,24,)=0,0,((VLOOKUP($D429,$C$5:$AJ$644,24,)/VLOOKUP($D429,$C$5:$AJ$644,4,))*$F429))</f>
        <v>0</v>
      </c>
      <c r="AA429" s="101">
        <f t="shared" ref="AA429:AA438" si="439">IF(VLOOKUP($D429,$C$5:$AJ$644,25,)=0,0,((VLOOKUP($D429,$C$5:$AJ$644,25,)/VLOOKUP($D429,$C$5:$AJ$644,4,))*$F429))</f>
        <v>0</v>
      </c>
      <c r="AB429" s="101">
        <f t="shared" ref="AB429:AB438" si="440">IF(VLOOKUP($D429,$C$5:$AJ$644,26,)=0,0,((VLOOKUP($D429,$C$5:$AJ$644,26,)/VLOOKUP($D429,$C$5:$AJ$644,4,))*$F429))</f>
        <v>0</v>
      </c>
      <c r="AC429" s="101">
        <f t="shared" ref="AC429:AC438" si="441">IF(VLOOKUP($D429,$C$5:$AJ$644,27,)=0,0,((VLOOKUP($D429,$C$5:$AJ$644,27,)/VLOOKUP($D429,$C$5:$AJ$644,4,))*$F429))</f>
        <v>0</v>
      </c>
      <c r="AD429" s="101">
        <f t="shared" ref="AD429:AD438" si="442">IF(VLOOKUP($D429,$C$5:$AJ$644,28,)=0,0,((VLOOKUP($D429,$C$5:$AJ$644,28,)/VLOOKUP($D429,$C$5:$AJ$644,4,))*$F429))</f>
        <v>0</v>
      </c>
      <c r="AE429" s="101"/>
      <c r="AF429" s="101">
        <f t="shared" ref="AF429:AF438" si="443">IF(VLOOKUP($D429,$C$5:$AJ$644,30,)=0,0,((VLOOKUP($D429,$C$5:$AJ$644,30,)/VLOOKUP($D429,$C$5:$AJ$644,4,))*$F429))</f>
        <v>0</v>
      </c>
      <c r="AG429" s="101"/>
      <c r="AH429" s="101">
        <f t="shared" ref="AH429:AH438" si="444">IF(VLOOKUP($D429,$C$5:$AJ$644,32,)=0,0,((VLOOKUP($D429,$C$5:$AJ$644,32,)/VLOOKUP($D429,$C$5:$AJ$644,4,))*$F429))</f>
        <v>0</v>
      </c>
      <c r="AI429" s="101"/>
      <c r="AJ429" s="101">
        <f t="shared" ref="AJ429:AJ438" si="445">IF(VLOOKUP($D429,$C$5:$AJ$644,34,)=0,0,((VLOOKUP($D429,$C$5:$AJ$644,34,)/VLOOKUP($D429,$C$5:$AJ$644,4,))*$F429))</f>
        <v>0</v>
      </c>
      <c r="AK429" s="101">
        <f t="shared" ref="AK429:AK438" si="446">SUM(H429:AJ429)</f>
        <v>1648654.4511149053</v>
      </c>
      <c r="AL429" s="98" t="str">
        <f t="shared" ref="AL429:AL438" si="447">IF(ABS(AK429-F429)&lt;1,"ok","err")</f>
        <v>ok</v>
      </c>
    </row>
    <row r="430" spans="1:38" x14ac:dyDescent="0.25">
      <c r="A430" s="97">
        <v>561</v>
      </c>
      <c r="B430" s="97" t="s">
        <v>810</v>
      </c>
      <c r="C430" s="97" t="s">
        <v>1002</v>
      </c>
      <c r="D430" s="97" t="s">
        <v>491</v>
      </c>
      <c r="F430" s="101">
        <f>'Jurisdictional Study'!F1360</f>
        <v>3065460.3901622416</v>
      </c>
      <c r="G430" s="100"/>
      <c r="H430" s="101">
        <f t="shared" si="422"/>
        <v>0</v>
      </c>
      <c r="I430" s="101">
        <f t="shared" si="423"/>
        <v>0</v>
      </c>
      <c r="J430" s="101">
        <f t="shared" si="424"/>
        <v>0</v>
      </c>
      <c r="K430" s="101">
        <f t="shared" si="425"/>
        <v>0</v>
      </c>
      <c r="L430" s="101">
        <f t="shared" si="426"/>
        <v>0</v>
      </c>
      <c r="M430" s="101">
        <f t="shared" si="427"/>
        <v>0</v>
      </c>
      <c r="N430" s="101"/>
      <c r="O430" s="101">
        <f t="shared" si="428"/>
        <v>3065460.3901622416</v>
      </c>
      <c r="P430" s="101">
        <f t="shared" si="429"/>
        <v>0</v>
      </c>
      <c r="Q430" s="101">
        <f t="shared" si="430"/>
        <v>0</v>
      </c>
      <c r="R430" s="101"/>
      <c r="S430" s="101">
        <f t="shared" si="431"/>
        <v>0</v>
      </c>
      <c r="T430" s="101">
        <f t="shared" si="432"/>
        <v>0</v>
      </c>
      <c r="U430" s="101">
        <f t="shared" si="433"/>
        <v>0</v>
      </c>
      <c r="V430" s="101">
        <f t="shared" si="434"/>
        <v>0</v>
      </c>
      <c r="W430" s="101">
        <f t="shared" si="435"/>
        <v>0</v>
      </c>
      <c r="X430" s="101">
        <f t="shared" si="436"/>
        <v>0</v>
      </c>
      <c r="Y430" s="101">
        <f t="shared" si="437"/>
        <v>0</v>
      </c>
      <c r="Z430" s="101">
        <f t="shared" si="438"/>
        <v>0</v>
      </c>
      <c r="AA430" s="101">
        <f t="shared" si="439"/>
        <v>0</v>
      </c>
      <c r="AB430" s="101">
        <f t="shared" si="440"/>
        <v>0</v>
      </c>
      <c r="AC430" s="101">
        <f t="shared" si="441"/>
        <v>0</v>
      </c>
      <c r="AD430" s="101">
        <f t="shared" si="442"/>
        <v>0</v>
      </c>
      <c r="AE430" s="101"/>
      <c r="AF430" s="101">
        <f t="shared" si="443"/>
        <v>0</v>
      </c>
      <c r="AG430" s="101"/>
      <c r="AH430" s="101">
        <f t="shared" si="444"/>
        <v>0</v>
      </c>
      <c r="AI430" s="101"/>
      <c r="AJ430" s="101">
        <f t="shared" si="445"/>
        <v>0</v>
      </c>
      <c r="AK430" s="101">
        <f t="shared" si="446"/>
        <v>3065460.3901622416</v>
      </c>
      <c r="AL430" s="98" t="str">
        <f t="shared" si="447"/>
        <v>ok</v>
      </c>
    </row>
    <row r="431" spans="1:38" x14ac:dyDescent="0.25">
      <c r="A431" s="97">
        <v>562</v>
      </c>
      <c r="B431" s="97" t="s">
        <v>474</v>
      </c>
      <c r="C431" s="97" t="s">
        <v>1003</v>
      </c>
      <c r="D431" s="97" t="s">
        <v>491</v>
      </c>
      <c r="F431" s="101">
        <f>'Jurisdictional Study'!F1361</f>
        <v>505134.89586892055</v>
      </c>
      <c r="G431" s="100"/>
      <c r="H431" s="101">
        <f t="shared" si="422"/>
        <v>0</v>
      </c>
      <c r="I431" s="101">
        <f t="shared" si="423"/>
        <v>0</v>
      </c>
      <c r="J431" s="101">
        <f t="shared" si="424"/>
        <v>0</v>
      </c>
      <c r="K431" s="101">
        <f t="shared" si="425"/>
        <v>0</v>
      </c>
      <c r="L431" s="101">
        <f t="shared" si="426"/>
        <v>0</v>
      </c>
      <c r="M431" s="101">
        <f t="shared" si="427"/>
        <v>0</v>
      </c>
      <c r="N431" s="101"/>
      <c r="O431" s="101">
        <f t="shared" si="428"/>
        <v>505134.89586892055</v>
      </c>
      <c r="P431" s="101">
        <f t="shared" si="429"/>
        <v>0</v>
      </c>
      <c r="Q431" s="101">
        <f t="shared" si="430"/>
        <v>0</v>
      </c>
      <c r="R431" s="101"/>
      <c r="S431" s="101">
        <f t="shared" si="431"/>
        <v>0</v>
      </c>
      <c r="T431" s="101">
        <f t="shared" si="432"/>
        <v>0</v>
      </c>
      <c r="U431" s="101">
        <f t="shared" si="433"/>
        <v>0</v>
      </c>
      <c r="V431" s="101">
        <f t="shared" si="434"/>
        <v>0</v>
      </c>
      <c r="W431" s="101">
        <f t="shared" si="435"/>
        <v>0</v>
      </c>
      <c r="X431" s="101">
        <f t="shared" si="436"/>
        <v>0</v>
      </c>
      <c r="Y431" s="101">
        <f t="shared" si="437"/>
        <v>0</v>
      </c>
      <c r="Z431" s="101">
        <f t="shared" si="438"/>
        <v>0</v>
      </c>
      <c r="AA431" s="101">
        <f t="shared" si="439"/>
        <v>0</v>
      </c>
      <c r="AB431" s="101">
        <f t="shared" si="440"/>
        <v>0</v>
      </c>
      <c r="AC431" s="101">
        <f t="shared" si="441"/>
        <v>0</v>
      </c>
      <c r="AD431" s="101">
        <f t="shared" si="442"/>
        <v>0</v>
      </c>
      <c r="AE431" s="101"/>
      <c r="AF431" s="101">
        <f t="shared" si="443"/>
        <v>0</v>
      </c>
      <c r="AG431" s="101"/>
      <c r="AH431" s="101">
        <f t="shared" si="444"/>
        <v>0</v>
      </c>
      <c r="AI431" s="101"/>
      <c r="AJ431" s="101">
        <f t="shared" si="445"/>
        <v>0</v>
      </c>
      <c r="AK431" s="101">
        <f t="shared" si="446"/>
        <v>505134.89586892055</v>
      </c>
      <c r="AL431" s="98" t="str">
        <f t="shared" si="447"/>
        <v>ok</v>
      </c>
    </row>
    <row r="432" spans="1:38" x14ac:dyDescent="0.25">
      <c r="A432" s="97">
        <v>563</v>
      </c>
      <c r="B432" s="97" t="s">
        <v>812</v>
      </c>
      <c r="C432" s="97" t="s">
        <v>1004</v>
      </c>
      <c r="D432" s="97" t="s">
        <v>491</v>
      </c>
      <c r="F432" s="101">
        <f>'Jurisdictional Study'!F1362</f>
        <v>0</v>
      </c>
      <c r="G432" s="100"/>
      <c r="H432" s="101">
        <f t="shared" si="422"/>
        <v>0</v>
      </c>
      <c r="I432" s="101">
        <f t="shared" si="423"/>
        <v>0</v>
      </c>
      <c r="J432" s="101">
        <f t="shared" si="424"/>
        <v>0</v>
      </c>
      <c r="K432" s="101">
        <f t="shared" si="425"/>
        <v>0</v>
      </c>
      <c r="L432" s="101">
        <f t="shared" si="426"/>
        <v>0</v>
      </c>
      <c r="M432" s="101">
        <f t="shared" si="427"/>
        <v>0</v>
      </c>
      <c r="N432" s="101"/>
      <c r="O432" s="101">
        <f t="shared" si="428"/>
        <v>0</v>
      </c>
      <c r="P432" s="101">
        <f t="shared" si="429"/>
        <v>0</v>
      </c>
      <c r="Q432" s="101">
        <f t="shared" si="430"/>
        <v>0</v>
      </c>
      <c r="R432" s="101"/>
      <c r="S432" s="101">
        <f t="shared" si="431"/>
        <v>0</v>
      </c>
      <c r="T432" s="101">
        <f t="shared" si="432"/>
        <v>0</v>
      </c>
      <c r="U432" s="101">
        <f t="shared" si="433"/>
        <v>0</v>
      </c>
      <c r="V432" s="101">
        <f t="shared" si="434"/>
        <v>0</v>
      </c>
      <c r="W432" s="101">
        <f t="shared" si="435"/>
        <v>0</v>
      </c>
      <c r="X432" s="101">
        <f t="shared" si="436"/>
        <v>0</v>
      </c>
      <c r="Y432" s="101">
        <f t="shared" si="437"/>
        <v>0</v>
      </c>
      <c r="Z432" s="101">
        <f t="shared" si="438"/>
        <v>0</v>
      </c>
      <c r="AA432" s="101">
        <f t="shared" si="439"/>
        <v>0</v>
      </c>
      <c r="AB432" s="101">
        <f t="shared" si="440"/>
        <v>0</v>
      </c>
      <c r="AC432" s="101">
        <f t="shared" si="441"/>
        <v>0</v>
      </c>
      <c r="AD432" s="101">
        <f t="shared" si="442"/>
        <v>0</v>
      </c>
      <c r="AE432" s="101"/>
      <c r="AF432" s="101">
        <f t="shared" si="443"/>
        <v>0</v>
      </c>
      <c r="AG432" s="101"/>
      <c r="AH432" s="101">
        <f t="shared" si="444"/>
        <v>0</v>
      </c>
      <c r="AI432" s="101"/>
      <c r="AJ432" s="101">
        <f t="shared" si="445"/>
        <v>0</v>
      </c>
      <c r="AK432" s="101">
        <f t="shared" si="446"/>
        <v>0</v>
      </c>
      <c r="AL432" s="98" t="str">
        <f t="shared" si="447"/>
        <v>ok</v>
      </c>
    </row>
    <row r="433" spans="1:38" x14ac:dyDescent="0.25">
      <c r="A433" s="97">
        <v>566</v>
      </c>
      <c r="B433" s="97" t="s">
        <v>876</v>
      </c>
      <c r="C433" s="97" t="s">
        <v>880</v>
      </c>
      <c r="D433" s="97" t="s">
        <v>491</v>
      </c>
      <c r="F433" s="101">
        <f>'Jurisdictional Study'!F1364</f>
        <v>118041.54258528871</v>
      </c>
      <c r="G433" s="100"/>
      <c r="H433" s="101">
        <f t="shared" si="422"/>
        <v>0</v>
      </c>
      <c r="I433" s="101">
        <f t="shared" si="423"/>
        <v>0</v>
      </c>
      <c r="J433" s="101">
        <f t="shared" si="424"/>
        <v>0</v>
      </c>
      <c r="K433" s="101">
        <f t="shared" si="425"/>
        <v>0</v>
      </c>
      <c r="L433" s="101">
        <f t="shared" si="426"/>
        <v>0</v>
      </c>
      <c r="M433" s="101">
        <f t="shared" si="427"/>
        <v>0</v>
      </c>
      <c r="N433" s="101"/>
      <c r="O433" s="101">
        <f t="shared" si="428"/>
        <v>118041.54258528871</v>
      </c>
      <c r="P433" s="101">
        <f t="shared" si="429"/>
        <v>0</v>
      </c>
      <c r="Q433" s="101">
        <f t="shared" si="430"/>
        <v>0</v>
      </c>
      <c r="R433" s="101"/>
      <c r="S433" s="101">
        <f t="shared" si="431"/>
        <v>0</v>
      </c>
      <c r="T433" s="101">
        <f t="shared" si="432"/>
        <v>0</v>
      </c>
      <c r="U433" s="101">
        <f t="shared" si="433"/>
        <v>0</v>
      </c>
      <c r="V433" s="101">
        <f t="shared" si="434"/>
        <v>0</v>
      </c>
      <c r="W433" s="101">
        <f t="shared" si="435"/>
        <v>0</v>
      </c>
      <c r="X433" s="101">
        <f t="shared" si="436"/>
        <v>0</v>
      </c>
      <c r="Y433" s="101">
        <f t="shared" si="437"/>
        <v>0</v>
      </c>
      <c r="Z433" s="101">
        <f t="shared" si="438"/>
        <v>0</v>
      </c>
      <c r="AA433" s="101">
        <f t="shared" si="439"/>
        <v>0</v>
      </c>
      <c r="AB433" s="101">
        <f t="shared" si="440"/>
        <v>0</v>
      </c>
      <c r="AC433" s="101">
        <f t="shared" si="441"/>
        <v>0</v>
      </c>
      <c r="AD433" s="101">
        <f t="shared" si="442"/>
        <v>0</v>
      </c>
      <c r="AE433" s="101"/>
      <c r="AF433" s="101">
        <f t="shared" si="443"/>
        <v>0</v>
      </c>
      <c r="AG433" s="101"/>
      <c r="AH433" s="101">
        <f t="shared" si="444"/>
        <v>0</v>
      </c>
      <c r="AI433" s="101"/>
      <c r="AJ433" s="101">
        <f t="shared" si="445"/>
        <v>0</v>
      </c>
      <c r="AK433" s="101">
        <f t="shared" si="446"/>
        <v>118041.54258528871</v>
      </c>
      <c r="AL433" s="98" t="str">
        <f t="shared" si="447"/>
        <v>ok</v>
      </c>
    </row>
    <row r="434" spans="1:38" x14ac:dyDescent="0.25">
      <c r="A434" s="97">
        <v>568</v>
      </c>
      <c r="B434" s="97" t="s">
        <v>475</v>
      </c>
      <c r="C434" s="97" t="s">
        <v>1005</v>
      </c>
      <c r="D434" s="97" t="s">
        <v>491</v>
      </c>
      <c r="F434" s="101">
        <v>0</v>
      </c>
      <c r="G434" s="100"/>
      <c r="H434" s="101">
        <f t="shared" si="422"/>
        <v>0</v>
      </c>
      <c r="I434" s="101">
        <f t="shared" si="423"/>
        <v>0</v>
      </c>
      <c r="J434" s="101">
        <f t="shared" si="424"/>
        <v>0</v>
      </c>
      <c r="K434" s="101">
        <f t="shared" si="425"/>
        <v>0</v>
      </c>
      <c r="L434" s="101">
        <f t="shared" si="426"/>
        <v>0</v>
      </c>
      <c r="M434" s="101">
        <f t="shared" si="427"/>
        <v>0</v>
      </c>
      <c r="N434" s="101"/>
      <c r="O434" s="101">
        <f t="shared" si="428"/>
        <v>0</v>
      </c>
      <c r="P434" s="101">
        <f t="shared" si="429"/>
        <v>0</v>
      </c>
      <c r="Q434" s="101">
        <f t="shared" si="430"/>
        <v>0</v>
      </c>
      <c r="R434" s="101"/>
      <c r="S434" s="101">
        <f t="shared" si="431"/>
        <v>0</v>
      </c>
      <c r="T434" s="101">
        <f t="shared" si="432"/>
        <v>0</v>
      </c>
      <c r="U434" s="101">
        <f t="shared" si="433"/>
        <v>0</v>
      </c>
      <c r="V434" s="101">
        <f t="shared" si="434"/>
        <v>0</v>
      </c>
      <c r="W434" s="101">
        <f t="shared" si="435"/>
        <v>0</v>
      </c>
      <c r="X434" s="101">
        <f t="shared" si="436"/>
        <v>0</v>
      </c>
      <c r="Y434" s="101">
        <f t="shared" si="437"/>
        <v>0</v>
      </c>
      <c r="Z434" s="101">
        <f t="shared" si="438"/>
        <v>0</v>
      </c>
      <c r="AA434" s="101">
        <f t="shared" si="439"/>
        <v>0</v>
      </c>
      <c r="AB434" s="101">
        <f t="shared" si="440"/>
        <v>0</v>
      </c>
      <c r="AC434" s="101">
        <f t="shared" si="441"/>
        <v>0</v>
      </c>
      <c r="AD434" s="101">
        <f t="shared" si="442"/>
        <v>0</v>
      </c>
      <c r="AE434" s="101"/>
      <c r="AF434" s="101">
        <f t="shared" si="443"/>
        <v>0</v>
      </c>
      <c r="AG434" s="101"/>
      <c r="AH434" s="101">
        <f t="shared" si="444"/>
        <v>0</v>
      </c>
      <c r="AI434" s="101"/>
      <c r="AJ434" s="101">
        <f t="shared" si="445"/>
        <v>0</v>
      </c>
      <c r="AK434" s="101">
        <f t="shared" si="446"/>
        <v>0</v>
      </c>
      <c r="AL434" s="98" t="str">
        <f t="shared" si="447"/>
        <v>ok</v>
      </c>
    </row>
    <row r="435" spans="1:38" x14ac:dyDescent="0.25">
      <c r="A435" s="97">
        <v>570</v>
      </c>
      <c r="B435" s="97" t="s">
        <v>477</v>
      </c>
      <c r="C435" s="97" t="s">
        <v>1006</v>
      </c>
      <c r="D435" s="97" t="s">
        <v>491</v>
      </c>
      <c r="F435" s="101">
        <f>'Jurisdictional Study'!F1367</f>
        <v>937915.11876465706</v>
      </c>
      <c r="G435" s="100"/>
      <c r="H435" s="101">
        <f t="shared" si="422"/>
        <v>0</v>
      </c>
      <c r="I435" s="101">
        <f t="shared" si="423"/>
        <v>0</v>
      </c>
      <c r="J435" s="101">
        <f t="shared" si="424"/>
        <v>0</v>
      </c>
      <c r="K435" s="101">
        <f t="shared" si="425"/>
        <v>0</v>
      </c>
      <c r="L435" s="101">
        <f t="shared" si="426"/>
        <v>0</v>
      </c>
      <c r="M435" s="101">
        <f t="shared" si="427"/>
        <v>0</v>
      </c>
      <c r="N435" s="101"/>
      <c r="O435" s="101">
        <f t="shared" si="428"/>
        <v>937915.11876465706</v>
      </c>
      <c r="P435" s="101">
        <f t="shared" si="429"/>
        <v>0</v>
      </c>
      <c r="Q435" s="101">
        <f t="shared" si="430"/>
        <v>0</v>
      </c>
      <c r="R435" s="101"/>
      <c r="S435" s="101">
        <f t="shared" si="431"/>
        <v>0</v>
      </c>
      <c r="T435" s="101">
        <f t="shared" si="432"/>
        <v>0</v>
      </c>
      <c r="U435" s="101">
        <f t="shared" si="433"/>
        <v>0</v>
      </c>
      <c r="V435" s="101">
        <f t="shared" si="434"/>
        <v>0</v>
      </c>
      <c r="W435" s="101">
        <f t="shared" si="435"/>
        <v>0</v>
      </c>
      <c r="X435" s="101">
        <f t="shared" si="436"/>
        <v>0</v>
      </c>
      <c r="Y435" s="101">
        <f t="shared" si="437"/>
        <v>0</v>
      </c>
      <c r="Z435" s="101">
        <f t="shared" si="438"/>
        <v>0</v>
      </c>
      <c r="AA435" s="101">
        <f t="shared" si="439"/>
        <v>0</v>
      </c>
      <c r="AB435" s="101">
        <f t="shared" si="440"/>
        <v>0</v>
      </c>
      <c r="AC435" s="101">
        <f t="shared" si="441"/>
        <v>0</v>
      </c>
      <c r="AD435" s="101">
        <f t="shared" si="442"/>
        <v>0</v>
      </c>
      <c r="AE435" s="101"/>
      <c r="AF435" s="101">
        <f t="shared" si="443"/>
        <v>0</v>
      </c>
      <c r="AG435" s="101"/>
      <c r="AH435" s="101">
        <f t="shared" si="444"/>
        <v>0</v>
      </c>
      <c r="AI435" s="101"/>
      <c r="AJ435" s="101">
        <f t="shared" si="445"/>
        <v>0</v>
      </c>
      <c r="AK435" s="101">
        <f t="shared" si="446"/>
        <v>937915.11876465706</v>
      </c>
      <c r="AL435" s="98" t="str">
        <f t="shared" si="447"/>
        <v>ok</v>
      </c>
    </row>
    <row r="436" spans="1:38" x14ac:dyDescent="0.25">
      <c r="A436" s="97">
        <v>571</v>
      </c>
      <c r="B436" s="97" t="s">
        <v>478</v>
      </c>
      <c r="C436" s="97" t="s">
        <v>1007</v>
      </c>
      <c r="D436" s="97" t="s">
        <v>491</v>
      </c>
      <c r="F436" s="101">
        <f>'Jurisdictional Study'!F1368</f>
        <v>466792.94153682649</v>
      </c>
      <c r="G436" s="100"/>
      <c r="H436" s="101">
        <f t="shared" si="422"/>
        <v>0</v>
      </c>
      <c r="I436" s="101">
        <f t="shared" si="423"/>
        <v>0</v>
      </c>
      <c r="J436" s="101">
        <f t="shared" si="424"/>
        <v>0</v>
      </c>
      <c r="K436" s="101">
        <f t="shared" si="425"/>
        <v>0</v>
      </c>
      <c r="L436" s="101">
        <f t="shared" si="426"/>
        <v>0</v>
      </c>
      <c r="M436" s="101">
        <f t="shared" si="427"/>
        <v>0</v>
      </c>
      <c r="N436" s="101"/>
      <c r="O436" s="101">
        <f t="shared" si="428"/>
        <v>466792.94153682649</v>
      </c>
      <c r="P436" s="101">
        <f t="shared" si="429"/>
        <v>0</v>
      </c>
      <c r="Q436" s="101">
        <f t="shared" si="430"/>
        <v>0</v>
      </c>
      <c r="R436" s="101"/>
      <c r="S436" s="101">
        <f t="shared" si="431"/>
        <v>0</v>
      </c>
      <c r="T436" s="101">
        <f t="shared" si="432"/>
        <v>0</v>
      </c>
      <c r="U436" s="101">
        <f t="shared" si="433"/>
        <v>0</v>
      </c>
      <c r="V436" s="101">
        <f t="shared" si="434"/>
        <v>0</v>
      </c>
      <c r="W436" s="101">
        <f t="shared" si="435"/>
        <v>0</v>
      </c>
      <c r="X436" s="101">
        <f t="shared" si="436"/>
        <v>0</v>
      </c>
      <c r="Y436" s="101">
        <f t="shared" si="437"/>
        <v>0</v>
      </c>
      <c r="Z436" s="101">
        <f t="shared" si="438"/>
        <v>0</v>
      </c>
      <c r="AA436" s="101">
        <f t="shared" si="439"/>
        <v>0</v>
      </c>
      <c r="AB436" s="101">
        <f t="shared" si="440"/>
        <v>0</v>
      </c>
      <c r="AC436" s="101">
        <f t="shared" si="441"/>
        <v>0</v>
      </c>
      <c r="AD436" s="101">
        <f t="shared" si="442"/>
        <v>0</v>
      </c>
      <c r="AE436" s="101"/>
      <c r="AF436" s="101">
        <f t="shared" si="443"/>
        <v>0</v>
      </c>
      <c r="AG436" s="101"/>
      <c r="AH436" s="101">
        <f t="shared" si="444"/>
        <v>0</v>
      </c>
      <c r="AI436" s="101"/>
      <c r="AJ436" s="101">
        <f t="shared" si="445"/>
        <v>0</v>
      </c>
      <c r="AK436" s="101">
        <f>SUM(H436:AJ436)</f>
        <v>466792.94153682649</v>
      </c>
      <c r="AL436" s="98" t="str">
        <f>IF(ABS(AK436-F436)&lt;1,"ok","err")</f>
        <v>ok</v>
      </c>
    </row>
    <row r="437" spans="1:38" x14ac:dyDescent="0.25">
      <c r="A437" s="97">
        <v>572</v>
      </c>
      <c r="B437" s="97" t="s">
        <v>1612</v>
      </c>
      <c r="C437" s="97" t="s">
        <v>1827</v>
      </c>
      <c r="D437" s="97" t="s">
        <v>491</v>
      </c>
      <c r="F437" s="101">
        <f>'Jurisdictional Study'!F1369</f>
        <v>0</v>
      </c>
      <c r="G437" s="100"/>
      <c r="H437" s="101">
        <f t="shared" si="422"/>
        <v>0</v>
      </c>
      <c r="I437" s="101">
        <f t="shared" si="423"/>
        <v>0</v>
      </c>
      <c r="J437" s="101">
        <f t="shared" si="424"/>
        <v>0</v>
      </c>
      <c r="K437" s="101">
        <f t="shared" si="425"/>
        <v>0</v>
      </c>
      <c r="L437" s="101">
        <f t="shared" si="426"/>
        <v>0</v>
      </c>
      <c r="M437" s="101">
        <f t="shared" si="427"/>
        <v>0</v>
      </c>
      <c r="N437" s="101"/>
      <c r="O437" s="101">
        <f t="shared" si="428"/>
        <v>0</v>
      </c>
      <c r="P437" s="101">
        <f t="shared" si="429"/>
        <v>0</v>
      </c>
      <c r="Q437" s="101">
        <f t="shared" si="430"/>
        <v>0</v>
      </c>
      <c r="R437" s="101"/>
      <c r="S437" s="101">
        <f t="shared" si="431"/>
        <v>0</v>
      </c>
      <c r="T437" s="101">
        <f t="shared" si="432"/>
        <v>0</v>
      </c>
      <c r="U437" s="101">
        <f t="shared" si="433"/>
        <v>0</v>
      </c>
      <c r="V437" s="101">
        <f t="shared" si="434"/>
        <v>0</v>
      </c>
      <c r="W437" s="101">
        <f t="shared" si="435"/>
        <v>0</v>
      </c>
      <c r="X437" s="101">
        <f t="shared" si="436"/>
        <v>0</v>
      </c>
      <c r="Y437" s="101">
        <f t="shared" si="437"/>
        <v>0</v>
      </c>
      <c r="Z437" s="101">
        <f t="shared" si="438"/>
        <v>0</v>
      </c>
      <c r="AA437" s="101">
        <f t="shared" si="439"/>
        <v>0</v>
      </c>
      <c r="AB437" s="101">
        <f t="shared" si="440"/>
        <v>0</v>
      </c>
      <c r="AC437" s="101">
        <f t="shared" si="441"/>
        <v>0</v>
      </c>
      <c r="AD437" s="101">
        <f t="shared" si="442"/>
        <v>0</v>
      </c>
      <c r="AE437" s="101"/>
      <c r="AF437" s="101">
        <f t="shared" si="443"/>
        <v>0</v>
      </c>
      <c r="AG437" s="101"/>
      <c r="AH437" s="101">
        <f t="shared" si="444"/>
        <v>0</v>
      </c>
      <c r="AI437" s="101"/>
      <c r="AJ437" s="101">
        <f t="shared" si="445"/>
        <v>0</v>
      </c>
      <c r="AK437" s="101">
        <f>SUM(H437:AJ437)</f>
        <v>0</v>
      </c>
      <c r="AL437" s="98" t="str">
        <f>IF(ABS(AK437-F437)&lt;1,"ok","err")</f>
        <v>ok</v>
      </c>
    </row>
    <row r="438" spans="1:38" x14ac:dyDescent="0.25">
      <c r="A438" s="97">
        <v>573</v>
      </c>
      <c r="B438" s="97" t="s">
        <v>1614</v>
      </c>
      <c r="C438" s="97" t="s">
        <v>1828</v>
      </c>
      <c r="D438" s="97" t="s">
        <v>491</v>
      </c>
      <c r="F438" s="101">
        <f>'Jurisdictional Study'!F1370</f>
        <v>0</v>
      </c>
      <c r="G438" s="100"/>
      <c r="H438" s="101">
        <f t="shared" si="422"/>
        <v>0</v>
      </c>
      <c r="I438" s="101">
        <f t="shared" si="423"/>
        <v>0</v>
      </c>
      <c r="J438" s="101">
        <f t="shared" si="424"/>
        <v>0</v>
      </c>
      <c r="K438" s="101">
        <f t="shared" si="425"/>
        <v>0</v>
      </c>
      <c r="L438" s="101">
        <f t="shared" si="426"/>
        <v>0</v>
      </c>
      <c r="M438" s="101">
        <f t="shared" si="427"/>
        <v>0</v>
      </c>
      <c r="N438" s="101"/>
      <c r="O438" s="101">
        <f t="shared" si="428"/>
        <v>0</v>
      </c>
      <c r="P438" s="101">
        <f t="shared" si="429"/>
        <v>0</v>
      </c>
      <c r="Q438" s="101">
        <f t="shared" si="430"/>
        <v>0</v>
      </c>
      <c r="R438" s="101"/>
      <c r="S438" s="101">
        <f t="shared" si="431"/>
        <v>0</v>
      </c>
      <c r="T438" s="101">
        <f t="shared" si="432"/>
        <v>0</v>
      </c>
      <c r="U438" s="101">
        <f t="shared" si="433"/>
        <v>0</v>
      </c>
      <c r="V438" s="101">
        <f t="shared" si="434"/>
        <v>0</v>
      </c>
      <c r="W438" s="101">
        <f t="shared" si="435"/>
        <v>0</v>
      </c>
      <c r="X438" s="101">
        <f t="shared" si="436"/>
        <v>0</v>
      </c>
      <c r="Y438" s="101">
        <f t="shared" si="437"/>
        <v>0</v>
      </c>
      <c r="Z438" s="101">
        <f t="shared" si="438"/>
        <v>0</v>
      </c>
      <c r="AA438" s="101">
        <f t="shared" si="439"/>
        <v>0</v>
      </c>
      <c r="AB438" s="101">
        <f t="shared" si="440"/>
        <v>0</v>
      </c>
      <c r="AC438" s="101">
        <f t="shared" si="441"/>
        <v>0</v>
      </c>
      <c r="AD438" s="101">
        <f t="shared" si="442"/>
        <v>0</v>
      </c>
      <c r="AE438" s="101"/>
      <c r="AF438" s="101">
        <f t="shared" si="443"/>
        <v>0</v>
      </c>
      <c r="AG438" s="101"/>
      <c r="AH438" s="101">
        <f t="shared" si="444"/>
        <v>0</v>
      </c>
      <c r="AI438" s="101"/>
      <c r="AJ438" s="101">
        <f t="shared" si="445"/>
        <v>0</v>
      </c>
      <c r="AK438" s="101">
        <f t="shared" si="446"/>
        <v>0</v>
      </c>
      <c r="AL438" s="98" t="str">
        <f t="shared" si="447"/>
        <v>ok</v>
      </c>
    </row>
    <row r="439" spans="1:38" x14ac:dyDescent="0.25"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1"/>
      <c r="AL439" s="98"/>
    </row>
    <row r="440" spans="1:38" x14ac:dyDescent="0.25">
      <c r="A440" s="97" t="s">
        <v>1059</v>
      </c>
      <c r="C440" s="97" t="s">
        <v>740</v>
      </c>
      <c r="F440" s="102">
        <f>SUM(F429:F439)</f>
        <v>6741999.3400328392</v>
      </c>
      <c r="G440" s="102">
        <f>SUM(G429:G438)</f>
        <v>0</v>
      </c>
      <c r="H440" s="102">
        <f t="shared" ref="H440:M440" si="448">SUM(H429:H439)</f>
        <v>0</v>
      </c>
      <c r="I440" s="102">
        <f t="shared" si="448"/>
        <v>0</v>
      </c>
      <c r="J440" s="102">
        <f t="shared" si="448"/>
        <v>0</v>
      </c>
      <c r="K440" s="102">
        <f t="shared" si="448"/>
        <v>0</v>
      </c>
      <c r="L440" s="102">
        <f t="shared" si="448"/>
        <v>0</v>
      </c>
      <c r="M440" s="102">
        <f t="shared" si="448"/>
        <v>0</v>
      </c>
      <c r="N440" s="101"/>
      <c r="O440" s="102">
        <f>SUM(O429:O439)</f>
        <v>6741999.3400328392</v>
      </c>
      <c r="P440" s="102">
        <f>SUM(P429:P439)</f>
        <v>0</v>
      </c>
      <c r="Q440" s="102">
        <f>SUM(Q429:Q439)</f>
        <v>0</v>
      </c>
      <c r="R440" s="101"/>
      <c r="S440" s="102">
        <f t="shared" ref="S440:AD440" si="449">SUM(S429:S439)</f>
        <v>0</v>
      </c>
      <c r="T440" s="102">
        <f t="shared" si="449"/>
        <v>0</v>
      </c>
      <c r="U440" s="102">
        <f t="shared" si="449"/>
        <v>0</v>
      </c>
      <c r="V440" s="102">
        <f t="shared" si="449"/>
        <v>0</v>
      </c>
      <c r="W440" s="102">
        <f t="shared" si="449"/>
        <v>0</v>
      </c>
      <c r="X440" s="102">
        <f t="shared" si="449"/>
        <v>0</v>
      </c>
      <c r="Y440" s="102">
        <f t="shared" si="449"/>
        <v>0</v>
      </c>
      <c r="Z440" s="102">
        <f t="shared" si="449"/>
        <v>0</v>
      </c>
      <c r="AA440" s="102">
        <f t="shared" si="449"/>
        <v>0</v>
      </c>
      <c r="AB440" s="102">
        <f t="shared" si="449"/>
        <v>0</v>
      </c>
      <c r="AC440" s="102">
        <f t="shared" si="449"/>
        <v>0</v>
      </c>
      <c r="AD440" s="102">
        <f t="shared" si="449"/>
        <v>0</v>
      </c>
      <c r="AE440" s="101"/>
      <c r="AF440" s="102">
        <f>SUM(AF429:AF439)</f>
        <v>0</v>
      </c>
      <c r="AG440" s="101"/>
      <c r="AH440" s="102">
        <f>SUM(AH429:AH439)</f>
        <v>0</v>
      </c>
      <c r="AI440" s="101"/>
      <c r="AJ440" s="102">
        <f>SUM(AJ429:AJ439)</f>
        <v>0</v>
      </c>
      <c r="AK440" s="100">
        <f>SUM(H440:AJ440)</f>
        <v>6741999.3400328392</v>
      </c>
      <c r="AL440" s="98" t="str">
        <f>IF(ABS(AK440-F440)&lt;1,"ok","err")</f>
        <v>ok</v>
      </c>
    </row>
    <row r="441" spans="1:38" x14ac:dyDescent="0.25">
      <c r="Y441" s="97"/>
      <c r="AL441" s="98"/>
    </row>
    <row r="442" spans="1:38" x14ac:dyDescent="0.25">
      <c r="A442" s="24" t="s">
        <v>1061</v>
      </c>
      <c r="Y442" s="97"/>
      <c r="AL442" s="98"/>
    </row>
    <row r="443" spans="1:38" x14ac:dyDescent="0.25">
      <c r="A443" s="97">
        <v>580</v>
      </c>
      <c r="B443" s="97" t="s">
        <v>808</v>
      </c>
      <c r="C443" s="97" t="s">
        <v>1008</v>
      </c>
      <c r="D443" s="97" t="s">
        <v>748</v>
      </c>
      <c r="F443" s="100">
        <f>'Jurisdictional Study'!F1375</f>
        <v>1081710.9570623545</v>
      </c>
      <c r="H443" s="101">
        <f t="shared" ref="H443:H453" si="450">IF(VLOOKUP($D443,$C$5:$AJ$644,6,)=0,0,((VLOOKUP($D443,$C$5:$AJ$644,6,)/VLOOKUP($D443,$C$5:$AJ$644,4,))*$F443))</f>
        <v>0</v>
      </c>
      <c r="I443" s="101">
        <f t="shared" ref="I443:I453" si="451">IF(VLOOKUP($D443,$C$5:$AJ$644,7,)=0,0,((VLOOKUP($D443,$C$5:$AJ$644,7,)/VLOOKUP($D443,$C$5:$AJ$644,4,))*$F443))</f>
        <v>0</v>
      </c>
      <c r="J443" s="101">
        <f t="shared" ref="J443:J453" si="452">IF(VLOOKUP($D443,$C$5:$AJ$644,8,)=0,0,((VLOOKUP($D443,$C$5:$AJ$644,8,)/VLOOKUP($D443,$C$5:$AJ$644,4,))*$F443))</f>
        <v>0</v>
      </c>
      <c r="K443" s="101">
        <f t="shared" ref="K443:K453" si="453">IF(VLOOKUP($D443,$C$5:$AJ$644,9,)=0,0,((VLOOKUP($D443,$C$5:$AJ$644,9,)/VLOOKUP($D443,$C$5:$AJ$644,4,))*$F443))</f>
        <v>0</v>
      </c>
      <c r="L443" s="101">
        <f t="shared" ref="L443:L453" si="454">IF(VLOOKUP($D443,$C$5:$AJ$644,10,)=0,0,((VLOOKUP($D443,$C$5:$AJ$644,10,)/VLOOKUP($D443,$C$5:$AJ$644,4,))*$F443))</f>
        <v>0</v>
      </c>
      <c r="M443" s="101">
        <f t="shared" ref="M443:M453" si="455">IF(VLOOKUP($D443,$C$5:$AJ$644,11,)=0,0,((VLOOKUP($D443,$C$5:$AJ$644,11,)/VLOOKUP($D443,$C$5:$AJ$644,4,))*$F443))</f>
        <v>0</v>
      </c>
      <c r="N443" s="101"/>
      <c r="O443" s="101">
        <f t="shared" ref="O443:O453" si="456">IF(VLOOKUP($D443,$C$5:$AJ$644,13,)=0,0,((VLOOKUP($D443,$C$5:$AJ$644,13,)/VLOOKUP($D443,$C$5:$AJ$644,4,))*$F443))</f>
        <v>0</v>
      </c>
      <c r="P443" s="101">
        <f t="shared" ref="P443:P453" si="457">IF(VLOOKUP($D443,$C$5:$AJ$644,14,)=0,0,((VLOOKUP($D443,$C$5:$AJ$644,14,)/VLOOKUP($D443,$C$5:$AJ$644,4,))*$F443))</f>
        <v>0</v>
      </c>
      <c r="Q443" s="101">
        <f t="shared" ref="Q443:Q453" si="458">IF(VLOOKUP($D443,$C$5:$AJ$644,15,)=0,0,((VLOOKUP($D443,$C$5:$AJ$644,15,)/VLOOKUP($D443,$C$5:$AJ$644,4,))*$F443))</f>
        <v>0</v>
      </c>
      <c r="R443" s="101"/>
      <c r="S443" s="101">
        <f t="shared" ref="S443:S453" si="459">IF(VLOOKUP($D443,$C$5:$AJ$644,17,)=0,0,((VLOOKUP($D443,$C$5:$AJ$644,17,)/VLOOKUP($D443,$C$5:$AJ$644,4,))*$F443))</f>
        <v>0</v>
      </c>
      <c r="T443" s="101">
        <f t="shared" ref="T443:T453" si="460">IF(VLOOKUP($D443,$C$5:$AJ$644,18,)=0,0,((VLOOKUP($D443,$C$5:$AJ$644,18,)/VLOOKUP($D443,$C$5:$AJ$644,4,))*$F443))</f>
        <v>140662.97450661057</v>
      </c>
      <c r="U443" s="101">
        <f t="shared" ref="U443:U453" si="461">IF(VLOOKUP($D443,$C$5:$AJ$644,19,)=0,0,((VLOOKUP($D443,$C$5:$AJ$644,19,)/VLOOKUP($D443,$C$5:$AJ$644,4,))*$F443))</f>
        <v>0</v>
      </c>
      <c r="V443" s="101">
        <f t="shared" ref="V443:V453" si="462">IF(VLOOKUP($D443,$C$5:$AJ$644,20,)=0,0,((VLOOKUP($D443,$C$5:$AJ$644,20,)/VLOOKUP($D443,$C$5:$AJ$644,4,))*$F443))</f>
        <v>88540.676362337021</v>
      </c>
      <c r="W443" s="101">
        <f t="shared" ref="W443:W453" si="463">IF(VLOOKUP($D443,$C$5:$AJ$644,21,)=0,0,((VLOOKUP($D443,$C$5:$AJ$644,21,)/VLOOKUP($D443,$C$5:$AJ$644,4,))*$F443))</f>
        <v>143907.49673268551</v>
      </c>
      <c r="X443" s="101">
        <f t="shared" ref="X443:X453" si="464">IF(VLOOKUP($D443,$C$5:$AJ$644,22,)=0,0,((VLOOKUP($D443,$C$5:$AJ$644,22,)/VLOOKUP($D443,$C$5:$AJ$644,4,))*$F443))</f>
        <v>44432.592858928103</v>
      </c>
      <c r="Y443" s="101">
        <f t="shared" ref="Y443:Y453" si="465">IF(VLOOKUP($D443,$C$5:$AJ$644,23,)=0,0,((VLOOKUP($D443,$C$5:$AJ$644,23,)/VLOOKUP($D443,$C$5:$AJ$644,4,))*$F443))</f>
        <v>65825.925957736021</v>
      </c>
      <c r="Z443" s="101">
        <f t="shared" ref="Z443:Z453" si="466">IF(VLOOKUP($D443,$C$5:$AJ$644,24,)=0,0,((VLOOKUP($D443,$C$5:$AJ$644,24,)/VLOOKUP($D443,$C$5:$AJ$644,4,))*$F443))</f>
        <v>27397.915367322319</v>
      </c>
      <c r="AA443" s="101">
        <f t="shared" ref="AA443:AA453" si="467">IF(VLOOKUP($D443,$C$5:$AJ$644,25,)=0,0,((VLOOKUP($D443,$C$5:$AJ$644,25,)/VLOOKUP($D443,$C$5:$AJ$644,4,))*$F443))</f>
        <v>24380.841028775008</v>
      </c>
      <c r="AB443" s="101">
        <f t="shared" ref="AB443:AB453" si="468">IF(VLOOKUP($D443,$C$5:$AJ$644,26,)=0,0,((VLOOKUP($D443,$C$5:$AJ$644,26,)/VLOOKUP($D443,$C$5:$AJ$644,4,))*$F443))</f>
        <v>16322.298378959375</v>
      </c>
      <c r="AC443" s="101">
        <f t="shared" ref="AC443:AC453" si="469">IF(VLOOKUP($D443,$C$5:$AJ$644,27,)=0,0,((VLOOKUP($D443,$C$5:$AJ$644,27,)/VLOOKUP($D443,$C$5:$AJ$644,4,))*$F443))</f>
        <v>510922.74001983047</v>
      </c>
      <c r="AD443" s="101">
        <f t="shared" ref="AD443:AD453" si="470">IF(VLOOKUP($D443,$C$5:$AJ$644,28,)=0,0,((VLOOKUP($D443,$C$5:$AJ$644,28,)/VLOOKUP($D443,$C$5:$AJ$644,4,))*$F443))</f>
        <v>19317.495849170151</v>
      </c>
      <c r="AE443" s="101"/>
      <c r="AF443" s="101">
        <f t="shared" ref="AF443:AF453" si="471">IF(VLOOKUP($D443,$C$5:$AJ$644,30,)=0,0,((VLOOKUP($D443,$C$5:$AJ$644,30,)/VLOOKUP($D443,$C$5:$AJ$644,4,))*$F443))</f>
        <v>0</v>
      </c>
      <c r="AG443" s="101"/>
      <c r="AH443" s="101">
        <f t="shared" ref="AH443:AH453" si="472">IF(VLOOKUP($D443,$C$5:$AJ$644,32,)=0,0,((VLOOKUP($D443,$C$5:$AJ$644,32,)/VLOOKUP($D443,$C$5:$AJ$644,4,))*$F443))</f>
        <v>0</v>
      </c>
      <c r="AI443" s="101"/>
      <c r="AJ443" s="101">
        <f t="shared" ref="AJ443:AJ453" si="473">IF(VLOOKUP($D443,$C$5:$AJ$644,34,)=0,0,((VLOOKUP($D443,$C$5:$AJ$644,34,)/VLOOKUP($D443,$C$5:$AJ$644,4,))*$F443))</f>
        <v>0</v>
      </c>
      <c r="AK443" s="101">
        <f t="shared" ref="AK443:AK453" si="474">SUM(H443:AJ443)</f>
        <v>1081710.9570623548</v>
      </c>
      <c r="AL443" s="98" t="str">
        <f t="shared" ref="AL443:AL453" si="475">IF(ABS(AK443-F443)&lt;1,"ok","err")</f>
        <v>ok</v>
      </c>
    </row>
    <row r="444" spans="1:38" x14ac:dyDescent="0.25">
      <c r="A444" s="97">
        <v>581</v>
      </c>
      <c r="B444" s="97" t="s">
        <v>810</v>
      </c>
      <c r="C444" s="97" t="s">
        <v>1009</v>
      </c>
      <c r="D444" s="97" t="s">
        <v>119</v>
      </c>
      <c r="F444" s="101">
        <f>'Jurisdictional Study'!F1376</f>
        <v>342506.27938109287</v>
      </c>
      <c r="H444" s="101">
        <f t="shared" si="450"/>
        <v>0</v>
      </c>
      <c r="I444" s="101">
        <f t="shared" si="451"/>
        <v>0</v>
      </c>
      <c r="J444" s="101">
        <f t="shared" si="452"/>
        <v>0</v>
      </c>
      <c r="K444" s="101">
        <f t="shared" si="453"/>
        <v>0</v>
      </c>
      <c r="L444" s="101">
        <f t="shared" si="454"/>
        <v>0</v>
      </c>
      <c r="M444" s="101">
        <f t="shared" si="455"/>
        <v>0</v>
      </c>
      <c r="N444" s="101"/>
      <c r="O444" s="101">
        <f t="shared" si="456"/>
        <v>0</v>
      </c>
      <c r="P444" s="101">
        <f t="shared" si="457"/>
        <v>0</v>
      </c>
      <c r="Q444" s="101">
        <f t="shared" si="458"/>
        <v>0</v>
      </c>
      <c r="R444" s="101"/>
      <c r="S444" s="101">
        <f t="shared" si="459"/>
        <v>0</v>
      </c>
      <c r="T444" s="101">
        <f t="shared" si="460"/>
        <v>342506.27938109287</v>
      </c>
      <c r="U444" s="101">
        <f t="shared" si="461"/>
        <v>0</v>
      </c>
      <c r="V444" s="101">
        <f t="shared" si="462"/>
        <v>0</v>
      </c>
      <c r="W444" s="101">
        <f t="shared" si="463"/>
        <v>0</v>
      </c>
      <c r="X444" s="101">
        <f t="shared" si="464"/>
        <v>0</v>
      </c>
      <c r="Y444" s="101">
        <f t="shared" si="465"/>
        <v>0</v>
      </c>
      <c r="Z444" s="101">
        <f t="shared" si="466"/>
        <v>0</v>
      </c>
      <c r="AA444" s="101">
        <f t="shared" si="467"/>
        <v>0</v>
      </c>
      <c r="AB444" s="101">
        <f t="shared" si="468"/>
        <v>0</v>
      </c>
      <c r="AC444" s="101">
        <f t="shared" si="469"/>
        <v>0</v>
      </c>
      <c r="AD444" s="101">
        <f t="shared" si="470"/>
        <v>0</v>
      </c>
      <c r="AE444" s="101"/>
      <c r="AF444" s="101">
        <f t="shared" si="471"/>
        <v>0</v>
      </c>
      <c r="AG444" s="101"/>
      <c r="AH444" s="101">
        <f t="shared" si="472"/>
        <v>0</v>
      </c>
      <c r="AI444" s="101"/>
      <c r="AJ444" s="101">
        <f t="shared" si="473"/>
        <v>0</v>
      </c>
      <c r="AK444" s="101">
        <f t="shared" si="474"/>
        <v>342506.27938109287</v>
      </c>
      <c r="AL444" s="98" t="str">
        <f t="shared" si="475"/>
        <v>ok</v>
      </c>
    </row>
    <row r="445" spans="1:38" x14ac:dyDescent="0.25">
      <c r="A445" s="97">
        <v>582</v>
      </c>
      <c r="B445" s="97" t="s">
        <v>474</v>
      </c>
      <c r="C445" s="97" t="s">
        <v>1010</v>
      </c>
      <c r="D445" s="97" t="s">
        <v>119</v>
      </c>
      <c r="F445" s="101">
        <f>'Jurisdictional Study'!F1377</f>
        <v>870966.55608474847</v>
      </c>
      <c r="H445" s="101">
        <f t="shared" si="450"/>
        <v>0</v>
      </c>
      <c r="I445" s="101">
        <f t="shared" si="451"/>
        <v>0</v>
      </c>
      <c r="J445" s="101">
        <f t="shared" si="452"/>
        <v>0</v>
      </c>
      <c r="K445" s="101">
        <f t="shared" si="453"/>
        <v>0</v>
      </c>
      <c r="L445" s="101">
        <f t="shared" si="454"/>
        <v>0</v>
      </c>
      <c r="M445" s="101">
        <f t="shared" si="455"/>
        <v>0</v>
      </c>
      <c r="N445" s="101"/>
      <c r="O445" s="101">
        <f t="shared" si="456"/>
        <v>0</v>
      </c>
      <c r="P445" s="101">
        <f t="shared" si="457"/>
        <v>0</v>
      </c>
      <c r="Q445" s="101">
        <f t="shared" si="458"/>
        <v>0</v>
      </c>
      <c r="R445" s="101"/>
      <c r="S445" s="101">
        <f t="shared" si="459"/>
        <v>0</v>
      </c>
      <c r="T445" s="101">
        <f t="shared" si="460"/>
        <v>870966.55608474847</v>
      </c>
      <c r="U445" s="101">
        <f t="shared" si="461"/>
        <v>0</v>
      </c>
      <c r="V445" s="101">
        <f t="shared" si="462"/>
        <v>0</v>
      </c>
      <c r="W445" s="101">
        <f t="shared" si="463"/>
        <v>0</v>
      </c>
      <c r="X445" s="101">
        <f t="shared" si="464"/>
        <v>0</v>
      </c>
      <c r="Y445" s="101">
        <f t="shared" si="465"/>
        <v>0</v>
      </c>
      <c r="Z445" s="101">
        <f t="shared" si="466"/>
        <v>0</v>
      </c>
      <c r="AA445" s="101">
        <f t="shared" si="467"/>
        <v>0</v>
      </c>
      <c r="AB445" s="101">
        <f t="shared" si="468"/>
        <v>0</v>
      </c>
      <c r="AC445" s="101">
        <f t="shared" si="469"/>
        <v>0</v>
      </c>
      <c r="AD445" s="101">
        <f t="shared" si="470"/>
        <v>0</v>
      </c>
      <c r="AE445" s="101"/>
      <c r="AF445" s="101">
        <f t="shared" si="471"/>
        <v>0</v>
      </c>
      <c r="AG445" s="101"/>
      <c r="AH445" s="101">
        <f t="shared" si="472"/>
        <v>0</v>
      </c>
      <c r="AI445" s="101"/>
      <c r="AJ445" s="101">
        <f t="shared" si="473"/>
        <v>0</v>
      </c>
      <c r="AK445" s="101">
        <f t="shared" si="474"/>
        <v>870966.55608474847</v>
      </c>
      <c r="AL445" s="98" t="str">
        <f t="shared" si="475"/>
        <v>ok</v>
      </c>
    </row>
    <row r="446" spans="1:38" x14ac:dyDescent="0.25">
      <c r="A446" s="97">
        <v>583</v>
      </c>
      <c r="B446" s="97" t="s">
        <v>812</v>
      </c>
      <c r="C446" s="97" t="s">
        <v>1011</v>
      </c>
      <c r="D446" s="97" t="s">
        <v>122</v>
      </c>
      <c r="F446" s="101">
        <f>'Jurisdictional Study'!F1378</f>
        <v>2170209.0319895069</v>
      </c>
      <c r="H446" s="101">
        <f t="shared" si="450"/>
        <v>0</v>
      </c>
      <c r="I446" s="101">
        <f t="shared" si="451"/>
        <v>0</v>
      </c>
      <c r="J446" s="101">
        <f t="shared" si="452"/>
        <v>0</v>
      </c>
      <c r="K446" s="101">
        <f t="shared" si="453"/>
        <v>0</v>
      </c>
      <c r="L446" s="101">
        <f t="shared" si="454"/>
        <v>0</v>
      </c>
      <c r="M446" s="101">
        <f t="shared" si="455"/>
        <v>0</v>
      </c>
      <c r="N446" s="101"/>
      <c r="O446" s="101">
        <f t="shared" si="456"/>
        <v>0</v>
      </c>
      <c r="P446" s="101">
        <f t="shared" si="457"/>
        <v>0</v>
      </c>
      <c r="Q446" s="101">
        <f t="shared" si="458"/>
        <v>0</v>
      </c>
      <c r="R446" s="101"/>
      <c r="S446" s="101">
        <f t="shared" si="459"/>
        <v>0</v>
      </c>
      <c r="T446" s="101">
        <f t="shared" si="460"/>
        <v>0</v>
      </c>
      <c r="U446" s="101">
        <f t="shared" si="461"/>
        <v>0</v>
      </c>
      <c r="V446" s="101">
        <f t="shared" si="462"/>
        <v>577540.3897132019</v>
      </c>
      <c r="W446" s="101">
        <f t="shared" si="463"/>
        <v>837652.92004715558</v>
      </c>
      <c r="X446" s="101">
        <f t="shared" si="464"/>
        <v>308121.9162417159</v>
      </c>
      <c r="Y446" s="101">
        <f t="shared" si="465"/>
        <v>446893.80598743353</v>
      </c>
      <c r="Z446" s="101">
        <f t="shared" si="466"/>
        <v>0</v>
      </c>
      <c r="AA446" s="101">
        <f t="shared" si="467"/>
        <v>0</v>
      </c>
      <c r="AB446" s="101">
        <f t="shared" si="468"/>
        <v>0</v>
      </c>
      <c r="AC446" s="101">
        <f t="shared" si="469"/>
        <v>0</v>
      </c>
      <c r="AD446" s="101">
        <f t="shared" si="470"/>
        <v>0</v>
      </c>
      <c r="AE446" s="101"/>
      <c r="AF446" s="101">
        <f t="shared" si="471"/>
        <v>0</v>
      </c>
      <c r="AG446" s="101"/>
      <c r="AH446" s="101">
        <f t="shared" si="472"/>
        <v>0</v>
      </c>
      <c r="AI446" s="101"/>
      <c r="AJ446" s="101">
        <f t="shared" si="473"/>
        <v>0</v>
      </c>
      <c r="AK446" s="101">
        <f t="shared" si="474"/>
        <v>2170209.0319895069</v>
      </c>
      <c r="AL446" s="98" t="str">
        <f t="shared" si="475"/>
        <v>ok</v>
      </c>
    </row>
    <row r="447" spans="1:38" x14ac:dyDescent="0.25">
      <c r="A447" s="97">
        <v>584</v>
      </c>
      <c r="B447" s="97" t="s">
        <v>814</v>
      </c>
      <c r="C447" s="97" t="s">
        <v>1012</v>
      </c>
      <c r="D447" s="97" t="s">
        <v>125</v>
      </c>
      <c r="F447" s="101">
        <f>'Jurisdictional Study'!F1379</f>
        <v>0</v>
      </c>
      <c r="H447" s="101">
        <f t="shared" si="450"/>
        <v>0</v>
      </c>
      <c r="I447" s="101">
        <f t="shared" si="451"/>
        <v>0</v>
      </c>
      <c r="J447" s="101">
        <f t="shared" si="452"/>
        <v>0</v>
      </c>
      <c r="K447" s="101">
        <f t="shared" si="453"/>
        <v>0</v>
      </c>
      <c r="L447" s="101">
        <f t="shared" si="454"/>
        <v>0</v>
      </c>
      <c r="M447" s="101">
        <f t="shared" si="455"/>
        <v>0</v>
      </c>
      <c r="N447" s="101"/>
      <c r="O447" s="101">
        <f t="shared" si="456"/>
        <v>0</v>
      </c>
      <c r="P447" s="101">
        <f t="shared" si="457"/>
        <v>0</v>
      </c>
      <c r="Q447" s="101">
        <f t="shared" si="458"/>
        <v>0</v>
      </c>
      <c r="R447" s="101"/>
      <c r="S447" s="101">
        <f t="shared" si="459"/>
        <v>0</v>
      </c>
      <c r="T447" s="101">
        <f t="shared" si="460"/>
        <v>0</v>
      </c>
      <c r="U447" s="101">
        <f t="shared" si="461"/>
        <v>0</v>
      </c>
      <c r="V447" s="101">
        <f t="shared" si="462"/>
        <v>0</v>
      </c>
      <c r="W447" s="101">
        <f t="shared" si="463"/>
        <v>0</v>
      </c>
      <c r="X447" s="101">
        <f t="shared" si="464"/>
        <v>0</v>
      </c>
      <c r="Y447" s="101">
        <f t="shared" si="465"/>
        <v>0</v>
      </c>
      <c r="Z447" s="101">
        <f t="shared" si="466"/>
        <v>0</v>
      </c>
      <c r="AA447" s="101">
        <f t="shared" si="467"/>
        <v>0</v>
      </c>
      <c r="AB447" s="101">
        <f t="shared" si="468"/>
        <v>0</v>
      </c>
      <c r="AC447" s="101">
        <f t="shared" si="469"/>
        <v>0</v>
      </c>
      <c r="AD447" s="101">
        <f t="shared" si="470"/>
        <v>0</v>
      </c>
      <c r="AE447" s="101"/>
      <c r="AF447" s="101">
        <f t="shared" si="471"/>
        <v>0</v>
      </c>
      <c r="AG447" s="101"/>
      <c r="AH447" s="101">
        <f t="shared" si="472"/>
        <v>0</v>
      </c>
      <c r="AI447" s="101"/>
      <c r="AJ447" s="101">
        <f t="shared" si="473"/>
        <v>0</v>
      </c>
      <c r="AK447" s="101">
        <f t="shared" si="474"/>
        <v>0</v>
      </c>
      <c r="AL447" s="98" t="str">
        <f t="shared" si="475"/>
        <v>ok</v>
      </c>
    </row>
    <row r="448" spans="1:38" x14ac:dyDescent="0.25">
      <c r="A448" s="97">
        <v>585</v>
      </c>
      <c r="B448" s="97" t="s">
        <v>816</v>
      </c>
      <c r="C448" s="97" t="s">
        <v>1013</v>
      </c>
      <c r="D448" s="97" t="s">
        <v>180</v>
      </c>
      <c r="F448" s="101">
        <f>'Jurisdictional Study'!F1380</f>
        <v>0</v>
      </c>
      <c r="H448" s="101">
        <f t="shared" si="450"/>
        <v>0</v>
      </c>
      <c r="I448" s="101">
        <f t="shared" si="451"/>
        <v>0</v>
      </c>
      <c r="J448" s="101">
        <f t="shared" si="452"/>
        <v>0</v>
      </c>
      <c r="K448" s="101">
        <f t="shared" si="453"/>
        <v>0</v>
      </c>
      <c r="L448" s="101">
        <f t="shared" si="454"/>
        <v>0</v>
      </c>
      <c r="M448" s="101">
        <f t="shared" si="455"/>
        <v>0</v>
      </c>
      <c r="N448" s="101"/>
      <c r="O448" s="101">
        <f t="shared" si="456"/>
        <v>0</v>
      </c>
      <c r="P448" s="101">
        <f t="shared" si="457"/>
        <v>0</v>
      </c>
      <c r="Q448" s="101">
        <f t="shared" si="458"/>
        <v>0</v>
      </c>
      <c r="R448" s="101"/>
      <c r="S448" s="101">
        <f t="shared" si="459"/>
        <v>0</v>
      </c>
      <c r="T448" s="101">
        <f t="shared" si="460"/>
        <v>0</v>
      </c>
      <c r="U448" s="101">
        <f t="shared" si="461"/>
        <v>0</v>
      </c>
      <c r="V448" s="101">
        <f t="shared" si="462"/>
        <v>0</v>
      </c>
      <c r="W448" s="101">
        <f t="shared" si="463"/>
        <v>0</v>
      </c>
      <c r="X448" s="101">
        <f t="shared" si="464"/>
        <v>0</v>
      </c>
      <c r="Y448" s="101">
        <f t="shared" si="465"/>
        <v>0</v>
      </c>
      <c r="Z448" s="101">
        <f t="shared" si="466"/>
        <v>0</v>
      </c>
      <c r="AA448" s="101">
        <f t="shared" si="467"/>
        <v>0</v>
      </c>
      <c r="AB448" s="101">
        <f t="shared" si="468"/>
        <v>0</v>
      </c>
      <c r="AC448" s="101">
        <f t="shared" si="469"/>
        <v>0</v>
      </c>
      <c r="AD448" s="101">
        <f t="shared" si="470"/>
        <v>0</v>
      </c>
      <c r="AE448" s="101"/>
      <c r="AF448" s="101">
        <f t="shared" si="471"/>
        <v>0</v>
      </c>
      <c r="AG448" s="101"/>
      <c r="AH448" s="101">
        <f t="shared" si="472"/>
        <v>0</v>
      </c>
      <c r="AI448" s="101"/>
      <c r="AJ448" s="101">
        <f t="shared" si="473"/>
        <v>0</v>
      </c>
      <c r="AK448" s="101">
        <f t="shared" si="474"/>
        <v>0</v>
      </c>
      <c r="AL448" s="98" t="str">
        <f t="shared" si="475"/>
        <v>ok</v>
      </c>
    </row>
    <row r="449" spans="1:38" x14ac:dyDescent="0.25">
      <c r="A449" s="97">
        <v>586</v>
      </c>
      <c r="B449" s="97" t="s">
        <v>367</v>
      </c>
      <c r="C449" s="97" t="s">
        <v>1014</v>
      </c>
      <c r="D449" s="97" t="s">
        <v>178</v>
      </c>
      <c r="F449" s="101">
        <f>'Jurisdictional Study'!F1381</f>
        <v>5717579.7126991935</v>
      </c>
      <c r="H449" s="101">
        <f t="shared" si="450"/>
        <v>0</v>
      </c>
      <c r="I449" s="101">
        <f t="shared" si="451"/>
        <v>0</v>
      </c>
      <c r="J449" s="101">
        <f t="shared" si="452"/>
        <v>0</v>
      </c>
      <c r="K449" s="101">
        <f t="shared" si="453"/>
        <v>0</v>
      </c>
      <c r="L449" s="101">
        <f t="shared" si="454"/>
        <v>0</v>
      </c>
      <c r="M449" s="101">
        <f t="shared" si="455"/>
        <v>0</v>
      </c>
      <c r="N449" s="101"/>
      <c r="O449" s="101">
        <f t="shared" si="456"/>
        <v>0</v>
      </c>
      <c r="P449" s="101">
        <f t="shared" si="457"/>
        <v>0</v>
      </c>
      <c r="Q449" s="101">
        <f t="shared" si="458"/>
        <v>0</v>
      </c>
      <c r="R449" s="101"/>
      <c r="S449" s="101">
        <f t="shared" si="459"/>
        <v>0</v>
      </c>
      <c r="T449" s="101">
        <f t="shared" si="460"/>
        <v>0</v>
      </c>
      <c r="U449" s="101">
        <f t="shared" si="461"/>
        <v>0</v>
      </c>
      <c r="V449" s="101">
        <f t="shared" si="462"/>
        <v>0</v>
      </c>
      <c r="W449" s="101">
        <f t="shared" si="463"/>
        <v>0</v>
      </c>
      <c r="X449" s="101">
        <f t="shared" si="464"/>
        <v>0</v>
      </c>
      <c r="Y449" s="101">
        <f t="shared" si="465"/>
        <v>0</v>
      </c>
      <c r="Z449" s="101">
        <f t="shared" si="466"/>
        <v>0</v>
      </c>
      <c r="AA449" s="101">
        <f t="shared" si="467"/>
        <v>0</v>
      </c>
      <c r="AB449" s="101">
        <f t="shared" si="468"/>
        <v>0</v>
      </c>
      <c r="AC449" s="101">
        <f t="shared" si="469"/>
        <v>5717579.7126991935</v>
      </c>
      <c r="AD449" s="101">
        <f t="shared" si="470"/>
        <v>0</v>
      </c>
      <c r="AE449" s="101"/>
      <c r="AF449" s="101">
        <f t="shared" si="471"/>
        <v>0</v>
      </c>
      <c r="AG449" s="101"/>
      <c r="AH449" s="101">
        <f t="shared" si="472"/>
        <v>0</v>
      </c>
      <c r="AI449" s="101"/>
      <c r="AJ449" s="101">
        <f t="shared" si="473"/>
        <v>0</v>
      </c>
      <c r="AK449" s="101">
        <f t="shared" si="474"/>
        <v>5717579.7126991935</v>
      </c>
      <c r="AL449" s="98" t="str">
        <f t="shared" si="475"/>
        <v>ok</v>
      </c>
    </row>
    <row r="450" spans="1:38" x14ac:dyDescent="0.25">
      <c r="A450" s="97">
        <v>586</v>
      </c>
      <c r="B450" s="97" t="s">
        <v>1369</v>
      </c>
      <c r="C450" s="97" t="s">
        <v>1015</v>
      </c>
      <c r="D450" s="97" t="s">
        <v>997</v>
      </c>
      <c r="F450" s="101">
        <v>0</v>
      </c>
      <c r="H450" s="101">
        <f t="shared" si="450"/>
        <v>0</v>
      </c>
      <c r="I450" s="101">
        <f t="shared" si="451"/>
        <v>0</v>
      </c>
      <c r="J450" s="101">
        <f t="shared" si="452"/>
        <v>0</v>
      </c>
      <c r="K450" s="101">
        <f t="shared" si="453"/>
        <v>0</v>
      </c>
      <c r="L450" s="101">
        <f t="shared" si="454"/>
        <v>0</v>
      </c>
      <c r="M450" s="101">
        <f t="shared" si="455"/>
        <v>0</v>
      </c>
      <c r="N450" s="101"/>
      <c r="O450" s="101">
        <f t="shared" si="456"/>
        <v>0</v>
      </c>
      <c r="P450" s="101">
        <f t="shared" si="457"/>
        <v>0</v>
      </c>
      <c r="Q450" s="101">
        <f t="shared" si="458"/>
        <v>0</v>
      </c>
      <c r="R450" s="101"/>
      <c r="S450" s="101">
        <f t="shared" si="459"/>
        <v>0</v>
      </c>
      <c r="T450" s="101">
        <f t="shared" si="460"/>
        <v>0</v>
      </c>
      <c r="U450" s="101">
        <f t="shared" si="461"/>
        <v>0</v>
      </c>
      <c r="V450" s="101">
        <f t="shared" si="462"/>
        <v>0</v>
      </c>
      <c r="W450" s="101">
        <f t="shared" si="463"/>
        <v>0</v>
      </c>
      <c r="X450" s="101">
        <f t="shared" si="464"/>
        <v>0</v>
      </c>
      <c r="Y450" s="101">
        <f t="shared" si="465"/>
        <v>0</v>
      </c>
      <c r="Z450" s="101">
        <f t="shared" si="466"/>
        <v>0</v>
      </c>
      <c r="AA450" s="101">
        <f t="shared" si="467"/>
        <v>0</v>
      </c>
      <c r="AB450" s="101">
        <f t="shared" si="468"/>
        <v>0</v>
      </c>
      <c r="AC450" s="101">
        <f t="shared" si="469"/>
        <v>0</v>
      </c>
      <c r="AD450" s="101">
        <f t="shared" si="470"/>
        <v>0</v>
      </c>
      <c r="AE450" s="101"/>
      <c r="AF450" s="101">
        <f t="shared" si="471"/>
        <v>0</v>
      </c>
      <c r="AG450" s="101"/>
      <c r="AH450" s="101">
        <f t="shared" si="472"/>
        <v>0</v>
      </c>
      <c r="AI450" s="101"/>
      <c r="AJ450" s="101">
        <f t="shared" si="473"/>
        <v>0</v>
      </c>
      <c r="AK450" s="101">
        <f t="shared" si="474"/>
        <v>0</v>
      </c>
      <c r="AL450" s="98" t="str">
        <f t="shared" si="475"/>
        <v>ok</v>
      </c>
    </row>
    <row r="451" spans="1:38" x14ac:dyDescent="0.25">
      <c r="A451" s="97">
        <v>587</v>
      </c>
      <c r="B451" s="97" t="s">
        <v>369</v>
      </c>
      <c r="C451" s="97" t="s">
        <v>1016</v>
      </c>
      <c r="D451" s="97" t="s">
        <v>180</v>
      </c>
      <c r="F451" s="101">
        <f>'Jurisdictional Study'!D1382</f>
        <v>0</v>
      </c>
      <c r="H451" s="101">
        <f t="shared" si="450"/>
        <v>0</v>
      </c>
      <c r="I451" s="101">
        <f t="shared" si="451"/>
        <v>0</v>
      </c>
      <c r="J451" s="101">
        <f t="shared" si="452"/>
        <v>0</v>
      </c>
      <c r="K451" s="101">
        <f t="shared" si="453"/>
        <v>0</v>
      </c>
      <c r="L451" s="101">
        <f t="shared" si="454"/>
        <v>0</v>
      </c>
      <c r="M451" s="101">
        <f t="shared" si="455"/>
        <v>0</v>
      </c>
      <c r="N451" s="101"/>
      <c r="O451" s="101">
        <f t="shared" si="456"/>
        <v>0</v>
      </c>
      <c r="P451" s="101">
        <f t="shared" si="457"/>
        <v>0</v>
      </c>
      <c r="Q451" s="101">
        <f t="shared" si="458"/>
        <v>0</v>
      </c>
      <c r="R451" s="101"/>
      <c r="S451" s="101">
        <f t="shared" si="459"/>
        <v>0</v>
      </c>
      <c r="T451" s="101">
        <f t="shared" si="460"/>
        <v>0</v>
      </c>
      <c r="U451" s="101">
        <f t="shared" si="461"/>
        <v>0</v>
      </c>
      <c r="V451" s="101">
        <f t="shared" si="462"/>
        <v>0</v>
      </c>
      <c r="W451" s="101">
        <f t="shared" si="463"/>
        <v>0</v>
      </c>
      <c r="X451" s="101">
        <f t="shared" si="464"/>
        <v>0</v>
      </c>
      <c r="Y451" s="101">
        <f t="shared" si="465"/>
        <v>0</v>
      </c>
      <c r="Z451" s="101">
        <f t="shared" si="466"/>
        <v>0</v>
      </c>
      <c r="AA451" s="101">
        <f t="shared" si="467"/>
        <v>0</v>
      </c>
      <c r="AB451" s="101">
        <f t="shared" si="468"/>
        <v>0</v>
      </c>
      <c r="AC451" s="101">
        <f t="shared" si="469"/>
        <v>0</v>
      </c>
      <c r="AD451" s="101">
        <f t="shared" si="470"/>
        <v>0</v>
      </c>
      <c r="AE451" s="101"/>
      <c r="AF451" s="101">
        <f t="shared" si="471"/>
        <v>0</v>
      </c>
      <c r="AG451" s="101"/>
      <c r="AH451" s="101">
        <f t="shared" si="472"/>
        <v>0</v>
      </c>
      <c r="AI451" s="101"/>
      <c r="AJ451" s="101">
        <f t="shared" si="473"/>
        <v>0</v>
      </c>
      <c r="AK451" s="101">
        <f t="shared" si="474"/>
        <v>0</v>
      </c>
      <c r="AL451" s="98" t="str">
        <f t="shared" si="475"/>
        <v>ok</v>
      </c>
    </row>
    <row r="452" spans="1:38" x14ac:dyDescent="0.25">
      <c r="A452" s="97">
        <v>588</v>
      </c>
      <c r="B452" s="97" t="s">
        <v>371</v>
      </c>
      <c r="C452" s="97" t="s">
        <v>1017</v>
      </c>
      <c r="D452" s="97" t="s">
        <v>115</v>
      </c>
      <c r="F452" s="101">
        <f>'Jurisdictional Study'!D1383</f>
        <v>3343041</v>
      </c>
      <c r="H452" s="101">
        <f t="shared" si="450"/>
        <v>0</v>
      </c>
      <c r="I452" s="101">
        <f t="shared" si="451"/>
        <v>0</v>
      </c>
      <c r="J452" s="101">
        <f t="shared" si="452"/>
        <v>0</v>
      </c>
      <c r="K452" s="101">
        <f t="shared" si="453"/>
        <v>0</v>
      </c>
      <c r="L452" s="101">
        <f t="shared" si="454"/>
        <v>0</v>
      </c>
      <c r="M452" s="101">
        <f t="shared" si="455"/>
        <v>0</v>
      </c>
      <c r="N452" s="101"/>
      <c r="O452" s="101">
        <f t="shared" si="456"/>
        <v>0</v>
      </c>
      <c r="P452" s="101">
        <f t="shared" si="457"/>
        <v>0</v>
      </c>
      <c r="Q452" s="101">
        <f t="shared" si="458"/>
        <v>0</v>
      </c>
      <c r="R452" s="101"/>
      <c r="S452" s="101">
        <f t="shared" si="459"/>
        <v>0</v>
      </c>
      <c r="T452" s="101">
        <f t="shared" si="460"/>
        <v>404752.99940838426</v>
      </c>
      <c r="U452" s="101">
        <f t="shared" si="461"/>
        <v>0</v>
      </c>
      <c r="V452" s="101">
        <f t="shared" si="462"/>
        <v>441056.08479856059</v>
      </c>
      <c r="W452" s="101">
        <f t="shared" si="463"/>
        <v>817898.7975369608</v>
      </c>
      <c r="X452" s="101">
        <f t="shared" si="464"/>
        <v>203042.94378608334</v>
      </c>
      <c r="Y452" s="101">
        <f t="shared" si="465"/>
        <v>310385.88586438569</v>
      </c>
      <c r="Z452" s="101">
        <f t="shared" si="466"/>
        <v>315193.21004416078</v>
      </c>
      <c r="AA452" s="101">
        <f t="shared" si="467"/>
        <v>280483.95085567492</v>
      </c>
      <c r="AB452" s="101">
        <f t="shared" si="468"/>
        <v>187776.2432794029</v>
      </c>
      <c r="AC452" s="101">
        <f t="shared" si="469"/>
        <v>160217.05951367892</v>
      </c>
      <c r="AD452" s="101">
        <f t="shared" si="470"/>
        <v>222233.8249127077</v>
      </c>
      <c r="AE452" s="101"/>
      <c r="AF452" s="101">
        <f t="shared" si="471"/>
        <v>0</v>
      </c>
      <c r="AG452" s="101"/>
      <c r="AH452" s="101">
        <f t="shared" si="472"/>
        <v>0</v>
      </c>
      <c r="AI452" s="101"/>
      <c r="AJ452" s="101">
        <f t="shared" si="473"/>
        <v>0</v>
      </c>
      <c r="AK452" s="101">
        <f t="shared" si="474"/>
        <v>3343041.0000000005</v>
      </c>
      <c r="AL452" s="98" t="str">
        <f t="shared" si="475"/>
        <v>ok</v>
      </c>
    </row>
    <row r="453" spans="1:38" x14ac:dyDescent="0.25">
      <c r="A453" s="97">
        <v>589</v>
      </c>
      <c r="B453" s="97" t="s">
        <v>373</v>
      </c>
      <c r="C453" s="97" t="s">
        <v>1018</v>
      </c>
      <c r="D453" s="97" t="s">
        <v>115</v>
      </c>
      <c r="F453" s="101">
        <f>'Jurisdictional Study'!D1384</f>
        <v>0</v>
      </c>
      <c r="H453" s="101">
        <f t="shared" si="450"/>
        <v>0</v>
      </c>
      <c r="I453" s="101">
        <f t="shared" si="451"/>
        <v>0</v>
      </c>
      <c r="J453" s="101">
        <f t="shared" si="452"/>
        <v>0</v>
      </c>
      <c r="K453" s="101">
        <f t="shared" si="453"/>
        <v>0</v>
      </c>
      <c r="L453" s="101">
        <f t="shared" si="454"/>
        <v>0</v>
      </c>
      <c r="M453" s="101">
        <f t="shared" si="455"/>
        <v>0</v>
      </c>
      <c r="N453" s="101"/>
      <c r="O453" s="101">
        <f t="shared" si="456"/>
        <v>0</v>
      </c>
      <c r="P453" s="101">
        <f t="shared" si="457"/>
        <v>0</v>
      </c>
      <c r="Q453" s="101">
        <f t="shared" si="458"/>
        <v>0</v>
      </c>
      <c r="R453" s="101"/>
      <c r="S453" s="101">
        <f t="shared" si="459"/>
        <v>0</v>
      </c>
      <c r="T453" s="101">
        <f t="shared" si="460"/>
        <v>0</v>
      </c>
      <c r="U453" s="101">
        <f t="shared" si="461"/>
        <v>0</v>
      </c>
      <c r="V453" s="101">
        <f t="shared" si="462"/>
        <v>0</v>
      </c>
      <c r="W453" s="101">
        <f t="shared" si="463"/>
        <v>0</v>
      </c>
      <c r="X453" s="101">
        <f t="shared" si="464"/>
        <v>0</v>
      </c>
      <c r="Y453" s="101">
        <f t="shared" si="465"/>
        <v>0</v>
      </c>
      <c r="Z453" s="101">
        <f t="shared" si="466"/>
        <v>0</v>
      </c>
      <c r="AA453" s="101">
        <f t="shared" si="467"/>
        <v>0</v>
      </c>
      <c r="AB453" s="101">
        <f t="shared" si="468"/>
        <v>0</v>
      </c>
      <c r="AC453" s="101">
        <f t="shared" si="469"/>
        <v>0</v>
      </c>
      <c r="AD453" s="101">
        <f t="shared" si="470"/>
        <v>0</v>
      </c>
      <c r="AE453" s="101"/>
      <c r="AF453" s="101">
        <f t="shared" si="471"/>
        <v>0</v>
      </c>
      <c r="AG453" s="101"/>
      <c r="AH453" s="101">
        <f t="shared" si="472"/>
        <v>0</v>
      </c>
      <c r="AI453" s="101"/>
      <c r="AJ453" s="101">
        <f t="shared" si="473"/>
        <v>0</v>
      </c>
      <c r="AK453" s="101">
        <f t="shared" si="474"/>
        <v>0</v>
      </c>
      <c r="AL453" s="98" t="str">
        <f t="shared" si="475"/>
        <v>ok</v>
      </c>
    </row>
    <row r="454" spans="1:38" x14ac:dyDescent="0.25">
      <c r="F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L454" s="98"/>
    </row>
    <row r="455" spans="1:38" x14ac:dyDescent="0.25">
      <c r="A455" s="97" t="s">
        <v>1062</v>
      </c>
      <c r="C455" s="97" t="s">
        <v>1019</v>
      </c>
      <c r="F455" s="100">
        <f>SUM(F443:F454)</f>
        <v>13526013.537216896</v>
      </c>
      <c r="G455" s="100">
        <f t="shared" ref="G455:M455" si="476">SUM(G443:G454)</f>
        <v>0</v>
      </c>
      <c r="H455" s="100">
        <f t="shared" si="476"/>
        <v>0</v>
      </c>
      <c r="I455" s="100">
        <f t="shared" si="476"/>
        <v>0</v>
      </c>
      <c r="J455" s="100">
        <f t="shared" si="476"/>
        <v>0</v>
      </c>
      <c r="K455" s="100">
        <f t="shared" si="476"/>
        <v>0</v>
      </c>
      <c r="L455" s="100">
        <f t="shared" si="476"/>
        <v>0</v>
      </c>
      <c r="M455" s="100">
        <f t="shared" si="476"/>
        <v>0</v>
      </c>
      <c r="N455" s="100"/>
      <c r="O455" s="100">
        <f>SUM(O443:O454)</f>
        <v>0</v>
      </c>
      <c r="P455" s="100">
        <f>SUM(P443:P454)</f>
        <v>0</v>
      </c>
      <c r="Q455" s="100">
        <f>SUM(Q443:Q454)</f>
        <v>0</v>
      </c>
      <c r="R455" s="100"/>
      <c r="S455" s="100">
        <f t="shared" ref="S455:AD455" si="477">SUM(S443:S454)</f>
        <v>0</v>
      </c>
      <c r="T455" s="100">
        <f t="shared" si="477"/>
        <v>1758888.8093808363</v>
      </c>
      <c r="U455" s="100">
        <f t="shared" si="477"/>
        <v>0</v>
      </c>
      <c r="V455" s="100">
        <f t="shared" si="477"/>
        <v>1107137.1508740997</v>
      </c>
      <c r="W455" s="100">
        <f t="shared" si="477"/>
        <v>1799459.2143168019</v>
      </c>
      <c r="X455" s="100">
        <f t="shared" si="477"/>
        <v>555597.45288672729</v>
      </c>
      <c r="Y455" s="100">
        <f t="shared" si="477"/>
        <v>823105.61780955526</v>
      </c>
      <c r="Z455" s="100">
        <f t="shared" si="477"/>
        <v>342591.12541148311</v>
      </c>
      <c r="AA455" s="100">
        <f t="shared" si="477"/>
        <v>304864.79188444995</v>
      </c>
      <c r="AB455" s="100">
        <f t="shared" si="477"/>
        <v>204098.54165836229</v>
      </c>
      <c r="AC455" s="100">
        <f t="shared" si="477"/>
        <v>6388719.5122327032</v>
      </c>
      <c r="AD455" s="100">
        <f t="shared" si="477"/>
        <v>241551.32076187784</v>
      </c>
      <c r="AE455" s="100"/>
      <c r="AF455" s="100">
        <f>SUM(AF443:AF454)</f>
        <v>0</v>
      </c>
      <c r="AG455" s="100"/>
      <c r="AH455" s="100">
        <f>SUM(AH443:AH454)</f>
        <v>0</v>
      </c>
      <c r="AI455" s="100"/>
      <c r="AJ455" s="100">
        <f>SUM(AJ443:AJ454)</f>
        <v>0</v>
      </c>
      <c r="AK455" s="101">
        <f>SUM(H455:AJ455)</f>
        <v>13526013.537216898</v>
      </c>
      <c r="AL455" s="98" t="str">
        <f>IF(ABS(AK455-F455)&lt;1,"ok","err")</f>
        <v>ok</v>
      </c>
    </row>
    <row r="456" spans="1:38" x14ac:dyDescent="0.25"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1"/>
      <c r="AL456" s="98"/>
    </row>
    <row r="457" spans="1:38" x14ac:dyDescent="0.25"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1"/>
      <c r="AL457" s="98"/>
    </row>
    <row r="458" spans="1:38" x14ac:dyDescent="0.25"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1"/>
      <c r="AL458" s="98"/>
    </row>
    <row r="459" spans="1:38" x14ac:dyDescent="0.25"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1"/>
      <c r="AL459" s="98"/>
    </row>
    <row r="460" spans="1:38" x14ac:dyDescent="0.25"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1"/>
      <c r="AL460" s="98"/>
    </row>
    <row r="461" spans="1:38" x14ac:dyDescent="0.25"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1"/>
      <c r="AL461" s="98"/>
    </row>
    <row r="462" spans="1:38" x14ac:dyDescent="0.25"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1"/>
      <c r="AL462" s="98"/>
    </row>
    <row r="463" spans="1:38" x14ac:dyDescent="0.25"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1"/>
      <c r="AL463" s="98"/>
    </row>
    <row r="464" spans="1:38" x14ac:dyDescent="0.25"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1"/>
      <c r="AL464" s="98"/>
    </row>
    <row r="465" spans="1:38" x14ac:dyDescent="0.25">
      <c r="A465" s="24"/>
      <c r="F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L465" s="98"/>
    </row>
    <row r="466" spans="1:38" x14ac:dyDescent="0.25">
      <c r="A466" s="23" t="s">
        <v>999</v>
      </c>
      <c r="F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L466" s="98"/>
    </row>
    <row r="467" spans="1:38" x14ac:dyDescent="0.25">
      <c r="F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L467" s="98"/>
    </row>
    <row r="468" spans="1:38" x14ac:dyDescent="0.25">
      <c r="A468" s="24" t="s">
        <v>1063</v>
      </c>
      <c r="F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  <c r="AE468" s="101"/>
      <c r="AF468" s="101"/>
      <c r="AG468" s="101"/>
      <c r="AH468" s="101"/>
      <c r="AI468" s="101"/>
      <c r="AJ468" s="101"/>
      <c r="AL468" s="98"/>
    </row>
    <row r="469" spans="1:38" x14ac:dyDescent="0.25">
      <c r="A469" s="97">
        <v>590</v>
      </c>
      <c r="B469" s="97" t="s">
        <v>378</v>
      </c>
      <c r="C469" s="97" t="s">
        <v>1020</v>
      </c>
      <c r="D469" s="97" t="s">
        <v>749</v>
      </c>
      <c r="F469" s="100">
        <f>'Jurisdictional Study'!F1385</f>
        <v>0</v>
      </c>
      <c r="H469" s="101">
        <f t="shared" ref="H469:H477" si="478">IF(VLOOKUP($D469,$C$5:$AJ$644,6,)=0,0,((VLOOKUP($D469,$C$5:$AJ$644,6,)/VLOOKUP($D469,$C$5:$AJ$644,4,))*$F469))</f>
        <v>0</v>
      </c>
      <c r="I469" s="101">
        <f t="shared" ref="I469:I477" si="479">IF(VLOOKUP($D469,$C$5:$AJ$644,7,)=0,0,((VLOOKUP($D469,$C$5:$AJ$644,7,)/VLOOKUP($D469,$C$5:$AJ$644,4,))*$F469))</f>
        <v>0</v>
      </c>
      <c r="J469" s="101">
        <f t="shared" ref="J469:J477" si="480">IF(VLOOKUP($D469,$C$5:$AJ$644,8,)=0,0,((VLOOKUP($D469,$C$5:$AJ$644,8,)/VLOOKUP($D469,$C$5:$AJ$644,4,))*$F469))</f>
        <v>0</v>
      </c>
      <c r="K469" s="101">
        <f t="shared" ref="K469:K477" si="481">IF(VLOOKUP($D469,$C$5:$AJ$644,9,)=0,0,((VLOOKUP($D469,$C$5:$AJ$644,9,)/VLOOKUP($D469,$C$5:$AJ$644,4,))*$F469))</f>
        <v>0</v>
      </c>
      <c r="L469" s="101">
        <f t="shared" ref="L469:L477" si="482">IF(VLOOKUP($D469,$C$5:$AJ$644,10,)=0,0,((VLOOKUP($D469,$C$5:$AJ$644,10,)/VLOOKUP($D469,$C$5:$AJ$644,4,))*$F469))</f>
        <v>0</v>
      </c>
      <c r="M469" s="101">
        <f t="shared" ref="M469:M477" si="483">IF(VLOOKUP($D469,$C$5:$AJ$644,11,)=0,0,((VLOOKUP($D469,$C$5:$AJ$644,11,)/VLOOKUP($D469,$C$5:$AJ$644,4,))*$F469))</f>
        <v>0</v>
      </c>
      <c r="N469" s="101"/>
      <c r="O469" s="101">
        <f t="shared" ref="O469:O477" si="484">IF(VLOOKUP($D469,$C$5:$AJ$644,13,)=0,0,((VLOOKUP($D469,$C$5:$AJ$644,13,)/VLOOKUP($D469,$C$5:$AJ$644,4,))*$F469))</f>
        <v>0</v>
      </c>
      <c r="P469" s="101">
        <f t="shared" ref="P469:P477" si="485">IF(VLOOKUP($D469,$C$5:$AJ$644,14,)=0,0,((VLOOKUP($D469,$C$5:$AJ$644,14,)/VLOOKUP($D469,$C$5:$AJ$644,4,))*$F469))</f>
        <v>0</v>
      </c>
      <c r="Q469" s="101">
        <f t="shared" ref="Q469:Q477" si="486">IF(VLOOKUP($D469,$C$5:$AJ$644,15,)=0,0,((VLOOKUP($D469,$C$5:$AJ$644,15,)/VLOOKUP($D469,$C$5:$AJ$644,4,))*$F469))</f>
        <v>0</v>
      </c>
      <c r="R469" s="101"/>
      <c r="S469" s="101">
        <f t="shared" ref="S469:S477" si="487">IF(VLOOKUP($D469,$C$5:$AJ$644,17,)=0,0,((VLOOKUP($D469,$C$5:$AJ$644,17,)/VLOOKUP($D469,$C$5:$AJ$644,4,))*$F469))</f>
        <v>0</v>
      </c>
      <c r="T469" s="101">
        <f t="shared" ref="T469:T477" si="488">IF(VLOOKUP($D469,$C$5:$AJ$644,18,)=0,0,((VLOOKUP($D469,$C$5:$AJ$644,18,)/VLOOKUP($D469,$C$5:$AJ$644,4,))*$F469))</f>
        <v>0</v>
      </c>
      <c r="U469" s="101">
        <f t="shared" ref="U469:U477" si="489">IF(VLOOKUP($D469,$C$5:$AJ$644,19,)=0,0,((VLOOKUP($D469,$C$5:$AJ$644,19,)/VLOOKUP($D469,$C$5:$AJ$644,4,))*$F469))</f>
        <v>0</v>
      </c>
      <c r="V469" s="101">
        <f t="shared" ref="V469:V477" si="490">IF(VLOOKUP($D469,$C$5:$AJ$644,20,)=0,0,((VLOOKUP($D469,$C$5:$AJ$644,20,)/VLOOKUP($D469,$C$5:$AJ$644,4,))*$F469))</f>
        <v>0</v>
      </c>
      <c r="W469" s="101">
        <f t="shared" ref="W469:W477" si="491">IF(VLOOKUP($D469,$C$5:$AJ$644,21,)=0,0,((VLOOKUP($D469,$C$5:$AJ$644,21,)/VLOOKUP($D469,$C$5:$AJ$644,4,))*$F469))</f>
        <v>0</v>
      </c>
      <c r="X469" s="101">
        <f t="shared" ref="X469:X477" si="492">IF(VLOOKUP($D469,$C$5:$AJ$644,22,)=0,0,((VLOOKUP($D469,$C$5:$AJ$644,22,)/VLOOKUP($D469,$C$5:$AJ$644,4,))*$F469))</f>
        <v>0</v>
      </c>
      <c r="Y469" s="101">
        <f t="shared" ref="Y469:Y477" si="493">IF(VLOOKUP($D469,$C$5:$AJ$644,23,)=0,0,((VLOOKUP($D469,$C$5:$AJ$644,23,)/VLOOKUP($D469,$C$5:$AJ$644,4,))*$F469))</f>
        <v>0</v>
      </c>
      <c r="Z469" s="101">
        <f t="shared" ref="Z469:Z477" si="494">IF(VLOOKUP($D469,$C$5:$AJ$644,24,)=0,0,((VLOOKUP($D469,$C$5:$AJ$644,24,)/VLOOKUP($D469,$C$5:$AJ$644,4,))*$F469))</f>
        <v>0</v>
      </c>
      <c r="AA469" s="101">
        <f t="shared" ref="AA469:AA477" si="495">IF(VLOOKUP($D469,$C$5:$AJ$644,25,)=0,0,((VLOOKUP($D469,$C$5:$AJ$644,25,)/VLOOKUP($D469,$C$5:$AJ$644,4,))*$F469))</f>
        <v>0</v>
      </c>
      <c r="AB469" s="101">
        <f t="shared" ref="AB469:AB477" si="496">IF(VLOOKUP($D469,$C$5:$AJ$644,26,)=0,0,((VLOOKUP($D469,$C$5:$AJ$644,26,)/VLOOKUP($D469,$C$5:$AJ$644,4,))*$F469))</f>
        <v>0</v>
      </c>
      <c r="AC469" s="101">
        <f t="shared" ref="AC469:AC477" si="497">IF(VLOOKUP($D469,$C$5:$AJ$644,27,)=0,0,((VLOOKUP($D469,$C$5:$AJ$644,27,)/VLOOKUP($D469,$C$5:$AJ$644,4,))*$F469))</f>
        <v>0</v>
      </c>
      <c r="AD469" s="101">
        <f t="shared" ref="AD469:AD477" si="498">IF(VLOOKUP($D469,$C$5:$AJ$644,28,)=0,0,((VLOOKUP($D469,$C$5:$AJ$644,28,)/VLOOKUP($D469,$C$5:$AJ$644,4,))*$F469))</f>
        <v>0</v>
      </c>
      <c r="AE469" s="101"/>
      <c r="AF469" s="101">
        <f t="shared" ref="AF469:AF477" si="499">IF(VLOOKUP($D469,$C$5:$AJ$644,30,)=0,0,((VLOOKUP($D469,$C$5:$AJ$644,30,)/VLOOKUP($D469,$C$5:$AJ$644,4,))*$F469))</f>
        <v>0</v>
      </c>
      <c r="AG469" s="101"/>
      <c r="AH469" s="101">
        <f t="shared" ref="AH469:AH477" si="500">IF(VLOOKUP($D469,$C$5:$AJ$644,32,)=0,0,((VLOOKUP($D469,$C$5:$AJ$644,32,)/VLOOKUP($D469,$C$5:$AJ$644,4,))*$F469))</f>
        <v>0</v>
      </c>
      <c r="AI469" s="101"/>
      <c r="AJ469" s="101">
        <f t="shared" ref="AJ469:AJ477" si="501">IF(VLOOKUP($D469,$C$5:$AJ$644,34,)=0,0,((VLOOKUP($D469,$C$5:$AJ$644,34,)/VLOOKUP($D469,$C$5:$AJ$644,4,))*$F469))</f>
        <v>0</v>
      </c>
      <c r="AK469" s="101">
        <f t="shared" ref="AK469:AK477" si="502">SUM(H469:AJ469)</f>
        <v>0</v>
      </c>
      <c r="AL469" s="98" t="str">
        <f t="shared" ref="AL469:AL477" si="503">IF(ABS(AK469-F469)&lt;1,"ok","err")</f>
        <v>ok</v>
      </c>
    </row>
    <row r="470" spans="1:38" x14ac:dyDescent="0.25">
      <c r="A470" s="97">
        <v>591</v>
      </c>
      <c r="B470" s="97" t="s">
        <v>586</v>
      </c>
      <c r="C470" s="97" t="s">
        <v>762</v>
      </c>
      <c r="D470" s="97" t="s">
        <v>119</v>
      </c>
      <c r="F470" s="101">
        <f>'Jurisdictional Study'!F1386</f>
        <v>0</v>
      </c>
      <c r="H470" s="101">
        <f t="shared" si="478"/>
        <v>0</v>
      </c>
      <c r="I470" s="101">
        <f t="shared" si="479"/>
        <v>0</v>
      </c>
      <c r="J470" s="101">
        <f t="shared" si="480"/>
        <v>0</v>
      </c>
      <c r="K470" s="101">
        <f t="shared" si="481"/>
        <v>0</v>
      </c>
      <c r="L470" s="101">
        <f t="shared" si="482"/>
        <v>0</v>
      </c>
      <c r="M470" s="101">
        <f t="shared" si="483"/>
        <v>0</v>
      </c>
      <c r="N470" s="101"/>
      <c r="O470" s="101">
        <f t="shared" si="484"/>
        <v>0</v>
      </c>
      <c r="P470" s="101">
        <f t="shared" si="485"/>
        <v>0</v>
      </c>
      <c r="Q470" s="101">
        <f t="shared" si="486"/>
        <v>0</v>
      </c>
      <c r="R470" s="101"/>
      <c r="S470" s="101">
        <f t="shared" si="487"/>
        <v>0</v>
      </c>
      <c r="T470" s="101">
        <f t="shared" si="488"/>
        <v>0</v>
      </c>
      <c r="U470" s="101">
        <f t="shared" si="489"/>
        <v>0</v>
      </c>
      <c r="V470" s="101">
        <f t="shared" si="490"/>
        <v>0</v>
      </c>
      <c r="W470" s="101">
        <f t="shared" si="491"/>
        <v>0</v>
      </c>
      <c r="X470" s="101">
        <f t="shared" si="492"/>
        <v>0</v>
      </c>
      <c r="Y470" s="101">
        <f t="shared" si="493"/>
        <v>0</v>
      </c>
      <c r="Z470" s="101">
        <f t="shared" si="494"/>
        <v>0</v>
      </c>
      <c r="AA470" s="101">
        <f t="shared" si="495"/>
        <v>0</v>
      </c>
      <c r="AB470" s="101">
        <f t="shared" si="496"/>
        <v>0</v>
      </c>
      <c r="AC470" s="101">
        <f t="shared" si="497"/>
        <v>0</v>
      </c>
      <c r="AD470" s="101">
        <f t="shared" si="498"/>
        <v>0</v>
      </c>
      <c r="AE470" s="101"/>
      <c r="AF470" s="101">
        <f t="shared" si="499"/>
        <v>0</v>
      </c>
      <c r="AG470" s="101"/>
      <c r="AH470" s="101">
        <f t="shared" si="500"/>
        <v>0</v>
      </c>
      <c r="AI470" s="101"/>
      <c r="AJ470" s="101">
        <f t="shared" si="501"/>
        <v>0</v>
      </c>
      <c r="AK470" s="101">
        <f>SUM(H470:AJ470)</f>
        <v>0</v>
      </c>
      <c r="AL470" s="98" t="str">
        <f>IF(ABS(AK470-F470)&lt;1,"ok","err")</f>
        <v>ok</v>
      </c>
    </row>
    <row r="471" spans="1:38" x14ac:dyDescent="0.25">
      <c r="A471" s="97">
        <v>592</v>
      </c>
      <c r="B471" s="97" t="s">
        <v>380</v>
      </c>
      <c r="C471" s="97" t="s">
        <v>1021</v>
      </c>
      <c r="D471" s="97" t="s">
        <v>119</v>
      </c>
      <c r="F471" s="101">
        <f>'Jurisdictional Study'!F1387</f>
        <v>605268.88174267509</v>
      </c>
      <c r="H471" s="101">
        <f t="shared" si="478"/>
        <v>0</v>
      </c>
      <c r="I471" s="101">
        <f t="shared" si="479"/>
        <v>0</v>
      </c>
      <c r="J471" s="101">
        <f t="shared" si="480"/>
        <v>0</v>
      </c>
      <c r="K471" s="101">
        <f t="shared" si="481"/>
        <v>0</v>
      </c>
      <c r="L471" s="101">
        <f t="shared" si="482"/>
        <v>0</v>
      </c>
      <c r="M471" s="101">
        <f t="shared" si="483"/>
        <v>0</v>
      </c>
      <c r="N471" s="101"/>
      <c r="O471" s="101">
        <f t="shared" si="484"/>
        <v>0</v>
      </c>
      <c r="P471" s="101">
        <f t="shared" si="485"/>
        <v>0</v>
      </c>
      <c r="Q471" s="101">
        <f t="shared" si="486"/>
        <v>0</v>
      </c>
      <c r="R471" s="101"/>
      <c r="S471" s="101">
        <f t="shared" si="487"/>
        <v>0</v>
      </c>
      <c r="T471" s="101">
        <f t="shared" si="488"/>
        <v>605268.88174267509</v>
      </c>
      <c r="U471" s="101">
        <f t="shared" si="489"/>
        <v>0</v>
      </c>
      <c r="V471" s="101">
        <f t="shared" si="490"/>
        <v>0</v>
      </c>
      <c r="W471" s="101">
        <f t="shared" si="491"/>
        <v>0</v>
      </c>
      <c r="X471" s="101">
        <f t="shared" si="492"/>
        <v>0</v>
      </c>
      <c r="Y471" s="101">
        <f t="shared" si="493"/>
        <v>0</v>
      </c>
      <c r="Z471" s="101">
        <f t="shared" si="494"/>
        <v>0</v>
      </c>
      <c r="AA471" s="101">
        <f t="shared" si="495"/>
        <v>0</v>
      </c>
      <c r="AB471" s="101">
        <f t="shared" si="496"/>
        <v>0</v>
      </c>
      <c r="AC471" s="101">
        <f t="shared" si="497"/>
        <v>0</v>
      </c>
      <c r="AD471" s="101">
        <f t="shared" si="498"/>
        <v>0</v>
      </c>
      <c r="AE471" s="101"/>
      <c r="AF471" s="101">
        <f t="shared" si="499"/>
        <v>0</v>
      </c>
      <c r="AG471" s="101"/>
      <c r="AH471" s="101">
        <f t="shared" si="500"/>
        <v>0</v>
      </c>
      <c r="AI471" s="101"/>
      <c r="AJ471" s="101">
        <f t="shared" si="501"/>
        <v>0</v>
      </c>
      <c r="AK471" s="101">
        <f t="shared" si="502"/>
        <v>605268.88174267509</v>
      </c>
      <c r="AL471" s="98" t="str">
        <f t="shared" si="503"/>
        <v>ok</v>
      </c>
    </row>
    <row r="472" spans="1:38" x14ac:dyDescent="0.25">
      <c r="A472" s="97">
        <v>593</v>
      </c>
      <c r="B472" s="97" t="s">
        <v>382</v>
      </c>
      <c r="C472" s="97" t="s">
        <v>1022</v>
      </c>
      <c r="D472" s="97" t="s">
        <v>122</v>
      </c>
      <c r="F472" s="101">
        <f>'Jurisdictional Study'!F1388</f>
        <v>6158358.9636072675</v>
      </c>
      <c r="H472" s="101">
        <f t="shared" si="478"/>
        <v>0</v>
      </c>
      <c r="I472" s="101">
        <f t="shared" si="479"/>
        <v>0</v>
      </c>
      <c r="J472" s="101">
        <f t="shared" si="480"/>
        <v>0</v>
      </c>
      <c r="K472" s="101">
        <f t="shared" si="481"/>
        <v>0</v>
      </c>
      <c r="L472" s="101">
        <f t="shared" si="482"/>
        <v>0</v>
      </c>
      <c r="M472" s="101">
        <f t="shared" si="483"/>
        <v>0</v>
      </c>
      <c r="N472" s="101"/>
      <c r="O472" s="101">
        <f t="shared" si="484"/>
        <v>0</v>
      </c>
      <c r="P472" s="101">
        <f t="shared" si="485"/>
        <v>0</v>
      </c>
      <c r="Q472" s="101">
        <f t="shared" si="486"/>
        <v>0</v>
      </c>
      <c r="R472" s="101"/>
      <c r="S472" s="101">
        <f t="shared" si="487"/>
        <v>0</v>
      </c>
      <c r="T472" s="101">
        <f t="shared" si="488"/>
        <v>0</v>
      </c>
      <c r="U472" s="101">
        <f t="shared" si="489"/>
        <v>0</v>
      </c>
      <c r="V472" s="101">
        <f t="shared" si="490"/>
        <v>1638874.8656966831</v>
      </c>
      <c r="W472" s="101">
        <f t="shared" si="491"/>
        <v>2376991.0144716161</v>
      </c>
      <c r="X472" s="101">
        <f t="shared" si="492"/>
        <v>874351.42735144298</v>
      </c>
      <c r="Y472" s="101">
        <f t="shared" si="493"/>
        <v>1268141.6560875252</v>
      </c>
      <c r="Z472" s="101">
        <f t="shared" si="494"/>
        <v>0</v>
      </c>
      <c r="AA472" s="101">
        <f t="shared" si="495"/>
        <v>0</v>
      </c>
      <c r="AB472" s="101">
        <f t="shared" si="496"/>
        <v>0</v>
      </c>
      <c r="AC472" s="101">
        <f t="shared" si="497"/>
        <v>0</v>
      </c>
      <c r="AD472" s="101">
        <f t="shared" si="498"/>
        <v>0</v>
      </c>
      <c r="AE472" s="101"/>
      <c r="AF472" s="101">
        <f t="shared" si="499"/>
        <v>0</v>
      </c>
      <c r="AG472" s="101"/>
      <c r="AH472" s="101">
        <f t="shared" si="500"/>
        <v>0</v>
      </c>
      <c r="AI472" s="101"/>
      <c r="AJ472" s="101">
        <f t="shared" si="501"/>
        <v>0</v>
      </c>
      <c r="AK472" s="101">
        <f t="shared" si="502"/>
        <v>6158358.9636072675</v>
      </c>
      <c r="AL472" s="98" t="str">
        <f t="shared" si="503"/>
        <v>ok</v>
      </c>
    </row>
    <row r="473" spans="1:38" x14ac:dyDescent="0.25">
      <c r="A473" s="97">
        <v>594</v>
      </c>
      <c r="B473" s="97" t="s">
        <v>384</v>
      </c>
      <c r="C473" s="97" t="s">
        <v>1023</v>
      </c>
      <c r="D473" s="97" t="s">
        <v>125</v>
      </c>
      <c r="F473" s="101">
        <f>'Jurisdictional Study'!F1389</f>
        <v>413801.70867297339</v>
      </c>
      <c r="H473" s="101">
        <f t="shared" si="478"/>
        <v>0</v>
      </c>
      <c r="I473" s="101">
        <f t="shared" si="479"/>
        <v>0</v>
      </c>
      <c r="J473" s="101">
        <f t="shared" si="480"/>
        <v>0</v>
      </c>
      <c r="K473" s="101">
        <f t="shared" si="481"/>
        <v>0</v>
      </c>
      <c r="L473" s="101">
        <f t="shared" si="482"/>
        <v>0</v>
      </c>
      <c r="M473" s="101">
        <f t="shared" si="483"/>
        <v>0</v>
      </c>
      <c r="N473" s="101"/>
      <c r="O473" s="101">
        <f t="shared" si="484"/>
        <v>0</v>
      </c>
      <c r="P473" s="101">
        <f t="shared" si="485"/>
        <v>0</v>
      </c>
      <c r="Q473" s="101">
        <f t="shared" si="486"/>
        <v>0</v>
      </c>
      <c r="R473" s="101"/>
      <c r="S473" s="101">
        <f t="shared" si="487"/>
        <v>0</v>
      </c>
      <c r="T473" s="101">
        <f t="shared" si="488"/>
        <v>0</v>
      </c>
      <c r="U473" s="101">
        <f t="shared" si="489"/>
        <v>0</v>
      </c>
      <c r="V473" s="101">
        <f t="shared" si="490"/>
        <v>77463.924006588742</v>
      </c>
      <c r="W473" s="101">
        <f t="shared" si="491"/>
        <v>302447.42472606816</v>
      </c>
      <c r="X473" s="101">
        <f t="shared" si="492"/>
        <v>6910.2443918305389</v>
      </c>
      <c r="Y473" s="101">
        <f t="shared" si="493"/>
        <v>26980.115548485985</v>
      </c>
      <c r="Z473" s="101">
        <f t="shared" si="494"/>
        <v>0</v>
      </c>
      <c r="AA473" s="101">
        <f t="shared" si="495"/>
        <v>0</v>
      </c>
      <c r="AB473" s="101">
        <f t="shared" si="496"/>
        <v>0</v>
      </c>
      <c r="AC473" s="101">
        <f t="shared" si="497"/>
        <v>0</v>
      </c>
      <c r="AD473" s="101">
        <f t="shared" si="498"/>
        <v>0</v>
      </c>
      <c r="AE473" s="101"/>
      <c r="AF473" s="101">
        <f t="shared" si="499"/>
        <v>0</v>
      </c>
      <c r="AG473" s="101"/>
      <c r="AH473" s="101">
        <f t="shared" si="500"/>
        <v>0</v>
      </c>
      <c r="AI473" s="101"/>
      <c r="AJ473" s="101">
        <f t="shared" si="501"/>
        <v>0</v>
      </c>
      <c r="AK473" s="101">
        <f t="shared" si="502"/>
        <v>413801.70867297344</v>
      </c>
      <c r="AL473" s="98" t="str">
        <f t="shared" si="503"/>
        <v>ok</v>
      </c>
    </row>
    <row r="474" spans="1:38" x14ac:dyDescent="0.25">
      <c r="A474" s="97">
        <v>595</v>
      </c>
      <c r="B474" s="97" t="s">
        <v>386</v>
      </c>
      <c r="C474" s="97" t="s">
        <v>1024</v>
      </c>
      <c r="D474" s="97" t="s">
        <v>126</v>
      </c>
      <c r="F474" s="101">
        <f>'Jurisdictional Study'!F1390</f>
        <v>51420.421279841255</v>
      </c>
      <c r="H474" s="101">
        <f t="shared" si="478"/>
        <v>0</v>
      </c>
      <c r="I474" s="101">
        <f t="shared" si="479"/>
        <v>0</v>
      </c>
      <c r="J474" s="101">
        <f t="shared" si="480"/>
        <v>0</v>
      </c>
      <c r="K474" s="101">
        <f t="shared" si="481"/>
        <v>0</v>
      </c>
      <c r="L474" s="101">
        <f t="shared" si="482"/>
        <v>0</v>
      </c>
      <c r="M474" s="101">
        <f t="shared" si="483"/>
        <v>0</v>
      </c>
      <c r="N474" s="101"/>
      <c r="O474" s="101">
        <f t="shared" si="484"/>
        <v>0</v>
      </c>
      <c r="P474" s="101">
        <f t="shared" si="485"/>
        <v>0</v>
      </c>
      <c r="Q474" s="101">
        <f t="shared" si="486"/>
        <v>0</v>
      </c>
      <c r="R474" s="101"/>
      <c r="S474" s="101">
        <f t="shared" si="487"/>
        <v>0</v>
      </c>
      <c r="T474" s="101">
        <f t="shared" si="488"/>
        <v>0</v>
      </c>
      <c r="U474" s="101">
        <f t="shared" si="489"/>
        <v>0</v>
      </c>
      <c r="V474" s="101">
        <f t="shared" si="490"/>
        <v>0</v>
      </c>
      <c r="W474" s="101">
        <f t="shared" si="491"/>
        <v>0</v>
      </c>
      <c r="X474" s="101">
        <f t="shared" si="492"/>
        <v>0</v>
      </c>
      <c r="Y474" s="101">
        <f t="shared" si="493"/>
        <v>0</v>
      </c>
      <c r="Z474" s="101">
        <f t="shared" si="494"/>
        <v>27208.3079709372</v>
      </c>
      <c r="AA474" s="101">
        <f t="shared" si="495"/>
        <v>24212.113308904056</v>
      </c>
      <c r="AB474" s="101">
        <f t="shared" si="496"/>
        <v>0</v>
      </c>
      <c r="AC474" s="101">
        <f t="shared" si="497"/>
        <v>0</v>
      </c>
      <c r="AD474" s="101">
        <f t="shared" si="498"/>
        <v>0</v>
      </c>
      <c r="AE474" s="101"/>
      <c r="AF474" s="101">
        <f t="shared" si="499"/>
        <v>0</v>
      </c>
      <c r="AG474" s="101"/>
      <c r="AH474" s="101">
        <f t="shared" si="500"/>
        <v>0</v>
      </c>
      <c r="AI474" s="101"/>
      <c r="AJ474" s="101">
        <f t="shared" si="501"/>
        <v>0</v>
      </c>
      <c r="AK474" s="101">
        <f t="shared" si="502"/>
        <v>51420.421279841255</v>
      </c>
      <c r="AL474" s="98" t="str">
        <f t="shared" si="503"/>
        <v>ok</v>
      </c>
    </row>
    <row r="475" spans="1:38" x14ac:dyDescent="0.25">
      <c r="A475" s="97">
        <v>596</v>
      </c>
      <c r="B475" s="97" t="s">
        <v>482</v>
      </c>
      <c r="C475" s="97" t="s">
        <v>1025</v>
      </c>
      <c r="D475" s="97" t="s">
        <v>181</v>
      </c>
      <c r="F475" s="101">
        <f>'Jurisdictional Study'!F1391</f>
        <v>0</v>
      </c>
      <c r="H475" s="101">
        <f t="shared" si="478"/>
        <v>0</v>
      </c>
      <c r="I475" s="101">
        <f t="shared" si="479"/>
        <v>0</v>
      </c>
      <c r="J475" s="101">
        <f t="shared" si="480"/>
        <v>0</v>
      </c>
      <c r="K475" s="101">
        <f t="shared" si="481"/>
        <v>0</v>
      </c>
      <c r="L475" s="101">
        <f t="shared" si="482"/>
        <v>0</v>
      </c>
      <c r="M475" s="101">
        <f t="shared" si="483"/>
        <v>0</v>
      </c>
      <c r="N475" s="101"/>
      <c r="O475" s="101">
        <f t="shared" si="484"/>
        <v>0</v>
      </c>
      <c r="P475" s="101">
        <f t="shared" si="485"/>
        <v>0</v>
      </c>
      <c r="Q475" s="101">
        <f t="shared" si="486"/>
        <v>0</v>
      </c>
      <c r="R475" s="101"/>
      <c r="S475" s="101">
        <f t="shared" si="487"/>
        <v>0</v>
      </c>
      <c r="T475" s="101">
        <f t="shared" si="488"/>
        <v>0</v>
      </c>
      <c r="U475" s="101">
        <f t="shared" si="489"/>
        <v>0</v>
      </c>
      <c r="V475" s="101">
        <f t="shared" si="490"/>
        <v>0</v>
      </c>
      <c r="W475" s="101">
        <f t="shared" si="491"/>
        <v>0</v>
      </c>
      <c r="X475" s="101">
        <f t="shared" si="492"/>
        <v>0</v>
      </c>
      <c r="Y475" s="101">
        <f t="shared" si="493"/>
        <v>0</v>
      </c>
      <c r="Z475" s="101">
        <f t="shared" si="494"/>
        <v>0</v>
      </c>
      <c r="AA475" s="101">
        <f t="shared" si="495"/>
        <v>0</v>
      </c>
      <c r="AB475" s="101">
        <f t="shared" si="496"/>
        <v>0</v>
      </c>
      <c r="AC475" s="101">
        <f t="shared" si="497"/>
        <v>0</v>
      </c>
      <c r="AD475" s="101">
        <f t="shared" si="498"/>
        <v>0</v>
      </c>
      <c r="AE475" s="101"/>
      <c r="AF475" s="101">
        <f t="shared" si="499"/>
        <v>0</v>
      </c>
      <c r="AG475" s="101"/>
      <c r="AH475" s="101">
        <f t="shared" si="500"/>
        <v>0</v>
      </c>
      <c r="AI475" s="101"/>
      <c r="AJ475" s="101">
        <f t="shared" si="501"/>
        <v>0</v>
      </c>
      <c r="AK475" s="101">
        <f t="shared" si="502"/>
        <v>0</v>
      </c>
      <c r="AL475" s="98" t="str">
        <f t="shared" si="503"/>
        <v>ok</v>
      </c>
    </row>
    <row r="476" spans="1:38" x14ac:dyDescent="0.25">
      <c r="A476" s="97">
        <v>597</v>
      </c>
      <c r="B476" s="97" t="s">
        <v>388</v>
      </c>
      <c r="C476" s="97" t="s">
        <v>1026</v>
      </c>
      <c r="D476" s="97" t="s">
        <v>178</v>
      </c>
      <c r="F476" s="101">
        <f>'Jurisdictional Study'!F1392</f>
        <v>0</v>
      </c>
      <c r="H476" s="101">
        <f t="shared" si="478"/>
        <v>0</v>
      </c>
      <c r="I476" s="101">
        <f t="shared" si="479"/>
        <v>0</v>
      </c>
      <c r="J476" s="101">
        <f t="shared" si="480"/>
        <v>0</v>
      </c>
      <c r="K476" s="101">
        <f t="shared" si="481"/>
        <v>0</v>
      </c>
      <c r="L476" s="101">
        <f t="shared" si="482"/>
        <v>0</v>
      </c>
      <c r="M476" s="101">
        <f t="shared" si="483"/>
        <v>0</v>
      </c>
      <c r="N476" s="101"/>
      <c r="O476" s="101">
        <f t="shared" si="484"/>
        <v>0</v>
      </c>
      <c r="P476" s="101">
        <f t="shared" si="485"/>
        <v>0</v>
      </c>
      <c r="Q476" s="101">
        <f t="shared" si="486"/>
        <v>0</v>
      </c>
      <c r="R476" s="101"/>
      <c r="S476" s="101">
        <f t="shared" si="487"/>
        <v>0</v>
      </c>
      <c r="T476" s="101">
        <f t="shared" si="488"/>
        <v>0</v>
      </c>
      <c r="U476" s="101">
        <f t="shared" si="489"/>
        <v>0</v>
      </c>
      <c r="V476" s="101">
        <f t="shared" si="490"/>
        <v>0</v>
      </c>
      <c r="W476" s="101">
        <f t="shared" si="491"/>
        <v>0</v>
      </c>
      <c r="X476" s="101">
        <f t="shared" si="492"/>
        <v>0</v>
      </c>
      <c r="Y476" s="101">
        <f t="shared" si="493"/>
        <v>0</v>
      </c>
      <c r="Z476" s="101">
        <f t="shared" si="494"/>
        <v>0</v>
      </c>
      <c r="AA476" s="101">
        <f t="shared" si="495"/>
        <v>0</v>
      </c>
      <c r="AB476" s="101">
        <f t="shared" si="496"/>
        <v>0</v>
      </c>
      <c r="AC476" s="101">
        <f t="shared" si="497"/>
        <v>0</v>
      </c>
      <c r="AD476" s="101">
        <f t="shared" si="498"/>
        <v>0</v>
      </c>
      <c r="AE476" s="101"/>
      <c r="AF476" s="101">
        <f t="shared" si="499"/>
        <v>0</v>
      </c>
      <c r="AG476" s="101"/>
      <c r="AH476" s="101">
        <f t="shared" si="500"/>
        <v>0</v>
      </c>
      <c r="AI476" s="101"/>
      <c r="AJ476" s="101">
        <f t="shared" si="501"/>
        <v>0</v>
      </c>
      <c r="AK476" s="101">
        <f t="shared" si="502"/>
        <v>0</v>
      </c>
      <c r="AL476" s="98" t="str">
        <f t="shared" si="503"/>
        <v>ok</v>
      </c>
    </row>
    <row r="477" spans="1:38" x14ac:dyDescent="0.25">
      <c r="A477" s="97">
        <v>598</v>
      </c>
      <c r="B477" s="97" t="s">
        <v>486</v>
      </c>
      <c r="C477" s="97" t="s">
        <v>1027</v>
      </c>
      <c r="D477" s="97" t="s">
        <v>115</v>
      </c>
      <c r="F477" s="101">
        <f>'Jurisdictional Study'!F1393</f>
        <v>0</v>
      </c>
      <c r="H477" s="101">
        <f t="shared" si="478"/>
        <v>0</v>
      </c>
      <c r="I477" s="101">
        <f t="shared" si="479"/>
        <v>0</v>
      </c>
      <c r="J477" s="101">
        <f t="shared" si="480"/>
        <v>0</v>
      </c>
      <c r="K477" s="101">
        <f t="shared" si="481"/>
        <v>0</v>
      </c>
      <c r="L477" s="101">
        <f t="shared" si="482"/>
        <v>0</v>
      </c>
      <c r="M477" s="101">
        <f t="shared" si="483"/>
        <v>0</v>
      </c>
      <c r="N477" s="101"/>
      <c r="O477" s="101">
        <f t="shared" si="484"/>
        <v>0</v>
      </c>
      <c r="P477" s="101">
        <f t="shared" si="485"/>
        <v>0</v>
      </c>
      <c r="Q477" s="101">
        <f t="shared" si="486"/>
        <v>0</v>
      </c>
      <c r="R477" s="101"/>
      <c r="S477" s="101">
        <f t="shared" si="487"/>
        <v>0</v>
      </c>
      <c r="T477" s="101">
        <f t="shared" si="488"/>
        <v>0</v>
      </c>
      <c r="U477" s="101">
        <f t="shared" si="489"/>
        <v>0</v>
      </c>
      <c r="V477" s="101">
        <f t="shared" si="490"/>
        <v>0</v>
      </c>
      <c r="W477" s="101">
        <f t="shared" si="491"/>
        <v>0</v>
      </c>
      <c r="X477" s="101">
        <f t="shared" si="492"/>
        <v>0</v>
      </c>
      <c r="Y477" s="101">
        <f t="shared" si="493"/>
        <v>0</v>
      </c>
      <c r="Z477" s="101">
        <f t="shared" si="494"/>
        <v>0</v>
      </c>
      <c r="AA477" s="101">
        <f t="shared" si="495"/>
        <v>0</v>
      </c>
      <c r="AB477" s="101">
        <f t="shared" si="496"/>
        <v>0</v>
      </c>
      <c r="AC477" s="101">
        <f t="shared" si="497"/>
        <v>0</v>
      </c>
      <c r="AD477" s="101">
        <f t="shared" si="498"/>
        <v>0</v>
      </c>
      <c r="AE477" s="101"/>
      <c r="AF477" s="101">
        <f t="shared" si="499"/>
        <v>0</v>
      </c>
      <c r="AG477" s="101"/>
      <c r="AH477" s="101">
        <f t="shared" si="500"/>
        <v>0</v>
      </c>
      <c r="AI477" s="101"/>
      <c r="AJ477" s="101">
        <f t="shared" si="501"/>
        <v>0</v>
      </c>
      <c r="AK477" s="101">
        <f t="shared" si="502"/>
        <v>0</v>
      </c>
      <c r="AL477" s="98" t="str">
        <f t="shared" si="503"/>
        <v>ok</v>
      </c>
    </row>
    <row r="478" spans="1:38" x14ac:dyDescent="0.25">
      <c r="F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98"/>
    </row>
    <row r="479" spans="1:38" x14ac:dyDescent="0.25">
      <c r="A479" s="97" t="s">
        <v>1064</v>
      </c>
      <c r="C479" s="97" t="s">
        <v>1028</v>
      </c>
      <c r="F479" s="100">
        <f t="shared" ref="F479:M479" si="504">SUM(F469:F478)</f>
        <v>7228849.9753027568</v>
      </c>
      <c r="G479" s="100">
        <f t="shared" si="504"/>
        <v>0</v>
      </c>
      <c r="H479" s="100">
        <f t="shared" si="504"/>
        <v>0</v>
      </c>
      <c r="I479" s="100">
        <f t="shared" si="504"/>
        <v>0</v>
      </c>
      <c r="J479" s="100">
        <f t="shared" si="504"/>
        <v>0</v>
      </c>
      <c r="K479" s="100">
        <f t="shared" si="504"/>
        <v>0</v>
      </c>
      <c r="L479" s="100">
        <f t="shared" si="504"/>
        <v>0</v>
      </c>
      <c r="M479" s="100">
        <f t="shared" si="504"/>
        <v>0</v>
      </c>
      <c r="N479" s="100"/>
      <c r="O479" s="100">
        <f>SUM(O469:O478)</f>
        <v>0</v>
      </c>
      <c r="P479" s="100">
        <f>SUM(P469:P478)</f>
        <v>0</v>
      </c>
      <c r="Q479" s="100">
        <f>SUM(Q469:Q478)</f>
        <v>0</v>
      </c>
      <c r="R479" s="100"/>
      <c r="S479" s="100">
        <f t="shared" ref="S479:AD479" si="505">SUM(S469:S478)</f>
        <v>0</v>
      </c>
      <c r="T479" s="100">
        <f t="shared" si="505"/>
        <v>605268.88174267509</v>
      </c>
      <c r="U479" s="100">
        <f t="shared" si="505"/>
        <v>0</v>
      </c>
      <c r="V479" s="100">
        <f t="shared" si="505"/>
        <v>1716338.7897032718</v>
      </c>
      <c r="W479" s="100">
        <f t="shared" si="505"/>
        <v>2679438.4391976842</v>
      </c>
      <c r="X479" s="100">
        <f t="shared" si="505"/>
        <v>881261.6717432735</v>
      </c>
      <c r="Y479" s="100">
        <f t="shared" si="505"/>
        <v>1295121.7716360111</v>
      </c>
      <c r="Z479" s="100">
        <f t="shared" si="505"/>
        <v>27208.3079709372</v>
      </c>
      <c r="AA479" s="100">
        <f t="shared" si="505"/>
        <v>24212.113308904056</v>
      </c>
      <c r="AB479" s="100">
        <f t="shared" si="505"/>
        <v>0</v>
      </c>
      <c r="AC479" s="100">
        <f t="shared" si="505"/>
        <v>0</v>
      </c>
      <c r="AD479" s="100">
        <f t="shared" si="505"/>
        <v>0</v>
      </c>
      <c r="AE479" s="100"/>
      <c r="AF479" s="100">
        <f>SUM(AF469:AF478)</f>
        <v>0</v>
      </c>
      <c r="AG479" s="100"/>
      <c r="AH479" s="100">
        <f>SUM(AH469:AH478)</f>
        <v>0</v>
      </c>
      <c r="AI479" s="100"/>
      <c r="AJ479" s="100">
        <f>SUM(AJ469:AJ478)</f>
        <v>0</v>
      </c>
      <c r="AK479" s="101">
        <f>SUM(H479:AJ479)</f>
        <v>7228849.9753027568</v>
      </c>
      <c r="AL479" s="98" t="str">
        <f>IF(ABS(AK479-F479)&lt;1,"ok","err")</f>
        <v>ok</v>
      </c>
    </row>
    <row r="480" spans="1:38" x14ac:dyDescent="0.25">
      <c r="F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L480" s="98"/>
    </row>
    <row r="481" spans="1:38" x14ac:dyDescent="0.25">
      <c r="A481" s="97" t="s">
        <v>1065</v>
      </c>
      <c r="D481" s="97" t="s">
        <v>115</v>
      </c>
      <c r="F481" s="101">
        <f>F455+F479</f>
        <v>20754863.512519654</v>
      </c>
      <c r="G481" s="101">
        <f>G455+G479</f>
        <v>0</v>
      </c>
      <c r="H481" s="101">
        <f t="shared" ref="H481:AJ481" si="506">H455+H479</f>
        <v>0</v>
      </c>
      <c r="I481" s="101">
        <f t="shared" si="506"/>
        <v>0</v>
      </c>
      <c r="J481" s="101">
        <f t="shared" si="506"/>
        <v>0</v>
      </c>
      <c r="K481" s="101">
        <f t="shared" si="506"/>
        <v>0</v>
      </c>
      <c r="L481" s="101">
        <f t="shared" si="506"/>
        <v>0</v>
      </c>
      <c r="M481" s="101">
        <f t="shared" si="506"/>
        <v>0</v>
      </c>
      <c r="N481" s="101">
        <f t="shared" si="506"/>
        <v>0</v>
      </c>
      <c r="O481" s="101">
        <f t="shared" si="506"/>
        <v>0</v>
      </c>
      <c r="P481" s="101">
        <f t="shared" si="506"/>
        <v>0</v>
      </c>
      <c r="Q481" s="101">
        <f t="shared" si="506"/>
        <v>0</v>
      </c>
      <c r="R481" s="101">
        <f t="shared" si="506"/>
        <v>0</v>
      </c>
      <c r="S481" s="101">
        <f t="shared" si="506"/>
        <v>0</v>
      </c>
      <c r="T481" s="101">
        <f t="shared" si="506"/>
        <v>2364157.6911235116</v>
      </c>
      <c r="U481" s="101">
        <f t="shared" si="506"/>
        <v>0</v>
      </c>
      <c r="V481" s="101">
        <f t="shared" si="506"/>
        <v>2823475.9405773715</v>
      </c>
      <c r="W481" s="101">
        <f t="shared" si="506"/>
        <v>4478897.6535144858</v>
      </c>
      <c r="X481" s="101">
        <f t="shared" si="506"/>
        <v>1436859.1246300009</v>
      </c>
      <c r="Y481" s="101">
        <f t="shared" si="506"/>
        <v>2118227.3894455666</v>
      </c>
      <c r="Z481" s="101">
        <f t="shared" si="506"/>
        <v>369799.43338242033</v>
      </c>
      <c r="AA481" s="101">
        <f t="shared" si="506"/>
        <v>329076.905193354</v>
      </c>
      <c r="AB481" s="101">
        <f t="shared" si="506"/>
        <v>204098.54165836229</v>
      </c>
      <c r="AC481" s="101">
        <f t="shared" si="506"/>
        <v>6388719.5122327032</v>
      </c>
      <c r="AD481" s="101">
        <f t="shared" si="506"/>
        <v>241551.32076187784</v>
      </c>
      <c r="AE481" s="101">
        <f t="shared" si="506"/>
        <v>0</v>
      </c>
      <c r="AF481" s="101">
        <f t="shared" si="506"/>
        <v>0</v>
      </c>
      <c r="AG481" s="101">
        <f t="shared" si="506"/>
        <v>0</v>
      </c>
      <c r="AH481" s="101">
        <f t="shared" si="506"/>
        <v>0</v>
      </c>
      <c r="AI481" s="101">
        <f t="shared" si="506"/>
        <v>0</v>
      </c>
      <c r="AJ481" s="101">
        <f t="shared" si="506"/>
        <v>0</v>
      </c>
      <c r="AK481" s="101">
        <f>SUM(H481:AJ481)</f>
        <v>20754863.512519654</v>
      </c>
      <c r="AL481" s="98" t="str">
        <f>IF(ABS(AK481-F481)&lt;1,"ok","err")</f>
        <v>ok</v>
      </c>
    </row>
    <row r="482" spans="1:38" x14ac:dyDescent="0.25"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L482" s="98"/>
    </row>
    <row r="483" spans="1:38" x14ac:dyDescent="0.25">
      <c r="A483" s="97" t="s">
        <v>1066</v>
      </c>
      <c r="F483" s="101">
        <f t="shared" ref="F483:M483" si="507">F481+F440</f>
        <v>27496862.852552492</v>
      </c>
      <c r="G483" s="101">
        <f t="shared" si="507"/>
        <v>0</v>
      </c>
      <c r="H483" s="101">
        <f t="shared" si="507"/>
        <v>0</v>
      </c>
      <c r="I483" s="101">
        <f t="shared" si="507"/>
        <v>0</v>
      </c>
      <c r="J483" s="101">
        <f t="shared" si="507"/>
        <v>0</v>
      </c>
      <c r="K483" s="101">
        <f t="shared" si="507"/>
        <v>0</v>
      </c>
      <c r="L483" s="101">
        <f t="shared" si="507"/>
        <v>0</v>
      </c>
      <c r="M483" s="101">
        <f t="shared" si="507"/>
        <v>0</v>
      </c>
      <c r="N483" s="101"/>
      <c r="O483" s="101">
        <f>O481+O440</f>
        <v>6741999.3400328392</v>
      </c>
      <c r="P483" s="101">
        <f>P481+P440</f>
        <v>0</v>
      </c>
      <c r="Q483" s="101">
        <f>Q481+Q440</f>
        <v>0</v>
      </c>
      <c r="R483" s="101"/>
      <c r="S483" s="101">
        <f t="shared" ref="S483:AD483" si="508">S481+S440</f>
        <v>0</v>
      </c>
      <c r="T483" s="101">
        <f t="shared" si="508"/>
        <v>2364157.6911235116</v>
      </c>
      <c r="U483" s="101">
        <f t="shared" si="508"/>
        <v>0</v>
      </c>
      <c r="V483" s="101">
        <f t="shared" si="508"/>
        <v>2823475.9405773715</v>
      </c>
      <c r="W483" s="101">
        <f t="shared" si="508"/>
        <v>4478897.6535144858</v>
      </c>
      <c r="X483" s="101">
        <f t="shared" si="508"/>
        <v>1436859.1246300009</v>
      </c>
      <c r="Y483" s="101">
        <f t="shared" si="508"/>
        <v>2118227.3894455666</v>
      </c>
      <c r="Z483" s="101">
        <f t="shared" si="508"/>
        <v>369799.43338242033</v>
      </c>
      <c r="AA483" s="101">
        <f t="shared" si="508"/>
        <v>329076.905193354</v>
      </c>
      <c r="AB483" s="101">
        <f t="shared" si="508"/>
        <v>204098.54165836229</v>
      </c>
      <c r="AC483" s="101">
        <f t="shared" si="508"/>
        <v>6388719.5122327032</v>
      </c>
      <c r="AD483" s="101">
        <f t="shared" si="508"/>
        <v>241551.32076187784</v>
      </c>
      <c r="AE483" s="101"/>
      <c r="AF483" s="101">
        <f>AF481+AF440</f>
        <v>0</v>
      </c>
      <c r="AG483" s="101"/>
      <c r="AH483" s="101">
        <f>AH481+AH440</f>
        <v>0</v>
      </c>
      <c r="AI483" s="101"/>
      <c r="AJ483" s="101">
        <f>AJ481+AJ440</f>
        <v>0</v>
      </c>
      <c r="AK483" s="101">
        <f>SUM(H483:AJ483)</f>
        <v>27496862.852552492</v>
      </c>
      <c r="AL483" s="98" t="str">
        <f>IF(ABS(AK483-F483)&lt;1,"ok","err")</f>
        <v>ok</v>
      </c>
    </row>
    <row r="484" spans="1:38" x14ac:dyDescent="0.25"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L484" s="98"/>
    </row>
    <row r="485" spans="1:38" x14ac:dyDescent="0.25">
      <c r="A485" s="97" t="s">
        <v>1686</v>
      </c>
      <c r="C485" s="97" t="s">
        <v>1029</v>
      </c>
      <c r="F485" s="100">
        <f>F483+F419+F426</f>
        <v>82087867.322897479</v>
      </c>
      <c r="G485" s="100">
        <f>G483+G426</f>
        <v>0</v>
      </c>
      <c r="H485" s="100">
        <f t="shared" ref="H485:M485" si="509">H483+H419+H426</f>
        <v>10927436.935938632</v>
      </c>
      <c r="I485" s="100">
        <f t="shared" si="509"/>
        <v>10301051.649205554</v>
      </c>
      <c r="J485" s="100">
        <f t="shared" si="509"/>
        <v>10579251.156002475</v>
      </c>
      <c r="K485" s="100">
        <f t="shared" si="509"/>
        <v>22783264.729198322</v>
      </c>
      <c r="L485" s="100">
        <f t="shared" si="509"/>
        <v>0</v>
      </c>
      <c r="M485" s="100">
        <f t="shared" si="509"/>
        <v>0</v>
      </c>
      <c r="N485" s="100"/>
      <c r="O485" s="100">
        <f>O483+O419+O426</f>
        <v>6741999.3400328392</v>
      </c>
      <c r="P485" s="100">
        <f>P483+P419+P426</f>
        <v>0</v>
      </c>
      <c r="Q485" s="100">
        <f>Q483+Q419+Q426</f>
        <v>0</v>
      </c>
      <c r="R485" s="100"/>
      <c r="S485" s="100">
        <f t="shared" ref="S485:AD485" si="510">S483+S419+S426</f>
        <v>0</v>
      </c>
      <c r="T485" s="100">
        <f t="shared" si="510"/>
        <v>2364157.6911235116</v>
      </c>
      <c r="U485" s="100">
        <f t="shared" si="510"/>
        <v>0</v>
      </c>
      <c r="V485" s="100">
        <f t="shared" si="510"/>
        <v>2823475.9405773715</v>
      </c>
      <c r="W485" s="100">
        <f t="shared" si="510"/>
        <v>4478897.6535144858</v>
      </c>
      <c r="X485" s="100">
        <f t="shared" si="510"/>
        <v>1436859.1246300009</v>
      </c>
      <c r="Y485" s="100">
        <f t="shared" si="510"/>
        <v>2118227.3894455666</v>
      </c>
      <c r="Z485" s="100">
        <f t="shared" si="510"/>
        <v>369799.43338242033</v>
      </c>
      <c r="AA485" s="100">
        <f t="shared" si="510"/>
        <v>329076.905193354</v>
      </c>
      <c r="AB485" s="100">
        <f t="shared" si="510"/>
        <v>204098.54165836229</v>
      </c>
      <c r="AC485" s="100">
        <f t="shared" si="510"/>
        <v>6388719.5122327032</v>
      </c>
      <c r="AD485" s="100">
        <f t="shared" si="510"/>
        <v>241551.32076187784</v>
      </c>
      <c r="AE485" s="100"/>
      <c r="AF485" s="100">
        <f>AF483+AF419+AF426</f>
        <v>0</v>
      </c>
      <c r="AG485" s="100"/>
      <c r="AH485" s="100">
        <f>AH483+AH419+AH426</f>
        <v>0</v>
      </c>
      <c r="AI485" s="100"/>
      <c r="AJ485" s="100">
        <f>AJ483+AJ419+AJ426</f>
        <v>0</v>
      </c>
      <c r="AK485" s="101">
        <f>SUM(H485:AJ485)</f>
        <v>82087867.322897494</v>
      </c>
      <c r="AL485" s="98" t="str">
        <f>IF(ABS(AK485-F485)&lt;1,"ok","err")</f>
        <v>ok</v>
      </c>
    </row>
    <row r="486" spans="1:38" x14ac:dyDescent="0.25">
      <c r="A486" s="24"/>
      <c r="F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L486" s="98"/>
    </row>
    <row r="487" spans="1:38" x14ac:dyDescent="0.25">
      <c r="A487" s="24" t="s">
        <v>309</v>
      </c>
      <c r="F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L487" s="98"/>
    </row>
    <row r="488" spans="1:38" x14ac:dyDescent="0.25">
      <c r="A488" s="97">
        <v>901</v>
      </c>
      <c r="B488" s="97" t="s">
        <v>310</v>
      </c>
      <c r="C488" s="97" t="s">
        <v>1030</v>
      </c>
      <c r="D488" s="97" t="s">
        <v>741</v>
      </c>
      <c r="F488" s="100">
        <f>'Jurisdictional Study'!F1403</f>
        <v>3259517.7695655213</v>
      </c>
      <c r="H488" s="101">
        <f>IF(VLOOKUP($D488,$C$5:$AJ$644,6,)=0,0,((VLOOKUP($D488,$C$5:$AJ$644,6,)/VLOOKUP($D488,$C$5:$AJ$644,4,))*$F488))</f>
        <v>0</v>
      </c>
      <c r="I488" s="101">
        <f>IF(VLOOKUP($D488,$C$5:$AJ$644,7,)=0,0,((VLOOKUP($D488,$C$5:$AJ$644,7,)/VLOOKUP($D488,$C$5:$AJ$644,4,))*$F488))</f>
        <v>0</v>
      </c>
      <c r="J488" s="101">
        <f>IF(VLOOKUP($D488,$C$5:$AJ$644,8,)=0,0,((VLOOKUP($D488,$C$5:$AJ$644,8,)/VLOOKUP($D488,$C$5:$AJ$644,4,))*$F488))</f>
        <v>0</v>
      </c>
      <c r="K488" s="101">
        <f>IF(VLOOKUP($D488,$C$5:$AJ$644,9,)=0,0,((VLOOKUP($D488,$C$5:$AJ$644,9,)/VLOOKUP($D488,$C$5:$AJ$644,4,))*$F488))</f>
        <v>0</v>
      </c>
      <c r="L488" s="101">
        <f>IF(VLOOKUP($D488,$C$5:$AJ$644,10,)=0,0,((VLOOKUP($D488,$C$5:$AJ$644,10,)/VLOOKUP($D488,$C$5:$AJ$644,4,))*$F488))</f>
        <v>0</v>
      </c>
      <c r="M488" s="101">
        <f>IF(VLOOKUP($D488,$C$5:$AJ$644,11,)=0,0,((VLOOKUP($D488,$C$5:$AJ$644,11,)/VLOOKUP($D488,$C$5:$AJ$644,4,))*$F488))</f>
        <v>0</v>
      </c>
      <c r="N488" s="101"/>
      <c r="O488" s="101">
        <f>IF(VLOOKUP($D488,$C$5:$AJ$644,13,)=0,0,((VLOOKUP($D488,$C$5:$AJ$644,13,)/VLOOKUP($D488,$C$5:$AJ$644,4,))*$F488))</f>
        <v>0</v>
      </c>
      <c r="P488" s="101">
        <f>IF(VLOOKUP($D488,$C$5:$AJ$644,14,)=0,0,((VLOOKUP($D488,$C$5:$AJ$644,14,)/VLOOKUP($D488,$C$5:$AJ$644,4,))*$F488))</f>
        <v>0</v>
      </c>
      <c r="Q488" s="101">
        <f>IF(VLOOKUP($D488,$C$5:$AJ$644,15,)=0,0,((VLOOKUP($D488,$C$5:$AJ$644,15,)/VLOOKUP($D488,$C$5:$AJ$644,4,))*$F488))</f>
        <v>0</v>
      </c>
      <c r="R488" s="101"/>
      <c r="S488" s="101">
        <f>IF(VLOOKUP($D488,$C$5:$AJ$644,17,)=0,0,((VLOOKUP($D488,$C$5:$AJ$644,17,)/VLOOKUP($D488,$C$5:$AJ$644,4,))*$F488))</f>
        <v>0</v>
      </c>
      <c r="T488" s="101">
        <f>IF(VLOOKUP($D488,$C$5:$AJ$644,18,)=0,0,((VLOOKUP($D488,$C$5:$AJ$644,18,)/VLOOKUP($D488,$C$5:$AJ$644,4,))*$F488))</f>
        <v>0</v>
      </c>
      <c r="U488" s="101">
        <f>IF(VLOOKUP($D488,$C$5:$AJ$644,19,)=0,0,((VLOOKUP($D488,$C$5:$AJ$644,19,)/VLOOKUP($D488,$C$5:$AJ$644,4,))*$F488))</f>
        <v>0</v>
      </c>
      <c r="V488" s="101">
        <f>IF(VLOOKUP($D488,$C$5:$AJ$644,20,)=0,0,((VLOOKUP($D488,$C$5:$AJ$644,20,)/VLOOKUP($D488,$C$5:$AJ$644,4,))*$F488))</f>
        <v>0</v>
      </c>
      <c r="W488" s="101">
        <f>IF(VLOOKUP($D488,$C$5:$AJ$644,21,)=0,0,((VLOOKUP($D488,$C$5:$AJ$644,21,)/VLOOKUP($D488,$C$5:$AJ$644,4,))*$F488))</f>
        <v>0</v>
      </c>
      <c r="X488" s="101">
        <f>IF(VLOOKUP($D488,$C$5:$AJ$644,22,)=0,0,((VLOOKUP($D488,$C$5:$AJ$644,22,)/VLOOKUP($D488,$C$5:$AJ$644,4,))*$F488))</f>
        <v>0</v>
      </c>
      <c r="Y488" s="101">
        <f>IF(VLOOKUP($D488,$C$5:$AJ$644,23,)=0,0,((VLOOKUP($D488,$C$5:$AJ$644,23,)/VLOOKUP($D488,$C$5:$AJ$644,4,))*$F488))</f>
        <v>0</v>
      </c>
      <c r="Z488" s="101">
        <f>IF(VLOOKUP($D488,$C$5:$AJ$644,24,)=0,0,((VLOOKUP($D488,$C$5:$AJ$644,24,)/VLOOKUP($D488,$C$5:$AJ$644,4,))*$F488))</f>
        <v>0</v>
      </c>
      <c r="AA488" s="101">
        <f>IF(VLOOKUP($D488,$C$5:$AJ$644,25,)=0,0,((VLOOKUP($D488,$C$5:$AJ$644,25,)/VLOOKUP($D488,$C$5:$AJ$644,4,))*$F488))</f>
        <v>0</v>
      </c>
      <c r="AB488" s="101">
        <f>IF(VLOOKUP($D488,$C$5:$AJ$644,26,)=0,0,((VLOOKUP($D488,$C$5:$AJ$644,26,)/VLOOKUP($D488,$C$5:$AJ$644,4,))*$F488))</f>
        <v>0</v>
      </c>
      <c r="AC488" s="101">
        <f>IF(VLOOKUP($D488,$C$5:$AJ$644,27,)=0,0,((VLOOKUP($D488,$C$5:$AJ$644,27,)/VLOOKUP($D488,$C$5:$AJ$644,4,))*$F488))</f>
        <v>0</v>
      </c>
      <c r="AD488" s="101">
        <f>IF(VLOOKUP($D488,$C$5:$AJ$644,28,)=0,0,((VLOOKUP($D488,$C$5:$AJ$644,28,)/VLOOKUP($D488,$C$5:$AJ$644,4,))*$F488))</f>
        <v>0</v>
      </c>
      <c r="AE488" s="101"/>
      <c r="AF488" s="101">
        <f>IF(VLOOKUP($D488,$C$5:$AJ$644,30,)=0,0,((VLOOKUP($D488,$C$5:$AJ$644,30,)/VLOOKUP($D488,$C$5:$AJ$644,4,))*$F488))</f>
        <v>3259517.7695655213</v>
      </c>
      <c r="AG488" s="101"/>
      <c r="AH488" s="101">
        <f>IF(VLOOKUP($D488,$C$5:$AJ$644,32,)=0,0,((VLOOKUP($D488,$C$5:$AJ$644,32,)/VLOOKUP($D488,$C$5:$AJ$644,4,))*$F488))</f>
        <v>0</v>
      </c>
      <c r="AI488" s="101"/>
      <c r="AJ488" s="101">
        <f>IF(VLOOKUP($D488,$C$5:$AJ$644,34,)=0,0,((VLOOKUP($D488,$C$5:$AJ$644,34,)/VLOOKUP($D488,$C$5:$AJ$644,4,))*$F488))</f>
        <v>0</v>
      </c>
      <c r="AK488" s="101">
        <f>SUM(H488:AJ488)</f>
        <v>3259517.7695655213</v>
      </c>
      <c r="AL488" s="98" t="str">
        <f>IF(ABS(AK488-F488)&lt;1,"ok","err")</f>
        <v>ok</v>
      </c>
    </row>
    <row r="489" spans="1:38" x14ac:dyDescent="0.25">
      <c r="A489" s="97">
        <v>902</v>
      </c>
      <c r="B489" s="97" t="s">
        <v>313</v>
      </c>
      <c r="C489" s="97" t="s">
        <v>1031</v>
      </c>
      <c r="D489" s="97" t="s">
        <v>741</v>
      </c>
      <c r="F489" s="101">
        <f>'Jurisdictional Study'!F1404</f>
        <v>754379.33932137571</v>
      </c>
      <c r="H489" s="101">
        <f>IF(VLOOKUP($D489,$C$5:$AJ$644,6,)=0,0,((VLOOKUP($D489,$C$5:$AJ$644,6,)/VLOOKUP($D489,$C$5:$AJ$644,4,))*$F489))</f>
        <v>0</v>
      </c>
      <c r="I489" s="101">
        <f>IF(VLOOKUP($D489,$C$5:$AJ$644,7,)=0,0,((VLOOKUP($D489,$C$5:$AJ$644,7,)/VLOOKUP($D489,$C$5:$AJ$644,4,))*$F489))</f>
        <v>0</v>
      </c>
      <c r="J489" s="101">
        <f>IF(VLOOKUP($D489,$C$5:$AJ$644,8,)=0,0,((VLOOKUP($D489,$C$5:$AJ$644,8,)/VLOOKUP($D489,$C$5:$AJ$644,4,))*$F489))</f>
        <v>0</v>
      </c>
      <c r="K489" s="101">
        <f>IF(VLOOKUP($D489,$C$5:$AJ$644,9,)=0,0,((VLOOKUP($D489,$C$5:$AJ$644,9,)/VLOOKUP($D489,$C$5:$AJ$644,4,))*$F489))</f>
        <v>0</v>
      </c>
      <c r="L489" s="101">
        <f>IF(VLOOKUP($D489,$C$5:$AJ$644,10,)=0,0,((VLOOKUP($D489,$C$5:$AJ$644,10,)/VLOOKUP($D489,$C$5:$AJ$644,4,))*$F489))</f>
        <v>0</v>
      </c>
      <c r="M489" s="101">
        <f>IF(VLOOKUP($D489,$C$5:$AJ$644,11,)=0,0,((VLOOKUP($D489,$C$5:$AJ$644,11,)/VLOOKUP($D489,$C$5:$AJ$644,4,))*$F489))</f>
        <v>0</v>
      </c>
      <c r="N489" s="101"/>
      <c r="O489" s="101">
        <f>IF(VLOOKUP($D489,$C$5:$AJ$644,13,)=0,0,((VLOOKUP($D489,$C$5:$AJ$644,13,)/VLOOKUP($D489,$C$5:$AJ$644,4,))*$F489))</f>
        <v>0</v>
      </c>
      <c r="P489" s="101">
        <f>IF(VLOOKUP($D489,$C$5:$AJ$644,14,)=0,0,((VLOOKUP($D489,$C$5:$AJ$644,14,)/VLOOKUP($D489,$C$5:$AJ$644,4,))*$F489))</f>
        <v>0</v>
      </c>
      <c r="Q489" s="101">
        <f>IF(VLOOKUP($D489,$C$5:$AJ$644,15,)=0,0,((VLOOKUP($D489,$C$5:$AJ$644,15,)/VLOOKUP($D489,$C$5:$AJ$644,4,))*$F489))</f>
        <v>0</v>
      </c>
      <c r="R489" s="101"/>
      <c r="S489" s="101">
        <f>IF(VLOOKUP($D489,$C$5:$AJ$644,17,)=0,0,((VLOOKUP($D489,$C$5:$AJ$644,17,)/VLOOKUP($D489,$C$5:$AJ$644,4,))*$F489))</f>
        <v>0</v>
      </c>
      <c r="T489" s="101">
        <f>IF(VLOOKUP($D489,$C$5:$AJ$644,18,)=0,0,((VLOOKUP($D489,$C$5:$AJ$644,18,)/VLOOKUP($D489,$C$5:$AJ$644,4,))*$F489))</f>
        <v>0</v>
      </c>
      <c r="U489" s="101">
        <f>IF(VLOOKUP($D489,$C$5:$AJ$644,19,)=0,0,((VLOOKUP($D489,$C$5:$AJ$644,19,)/VLOOKUP($D489,$C$5:$AJ$644,4,))*$F489))</f>
        <v>0</v>
      </c>
      <c r="V489" s="101">
        <f>IF(VLOOKUP($D489,$C$5:$AJ$644,20,)=0,0,((VLOOKUP($D489,$C$5:$AJ$644,20,)/VLOOKUP($D489,$C$5:$AJ$644,4,))*$F489))</f>
        <v>0</v>
      </c>
      <c r="W489" s="101">
        <f>IF(VLOOKUP($D489,$C$5:$AJ$644,21,)=0,0,((VLOOKUP($D489,$C$5:$AJ$644,21,)/VLOOKUP($D489,$C$5:$AJ$644,4,))*$F489))</f>
        <v>0</v>
      </c>
      <c r="X489" s="101">
        <f>IF(VLOOKUP($D489,$C$5:$AJ$644,22,)=0,0,((VLOOKUP($D489,$C$5:$AJ$644,22,)/VLOOKUP($D489,$C$5:$AJ$644,4,))*$F489))</f>
        <v>0</v>
      </c>
      <c r="Y489" s="101">
        <f>IF(VLOOKUP($D489,$C$5:$AJ$644,23,)=0,0,((VLOOKUP($D489,$C$5:$AJ$644,23,)/VLOOKUP($D489,$C$5:$AJ$644,4,))*$F489))</f>
        <v>0</v>
      </c>
      <c r="Z489" s="101">
        <f>IF(VLOOKUP($D489,$C$5:$AJ$644,24,)=0,0,((VLOOKUP($D489,$C$5:$AJ$644,24,)/VLOOKUP($D489,$C$5:$AJ$644,4,))*$F489))</f>
        <v>0</v>
      </c>
      <c r="AA489" s="101">
        <f>IF(VLOOKUP($D489,$C$5:$AJ$644,25,)=0,0,((VLOOKUP($D489,$C$5:$AJ$644,25,)/VLOOKUP($D489,$C$5:$AJ$644,4,))*$F489))</f>
        <v>0</v>
      </c>
      <c r="AB489" s="101">
        <f>IF(VLOOKUP($D489,$C$5:$AJ$644,26,)=0,0,((VLOOKUP($D489,$C$5:$AJ$644,26,)/VLOOKUP($D489,$C$5:$AJ$644,4,))*$F489))</f>
        <v>0</v>
      </c>
      <c r="AC489" s="101">
        <f>IF(VLOOKUP($D489,$C$5:$AJ$644,27,)=0,0,((VLOOKUP($D489,$C$5:$AJ$644,27,)/VLOOKUP($D489,$C$5:$AJ$644,4,))*$F489))</f>
        <v>0</v>
      </c>
      <c r="AD489" s="101">
        <f>IF(VLOOKUP($D489,$C$5:$AJ$644,28,)=0,0,((VLOOKUP($D489,$C$5:$AJ$644,28,)/VLOOKUP($D489,$C$5:$AJ$644,4,))*$F489))</f>
        <v>0</v>
      </c>
      <c r="AE489" s="101"/>
      <c r="AF489" s="101">
        <f>IF(VLOOKUP($D489,$C$5:$AJ$644,30,)=0,0,((VLOOKUP($D489,$C$5:$AJ$644,30,)/VLOOKUP($D489,$C$5:$AJ$644,4,))*$F489))</f>
        <v>754379.33932137571</v>
      </c>
      <c r="AG489" s="101"/>
      <c r="AH489" s="101">
        <f>IF(VLOOKUP($D489,$C$5:$AJ$644,32,)=0,0,((VLOOKUP($D489,$C$5:$AJ$644,32,)/VLOOKUP($D489,$C$5:$AJ$644,4,))*$F489))</f>
        <v>0</v>
      </c>
      <c r="AI489" s="101"/>
      <c r="AJ489" s="101">
        <f>IF(VLOOKUP($D489,$C$5:$AJ$644,34,)=0,0,((VLOOKUP($D489,$C$5:$AJ$644,34,)/VLOOKUP($D489,$C$5:$AJ$644,4,))*$F489))</f>
        <v>0</v>
      </c>
      <c r="AK489" s="101">
        <f>SUM(H489:AJ489)</f>
        <v>754379.33932137571</v>
      </c>
      <c r="AL489" s="98" t="str">
        <f>IF(ABS(AK489-F489)&lt;1,"ok","err")</f>
        <v>ok</v>
      </c>
    </row>
    <row r="490" spans="1:38" x14ac:dyDescent="0.25">
      <c r="A490" s="97">
        <v>903</v>
      </c>
      <c r="B490" s="97" t="s">
        <v>1371</v>
      </c>
      <c r="C490" s="97" t="s">
        <v>1032</v>
      </c>
      <c r="D490" s="97" t="s">
        <v>741</v>
      </c>
      <c r="F490" s="101">
        <f>'Jurisdictional Study'!F1405</f>
        <v>11992170.541608535</v>
      </c>
      <c r="H490" s="101">
        <f>IF(VLOOKUP($D490,$C$5:$AJ$644,6,)=0,0,((VLOOKUP($D490,$C$5:$AJ$644,6,)/VLOOKUP($D490,$C$5:$AJ$644,4,))*$F490))</f>
        <v>0</v>
      </c>
      <c r="I490" s="101">
        <f>IF(VLOOKUP($D490,$C$5:$AJ$644,7,)=0,0,((VLOOKUP($D490,$C$5:$AJ$644,7,)/VLOOKUP($D490,$C$5:$AJ$644,4,))*$F490))</f>
        <v>0</v>
      </c>
      <c r="J490" s="101">
        <f>IF(VLOOKUP($D490,$C$5:$AJ$644,8,)=0,0,((VLOOKUP($D490,$C$5:$AJ$644,8,)/VLOOKUP($D490,$C$5:$AJ$644,4,))*$F490))</f>
        <v>0</v>
      </c>
      <c r="K490" s="101">
        <f>IF(VLOOKUP($D490,$C$5:$AJ$644,9,)=0,0,((VLOOKUP($D490,$C$5:$AJ$644,9,)/VLOOKUP($D490,$C$5:$AJ$644,4,))*$F490))</f>
        <v>0</v>
      </c>
      <c r="L490" s="101">
        <f>IF(VLOOKUP($D490,$C$5:$AJ$644,10,)=0,0,((VLOOKUP($D490,$C$5:$AJ$644,10,)/VLOOKUP($D490,$C$5:$AJ$644,4,))*$F490))</f>
        <v>0</v>
      </c>
      <c r="M490" s="101">
        <f>IF(VLOOKUP($D490,$C$5:$AJ$644,11,)=0,0,((VLOOKUP($D490,$C$5:$AJ$644,11,)/VLOOKUP($D490,$C$5:$AJ$644,4,))*$F490))</f>
        <v>0</v>
      </c>
      <c r="N490" s="101"/>
      <c r="O490" s="101">
        <f>IF(VLOOKUP($D490,$C$5:$AJ$644,13,)=0,0,((VLOOKUP($D490,$C$5:$AJ$644,13,)/VLOOKUP($D490,$C$5:$AJ$644,4,))*$F490))</f>
        <v>0</v>
      </c>
      <c r="P490" s="101">
        <f>IF(VLOOKUP($D490,$C$5:$AJ$644,14,)=0,0,((VLOOKUP($D490,$C$5:$AJ$644,14,)/VLOOKUP($D490,$C$5:$AJ$644,4,))*$F490))</f>
        <v>0</v>
      </c>
      <c r="Q490" s="101">
        <f>IF(VLOOKUP($D490,$C$5:$AJ$644,15,)=0,0,((VLOOKUP($D490,$C$5:$AJ$644,15,)/VLOOKUP($D490,$C$5:$AJ$644,4,))*$F490))</f>
        <v>0</v>
      </c>
      <c r="R490" s="101"/>
      <c r="S490" s="101">
        <f>IF(VLOOKUP($D490,$C$5:$AJ$644,17,)=0,0,((VLOOKUP($D490,$C$5:$AJ$644,17,)/VLOOKUP($D490,$C$5:$AJ$644,4,))*$F490))</f>
        <v>0</v>
      </c>
      <c r="T490" s="101">
        <f>IF(VLOOKUP($D490,$C$5:$AJ$644,18,)=0,0,((VLOOKUP($D490,$C$5:$AJ$644,18,)/VLOOKUP($D490,$C$5:$AJ$644,4,))*$F490))</f>
        <v>0</v>
      </c>
      <c r="U490" s="101">
        <f>IF(VLOOKUP($D490,$C$5:$AJ$644,19,)=0,0,((VLOOKUP($D490,$C$5:$AJ$644,19,)/VLOOKUP($D490,$C$5:$AJ$644,4,))*$F490))</f>
        <v>0</v>
      </c>
      <c r="V490" s="101">
        <f>IF(VLOOKUP($D490,$C$5:$AJ$644,20,)=0,0,((VLOOKUP($D490,$C$5:$AJ$644,20,)/VLOOKUP($D490,$C$5:$AJ$644,4,))*$F490))</f>
        <v>0</v>
      </c>
      <c r="W490" s="101">
        <f>IF(VLOOKUP($D490,$C$5:$AJ$644,21,)=0,0,((VLOOKUP($D490,$C$5:$AJ$644,21,)/VLOOKUP($D490,$C$5:$AJ$644,4,))*$F490))</f>
        <v>0</v>
      </c>
      <c r="X490" s="101">
        <f>IF(VLOOKUP($D490,$C$5:$AJ$644,22,)=0,0,((VLOOKUP($D490,$C$5:$AJ$644,22,)/VLOOKUP($D490,$C$5:$AJ$644,4,))*$F490))</f>
        <v>0</v>
      </c>
      <c r="Y490" s="101">
        <f>IF(VLOOKUP($D490,$C$5:$AJ$644,23,)=0,0,((VLOOKUP($D490,$C$5:$AJ$644,23,)/VLOOKUP($D490,$C$5:$AJ$644,4,))*$F490))</f>
        <v>0</v>
      </c>
      <c r="Z490" s="101">
        <f>IF(VLOOKUP($D490,$C$5:$AJ$644,24,)=0,0,((VLOOKUP($D490,$C$5:$AJ$644,24,)/VLOOKUP($D490,$C$5:$AJ$644,4,))*$F490))</f>
        <v>0</v>
      </c>
      <c r="AA490" s="101">
        <f>IF(VLOOKUP($D490,$C$5:$AJ$644,25,)=0,0,((VLOOKUP($D490,$C$5:$AJ$644,25,)/VLOOKUP($D490,$C$5:$AJ$644,4,))*$F490))</f>
        <v>0</v>
      </c>
      <c r="AB490" s="101">
        <f>IF(VLOOKUP($D490,$C$5:$AJ$644,26,)=0,0,((VLOOKUP($D490,$C$5:$AJ$644,26,)/VLOOKUP($D490,$C$5:$AJ$644,4,))*$F490))</f>
        <v>0</v>
      </c>
      <c r="AC490" s="101">
        <f>IF(VLOOKUP($D490,$C$5:$AJ$644,27,)=0,0,((VLOOKUP($D490,$C$5:$AJ$644,27,)/VLOOKUP($D490,$C$5:$AJ$644,4,))*$F490))</f>
        <v>0</v>
      </c>
      <c r="AD490" s="101">
        <f>IF(VLOOKUP($D490,$C$5:$AJ$644,28,)=0,0,((VLOOKUP($D490,$C$5:$AJ$644,28,)/VLOOKUP($D490,$C$5:$AJ$644,4,))*$F490))</f>
        <v>0</v>
      </c>
      <c r="AE490" s="101"/>
      <c r="AF490" s="101">
        <f>IF(VLOOKUP($D490,$C$5:$AJ$644,30,)=0,0,((VLOOKUP($D490,$C$5:$AJ$644,30,)/VLOOKUP($D490,$C$5:$AJ$644,4,))*$F490))</f>
        <v>11992170.541608535</v>
      </c>
      <c r="AG490" s="101"/>
      <c r="AH490" s="101">
        <f>IF(VLOOKUP($D490,$C$5:$AJ$644,32,)=0,0,((VLOOKUP($D490,$C$5:$AJ$644,32,)/VLOOKUP($D490,$C$5:$AJ$644,4,))*$F490))</f>
        <v>0</v>
      </c>
      <c r="AI490" s="101"/>
      <c r="AJ490" s="101">
        <f>IF(VLOOKUP($D490,$C$5:$AJ$644,34,)=0,0,((VLOOKUP($D490,$C$5:$AJ$644,34,)/VLOOKUP($D490,$C$5:$AJ$644,4,))*$F490))</f>
        <v>0</v>
      </c>
      <c r="AK490" s="101">
        <f>SUM(H490:AJ490)</f>
        <v>11992170.541608535</v>
      </c>
      <c r="AL490" s="98" t="str">
        <f>IF(ABS(AK490-F490)&lt;1,"ok","err")</f>
        <v>ok</v>
      </c>
    </row>
    <row r="491" spans="1:38" x14ac:dyDescent="0.25">
      <c r="A491" s="97">
        <v>904</v>
      </c>
      <c r="B491" s="97" t="s">
        <v>316</v>
      </c>
      <c r="C491" s="97" t="s">
        <v>1033</v>
      </c>
      <c r="D491" s="97" t="s">
        <v>741</v>
      </c>
      <c r="F491" s="101">
        <f>'Jurisdictional Study'!F1406</f>
        <v>0</v>
      </c>
      <c r="H491" s="101">
        <f>IF(VLOOKUP($D491,$C$5:$AJ$644,6,)=0,0,((VLOOKUP($D491,$C$5:$AJ$644,6,)/VLOOKUP($D491,$C$5:$AJ$644,4,))*$F491))</f>
        <v>0</v>
      </c>
      <c r="I491" s="101">
        <f>IF(VLOOKUP($D491,$C$5:$AJ$644,7,)=0,0,((VLOOKUP($D491,$C$5:$AJ$644,7,)/VLOOKUP($D491,$C$5:$AJ$644,4,))*$F491))</f>
        <v>0</v>
      </c>
      <c r="J491" s="101">
        <f>IF(VLOOKUP($D491,$C$5:$AJ$644,8,)=0,0,((VLOOKUP($D491,$C$5:$AJ$644,8,)/VLOOKUP($D491,$C$5:$AJ$644,4,))*$F491))</f>
        <v>0</v>
      </c>
      <c r="K491" s="101">
        <f>IF(VLOOKUP($D491,$C$5:$AJ$644,9,)=0,0,((VLOOKUP($D491,$C$5:$AJ$644,9,)/VLOOKUP($D491,$C$5:$AJ$644,4,))*$F491))</f>
        <v>0</v>
      </c>
      <c r="L491" s="101">
        <f>IF(VLOOKUP($D491,$C$5:$AJ$644,10,)=0,0,((VLOOKUP($D491,$C$5:$AJ$644,10,)/VLOOKUP($D491,$C$5:$AJ$644,4,))*$F491))</f>
        <v>0</v>
      </c>
      <c r="M491" s="101">
        <f>IF(VLOOKUP($D491,$C$5:$AJ$644,11,)=0,0,((VLOOKUP($D491,$C$5:$AJ$644,11,)/VLOOKUP($D491,$C$5:$AJ$644,4,))*$F491))</f>
        <v>0</v>
      </c>
      <c r="N491" s="101"/>
      <c r="O491" s="101">
        <f>IF(VLOOKUP($D491,$C$5:$AJ$644,13,)=0,0,((VLOOKUP($D491,$C$5:$AJ$644,13,)/VLOOKUP($D491,$C$5:$AJ$644,4,))*$F491))</f>
        <v>0</v>
      </c>
      <c r="P491" s="101">
        <f>IF(VLOOKUP($D491,$C$5:$AJ$644,14,)=0,0,((VLOOKUP($D491,$C$5:$AJ$644,14,)/VLOOKUP($D491,$C$5:$AJ$644,4,))*$F491))</f>
        <v>0</v>
      </c>
      <c r="Q491" s="101">
        <f>IF(VLOOKUP($D491,$C$5:$AJ$644,15,)=0,0,((VLOOKUP($D491,$C$5:$AJ$644,15,)/VLOOKUP($D491,$C$5:$AJ$644,4,))*$F491))</f>
        <v>0</v>
      </c>
      <c r="R491" s="101"/>
      <c r="S491" s="101">
        <f>IF(VLOOKUP($D491,$C$5:$AJ$644,17,)=0,0,((VLOOKUP($D491,$C$5:$AJ$644,17,)/VLOOKUP($D491,$C$5:$AJ$644,4,))*$F491))</f>
        <v>0</v>
      </c>
      <c r="T491" s="101">
        <f>IF(VLOOKUP($D491,$C$5:$AJ$644,18,)=0,0,((VLOOKUP($D491,$C$5:$AJ$644,18,)/VLOOKUP($D491,$C$5:$AJ$644,4,))*$F491))</f>
        <v>0</v>
      </c>
      <c r="U491" s="101">
        <f>IF(VLOOKUP($D491,$C$5:$AJ$644,19,)=0,0,((VLOOKUP($D491,$C$5:$AJ$644,19,)/VLOOKUP($D491,$C$5:$AJ$644,4,))*$F491))</f>
        <v>0</v>
      </c>
      <c r="V491" s="101">
        <f>IF(VLOOKUP($D491,$C$5:$AJ$644,20,)=0,0,((VLOOKUP($D491,$C$5:$AJ$644,20,)/VLOOKUP($D491,$C$5:$AJ$644,4,))*$F491))</f>
        <v>0</v>
      </c>
      <c r="W491" s="101">
        <f>IF(VLOOKUP($D491,$C$5:$AJ$644,21,)=0,0,((VLOOKUP($D491,$C$5:$AJ$644,21,)/VLOOKUP($D491,$C$5:$AJ$644,4,))*$F491))</f>
        <v>0</v>
      </c>
      <c r="X491" s="101">
        <f>IF(VLOOKUP($D491,$C$5:$AJ$644,22,)=0,0,((VLOOKUP($D491,$C$5:$AJ$644,22,)/VLOOKUP($D491,$C$5:$AJ$644,4,))*$F491))</f>
        <v>0</v>
      </c>
      <c r="Y491" s="101">
        <f>IF(VLOOKUP($D491,$C$5:$AJ$644,23,)=0,0,((VLOOKUP($D491,$C$5:$AJ$644,23,)/VLOOKUP($D491,$C$5:$AJ$644,4,))*$F491))</f>
        <v>0</v>
      </c>
      <c r="Z491" s="101">
        <f>IF(VLOOKUP($D491,$C$5:$AJ$644,24,)=0,0,((VLOOKUP($D491,$C$5:$AJ$644,24,)/VLOOKUP($D491,$C$5:$AJ$644,4,))*$F491))</f>
        <v>0</v>
      </c>
      <c r="AA491" s="101">
        <f>IF(VLOOKUP($D491,$C$5:$AJ$644,25,)=0,0,((VLOOKUP($D491,$C$5:$AJ$644,25,)/VLOOKUP($D491,$C$5:$AJ$644,4,))*$F491))</f>
        <v>0</v>
      </c>
      <c r="AB491" s="101">
        <f>IF(VLOOKUP($D491,$C$5:$AJ$644,26,)=0,0,((VLOOKUP($D491,$C$5:$AJ$644,26,)/VLOOKUP($D491,$C$5:$AJ$644,4,))*$F491))</f>
        <v>0</v>
      </c>
      <c r="AC491" s="101">
        <f>IF(VLOOKUP($D491,$C$5:$AJ$644,27,)=0,0,((VLOOKUP($D491,$C$5:$AJ$644,27,)/VLOOKUP($D491,$C$5:$AJ$644,4,))*$F491))</f>
        <v>0</v>
      </c>
      <c r="AD491" s="101">
        <f>IF(VLOOKUP($D491,$C$5:$AJ$644,28,)=0,0,((VLOOKUP($D491,$C$5:$AJ$644,28,)/VLOOKUP($D491,$C$5:$AJ$644,4,))*$F491))</f>
        <v>0</v>
      </c>
      <c r="AE491" s="101"/>
      <c r="AF491" s="101">
        <f>IF(VLOOKUP($D491,$C$5:$AJ$644,30,)=0,0,((VLOOKUP($D491,$C$5:$AJ$644,30,)/VLOOKUP($D491,$C$5:$AJ$644,4,))*$F491))</f>
        <v>0</v>
      </c>
      <c r="AG491" s="101"/>
      <c r="AH491" s="101">
        <f>IF(VLOOKUP($D491,$C$5:$AJ$644,32,)=0,0,((VLOOKUP($D491,$C$5:$AJ$644,32,)/VLOOKUP($D491,$C$5:$AJ$644,4,))*$F491))</f>
        <v>0</v>
      </c>
      <c r="AI491" s="101"/>
      <c r="AJ491" s="101">
        <f>IF(VLOOKUP($D491,$C$5:$AJ$644,34,)=0,0,((VLOOKUP($D491,$C$5:$AJ$644,34,)/VLOOKUP($D491,$C$5:$AJ$644,4,))*$F491))</f>
        <v>0</v>
      </c>
      <c r="AK491" s="101">
        <f>SUM(H491:AJ491)</f>
        <v>0</v>
      </c>
      <c r="AL491" s="98" t="str">
        <f>IF(ABS(AK491-F491)&lt;1,"ok","err")</f>
        <v>ok</v>
      </c>
    </row>
    <row r="492" spans="1:38" x14ac:dyDescent="0.25">
      <c r="A492" s="97">
        <v>905</v>
      </c>
      <c r="B492" s="97" t="s">
        <v>1372</v>
      </c>
      <c r="C492" s="97" t="s">
        <v>1032</v>
      </c>
      <c r="D492" s="97" t="s">
        <v>741</v>
      </c>
      <c r="F492" s="101">
        <f>'Jurisdictional Study'!F1407</f>
        <v>0</v>
      </c>
      <c r="H492" s="101">
        <f>IF(VLOOKUP($D492,$C$5:$AJ$644,6,)=0,0,((VLOOKUP($D492,$C$5:$AJ$644,6,)/VLOOKUP($D492,$C$5:$AJ$644,4,))*$F492))</f>
        <v>0</v>
      </c>
      <c r="I492" s="101">
        <f>IF(VLOOKUP($D492,$C$5:$AJ$644,7,)=0,0,((VLOOKUP($D492,$C$5:$AJ$644,7,)/VLOOKUP($D492,$C$5:$AJ$644,4,))*$F492))</f>
        <v>0</v>
      </c>
      <c r="J492" s="101">
        <f>IF(VLOOKUP($D492,$C$5:$AJ$644,8,)=0,0,((VLOOKUP($D492,$C$5:$AJ$644,8,)/VLOOKUP($D492,$C$5:$AJ$644,4,))*$F492))</f>
        <v>0</v>
      </c>
      <c r="K492" s="101">
        <f>IF(VLOOKUP($D492,$C$5:$AJ$644,9,)=0,0,((VLOOKUP($D492,$C$5:$AJ$644,9,)/VLOOKUP($D492,$C$5:$AJ$644,4,))*$F492))</f>
        <v>0</v>
      </c>
      <c r="L492" s="101">
        <f>IF(VLOOKUP($D492,$C$5:$AJ$644,10,)=0,0,((VLOOKUP($D492,$C$5:$AJ$644,10,)/VLOOKUP($D492,$C$5:$AJ$644,4,))*$F492))</f>
        <v>0</v>
      </c>
      <c r="M492" s="101">
        <f>IF(VLOOKUP($D492,$C$5:$AJ$644,11,)=0,0,((VLOOKUP($D492,$C$5:$AJ$644,11,)/VLOOKUP($D492,$C$5:$AJ$644,4,))*$F492))</f>
        <v>0</v>
      </c>
      <c r="N492" s="101"/>
      <c r="O492" s="101">
        <f>IF(VLOOKUP($D492,$C$5:$AJ$644,13,)=0,0,((VLOOKUP($D492,$C$5:$AJ$644,13,)/VLOOKUP($D492,$C$5:$AJ$644,4,))*$F492))</f>
        <v>0</v>
      </c>
      <c r="P492" s="101">
        <f>IF(VLOOKUP($D492,$C$5:$AJ$644,14,)=0,0,((VLOOKUP($D492,$C$5:$AJ$644,14,)/VLOOKUP($D492,$C$5:$AJ$644,4,))*$F492))</f>
        <v>0</v>
      </c>
      <c r="Q492" s="101">
        <f>IF(VLOOKUP($D492,$C$5:$AJ$644,15,)=0,0,((VLOOKUP($D492,$C$5:$AJ$644,15,)/VLOOKUP($D492,$C$5:$AJ$644,4,))*$F492))</f>
        <v>0</v>
      </c>
      <c r="R492" s="101"/>
      <c r="S492" s="101">
        <f>IF(VLOOKUP($D492,$C$5:$AJ$644,17,)=0,0,((VLOOKUP($D492,$C$5:$AJ$644,17,)/VLOOKUP($D492,$C$5:$AJ$644,4,))*$F492))</f>
        <v>0</v>
      </c>
      <c r="T492" s="101">
        <f>IF(VLOOKUP($D492,$C$5:$AJ$644,18,)=0,0,((VLOOKUP($D492,$C$5:$AJ$644,18,)/VLOOKUP($D492,$C$5:$AJ$644,4,))*$F492))</f>
        <v>0</v>
      </c>
      <c r="U492" s="101">
        <f>IF(VLOOKUP($D492,$C$5:$AJ$644,19,)=0,0,((VLOOKUP($D492,$C$5:$AJ$644,19,)/VLOOKUP($D492,$C$5:$AJ$644,4,))*$F492))</f>
        <v>0</v>
      </c>
      <c r="V492" s="101">
        <f>IF(VLOOKUP($D492,$C$5:$AJ$644,20,)=0,0,((VLOOKUP($D492,$C$5:$AJ$644,20,)/VLOOKUP($D492,$C$5:$AJ$644,4,))*$F492))</f>
        <v>0</v>
      </c>
      <c r="W492" s="101">
        <f>IF(VLOOKUP($D492,$C$5:$AJ$644,21,)=0,0,((VLOOKUP($D492,$C$5:$AJ$644,21,)/VLOOKUP($D492,$C$5:$AJ$644,4,))*$F492))</f>
        <v>0</v>
      </c>
      <c r="X492" s="101">
        <f>IF(VLOOKUP($D492,$C$5:$AJ$644,22,)=0,0,((VLOOKUP($D492,$C$5:$AJ$644,22,)/VLOOKUP($D492,$C$5:$AJ$644,4,))*$F492))</f>
        <v>0</v>
      </c>
      <c r="Y492" s="101">
        <f>IF(VLOOKUP($D492,$C$5:$AJ$644,23,)=0,0,((VLOOKUP($D492,$C$5:$AJ$644,23,)/VLOOKUP($D492,$C$5:$AJ$644,4,))*$F492))</f>
        <v>0</v>
      </c>
      <c r="Z492" s="101">
        <f>IF(VLOOKUP($D492,$C$5:$AJ$644,24,)=0,0,((VLOOKUP($D492,$C$5:$AJ$644,24,)/VLOOKUP($D492,$C$5:$AJ$644,4,))*$F492))</f>
        <v>0</v>
      </c>
      <c r="AA492" s="101">
        <f>IF(VLOOKUP($D492,$C$5:$AJ$644,25,)=0,0,((VLOOKUP($D492,$C$5:$AJ$644,25,)/VLOOKUP($D492,$C$5:$AJ$644,4,))*$F492))</f>
        <v>0</v>
      </c>
      <c r="AB492" s="101">
        <f>IF(VLOOKUP($D492,$C$5:$AJ$644,26,)=0,0,((VLOOKUP($D492,$C$5:$AJ$644,26,)/VLOOKUP($D492,$C$5:$AJ$644,4,))*$F492))</f>
        <v>0</v>
      </c>
      <c r="AC492" s="101">
        <f>IF(VLOOKUP($D492,$C$5:$AJ$644,27,)=0,0,((VLOOKUP($D492,$C$5:$AJ$644,27,)/VLOOKUP($D492,$C$5:$AJ$644,4,))*$F492))</f>
        <v>0</v>
      </c>
      <c r="AD492" s="101">
        <f>IF(VLOOKUP($D492,$C$5:$AJ$644,28,)=0,0,((VLOOKUP($D492,$C$5:$AJ$644,28,)/VLOOKUP($D492,$C$5:$AJ$644,4,))*$F492))</f>
        <v>0</v>
      </c>
      <c r="AE492" s="101"/>
      <c r="AF492" s="101">
        <f>IF(VLOOKUP($D492,$C$5:$AJ$644,30,)=0,0,((VLOOKUP($D492,$C$5:$AJ$644,30,)/VLOOKUP($D492,$C$5:$AJ$644,4,))*$F492))</f>
        <v>0</v>
      </c>
      <c r="AG492" s="101"/>
      <c r="AH492" s="101">
        <f>IF(VLOOKUP($D492,$C$5:$AJ$644,32,)=0,0,((VLOOKUP($D492,$C$5:$AJ$644,32,)/VLOOKUP($D492,$C$5:$AJ$644,4,))*$F492))</f>
        <v>0</v>
      </c>
      <c r="AI492" s="101"/>
      <c r="AJ492" s="101">
        <f>IF(VLOOKUP($D492,$C$5:$AJ$644,34,)=0,0,((VLOOKUP($D492,$C$5:$AJ$644,34,)/VLOOKUP($D492,$C$5:$AJ$644,4,))*$F492))</f>
        <v>0</v>
      </c>
      <c r="AK492" s="101">
        <f>SUM(H492:AJ492)</f>
        <v>0</v>
      </c>
      <c r="AL492" s="98" t="str">
        <f>IF(ABS(AK492-F492)&lt;1,"ok","err")</f>
        <v>ok</v>
      </c>
    </row>
    <row r="493" spans="1:38" x14ac:dyDescent="0.25">
      <c r="A493" s="24"/>
      <c r="F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98"/>
    </row>
    <row r="494" spans="1:38" x14ac:dyDescent="0.25">
      <c r="A494" s="97" t="s">
        <v>1067</v>
      </c>
      <c r="C494" s="97" t="s">
        <v>1034</v>
      </c>
      <c r="F494" s="100">
        <f>SUM(F488:F493)</f>
        <v>16006067.650495432</v>
      </c>
      <c r="G494" s="100">
        <f>SUM(G488:G493)</f>
        <v>0</v>
      </c>
      <c r="H494" s="100">
        <f t="shared" ref="H494:M494" si="511">SUM(H488:H493)</f>
        <v>0</v>
      </c>
      <c r="I494" s="100">
        <f t="shared" si="511"/>
        <v>0</v>
      </c>
      <c r="J494" s="100">
        <f t="shared" si="511"/>
        <v>0</v>
      </c>
      <c r="K494" s="100">
        <f t="shared" si="511"/>
        <v>0</v>
      </c>
      <c r="L494" s="100">
        <f t="shared" si="511"/>
        <v>0</v>
      </c>
      <c r="M494" s="100">
        <f t="shared" si="511"/>
        <v>0</v>
      </c>
      <c r="N494" s="101"/>
      <c r="O494" s="100">
        <f>SUM(O488:O493)</f>
        <v>0</v>
      </c>
      <c r="P494" s="100">
        <f>SUM(P488:P493)</f>
        <v>0</v>
      </c>
      <c r="Q494" s="100">
        <f>SUM(Q488:Q493)</f>
        <v>0</v>
      </c>
      <c r="R494" s="101"/>
      <c r="S494" s="100">
        <f t="shared" ref="S494:AJ494" si="512">SUM(S488:S493)</f>
        <v>0</v>
      </c>
      <c r="T494" s="100">
        <f t="shared" si="512"/>
        <v>0</v>
      </c>
      <c r="U494" s="100">
        <f t="shared" si="512"/>
        <v>0</v>
      </c>
      <c r="V494" s="100">
        <f t="shared" si="512"/>
        <v>0</v>
      </c>
      <c r="W494" s="100">
        <f t="shared" si="512"/>
        <v>0</v>
      </c>
      <c r="X494" s="100">
        <f t="shared" si="512"/>
        <v>0</v>
      </c>
      <c r="Y494" s="100">
        <f t="shared" si="512"/>
        <v>0</v>
      </c>
      <c r="Z494" s="100">
        <f t="shared" si="512"/>
        <v>0</v>
      </c>
      <c r="AA494" s="100">
        <f t="shared" si="512"/>
        <v>0</v>
      </c>
      <c r="AB494" s="100">
        <f t="shared" si="512"/>
        <v>0</v>
      </c>
      <c r="AC494" s="100">
        <f t="shared" si="512"/>
        <v>0</v>
      </c>
      <c r="AD494" s="100">
        <f t="shared" si="512"/>
        <v>0</v>
      </c>
      <c r="AE494" s="100"/>
      <c r="AF494" s="100">
        <f t="shared" si="512"/>
        <v>16006067.650495432</v>
      </c>
      <c r="AG494" s="101"/>
      <c r="AH494" s="100">
        <f t="shared" si="512"/>
        <v>0</v>
      </c>
      <c r="AI494" s="101"/>
      <c r="AJ494" s="100">
        <f t="shared" si="512"/>
        <v>0</v>
      </c>
      <c r="AK494" s="101">
        <f>SUM(H494:AJ494)</f>
        <v>16006067.650495432</v>
      </c>
      <c r="AL494" s="98" t="str">
        <f>IF(ABS(AK494-F494)&lt;1,"ok","err")</f>
        <v>ok</v>
      </c>
    </row>
    <row r="495" spans="1:38" x14ac:dyDescent="0.25">
      <c r="F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  <c r="AC495" s="101"/>
      <c r="AD495" s="101"/>
      <c r="AE495" s="101"/>
      <c r="AF495" s="101"/>
      <c r="AG495" s="101"/>
      <c r="AH495" s="101"/>
      <c r="AI495" s="101"/>
      <c r="AJ495" s="101"/>
      <c r="AL495" s="98"/>
    </row>
    <row r="496" spans="1:38" x14ac:dyDescent="0.25">
      <c r="A496" s="24" t="s">
        <v>320</v>
      </c>
      <c r="F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1"/>
      <c r="AE496" s="101"/>
      <c r="AF496" s="101"/>
      <c r="AG496" s="101"/>
      <c r="AH496" s="101"/>
      <c r="AI496" s="101"/>
      <c r="AJ496" s="101"/>
      <c r="AL496" s="98"/>
    </row>
    <row r="497" spans="1:38" x14ac:dyDescent="0.25">
      <c r="A497" s="97">
        <v>907</v>
      </c>
      <c r="B497" s="97" t="s">
        <v>487</v>
      </c>
      <c r="C497" s="97" t="s">
        <v>1035</v>
      </c>
      <c r="D497" s="97" t="s">
        <v>742</v>
      </c>
      <c r="F497" s="100">
        <f>'Jurisdictional Study'!F1412</f>
        <v>614306.72725874442</v>
      </c>
      <c r="H497" s="101">
        <f t="shared" ref="H497:H506" si="513">IF(VLOOKUP($D497,$C$5:$AJ$644,6,)=0,0,((VLOOKUP($D497,$C$5:$AJ$644,6,)/VLOOKUP($D497,$C$5:$AJ$644,4,))*$F497))</f>
        <v>0</v>
      </c>
      <c r="I497" s="101">
        <f t="shared" ref="I497:I506" si="514">IF(VLOOKUP($D497,$C$5:$AJ$644,7,)=0,0,((VLOOKUP($D497,$C$5:$AJ$644,7,)/VLOOKUP($D497,$C$5:$AJ$644,4,))*$F497))</f>
        <v>0</v>
      </c>
      <c r="J497" s="101">
        <f t="shared" ref="J497:J506" si="515">IF(VLOOKUP($D497,$C$5:$AJ$644,8,)=0,0,((VLOOKUP($D497,$C$5:$AJ$644,8,)/VLOOKUP($D497,$C$5:$AJ$644,4,))*$F497))</f>
        <v>0</v>
      </c>
      <c r="K497" s="101">
        <f t="shared" ref="K497:K506" si="516">IF(VLOOKUP($D497,$C$5:$AJ$644,9,)=0,0,((VLOOKUP($D497,$C$5:$AJ$644,9,)/VLOOKUP($D497,$C$5:$AJ$644,4,))*$F497))</f>
        <v>0</v>
      </c>
      <c r="L497" s="101">
        <f t="shared" ref="L497:L506" si="517">IF(VLOOKUP($D497,$C$5:$AJ$644,10,)=0,0,((VLOOKUP($D497,$C$5:$AJ$644,10,)/VLOOKUP($D497,$C$5:$AJ$644,4,))*$F497))</f>
        <v>0</v>
      </c>
      <c r="M497" s="101">
        <f t="shared" ref="M497:M506" si="518">IF(VLOOKUP($D497,$C$5:$AJ$644,11,)=0,0,((VLOOKUP($D497,$C$5:$AJ$644,11,)/VLOOKUP($D497,$C$5:$AJ$644,4,))*$F497))</f>
        <v>0</v>
      </c>
      <c r="N497" s="101"/>
      <c r="O497" s="101">
        <f t="shared" ref="O497:O506" si="519">IF(VLOOKUP($D497,$C$5:$AJ$644,13,)=0,0,((VLOOKUP($D497,$C$5:$AJ$644,13,)/VLOOKUP($D497,$C$5:$AJ$644,4,))*$F497))</f>
        <v>0</v>
      </c>
      <c r="P497" s="101">
        <f t="shared" ref="P497:P506" si="520">IF(VLOOKUP($D497,$C$5:$AJ$644,14,)=0,0,((VLOOKUP($D497,$C$5:$AJ$644,14,)/VLOOKUP($D497,$C$5:$AJ$644,4,))*$F497))</f>
        <v>0</v>
      </c>
      <c r="Q497" s="101">
        <f t="shared" ref="Q497:Q506" si="521">IF(VLOOKUP($D497,$C$5:$AJ$644,15,)=0,0,((VLOOKUP($D497,$C$5:$AJ$644,15,)/VLOOKUP($D497,$C$5:$AJ$644,4,))*$F497))</f>
        <v>0</v>
      </c>
      <c r="R497" s="101"/>
      <c r="S497" s="101">
        <f t="shared" ref="S497:S506" si="522">IF(VLOOKUP($D497,$C$5:$AJ$644,17,)=0,0,((VLOOKUP($D497,$C$5:$AJ$644,17,)/VLOOKUP($D497,$C$5:$AJ$644,4,))*$F497))</f>
        <v>0</v>
      </c>
      <c r="T497" s="101">
        <f t="shared" ref="T497:T506" si="523">IF(VLOOKUP($D497,$C$5:$AJ$644,18,)=0,0,((VLOOKUP($D497,$C$5:$AJ$644,18,)/VLOOKUP($D497,$C$5:$AJ$644,4,))*$F497))</f>
        <v>0</v>
      </c>
      <c r="U497" s="101">
        <f t="shared" ref="U497:U506" si="524">IF(VLOOKUP($D497,$C$5:$AJ$644,19,)=0,0,((VLOOKUP($D497,$C$5:$AJ$644,19,)/VLOOKUP($D497,$C$5:$AJ$644,4,))*$F497))</f>
        <v>0</v>
      </c>
      <c r="V497" s="101">
        <f t="shared" ref="V497:V506" si="525">IF(VLOOKUP($D497,$C$5:$AJ$644,20,)=0,0,((VLOOKUP($D497,$C$5:$AJ$644,20,)/VLOOKUP($D497,$C$5:$AJ$644,4,))*$F497))</f>
        <v>0</v>
      </c>
      <c r="W497" s="101">
        <f t="shared" ref="W497:W506" si="526">IF(VLOOKUP($D497,$C$5:$AJ$644,21,)=0,0,((VLOOKUP($D497,$C$5:$AJ$644,21,)/VLOOKUP($D497,$C$5:$AJ$644,4,))*$F497))</f>
        <v>0</v>
      </c>
      <c r="X497" s="101">
        <f t="shared" ref="X497:X506" si="527">IF(VLOOKUP($D497,$C$5:$AJ$644,22,)=0,0,((VLOOKUP($D497,$C$5:$AJ$644,22,)/VLOOKUP($D497,$C$5:$AJ$644,4,))*$F497))</f>
        <v>0</v>
      </c>
      <c r="Y497" s="101">
        <f t="shared" ref="Y497:Y506" si="528">IF(VLOOKUP($D497,$C$5:$AJ$644,23,)=0,0,((VLOOKUP($D497,$C$5:$AJ$644,23,)/VLOOKUP($D497,$C$5:$AJ$644,4,))*$F497))</f>
        <v>0</v>
      </c>
      <c r="Z497" s="101">
        <f t="shared" ref="Z497:Z506" si="529">IF(VLOOKUP($D497,$C$5:$AJ$644,24,)=0,0,((VLOOKUP($D497,$C$5:$AJ$644,24,)/VLOOKUP($D497,$C$5:$AJ$644,4,))*$F497))</f>
        <v>0</v>
      </c>
      <c r="AA497" s="101">
        <f t="shared" ref="AA497:AA506" si="530">IF(VLOOKUP($D497,$C$5:$AJ$644,25,)=0,0,((VLOOKUP($D497,$C$5:$AJ$644,25,)/VLOOKUP($D497,$C$5:$AJ$644,4,))*$F497))</f>
        <v>0</v>
      </c>
      <c r="AB497" s="101">
        <f t="shared" ref="AB497:AB506" si="531">IF(VLOOKUP($D497,$C$5:$AJ$644,26,)=0,0,((VLOOKUP($D497,$C$5:$AJ$644,26,)/VLOOKUP($D497,$C$5:$AJ$644,4,))*$F497))</f>
        <v>0</v>
      </c>
      <c r="AC497" s="101">
        <f t="shared" ref="AC497:AC506" si="532">IF(VLOOKUP($D497,$C$5:$AJ$644,27,)=0,0,((VLOOKUP($D497,$C$5:$AJ$644,27,)/VLOOKUP($D497,$C$5:$AJ$644,4,))*$F497))</f>
        <v>0</v>
      </c>
      <c r="AD497" s="101">
        <f t="shared" ref="AD497:AD506" si="533">IF(VLOOKUP($D497,$C$5:$AJ$644,28,)=0,0,((VLOOKUP($D497,$C$5:$AJ$644,28,)/VLOOKUP($D497,$C$5:$AJ$644,4,))*$F497))</f>
        <v>0</v>
      </c>
      <c r="AE497" s="101"/>
      <c r="AF497" s="101">
        <f t="shared" ref="AF497:AF506" si="534">IF(VLOOKUP($D497,$C$5:$AJ$644,30,)=0,0,((VLOOKUP($D497,$C$5:$AJ$644,30,)/VLOOKUP($D497,$C$5:$AJ$644,4,))*$F497))</f>
        <v>0</v>
      </c>
      <c r="AG497" s="101"/>
      <c r="AH497" s="101">
        <f t="shared" ref="AH497:AH506" si="535">IF(VLOOKUP($D497,$C$5:$AJ$644,32,)=0,0,((VLOOKUP($D497,$C$5:$AJ$644,32,)/VLOOKUP($D497,$C$5:$AJ$644,4,))*$F497))</f>
        <v>614306.72725874442</v>
      </c>
      <c r="AI497" s="101"/>
      <c r="AJ497" s="101">
        <f t="shared" ref="AJ497:AJ506" si="536">IF(VLOOKUP($D497,$C$5:$AJ$644,34,)=0,0,((VLOOKUP($D497,$C$5:$AJ$644,34,)/VLOOKUP($D497,$C$5:$AJ$644,4,))*$F497))</f>
        <v>0</v>
      </c>
      <c r="AK497" s="101">
        <f t="shared" ref="AK497:AK506" si="537">SUM(H497:AJ497)</f>
        <v>614306.72725874442</v>
      </c>
      <c r="AL497" s="98" t="str">
        <f t="shared" ref="AL497:AL506" si="538">IF(ABS(AK497-F497)&lt;1,"ok","err")</f>
        <v>ok</v>
      </c>
    </row>
    <row r="498" spans="1:38" x14ac:dyDescent="0.25">
      <c r="A498" s="97">
        <v>908</v>
      </c>
      <c r="B498" s="97" t="s">
        <v>1235</v>
      </c>
      <c r="C498" s="97" t="s">
        <v>1036</v>
      </c>
      <c r="D498" s="97" t="s">
        <v>742</v>
      </c>
      <c r="F498" s="101">
        <f>'Jurisdictional Study'!F1413</f>
        <v>1585967.8624582202</v>
      </c>
      <c r="H498" s="101">
        <f t="shared" si="513"/>
        <v>0</v>
      </c>
      <c r="I498" s="101">
        <f t="shared" si="514"/>
        <v>0</v>
      </c>
      <c r="J498" s="101">
        <f t="shared" si="515"/>
        <v>0</v>
      </c>
      <c r="K498" s="101">
        <f t="shared" si="516"/>
        <v>0</v>
      </c>
      <c r="L498" s="101">
        <f t="shared" si="517"/>
        <v>0</v>
      </c>
      <c r="M498" s="101">
        <f t="shared" si="518"/>
        <v>0</v>
      </c>
      <c r="N498" s="101"/>
      <c r="O498" s="101">
        <f t="shared" si="519"/>
        <v>0</v>
      </c>
      <c r="P498" s="101">
        <f t="shared" si="520"/>
        <v>0</v>
      </c>
      <c r="Q498" s="101">
        <f t="shared" si="521"/>
        <v>0</v>
      </c>
      <c r="R498" s="101"/>
      <c r="S498" s="101">
        <f t="shared" si="522"/>
        <v>0</v>
      </c>
      <c r="T498" s="101">
        <f t="shared" si="523"/>
        <v>0</v>
      </c>
      <c r="U498" s="101">
        <f t="shared" si="524"/>
        <v>0</v>
      </c>
      <c r="V498" s="101">
        <f t="shared" si="525"/>
        <v>0</v>
      </c>
      <c r="W498" s="101">
        <f t="shared" si="526"/>
        <v>0</v>
      </c>
      <c r="X498" s="101">
        <f t="shared" si="527"/>
        <v>0</v>
      </c>
      <c r="Y498" s="101">
        <f t="shared" si="528"/>
        <v>0</v>
      </c>
      <c r="Z498" s="101">
        <f t="shared" si="529"/>
        <v>0</v>
      </c>
      <c r="AA498" s="101">
        <f t="shared" si="530"/>
        <v>0</v>
      </c>
      <c r="AB498" s="101">
        <f t="shared" si="531"/>
        <v>0</v>
      </c>
      <c r="AC498" s="101">
        <f t="shared" si="532"/>
        <v>0</v>
      </c>
      <c r="AD498" s="101">
        <f t="shared" si="533"/>
        <v>0</v>
      </c>
      <c r="AE498" s="101"/>
      <c r="AF498" s="101">
        <f t="shared" si="534"/>
        <v>0</v>
      </c>
      <c r="AG498" s="101"/>
      <c r="AH498" s="101">
        <f t="shared" si="535"/>
        <v>1585967.8624582202</v>
      </c>
      <c r="AI498" s="101"/>
      <c r="AJ498" s="101">
        <f t="shared" si="536"/>
        <v>0</v>
      </c>
      <c r="AK498" s="101">
        <f t="shared" si="537"/>
        <v>1585967.8624582202</v>
      </c>
      <c r="AL498" s="98" t="str">
        <f t="shared" si="538"/>
        <v>ok</v>
      </c>
    </row>
    <row r="499" spans="1:38" x14ac:dyDescent="0.25">
      <c r="A499" s="97">
        <v>908</v>
      </c>
      <c r="B499" s="97" t="s">
        <v>1373</v>
      </c>
      <c r="C499" s="97" t="s">
        <v>1037</v>
      </c>
      <c r="D499" s="97" t="s">
        <v>742</v>
      </c>
      <c r="F499" s="101">
        <v>0</v>
      </c>
      <c r="H499" s="101">
        <f t="shared" si="513"/>
        <v>0</v>
      </c>
      <c r="I499" s="101">
        <f t="shared" si="514"/>
        <v>0</v>
      </c>
      <c r="J499" s="101">
        <f t="shared" si="515"/>
        <v>0</v>
      </c>
      <c r="K499" s="101">
        <f t="shared" si="516"/>
        <v>0</v>
      </c>
      <c r="L499" s="101">
        <f t="shared" si="517"/>
        <v>0</v>
      </c>
      <c r="M499" s="101">
        <f t="shared" si="518"/>
        <v>0</v>
      </c>
      <c r="N499" s="101"/>
      <c r="O499" s="101">
        <f t="shared" si="519"/>
        <v>0</v>
      </c>
      <c r="P499" s="101">
        <f t="shared" si="520"/>
        <v>0</v>
      </c>
      <c r="Q499" s="101">
        <f t="shared" si="521"/>
        <v>0</v>
      </c>
      <c r="R499" s="101"/>
      <c r="S499" s="101">
        <f t="shared" si="522"/>
        <v>0</v>
      </c>
      <c r="T499" s="101">
        <f t="shared" si="523"/>
        <v>0</v>
      </c>
      <c r="U499" s="101">
        <f t="shared" si="524"/>
        <v>0</v>
      </c>
      <c r="V499" s="101">
        <f t="shared" si="525"/>
        <v>0</v>
      </c>
      <c r="W499" s="101">
        <f t="shared" si="526"/>
        <v>0</v>
      </c>
      <c r="X499" s="101">
        <f t="shared" si="527"/>
        <v>0</v>
      </c>
      <c r="Y499" s="101">
        <f t="shared" si="528"/>
        <v>0</v>
      </c>
      <c r="Z499" s="101">
        <f t="shared" si="529"/>
        <v>0</v>
      </c>
      <c r="AA499" s="101">
        <f t="shared" si="530"/>
        <v>0</v>
      </c>
      <c r="AB499" s="101">
        <f t="shared" si="531"/>
        <v>0</v>
      </c>
      <c r="AC499" s="101">
        <f t="shared" si="532"/>
        <v>0</v>
      </c>
      <c r="AD499" s="101">
        <f t="shared" si="533"/>
        <v>0</v>
      </c>
      <c r="AE499" s="101"/>
      <c r="AF499" s="101">
        <f t="shared" si="534"/>
        <v>0</v>
      </c>
      <c r="AG499" s="101"/>
      <c r="AH499" s="101">
        <f t="shared" si="535"/>
        <v>0</v>
      </c>
      <c r="AI499" s="101"/>
      <c r="AJ499" s="101">
        <f t="shared" si="536"/>
        <v>0</v>
      </c>
      <c r="AK499" s="101">
        <f t="shared" si="537"/>
        <v>0</v>
      </c>
      <c r="AL499" s="98" t="str">
        <f t="shared" si="538"/>
        <v>ok</v>
      </c>
    </row>
    <row r="500" spans="1:38" x14ac:dyDescent="0.25">
      <c r="A500" s="97">
        <v>909</v>
      </c>
      <c r="B500" s="97" t="s">
        <v>1237</v>
      </c>
      <c r="C500" s="97" t="s">
        <v>1038</v>
      </c>
      <c r="D500" s="97" t="s">
        <v>742</v>
      </c>
      <c r="F500" s="101">
        <f>'Jurisdictional Study'!F1414</f>
        <v>0</v>
      </c>
      <c r="H500" s="101">
        <f t="shared" si="513"/>
        <v>0</v>
      </c>
      <c r="I500" s="101">
        <f t="shared" si="514"/>
        <v>0</v>
      </c>
      <c r="J500" s="101">
        <f t="shared" si="515"/>
        <v>0</v>
      </c>
      <c r="K500" s="101">
        <f t="shared" si="516"/>
        <v>0</v>
      </c>
      <c r="L500" s="101">
        <f t="shared" si="517"/>
        <v>0</v>
      </c>
      <c r="M500" s="101">
        <f t="shared" si="518"/>
        <v>0</v>
      </c>
      <c r="N500" s="101"/>
      <c r="O500" s="101">
        <f t="shared" si="519"/>
        <v>0</v>
      </c>
      <c r="P500" s="101">
        <f t="shared" si="520"/>
        <v>0</v>
      </c>
      <c r="Q500" s="101">
        <f t="shared" si="521"/>
        <v>0</v>
      </c>
      <c r="R500" s="101"/>
      <c r="S500" s="101">
        <f t="shared" si="522"/>
        <v>0</v>
      </c>
      <c r="T500" s="101">
        <f t="shared" si="523"/>
        <v>0</v>
      </c>
      <c r="U500" s="101">
        <f t="shared" si="524"/>
        <v>0</v>
      </c>
      <c r="V500" s="101">
        <f t="shared" si="525"/>
        <v>0</v>
      </c>
      <c r="W500" s="101">
        <f t="shared" si="526"/>
        <v>0</v>
      </c>
      <c r="X500" s="101">
        <f t="shared" si="527"/>
        <v>0</v>
      </c>
      <c r="Y500" s="101">
        <f t="shared" si="528"/>
        <v>0</v>
      </c>
      <c r="Z500" s="101">
        <f t="shared" si="529"/>
        <v>0</v>
      </c>
      <c r="AA500" s="101">
        <f t="shared" si="530"/>
        <v>0</v>
      </c>
      <c r="AB500" s="101">
        <f t="shared" si="531"/>
        <v>0</v>
      </c>
      <c r="AC500" s="101">
        <f t="shared" si="532"/>
        <v>0</v>
      </c>
      <c r="AD500" s="101">
        <f t="shared" si="533"/>
        <v>0</v>
      </c>
      <c r="AE500" s="101"/>
      <c r="AF500" s="101">
        <f t="shared" si="534"/>
        <v>0</v>
      </c>
      <c r="AG500" s="101"/>
      <c r="AH500" s="101">
        <f t="shared" si="535"/>
        <v>0</v>
      </c>
      <c r="AI500" s="101"/>
      <c r="AJ500" s="101">
        <f t="shared" si="536"/>
        <v>0</v>
      </c>
      <c r="AK500" s="101">
        <f t="shared" si="537"/>
        <v>0</v>
      </c>
      <c r="AL500" s="98" t="str">
        <f t="shared" si="538"/>
        <v>ok</v>
      </c>
    </row>
    <row r="501" spans="1:38" x14ac:dyDescent="0.25">
      <c r="A501" s="97">
        <v>909</v>
      </c>
      <c r="B501" s="97" t="s">
        <v>1375</v>
      </c>
      <c r="C501" s="97" t="s">
        <v>1039</v>
      </c>
      <c r="D501" s="97" t="s">
        <v>742</v>
      </c>
      <c r="F501" s="101">
        <v>0</v>
      </c>
      <c r="H501" s="101">
        <f t="shared" si="513"/>
        <v>0</v>
      </c>
      <c r="I501" s="101">
        <f t="shared" si="514"/>
        <v>0</v>
      </c>
      <c r="J501" s="101">
        <f t="shared" si="515"/>
        <v>0</v>
      </c>
      <c r="K501" s="101">
        <f t="shared" si="516"/>
        <v>0</v>
      </c>
      <c r="L501" s="101">
        <f t="shared" si="517"/>
        <v>0</v>
      </c>
      <c r="M501" s="101">
        <f t="shared" si="518"/>
        <v>0</v>
      </c>
      <c r="N501" s="101"/>
      <c r="O501" s="101">
        <f t="shared" si="519"/>
        <v>0</v>
      </c>
      <c r="P501" s="101">
        <f t="shared" si="520"/>
        <v>0</v>
      </c>
      <c r="Q501" s="101">
        <f t="shared" si="521"/>
        <v>0</v>
      </c>
      <c r="R501" s="101"/>
      <c r="S501" s="101">
        <f t="shared" si="522"/>
        <v>0</v>
      </c>
      <c r="T501" s="101">
        <f t="shared" si="523"/>
        <v>0</v>
      </c>
      <c r="U501" s="101">
        <f t="shared" si="524"/>
        <v>0</v>
      </c>
      <c r="V501" s="101">
        <f t="shared" si="525"/>
        <v>0</v>
      </c>
      <c r="W501" s="101">
        <f t="shared" si="526"/>
        <v>0</v>
      </c>
      <c r="X501" s="101">
        <f t="shared" si="527"/>
        <v>0</v>
      </c>
      <c r="Y501" s="101">
        <f t="shared" si="528"/>
        <v>0</v>
      </c>
      <c r="Z501" s="101">
        <f t="shared" si="529"/>
        <v>0</v>
      </c>
      <c r="AA501" s="101">
        <f t="shared" si="530"/>
        <v>0</v>
      </c>
      <c r="AB501" s="101">
        <f t="shared" si="531"/>
        <v>0</v>
      </c>
      <c r="AC501" s="101">
        <f t="shared" si="532"/>
        <v>0</v>
      </c>
      <c r="AD501" s="101">
        <f t="shared" si="533"/>
        <v>0</v>
      </c>
      <c r="AE501" s="101"/>
      <c r="AF501" s="101">
        <f t="shared" si="534"/>
        <v>0</v>
      </c>
      <c r="AG501" s="101"/>
      <c r="AH501" s="101">
        <f t="shared" si="535"/>
        <v>0</v>
      </c>
      <c r="AI501" s="101"/>
      <c r="AJ501" s="101">
        <f t="shared" si="536"/>
        <v>0</v>
      </c>
      <c r="AK501" s="101">
        <f t="shared" si="537"/>
        <v>0</v>
      </c>
      <c r="AL501" s="98" t="str">
        <f t="shared" si="538"/>
        <v>ok</v>
      </c>
    </row>
    <row r="502" spans="1:38" x14ac:dyDescent="0.25">
      <c r="A502" s="97">
        <v>910</v>
      </c>
      <c r="B502" s="97" t="s">
        <v>1239</v>
      </c>
      <c r="C502" s="97" t="s">
        <v>1040</v>
      </c>
      <c r="D502" s="97" t="s">
        <v>742</v>
      </c>
      <c r="F502" s="101">
        <f>'Jurisdictional Study'!F1415</f>
        <v>0</v>
      </c>
      <c r="H502" s="101">
        <f t="shared" si="513"/>
        <v>0</v>
      </c>
      <c r="I502" s="101">
        <f t="shared" si="514"/>
        <v>0</v>
      </c>
      <c r="J502" s="101">
        <f t="shared" si="515"/>
        <v>0</v>
      </c>
      <c r="K502" s="101">
        <f t="shared" si="516"/>
        <v>0</v>
      </c>
      <c r="L502" s="101">
        <f t="shared" si="517"/>
        <v>0</v>
      </c>
      <c r="M502" s="101">
        <f t="shared" si="518"/>
        <v>0</v>
      </c>
      <c r="N502" s="101"/>
      <c r="O502" s="101">
        <f t="shared" si="519"/>
        <v>0</v>
      </c>
      <c r="P502" s="101">
        <f t="shared" si="520"/>
        <v>0</v>
      </c>
      <c r="Q502" s="101">
        <f t="shared" si="521"/>
        <v>0</v>
      </c>
      <c r="R502" s="101"/>
      <c r="S502" s="101">
        <f t="shared" si="522"/>
        <v>0</v>
      </c>
      <c r="T502" s="101">
        <f t="shared" si="523"/>
        <v>0</v>
      </c>
      <c r="U502" s="101">
        <f t="shared" si="524"/>
        <v>0</v>
      </c>
      <c r="V502" s="101">
        <f t="shared" si="525"/>
        <v>0</v>
      </c>
      <c r="W502" s="101">
        <f t="shared" si="526"/>
        <v>0</v>
      </c>
      <c r="X502" s="101">
        <f t="shared" si="527"/>
        <v>0</v>
      </c>
      <c r="Y502" s="101">
        <f t="shared" si="528"/>
        <v>0</v>
      </c>
      <c r="Z502" s="101">
        <f t="shared" si="529"/>
        <v>0</v>
      </c>
      <c r="AA502" s="101">
        <f t="shared" si="530"/>
        <v>0</v>
      </c>
      <c r="AB502" s="101">
        <f t="shared" si="531"/>
        <v>0</v>
      </c>
      <c r="AC502" s="101">
        <f t="shared" si="532"/>
        <v>0</v>
      </c>
      <c r="AD502" s="101">
        <f t="shared" si="533"/>
        <v>0</v>
      </c>
      <c r="AE502" s="101"/>
      <c r="AF502" s="101">
        <f t="shared" si="534"/>
        <v>0</v>
      </c>
      <c r="AG502" s="101"/>
      <c r="AH502" s="101">
        <f t="shared" si="535"/>
        <v>0</v>
      </c>
      <c r="AI502" s="101"/>
      <c r="AJ502" s="101">
        <f t="shared" si="536"/>
        <v>0</v>
      </c>
      <c r="AK502" s="101">
        <f t="shared" si="537"/>
        <v>0</v>
      </c>
      <c r="AL502" s="98" t="str">
        <f t="shared" si="538"/>
        <v>ok</v>
      </c>
    </row>
    <row r="503" spans="1:38" x14ac:dyDescent="0.25">
      <c r="A503" s="97">
        <v>911</v>
      </c>
      <c r="B503" s="97" t="s">
        <v>878</v>
      </c>
      <c r="C503" s="97" t="s">
        <v>969</v>
      </c>
      <c r="D503" s="97" t="s">
        <v>742</v>
      </c>
      <c r="F503" s="101">
        <f>'Jurisdictional Study'!F1416</f>
        <v>0</v>
      </c>
      <c r="H503" s="101">
        <f t="shared" si="513"/>
        <v>0</v>
      </c>
      <c r="I503" s="101">
        <f t="shared" si="514"/>
        <v>0</v>
      </c>
      <c r="J503" s="101">
        <f t="shared" si="515"/>
        <v>0</v>
      </c>
      <c r="K503" s="101">
        <f t="shared" si="516"/>
        <v>0</v>
      </c>
      <c r="L503" s="101">
        <f t="shared" si="517"/>
        <v>0</v>
      </c>
      <c r="M503" s="101">
        <f t="shared" si="518"/>
        <v>0</v>
      </c>
      <c r="N503" s="101"/>
      <c r="O503" s="101">
        <f t="shared" si="519"/>
        <v>0</v>
      </c>
      <c r="P503" s="101">
        <f t="shared" si="520"/>
        <v>0</v>
      </c>
      <c r="Q503" s="101">
        <f t="shared" si="521"/>
        <v>0</v>
      </c>
      <c r="R503" s="101"/>
      <c r="S503" s="101">
        <f t="shared" si="522"/>
        <v>0</v>
      </c>
      <c r="T503" s="101">
        <f t="shared" si="523"/>
        <v>0</v>
      </c>
      <c r="U503" s="101">
        <f t="shared" si="524"/>
        <v>0</v>
      </c>
      <c r="V503" s="101">
        <f t="shared" si="525"/>
        <v>0</v>
      </c>
      <c r="W503" s="101">
        <f t="shared" si="526"/>
        <v>0</v>
      </c>
      <c r="X503" s="101">
        <f t="shared" si="527"/>
        <v>0</v>
      </c>
      <c r="Y503" s="101">
        <f t="shared" si="528"/>
        <v>0</v>
      </c>
      <c r="Z503" s="101">
        <f t="shared" si="529"/>
        <v>0</v>
      </c>
      <c r="AA503" s="101">
        <f t="shared" si="530"/>
        <v>0</v>
      </c>
      <c r="AB503" s="101">
        <f t="shared" si="531"/>
        <v>0</v>
      </c>
      <c r="AC503" s="101">
        <f t="shared" si="532"/>
        <v>0</v>
      </c>
      <c r="AD503" s="101">
        <f t="shared" si="533"/>
        <v>0</v>
      </c>
      <c r="AE503" s="101"/>
      <c r="AF503" s="101">
        <f t="shared" si="534"/>
        <v>0</v>
      </c>
      <c r="AG503" s="101"/>
      <c r="AH503" s="101">
        <f t="shared" si="535"/>
        <v>0</v>
      </c>
      <c r="AI503" s="101"/>
      <c r="AJ503" s="101">
        <f t="shared" si="536"/>
        <v>0</v>
      </c>
      <c r="AK503" s="101">
        <f t="shared" si="537"/>
        <v>0</v>
      </c>
      <c r="AL503" s="98" t="str">
        <f t="shared" si="538"/>
        <v>ok</v>
      </c>
    </row>
    <row r="504" spans="1:38" x14ac:dyDescent="0.25">
      <c r="A504" s="97">
        <v>912</v>
      </c>
      <c r="B504" s="97" t="s">
        <v>878</v>
      </c>
      <c r="C504" s="97" t="s">
        <v>881</v>
      </c>
      <c r="D504" s="97" t="s">
        <v>742</v>
      </c>
      <c r="F504" s="101">
        <f>'Jurisdictional Study'!F1417</f>
        <v>0</v>
      </c>
      <c r="H504" s="101">
        <f t="shared" si="513"/>
        <v>0</v>
      </c>
      <c r="I504" s="101">
        <f t="shared" si="514"/>
        <v>0</v>
      </c>
      <c r="J504" s="101">
        <f t="shared" si="515"/>
        <v>0</v>
      </c>
      <c r="K504" s="101">
        <f t="shared" si="516"/>
        <v>0</v>
      </c>
      <c r="L504" s="101">
        <f t="shared" si="517"/>
        <v>0</v>
      </c>
      <c r="M504" s="101">
        <f t="shared" si="518"/>
        <v>0</v>
      </c>
      <c r="N504" s="101"/>
      <c r="O504" s="101">
        <f t="shared" si="519"/>
        <v>0</v>
      </c>
      <c r="P504" s="101">
        <f t="shared" si="520"/>
        <v>0</v>
      </c>
      <c r="Q504" s="101">
        <f t="shared" si="521"/>
        <v>0</v>
      </c>
      <c r="R504" s="101"/>
      <c r="S504" s="101">
        <f t="shared" si="522"/>
        <v>0</v>
      </c>
      <c r="T504" s="101">
        <f t="shared" si="523"/>
        <v>0</v>
      </c>
      <c r="U504" s="101">
        <f t="shared" si="524"/>
        <v>0</v>
      </c>
      <c r="V504" s="101">
        <f t="shared" si="525"/>
        <v>0</v>
      </c>
      <c r="W504" s="101">
        <f t="shared" si="526"/>
        <v>0</v>
      </c>
      <c r="X504" s="101">
        <f t="shared" si="527"/>
        <v>0</v>
      </c>
      <c r="Y504" s="101">
        <f t="shared" si="528"/>
        <v>0</v>
      </c>
      <c r="Z504" s="101">
        <f t="shared" si="529"/>
        <v>0</v>
      </c>
      <c r="AA504" s="101">
        <f t="shared" si="530"/>
        <v>0</v>
      </c>
      <c r="AB504" s="101">
        <f t="shared" si="531"/>
        <v>0</v>
      </c>
      <c r="AC504" s="101">
        <f t="shared" si="532"/>
        <v>0</v>
      </c>
      <c r="AD504" s="101">
        <f t="shared" si="533"/>
        <v>0</v>
      </c>
      <c r="AE504" s="101"/>
      <c r="AF504" s="101">
        <f t="shared" si="534"/>
        <v>0</v>
      </c>
      <c r="AG504" s="101"/>
      <c r="AH504" s="101">
        <f t="shared" si="535"/>
        <v>0</v>
      </c>
      <c r="AI504" s="101"/>
      <c r="AJ504" s="101">
        <f t="shared" si="536"/>
        <v>0</v>
      </c>
      <c r="AK504" s="101">
        <f t="shared" si="537"/>
        <v>0</v>
      </c>
      <c r="AL504" s="98" t="str">
        <f t="shared" si="538"/>
        <v>ok</v>
      </c>
    </row>
    <row r="505" spans="1:38" x14ac:dyDescent="0.25">
      <c r="A505" s="97">
        <v>913</v>
      </c>
      <c r="B505" s="97" t="s">
        <v>523</v>
      </c>
      <c r="C505" s="97" t="s">
        <v>882</v>
      </c>
      <c r="D505" s="97" t="s">
        <v>742</v>
      </c>
      <c r="F505" s="101">
        <f>'Jurisdictional Study'!F1418</f>
        <v>0</v>
      </c>
      <c r="H505" s="101">
        <f t="shared" si="513"/>
        <v>0</v>
      </c>
      <c r="I505" s="101">
        <f t="shared" si="514"/>
        <v>0</v>
      </c>
      <c r="J505" s="101">
        <f t="shared" si="515"/>
        <v>0</v>
      </c>
      <c r="K505" s="101">
        <f t="shared" si="516"/>
        <v>0</v>
      </c>
      <c r="L505" s="101">
        <f t="shared" si="517"/>
        <v>0</v>
      </c>
      <c r="M505" s="101">
        <f t="shared" si="518"/>
        <v>0</v>
      </c>
      <c r="N505" s="101"/>
      <c r="O505" s="101">
        <f t="shared" si="519"/>
        <v>0</v>
      </c>
      <c r="P505" s="101">
        <f t="shared" si="520"/>
        <v>0</v>
      </c>
      <c r="Q505" s="101">
        <f t="shared" si="521"/>
        <v>0</v>
      </c>
      <c r="R505" s="101"/>
      <c r="S505" s="101">
        <f t="shared" si="522"/>
        <v>0</v>
      </c>
      <c r="T505" s="101">
        <f t="shared" si="523"/>
        <v>0</v>
      </c>
      <c r="U505" s="101">
        <f t="shared" si="524"/>
        <v>0</v>
      </c>
      <c r="V505" s="101">
        <f t="shared" si="525"/>
        <v>0</v>
      </c>
      <c r="W505" s="101">
        <f t="shared" si="526"/>
        <v>0</v>
      </c>
      <c r="X505" s="101">
        <f t="shared" si="527"/>
        <v>0</v>
      </c>
      <c r="Y505" s="101">
        <f t="shared" si="528"/>
        <v>0</v>
      </c>
      <c r="Z505" s="101">
        <f t="shared" si="529"/>
        <v>0</v>
      </c>
      <c r="AA505" s="101">
        <f t="shared" si="530"/>
        <v>0</v>
      </c>
      <c r="AB505" s="101">
        <f t="shared" si="531"/>
        <v>0</v>
      </c>
      <c r="AC505" s="101">
        <f t="shared" si="532"/>
        <v>0</v>
      </c>
      <c r="AD505" s="101">
        <f t="shared" si="533"/>
        <v>0</v>
      </c>
      <c r="AE505" s="101"/>
      <c r="AF505" s="101">
        <f t="shared" si="534"/>
        <v>0</v>
      </c>
      <c r="AG505" s="101"/>
      <c r="AH505" s="101">
        <f t="shared" si="535"/>
        <v>0</v>
      </c>
      <c r="AI505" s="101"/>
      <c r="AJ505" s="101">
        <f t="shared" si="536"/>
        <v>0</v>
      </c>
      <c r="AK505" s="101">
        <f t="shared" si="537"/>
        <v>0</v>
      </c>
      <c r="AL505" s="98" t="str">
        <f t="shared" si="538"/>
        <v>ok</v>
      </c>
    </row>
    <row r="506" spans="1:38" x14ac:dyDescent="0.25">
      <c r="A506" s="97">
        <v>916</v>
      </c>
      <c r="B506" s="97" t="s">
        <v>888</v>
      </c>
      <c r="C506" s="97" t="s">
        <v>890</v>
      </c>
      <c r="D506" s="97" t="s">
        <v>742</v>
      </c>
      <c r="F506" s="101">
        <f>'Jurisdictional Study'!F1418</f>
        <v>0</v>
      </c>
      <c r="H506" s="101">
        <f t="shared" si="513"/>
        <v>0</v>
      </c>
      <c r="I506" s="101">
        <f t="shared" si="514"/>
        <v>0</v>
      </c>
      <c r="J506" s="101">
        <f t="shared" si="515"/>
        <v>0</v>
      </c>
      <c r="K506" s="101">
        <f t="shared" si="516"/>
        <v>0</v>
      </c>
      <c r="L506" s="101">
        <f t="shared" si="517"/>
        <v>0</v>
      </c>
      <c r="M506" s="101">
        <f t="shared" si="518"/>
        <v>0</v>
      </c>
      <c r="N506" s="101"/>
      <c r="O506" s="101">
        <f t="shared" si="519"/>
        <v>0</v>
      </c>
      <c r="P506" s="101">
        <f t="shared" si="520"/>
        <v>0</v>
      </c>
      <c r="Q506" s="101">
        <f t="shared" si="521"/>
        <v>0</v>
      </c>
      <c r="R506" s="101"/>
      <c r="S506" s="101">
        <f t="shared" si="522"/>
        <v>0</v>
      </c>
      <c r="T506" s="101">
        <f t="shared" si="523"/>
        <v>0</v>
      </c>
      <c r="U506" s="101">
        <f t="shared" si="524"/>
        <v>0</v>
      </c>
      <c r="V506" s="101">
        <f t="shared" si="525"/>
        <v>0</v>
      </c>
      <c r="W506" s="101">
        <f t="shared" si="526"/>
        <v>0</v>
      </c>
      <c r="X506" s="101">
        <f t="shared" si="527"/>
        <v>0</v>
      </c>
      <c r="Y506" s="101">
        <f t="shared" si="528"/>
        <v>0</v>
      </c>
      <c r="Z506" s="101">
        <f t="shared" si="529"/>
        <v>0</v>
      </c>
      <c r="AA506" s="101">
        <f t="shared" si="530"/>
        <v>0</v>
      </c>
      <c r="AB506" s="101">
        <f t="shared" si="531"/>
        <v>0</v>
      </c>
      <c r="AC506" s="101">
        <f t="shared" si="532"/>
        <v>0</v>
      </c>
      <c r="AD506" s="101">
        <f t="shared" si="533"/>
        <v>0</v>
      </c>
      <c r="AE506" s="101"/>
      <c r="AF506" s="101">
        <f t="shared" si="534"/>
        <v>0</v>
      </c>
      <c r="AG506" s="101"/>
      <c r="AH506" s="101">
        <f t="shared" si="535"/>
        <v>0</v>
      </c>
      <c r="AI506" s="101"/>
      <c r="AJ506" s="101">
        <f t="shared" si="536"/>
        <v>0</v>
      </c>
      <c r="AK506" s="101">
        <f t="shared" si="537"/>
        <v>0</v>
      </c>
      <c r="AL506" s="98" t="str">
        <f t="shared" si="538"/>
        <v>ok</v>
      </c>
    </row>
    <row r="507" spans="1:38" x14ac:dyDescent="0.25">
      <c r="F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  <c r="AC507" s="101"/>
      <c r="AD507" s="101"/>
      <c r="AE507" s="101"/>
      <c r="AF507" s="101"/>
      <c r="AG507" s="101"/>
      <c r="AH507" s="101"/>
      <c r="AI507" s="101"/>
      <c r="AJ507" s="101"/>
      <c r="AK507" s="101"/>
      <c r="AL507" s="98"/>
    </row>
    <row r="508" spans="1:38" x14ac:dyDescent="0.25">
      <c r="A508" s="97" t="s">
        <v>1068</v>
      </c>
      <c r="C508" s="97" t="s">
        <v>1041</v>
      </c>
      <c r="F508" s="100">
        <f t="shared" ref="F508:M508" si="539">SUM(F497:F507)</f>
        <v>2200274.5897169644</v>
      </c>
      <c r="G508" s="100">
        <f t="shared" si="539"/>
        <v>0</v>
      </c>
      <c r="H508" s="100">
        <f t="shared" si="539"/>
        <v>0</v>
      </c>
      <c r="I508" s="100">
        <f t="shared" si="539"/>
        <v>0</v>
      </c>
      <c r="J508" s="100">
        <f t="shared" si="539"/>
        <v>0</v>
      </c>
      <c r="K508" s="100">
        <f t="shared" si="539"/>
        <v>0</v>
      </c>
      <c r="L508" s="100">
        <f t="shared" si="539"/>
        <v>0</v>
      </c>
      <c r="M508" s="100">
        <f t="shared" si="539"/>
        <v>0</v>
      </c>
      <c r="N508" s="101"/>
      <c r="O508" s="100">
        <f>SUM(O497:O507)</f>
        <v>0</v>
      </c>
      <c r="P508" s="100">
        <f>SUM(P497:P507)</f>
        <v>0</v>
      </c>
      <c r="Q508" s="100">
        <f>SUM(Q497:Q507)</f>
        <v>0</v>
      </c>
      <c r="R508" s="101"/>
      <c r="S508" s="100">
        <f t="shared" ref="S508:AD508" si="540">SUM(S497:S507)</f>
        <v>0</v>
      </c>
      <c r="T508" s="100">
        <f t="shared" si="540"/>
        <v>0</v>
      </c>
      <c r="U508" s="100">
        <f t="shared" si="540"/>
        <v>0</v>
      </c>
      <c r="V508" s="100">
        <f t="shared" si="540"/>
        <v>0</v>
      </c>
      <c r="W508" s="100">
        <f t="shared" si="540"/>
        <v>0</v>
      </c>
      <c r="X508" s="100">
        <f t="shared" si="540"/>
        <v>0</v>
      </c>
      <c r="Y508" s="100">
        <f t="shared" si="540"/>
        <v>0</v>
      </c>
      <c r="Z508" s="100">
        <f t="shared" si="540"/>
        <v>0</v>
      </c>
      <c r="AA508" s="100">
        <f t="shared" si="540"/>
        <v>0</v>
      </c>
      <c r="AB508" s="100">
        <f t="shared" si="540"/>
        <v>0</v>
      </c>
      <c r="AC508" s="100">
        <f t="shared" si="540"/>
        <v>0</v>
      </c>
      <c r="AD508" s="100">
        <f t="shared" si="540"/>
        <v>0</v>
      </c>
      <c r="AE508" s="101"/>
      <c r="AF508" s="100">
        <f>SUM(AF497:AF507)</f>
        <v>0</v>
      </c>
      <c r="AG508" s="101"/>
      <c r="AH508" s="100">
        <f>SUM(AH497:AH507)</f>
        <v>2200274.5897169644</v>
      </c>
      <c r="AI508" s="101"/>
      <c r="AJ508" s="100">
        <f>SUM(AJ497:AJ507)</f>
        <v>0</v>
      </c>
      <c r="AK508" s="101">
        <f>SUM(H508:AJ508)</f>
        <v>2200274.5897169644</v>
      </c>
      <c r="AL508" s="98" t="str">
        <f>IF(ABS(AK508-F508)&lt;1,"ok","err")</f>
        <v>ok</v>
      </c>
    </row>
    <row r="509" spans="1:38" x14ac:dyDescent="0.25">
      <c r="F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  <c r="AE509" s="101"/>
      <c r="AF509" s="101"/>
      <c r="AG509" s="101"/>
      <c r="AH509" s="101"/>
      <c r="AI509" s="101"/>
      <c r="AJ509" s="101"/>
      <c r="AL509" s="98"/>
    </row>
    <row r="510" spans="1:38" x14ac:dyDescent="0.25">
      <c r="A510" s="97" t="s">
        <v>308</v>
      </c>
      <c r="C510" s="97" t="s">
        <v>743</v>
      </c>
      <c r="F510" s="101">
        <f>F485+F494+F508</f>
        <v>100294209.56310987</v>
      </c>
      <c r="G510" s="101"/>
      <c r="H510" s="101">
        <f t="shared" ref="H510:M510" si="541">H485+H494+H508</f>
        <v>10927436.935938632</v>
      </c>
      <c r="I510" s="101">
        <f t="shared" si="541"/>
        <v>10301051.649205554</v>
      </c>
      <c r="J510" s="101">
        <f t="shared" si="541"/>
        <v>10579251.156002475</v>
      </c>
      <c r="K510" s="101">
        <f t="shared" si="541"/>
        <v>22783264.729198322</v>
      </c>
      <c r="L510" s="101">
        <f t="shared" si="541"/>
        <v>0</v>
      </c>
      <c r="M510" s="101">
        <f t="shared" si="541"/>
        <v>0</v>
      </c>
      <c r="N510" s="101"/>
      <c r="O510" s="101">
        <f>O485+O494+O508</f>
        <v>6741999.3400328392</v>
      </c>
      <c r="P510" s="101">
        <f>P485+P494+P508</f>
        <v>0</v>
      </c>
      <c r="Q510" s="101">
        <f>Q485+Q494+Q508</f>
        <v>0</v>
      </c>
      <c r="R510" s="101"/>
      <c r="S510" s="101">
        <f t="shared" ref="S510:AD510" si="542">S485+S494+S508</f>
        <v>0</v>
      </c>
      <c r="T510" s="101">
        <f t="shared" si="542"/>
        <v>2364157.6911235116</v>
      </c>
      <c r="U510" s="101">
        <f t="shared" si="542"/>
        <v>0</v>
      </c>
      <c r="V510" s="101">
        <f t="shared" si="542"/>
        <v>2823475.9405773715</v>
      </c>
      <c r="W510" s="101">
        <f t="shared" si="542"/>
        <v>4478897.6535144858</v>
      </c>
      <c r="X510" s="101">
        <f t="shared" si="542"/>
        <v>1436859.1246300009</v>
      </c>
      <c r="Y510" s="101">
        <f t="shared" si="542"/>
        <v>2118227.3894455666</v>
      </c>
      <c r="Z510" s="101">
        <f t="shared" si="542"/>
        <v>369799.43338242033</v>
      </c>
      <c r="AA510" s="101">
        <f t="shared" si="542"/>
        <v>329076.905193354</v>
      </c>
      <c r="AB510" s="101">
        <f t="shared" si="542"/>
        <v>204098.54165836229</v>
      </c>
      <c r="AC510" s="101">
        <f t="shared" si="542"/>
        <v>6388719.5122327032</v>
      </c>
      <c r="AD510" s="101">
        <f t="shared" si="542"/>
        <v>241551.32076187784</v>
      </c>
      <c r="AE510" s="101"/>
      <c r="AF510" s="101">
        <f>AF485+AF494+AF508</f>
        <v>16006067.650495432</v>
      </c>
      <c r="AG510" s="101"/>
      <c r="AH510" s="101">
        <f>AH485+AH494+AH508</f>
        <v>2200274.5897169644</v>
      </c>
      <c r="AI510" s="101"/>
      <c r="AJ510" s="101">
        <f>AJ485+AJ494+AJ508</f>
        <v>0</v>
      </c>
      <c r="AK510" s="101">
        <f>SUM(H510:AJ510)</f>
        <v>100294209.5631099</v>
      </c>
      <c r="AL510" s="98" t="str">
        <f>IF(ABS(AK510-F510)&lt;1,"ok","err")</f>
        <v>ok</v>
      </c>
    </row>
    <row r="511" spans="1:38" x14ac:dyDescent="0.25">
      <c r="F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1"/>
      <c r="AD511" s="101"/>
      <c r="AE511" s="101"/>
      <c r="AF511" s="101"/>
      <c r="AG511" s="101"/>
      <c r="AH511" s="101"/>
      <c r="AI511" s="101"/>
      <c r="AJ511" s="101"/>
      <c r="AL511" s="98"/>
    </row>
    <row r="512" spans="1:38" x14ac:dyDescent="0.25">
      <c r="F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1"/>
      <c r="AD512" s="101"/>
      <c r="AE512" s="101"/>
      <c r="AF512" s="101"/>
      <c r="AG512" s="101"/>
      <c r="AH512" s="101"/>
      <c r="AI512" s="101"/>
      <c r="AJ512" s="101"/>
      <c r="AL512" s="98"/>
    </row>
    <row r="513" spans="1:38" x14ac:dyDescent="0.25">
      <c r="F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  <c r="AC513" s="101"/>
      <c r="AD513" s="101"/>
      <c r="AE513" s="101"/>
      <c r="AF513" s="101"/>
      <c r="AG513" s="101"/>
      <c r="AH513" s="101"/>
      <c r="AI513" s="101"/>
      <c r="AJ513" s="101"/>
      <c r="AL513" s="98"/>
    </row>
    <row r="514" spans="1:38" x14ac:dyDescent="0.25">
      <c r="F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  <c r="AC514" s="101"/>
      <c r="AD514" s="101"/>
      <c r="AE514" s="101"/>
      <c r="AF514" s="101"/>
      <c r="AG514" s="101"/>
      <c r="AH514" s="101"/>
      <c r="AI514" s="101"/>
      <c r="AJ514" s="101"/>
      <c r="AL514" s="98"/>
    </row>
    <row r="515" spans="1:38" x14ac:dyDescent="0.25">
      <c r="F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101"/>
      <c r="AC515" s="101"/>
      <c r="AD515" s="101"/>
      <c r="AE515" s="101"/>
      <c r="AF515" s="101"/>
      <c r="AG515" s="101"/>
      <c r="AH515" s="101"/>
      <c r="AI515" s="101"/>
      <c r="AJ515" s="101"/>
      <c r="AL515" s="98"/>
    </row>
    <row r="516" spans="1:38" x14ac:dyDescent="0.25">
      <c r="A516" s="23" t="s">
        <v>999</v>
      </c>
      <c r="F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1"/>
      <c r="AD516" s="101"/>
      <c r="AE516" s="101"/>
      <c r="AF516" s="101"/>
      <c r="AG516" s="101"/>
      <c r="AH516" s="101"/>
      <c r="AI516" s="101"/>
      <c r="AJ516" s="101"/>
      <c r="AL516" s="98"/>
    </row>
    <row r="517" spans="1:38" x14ac:dyDescent="0.25">
      <c r="F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101"/>
      <c r="AC517" s="101"/>
      <c r="AD517" s="101"/>
      <c r="AE517" s="101"/>
      <c r="AF517" s="101"/>
      <c r="AG517" s="101"/>
      <c r="AH517" s="101"/>
      <c r="AI517" s="101"/>
      <c r="AJ517" s="101"/>
      <c r="AL517" s="98"/>
    </row>
    <row r="518" spans="1:38" x14ac:dyDescent="0.25">
      <c r="A518" s="24" t="s">
        <v>1243</v>
      </c>
      <c r="F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101"/>
      <c r="AC518" s="101"/>
      <c r="AD518" s="101"/>
      <c r="AE518" s="101"/>
      <c r="AF518" s="101"/>
      <c r="AG518" s="101"/>
      <c r="AH518" s="101"/>
      <c r="AI518" s="101"/>
      <c r="AJ518" s="101"/>
      <c r="AL518" s="98"/>
    </row>
    <row r="519" spans="1:38" x14ac:dyDescent="0.25">
      <c r="A519" s="97">
        <v>920</v>
      </c>
      <c r="B519" s="97" t="s">
        <v>1244</v>
      </c>
      <c r="C519" s="97" t="s">
        <v>1043</v>
      </c>
      <c r="D519" s="97" t="s">
        <v>743</v>
      </c>
      <c r="F519" s="100">
        <f>'Jurisdictional Study'!F1425</f>
        <v>33809236.309138604</v>
      </c>
      <c r="H519" s="101">
        <f t="shared" ref="H519:H530" si="543">IF(VLOOKUP($D519,$C$5:$AJ$644,6,)=0,0,((VLOOKUP($D519,$C$5:$AJ$644,6,)/VLOOKUP($D519,$C$5:$AJ$644,4,))*$F519))</f>
        <v>3683645.3393441848</v>
      </c>
      <c r="I519" s="101">
        <f t="shared" ref="I519:I530" si="544">IF(VLOOKUP($D519,$C$5:$AJ$644,7,)=0,0,((VLOOKUP($D519,$C$5:$AJ$644,7,)/VLOOKUP($D519,$C$5:$AJ$644,4,))*$F519))</f>
        <v>3472490.4952910976</v>
      </c>
      <c r="J519" s="101">
        <f t="shared" ref="J519:J530" si="545">IF(VLOOKUP($D519,$C$5:$AJ$644,8,)=0,0,((VLOOKUP($D519,$C$5:$AJ$644,8,)/VLOOKUP($D519,$C$5:$AJ$644,4,))*$F519))</f>
        <v>3566271.7106509367</v>
      </c>
      <c r="K519" s="101">
        <f t="shared" ref="K519:K530" si="546">IF(VLOOKUP($D519,$C$5:$AJ$644,9,)=0,0,((VLOOKUP($D519,$C$5:$AJ$644,9,)/VLOOKUP($D519,$C$5:$AJ$644,4,))*$F519))</f>
        <v>7680251.7760352762</v>
      </c>
      <c r="L519" s="101">
        <f t="shared" ref="L519:L530" si="547">IF(VLOOKUP($D519,$C$5:$AJ$644,10,)=0,0,((VLOOKUP($D519,$C$5:$AJ$644,10,)/VLOOKUP($D519,$C$5:$AJ$644,4,))*$F519))</f>
        <v>0</v>
      </c>
      <c r="M519" s="101">
        <f t="shared" ref="M519:M530" si="548">IF(VLOOKUP($D519,$C$5:$AJ$644,11,)=0,0,((VLOOKUP($D519,$C$5:$AJ$644,11,)/VLOOKUP($D519,$C$5:$AJ$644,4,))*$F519))</f>
        <v>0</v>
      </c>
      <c r="N519" s="101"/>
      <c r="O519" s="101">
        <f t="shared" ref="O519:O530" si="549">IF(VLOOKUP($D519,$C$5:$AJ$644,13,)=0,0,((VLOOKUP($D519,$C$5:$AJ$644,13,)/VLOOKUP($D519,$C$5:$AJ$644,4,))*$F519))</f>
        <v>2272731.8942555198</v>
      </c>
      <c r="P519" s="101">
        <f t="shared" ref="P519:P530" si="550">IF(VLOOKUP($D519,$C$5:$AJ$644,14,)=0,0,((VLOOKUP($D519,$C$5:$AJ$644,14,)/VLOOKUP($D519,$C$5:$AJ$644,4,))*$F519))</f>
        <v>0</v>
      </c>
      <c r="Q519" s="101">
        <f t="shared" ref="Q519:Q530" si="551">IF(VLOOKUP($D519,$C$5:$AJ$644,15,)=0,0,((VLOOKUP($D519,$C$5:$AJ$644,15,)/VLOOKUP($D519,$C$5:$AJ$644,4,))*$F519))</f>
        <v>0</v>
      </c>
      <c r="R519" s="101"/>
      <c r="S519" s="101">
        <f t="shared" ref="S519:S530" si="552">IF(VLOOKUP($D519,$C$5:$AJ$644,17,)=0,0,((VLOOKUP($D519,$C$5:$AJ$644,17,)/VLOOKUP($D519,$C$5:$AJ$644,4,))*$F519))</f>
        <v>0</v>
      </c>
      <c r="T519" s="101">
        <f t="shared" ref="T519:T530" si="553">IF(VLOOKUP($D519,$C$5:$AJ$644,18,)=0,0,((VLOOKUP($D519,$C$5:$AJ$644,18,)/VLOOKUP($D519,$C$5:$AJ$644,4,))*$F519))</f>
        <v>796958.93112320057</v>
      </c>
      <c r="U519" s="101">
        <f t="shared" ref="U519:U530" si="554">IF(VLOOKUP($D519,$C$5:$AJ$644,19,)=0,0,((VLOOKUP($D519,$C$5:$AJ$644,19,)/VLOOKUP($D519,$C$5:$AJ$644,4,))*$F519))</f>
        <v>0</v>
      </c>
      <c r="V519" s="101">
        <f t="shared" ref="V519:V530" si="555">IF(VLOOKUP($D519,$C$5:$AJ$644,20,)=0,0,((VLOOKUP($D519,$C$5:$AJ$644,20,)/VLOOKUP($D519,$C$5:$AJ$644,4,))*$F519))</f>
        <v>951795.37985271274</v>
      </c>
      <c r="W519" s="101">
        <f t="shared" ref="W519:W530" si="556">IF(VLOOKUP($D519,$C$5:$AJ$644,21,)=0,0,((VLOOKUP($D519,$C$5:$AJ$644,21,)/VLOOKUP($D519,$C$5:$AJ$644,4,))*$F519))</f>
        <v>1509839.0009926932</v>
      </c>
      <c r="X519" s="101">
        <f t="shared" ref="X519:X530" si="557">IF(VLOOKUP($D519,$C$5:$AJ$644,22,)=0,0,((VLOOKUP($D519,$C$5:$AJ$644,22,)/VLOOKUP($D519,$C$5:$AJ$644,4,))*$F519))</f>
        <v>484366.0456488214</v>
      </c>
      <c r="Y519" s="101">
        <f t="shared" ref="Y519:Y530" si="558">IF(VLOOKUP($D519,$C$5:$AJ$644,23,)=0,0,((VLOOKUP($D519,$C$5:$AJ$644,23,)/VLOOKUP($D519,$C$5:$AJ$644,4,))*$F519))</f>
        <v>714055.68355559919</v>
      </c>
      <c r="Z519" s="101">
        <f t="shared" ref="Z519:Z530" si="559">IF(VLOOKUP($D519,$C$5:$AJ$644,24,)=0,0,((VLOOKUP($D519,$C$5:$AJ$644,24,)/VLOOKUP($D519,$C$5:$AJ$644,4,))*$F519))</f>
        <v>124659.60382632614</v>
      </c>
      <c r="AA519" s="101">
        <f t="shared" ref="AA519:AA530" si="560">IF(VLOOKUP($D519,$C$5:$AJ$644,25,)=0,0,((VLOOKUP($D519,$C$5:$AJ$644,25,)/VLOOKUP($D519,$C$5:$AJ$644,4,))*$F519))</f>
        <v>110932.0159162449</v>
      </c>
      <c r="AB519" s="101">
        <f t="shared" ref="AB519:AB530" si="561">IF(VLOOKUP($D519,$C$5:$AJ$644,26,)=0,0,((VLOOKUP($D519,$C$5:$AJ$644,26,)/VLOOKUP($D519,$C$5:$AJ$644,4,))*$F519))</f>
        <v>68801.736963050411</v>
      </c>
      <c r="AC519" s="101">
        <f t="shared" ref="AC519:AC530" si="562">IF(VLOOKUP($D519,$C$5:$AJ$644,27,)=0,0,((VLOOKUP($D519,$C$5:$AJ$644,27,)/VLOOKUP($D519,$C$5:$AJ$644,4,))*$F519))</f>
        <v>2153641.0590679632</v>
      </c>
      <c r="AD519" s="101">
        <f t="shared" ref="AD519:AD530" si="563">IF(VLOOKUP($D519,$C$5:$AJ$644,28,)=0,0,((VLOOKUP($D519,$C$5:$AJ$644,28,)/VLOOKUP($D519,$C$5:$AJ$644,4,))*$F519))</f>
        <v>81427.09055684827</v>
      </c>
      <c r="AE519" s="101"/>
      <c r="AF519" s="101">
        <f t="shared" ref="AF519:AF530" si="564">IF(VLOOKUP($D519,$C$5:$AJ$644,30,)=0,0,((VLOOKUP($D519,$C$5:$AJ$644,30,)/VLOOKUP($D519,$C$5:$AJ$644,4,))*$F519))</f>
        <v>5395654.7036261335</v>
      </c>
      <c r="AG519" s="101"/>
      <c r="AH519" s="101">
        <f t="shared" ref="AH519:AH530" si="565">IF(VLOOKUP($D519,$C$5:$AJ$644,32,)=0,0,((VLOOKUP($D519,$C$5:$AJ$644,32,)/VLOOKUP($D519,$C$5:$AJ$644,4,))*$F519))</f>
        <v>741713.84243199381</v>
      </c>
      <c r="AI519" s="101"/>
      <c r="AJ519" s="101">
        <f t="shared" ref="AJ519:AJ530" si="566">IF(VLOOKUP($D519,$C$5:$AJ$644,34,)=0,0,((VLOOKUP($D519,$C$5:$AJ$644,34,)/VLOOKUP($D519,$C$5:$AJ$644,4,))*$F519))</f>
        <v>0</v>
      </c>
      <c r="AK519" s="101">
        <f t="shared" ref="AK519:AK530" si="567">SUM(H519:AJ519)</f>
        <v>33809236.309138596</v>
      </c>
      <c r="AL519" s="98" t="str">
        <f t="shared" ref="AL519:AL530" si="568">IF(ABS(AK519-F519)&lt;1,"ok","err")</f>
        <v>ok</v>
      </c>
    </row>
    <row r="520" spans="1:38" x14ac:dyDescent="0.25">
      <c r="A520" s="97">
        <v>921</v>
      </c>
      <c r="B520" s="97" t="s">
        <v>1246</v>
      </c>
      <c r="C520" s="97" t="s">
        <v>1044</v>
      </c>
      <c r="D520" s="97" t="s">
        <v>743</v>
      </c>
      <c r="F520" s="101">
        <f>'Jurisdictional Study'!F1426</f>
        <v>0</v>
      </c>
      <c r="H520" s="101">
        <f t="shared" si="543"/>
        <v>0</v>
      </c>
      <c r="I520" s="101">
        <f t="shared" si="544"/>
        <v>0</v>
      </c>
      <c r="J520" s="101">
        <f t="shared" si="545"/>
        <v>0</v>
      </c>
      <c r="K520" s="101">
        <f t="shared" si="546"/>
        <v>0</v>
      </c>
      <c r="L520" s="101">
        <f t="shared" si="547"/>
        <v>0</v>
      </c>
      <c r="M520" s="101">
        <f t="shared" si="548"/>
        <v>0</v>
      </c>
      <c r="N520" s="101"/>
      <c r="O520" s="101">
        <f t="shared" si="549"/>
        <v>0</v>
      </c>
      <c r="P520" s="101">
        <f t="shared" si="550"/>
        <v>0</v>
      </c>
      <c r="Q520" s="101">
        <f t="shared" si="551"/>
        <v>0</v>
      </c>
      <c r="R520" s="101"/>
      <c r="S520" s="101">
        <f t="shared" si="552"/>
        <v>0</v>
      </c>
      <c r="T520" s="101">
        <f t="shared" si="553"/>
        <v>0</v>
      </c>
      <c r="U520" s="101">
        <f t="shared" si="554"/>
        <v>0</v>
      </c>
      <c r="V520" s="101">
        <f t="shared" si="555"/>
        <v>0</v>
      </c>
      <c r="W520" s="101">
        <f t="shared" si="556"/>
        <v>0</v>
      </c>
      <c r="X520" s="101">
        <f t="shared" si="557"/>
        <v>0</v>
      </c>
      <c r="Y520" s="101">
        <f t="shared" si="558"/>
        <v>0</v>
      </c>
      <c r="Z520" s="101">
        <f t="shared" si="559"/>
        <v>0</v>
      </c>
      <c r="AA520" s="101">
        <f t="shared" si="560"/>
        <v>0</v>
      </c>
      <c r="AB520" s="101">
        <f t="shared" si="561"/>
        <v>0</v>
      </c>
      <c r="AC520" s="101">
        <f t="shared" si="562"/>
        <v>0</v>
      </c>
      <c r="AD520" s="101">
        <f t="shared" si="563"/>
        <v>0</v>
      </c>
      <c r="AE520" s="101"/>
      <c r="AF520" s="101">
        <f t="shared" si="564"/>
        <v>0</v>
      </c>
      <c r="AG520" s="101"/>
      <c r="AH520" s="101">
        <f t="shared" si="565"/>
        <v>0</v>
      </c>
      <c r="AI520" s="101"/>
      <c r="AJ520" s="101">
        <f t="shared" si="566"/>
        <v>0</v>
      </c>
      <c r="AK520" s="101">
        <f t="shared" si="567"/>
        <v>0</v>
      </c>
      <c r="AL520" s="98" t="str">
        <f t="shared" si="568"/>
        <v>ok</v>
      </c>
    </row>
    <row r="521" spans="1:38" x14ac:dyDescent="0.25">
      <c r="A521" s="97">
        <v>922</v>
      </c>
      <c r="B521" s="97" t="s">
        <v>933</v>
      </c>
      <c r="C521" s="97" t="s">
        <v>1814</v>
      </c>
      <c r="D521" s="97" t="s">
        <v>743</v>
      </c>
      <c r="F521" s="101">
        <f>'Jurisdictional Study'!F1427</f>
        <v>-3161163.4421773665</v>
      </c>
      <c r="H521" s="101">
        <f t="shared" si="543"/>
        <v>-344420.82258848159</v>
      </c>
      <c r="I521" s="101">
        <f t="shared" si="544"/>
        <v>-324677.8456233716</v>
      </c>
      <c r="J521" s="101">
        <f t="shared" si="545"/>
        <v>-333446.38883587695</v>
      </c>
      <c r="K521" s="101">
        <f t="shared" si="546"/>
        <v>-718103.50636515394</v>
      </c>
      <c r="L521" s="101">
        <f t="shared" si="547"/>
        <v>0</v>
      </c>
      <c r="M521" s="101">
        <f t="shared" si="548"/>
        <v>0</v>
      </c>
      <c r="N521" s="101"/>
      <c r="O521" s="101">
        <f t="shared" si="549"/>
        <v>-212500.42184623698</v>
      </c>
      <c r="P521" s="101">
        <f t="shared" si="550"/>
        <v>0</v>
      </c>
      <c r="Q521" s="101">
        <f t="shared" si="551"/>
        <v>0</v>
      </c>
      <c r="R521" s="101"/>
      <c r="S521" s="101">
        <f t="shared" si="552"/>
        <v>0</v>
      </c>
      <c r="T521" s="101">
        <f t="shared" si="553"/>
        <v>-74515.656459901831</v>
      </c>
      <c r="U521" s="101">
        <f t="shared" si="554"/>
        <v>0</v>
      </c>
      <c r="V521" s="101">
        <f t="shared" si="555"/>
        <v>-88992.863716665641</v>
      </c>
      <c r="W521" s="101">
        <f t="shared" si="556"/>
        <v>-141169.93977239297</v>
      </c>
      <c r="X521" s="101">
        <f t="shared" si="557"/>
        <v>-45288.223080129035</v>
      </c>
      <c r="Y521" s="101">
        <f t="shared" si="558"/>
        <v>-66764.203186831481</v>
      </c>
      <c r="Z521" s="101">
        <f t="shared" si="559"/>
        <v>-11655.672394634345</v>
      </c>
      <c r="AA521" s="101">
        <f t="shared" si="560"/>
        <v>-10372.142987053636</v>
      </c>
      <c r="AB521" s="101">
        <f t="shared" si="561"/>
        <v>-6432.9620952458454</v>
      </c>
      <c r="AC521" s="101">
        <f t="shared" si="562"/>
        <v>-201365.42929417168</v>
      </c>
      <c r="AD521" s="101">
        <f t="shared" si="563"/>
        <v>-7613.4325992332006</v>
      </c>
      <c r="AE521" s="101"/>
      <c r="AF521" s="101">
        <f t="shared" si="564"/>
        <v>-504493.690415152</v>
      </c>
      <c r="AG521" s="101"/>
      <c r="AH521" s="101">
        <f t="shared" si="565"/>
        <v>-69350.24091683366</v>
      </c>
      <c r="AI521" s="101"/>
      <c r="AJ521" s="101">
        <f t="shared" si="566"/>
        <v>0</v>
      </c>
      <c r="AK521" s="101">
        <f>SUM(H521:AJ521)</f>
        <v>-3161163.442177366</v>
      </c>
      <c r="AL521" s="98" t="str">
        <f>IF(ABS(AK521-F521)&lt;1,"ok","err")</f>
        <v>ok</v>
      </c>
    </row>
    <row r="522" spans="1:38" x14ac:dyDescent="0.25">
      <c r="A522" s="97">
        <v>923</v>
      </c>
      <c r="B522" s="97" t="s">
        <v>1248</v>
      </c>
      <c r="C522" s="97" t="s">
        <v>1045</v>
      </c>
      <c r="D522" s="97" t="s">
        <v>743</v>
      </c>
      <c r="F522" s="101">
        <f>'Jurisdictional Study'!F1428</f>
        <v>0</v>
      </c>
      <c r="H522" s="101">
        <f t="shared" si="543"/>
        <v>0</v>
      </c>
      <c r="I522" s="101">
        <f t="shared" si="544"/>
        <v>0</v>
      </c>
      <c r="J522" s="101">
        <f t="shared" si="545"/>
        <v>0</v>
      </c>
      <c r="K522" s="101">
        <f t="shared" si="546"/>
        <v>0</v>
      </c>
      <c r="L522" s="101">
        <f t="shared" si="547"/>
        <v>0</v>
      </c>
      <c r="M522" s="101">
        <f t="shared" si="548"/>
        <v>0</v>
      </c>
      <c r="N522" s="101"/>
      <c r="O522" s="101">
        <f t="shared" si="549"/>
        <v>0</v>
      </c>
      <c r="P522" s="101">
        <f t="shared" si="550"/>
        <v>0</v>
      </c>
      <c r="Q522" s="101">
        <f t="shared" si="551"/>
        <v>0</v>
      </c>
      <c r="R522" s="101"/>
      <c r="S522" s="101">
        <f t="shared" si="552"/>
        <v>0</v>
      </c>
      <c r="T522" s="101">
        <f t="shared" si="553"/>
        <v>0</v>
      </c>
      <c r="U522" s="101">
        <f t="shared" si="554"/>
        <v>0</v>
      </c>
      <c r="V522" s="101">
        <f t="shared" si="555"/>
        <v>0</v>
      </c>
      <c r="W522" s="101">
        <f t="shared" si="556"/>
        <v>0</v>
      </c>
      <c r="X522" s="101">
        <f t="shared" si="557"/>
        <v>0</v>
      </c>
      <c r="Y522" s="101">
        <f t="shared" si="558"/>
        <v>0</v>
      </c>
      <c r="Z522" s="101">
        <f t="shared" si="559"/>
        <v>0</v>
      </c>
      <c r="AA522" s="101">
        <f t="shared" si="560"/>
        <v>0</v>
      </c>
      <c r="AB522" s="101">
        <f t="shared" si="561"/>
        <v>0</v>
      </c>
      <c r="AC522" s="101">
        <f t="shared" si="562"/>
        <v>0</v>
      </c>
      <c r="AD522" s="101">
        <f t="shared" si="563"/>
        <v>0</v>
      </c>
      <c r="AE522" s="101"/>
      <c r="AF522" s="101">
        <f t="shared" si="564"/>
        <v>0</v>
      </c>
      <c r="AG522" s="101"/>
      <c r="AH522" s="101">
        <f t="shared" si="565"/>
        <v>0</v>
      </c>
      <c r="AI522" s="101"/>
      <c r="AJ522" s="101">
        <f t="shared" si="566"/>
        <v>0</v>
      </c>
      <c r="AK522" s="101">
        <f t="shared" si="567"/>
        <v>0</v>
      </c>
      <c r="AL522" s="98" t="str">
        <f t="shared" si="568"/>
        <v>ok</v>
      </c>
    </row>
    <row r="523" spans="1:38" x14ac:dyDescent="0.25">
      <c r="A523" s="97">
        <v>924</v>
      </c>
      <c r="B523" s="97" t="s">
        <v>1250</v>
      </c>
      <c r="C523" s="97" t="s">
        <v>1046</v>
      </c>
      <c r="D523" s="97" t="s">
        <v>196</v>
      </c>
      <c r="F523" s="101">
        <f>'Jurisdictional Study'!F1429</f>
        <v>0</v>
      </c>
      <c r="H523" s="101">
        <f t="shared" si="543"/>
        <v>0</v>
      </c>
      <c r="I523" s="101">
        <f t="shared" si="544"/>
        <v>0</v>
      </c>
      <c r="J523" s="101">
        <f t="shared" si="545"/>
        <v>0</v>
      </c>
      <c r="K523" s="101">
        <f t="shared" si="546"/>
        <v>0</v>
      </c>
      <c r="L523" s="101">
        <f t="shared" si="547"/>
        <v>0</v>
      </c>
      <c r="M523" s="101">
        <f t="shared" si="548"/>
        <v>0</v>
      </c>
      <c r="N523" s="101"/>
      <c r="O523" s="101">
        <f t="shared" si="549"/>
        <v>0</v>
      </c>
      <c r="P523" s="101">
        <f t="shared" si="550"/>
        <v>0</v>
      </c>
      <c r="Q523" s="101">
        <f t="shared" si="551"/>
        <v>0</v>
      </c>
      <c r="R523" s="101"/>
      <c r="S523" s="101">
        <f t="shared" si="552"/>
        <v>0</v>
      </c>
      <c r="T523" s="101">
        <f t="shared" si="553"/>
        <v>0</v>
      </c>
      <c r="U523" s="101">
        <f t="shared" si="554"/>
        <v>0</v>
      </c>
      <c r="V523" s="101">
        <f t="shared" si="555"/>
        <v>0</v>
      </c>
      <c r="W523" s="101">
        <f t="shared" si="556"/>
        <v>0</v>
      </c>
      <c r="X523" s="101">
        <f t="shared" si="557"/>
        <v>0</v>
      </c>
      <c r="Y523" s="101">
        <f t="shared" si="558"/>
        <v>0</v>
      </c>
      <c r="Z523" s="101">
        <f t="shared" si="559"/>
        <v>0</v>
      </c>
      <c r="AA523" s="101">
        <f t="shared" si="560"/>
        <v>0</v>
      </c>
      <c r="AB523" s="101">
        <f t="shared" si="561"/>
        <v>0</v>
      </c>
      <c r="AC523" s="101">
        <f t="shared" si="562"/>
        <v>0</v>
      </c>
      <c r="AD523" s="101">
        <f t="shared" si="563"/>
        <v>0</v>
      </c>
      <c r="AE523" s="101"/>
      <c r="AF523" s="101">
        <f t="shared" si="564"/>
        <v>0</v>
      </c>
      <c r="AG523" s="101"/>
      <c r="AH523" s="101">
        <f t="shared" si="565"/>
        <v>0</v>
      </c>
      <c r="AI523" s="101"/>
      <c r="AJ523" s="101">
        <f t="shared" si="566"/>
        <v>0</v>
      </c>
      <c r="AK523" s="101">
        <f t="shared" si="567"/>
        <v>0</v>
      </c>
      <c r="AL523" s="98" t="str">
        <f t="shared" si="568"/>
        <v>ok</v>
      </c>
    </row>
    <row r="524" spans="1:38" x14ac:dyDescent="0.25">
      <c r="A524" s="97">
        <v>925</v>
      </c>
      <c r="B524" s="97" t="s">
        <v>1226</v>
      </c>
      <c r="C524" s="97" t="s">
        <v>1047</v>
      </c>
      <c r="D524" s="97" t="s">
        <v>743</v>
      </c>
      <c r="F524" s="101">
        <f>'Jurisdictional Study'!F1430</f>
        <v>560277.08087133395</v>
      </c>
      <c r="H524" s="101">
        <f t="shared" si="543"/>
        <v>61044.326432632093</v>
      </c>
      <c r="I524" s="101">
        <f t="shared" si="544"/>
        <v>57545.128208922797</v>
      </c>
      <c r="J524" s="101">
        <f t="shared" si="545"/>
        <v>59099.243927537071</v>
      </c>
      <c r="K524" s="101">
        <f t="shared" si="546"/>
        <v>127274.95546152894</v>
      </c>
      <c r="L524" s="101">
        <f t="shared" si="547"/>
        <v>0</v>
      </c>
      <c r="M524" s="101">
        <f t="shared" si="548"/>
        <v>0</v>
      </c>
      <c r="N524" s="101"/>
      <c r="O524" s="101">
        <f t="shared" si="549"/>
        <v>37663.068744693061</v>
      </c>
      <c r="P524" s="101">
        <f t="shared" si="550"/>
        <v>0</v>
      </c>
      <c r="Q524" s="101">
        <f t="shared" si="551"/>
        <v>0</v>
      </c>
      <c r="R524" s="101"/>
      <c r="S524" s="101">
        <f t="shared" si="552"/>
        <v>0</v>
      </c>
      <c r="T524" s="101">
        <f t="shared" si="553"/>
        <v>13206.977508195059</v>
      </c>
      <c r="U524" s="101">
        <f t="shared" si="554"/>
        <v>0</v>
      </c>
      <c r="V524" s="101">
        <f t="shared" si="555"/>
        <v>15772.883248077338</v>
      </c>
      <c r="W524" s="101">
        <f t="shared" si="556"/>
        <v>25020.623959885888</v>
      </c>
      <c r="X524" s="101">
        <f t="shared" si="557"/>
        <v>8026.7768147120023</v>
      </c>
      <c r="Y524" s="101">
        <f t="shared" si="558"/>
        <v>11833.128388468738</v>
      </c>
      <c r="Z524" s="101">
        <f t="shared" si="559"/>
        <v>2065.8236197873607</v>
      </c>
      <c r="AA524" s="101">
        <f t="shared" si="560"/>
        <v>1838.3339240326538</v>
      </c>
      <c r="AB524" s="101">
        <f t="shared" si="561"/>
        <v>1140.1628830674222</v>
      </c>
      <c r="AC524" s="101">
        <f t="shared" si="562"/>
        <v>35689.529180317331</v>
      </c>
      <c r="AD524" s="101">
        <f t="shared" si="563"/>
        <v>1349.3866641615091</v>
      </c>
      <c r="AE524" s="101"/>
      <c r="AF524" s="101">
        <f t="shared" si="564"/>
        <v>89415.260347664298</v>
      </c>
      <c r="AG524" s="101"/>
      <c r="AH524" s="101">
        <f t="shared" si="565"/>
        <v>12291.471557650391</v>
      </c>
      <c r="AI524" s="101"/>
      <c r="AJ524" s="101">
        <f t="shared" si="566"/>
        <v>0</v>
      </c>
      <c r="AK524" s="101">
        <f t="shared" si="567"/>
        <v>560277.08087133395</v>
      </c>
      <c r="AL524" s="98" t="str">
        <f t="shared" si="568"/>
        <v>ok</v>
      </c>
    </row>
    <row r="525" spans="1:38" x14ac:dyDescent="0.25">
      <c r="A525" s="97">
        <v>926</v>
      </c>
      <c r="B525" s="97" t="s">
        <v>1228</v>
      </c>
      <c r="C525" s="97" t="s">
        <v>1048</v>
      </c>
      <c r="D525" s="97" t="s">
        <v>743</v>
      </c>
      <c r="F525" s="101">
        <f>'Jurisdictional Study'!F1431</f>
        <v>39380961.947313868</v>
      </c>
      <c r="H525" s="101">
        <f t="shared" si="543"/>
        <v>4290706.1138468357</v>
      </c>
      <c r="I525" s="101">
        <f t="shared" si="544"/>
        <v>4044753.1794885411</v>
      </c>
      <c r="J525" s="101">
        <f t="shared" si="545"/>
        <v>4153989.437879282</v>
      </c>
      <c r="K525" s="101">
        <f t="shared" si="546"/>
        <v>8945948.9759631604</v>
      </c>
      <c r="L525" s="101">
        <f t="shared" si="547"/>
        <v>0</v>
      </c>
      <c r="M525" s="101">
        <f t="shared" si="548"/>
        <v>0</v>
      </c>
      <c r="N525" s="101"/>
      <c r="O525" s="101">
        <f t="shared" si="549"/>
        <v>2647275.6564433486</v>
      </c>
      <c r="P525" s="101">
        <f t="shared" si="550"/>
        <v>0</v>
      </c>
      <c r="Q525" s="101">
        <f t="shared" si="551"/>
        <v>0</v>
      </c>
      <c r="R525" s="101"/>
      <c r="S525" s="101">
        <f t="shared" si="552"/>
        <v>0</v>
      </c>
      <c r="T525" s="101">
        <f t="shared" si="553"/>
        <v>928296.90245476959</v>
      </c>
      <c r="U525" s="101">
        <f t="shared" si="554"/>
        <v>0</v>
      </c>
      <c r="V525" s="101">
        <f t="shared" si="555"/>
        <v>1108650.2307500306</v>
      </c>
      <c r="W525" s="101">
        <f t="shared" si="556"/>
        <v>1758658.83810549</v>
      </c>
      <c r="X525" s="101">
        <f t="shared" si="557"/>
        <v>564189.04697682348</v>
      </c>
      <c r="Y525" s="101">
        <f t="shared" si="558"/>
        <v>831731.28920292645</v>
      </c>
      <c r="Z525" s="101">
        <f t="shared" si="559"/>
        <v>145203.37193552096</v>
      </c>
      <c r="AA525" s="101">
        <f t="shared" si="560"/>
        <v>129213.49236024079</v>
      </c>
      <c r="AB525" s="101">
        <f t="shared" si="561"/>
        <v>80140.188925788199</v>
      </c>
      <c r="AC525" s="101">
        <f t="shared" si="562"/>
        <v>2508558.7802053806</v>
      </c>
      <c r="AD525" s="101">
        <f t="shared" si="563"/>
        <v>94846.187159600537</v>
      </c>
      <c r="AE525" s="101"/>
      <c r="AF525" s="101">
        <f t="shared" si="564"/>
        <v>6284852.7728179144</v>
      </c>
      <c r="AG525" s="101"/>
      <c r="AH525" s="101">
        <f t="shared" si="565"/>
        <v>863947.48279821477</v>
      </c>
      <c r="AI525" s="101"/>
      <c r="AJ525" s="101">
        <f t="shared" si="566"/>
        <v>0</v>
      </c>
      <c r="AK525" s="101">
        <f t="shared" si="567"/>
        <v>39380961.947313868</v>
      </c>
      <c r="AL525" s="98" t="str">
        <f t="shared" si="568"/>
        <v>ok</v>
      </c>
    </row>
    <row r="526" spans="1:38" x14ac:dyDescent="0.25">
      <c r="A526" s="97">
        <v>928</v>
      </c>
      <c r="B526" s="97" t="s">
        <v>575</v>
      </c>
      <c r="C526" s="97" t="s">
        <v>1049</v>
      </c>
      <c r="D526" s="97" t="s">
        <v>196</v>
      </c>
      <c r="F526" s="101">
        <f>'Jurisdictional Study'!F1432</f>
        <v>0</v>
      </c>
      <c r="H526" s="101">
        <f t="shared" si="543"/>
        <v>0</v>
      </c>
      <c r="I526" s="101">
        <f t="shared" si="544"/>
        <v>0</v>
      </c>
      <c r="J526" s="101">
        <f t="shared" si="545"/>
        <v>0</v>
      </c>
      <c r="K526" s="101">
        <f t="shared" si="546"/>
        <v>0</v>
      </c>
      <c r="L526" s="101">
        <f t="shared" si="547"/>
        <v>0</v>
      </c>
      <c r="M526" s="101">
        <f t="shared" si="548"/>
        <v>0</v>
      </c>
      <c r="N526" s="101"/>
      <c r="O526" s="101">
        <f t="shared" si="549"/>
        <v>0</v>
      </c>
      <c r="P526" s="101">
        <f t="shared" si="550"/>
        <v>0</v>
      </c>
      <c r="Q526" s="101">
        <f t="shared" si="551"/>
        <v>0</v>
      </c>
      <c r="R526" s="101"/>
      <c r="S526" s="101">
        <f t="shared" si="552"/>
        <v>0</v>
      </c>
      <c r="T526" s="101">
        <f t="shared" si="553"/>
        <v>0</v>
      </c>
      <c r="U526" s="101">
        <f t="shared" si="554"/>
        <v>0</v>
      </c>
      <c r="V526" s="101">
        <f t="shared" si="555"/>
        <v>0</v>
      </c>
      <c r="W526" s="101">
        <f t="shared" si="556"/>
        <v>0</v>
      </c>
      <c r="X526" s="101">
        <f t="shared" si="557"/>
        <v>0</v>
      </c>
      <c r="Y526" s="101">
        <f t="shared" si="558"/>
        <v>0</v>
      </c>
      <c r="Z526" s="101">
        <f t="shared" si="559"/>
        <v>0</v>
      </c>
      <c r="AA526" s="101">
        <f t="shared" si="560"/>
        <v>0</v>
      </c>
      <c r="AB526" s="101">
        <f t="shared" si="561"/>
        <v>0</v>
      </c>
      <c r="AC526" s="101">
        <f t="shared" si="562"/>
        <v>0</v>
      </c>
      <c r="AD526" s="101">
        <f t="shared" si="563"/>
        <v>0</v>
      </c>
      <c r="AE526" s="101"/>
      <c r="AF526" s="101">
        <f t="shared" si="564"/>
        <v>0</v>
      </c>
      <c r="AG526" s="101"/>
      <c r="AH526" s="101">
        <f t="shared" si="565"/>
        <v>0</v>
      </c>
      <c r="AI526" s="101"/>
      <c r="AJ526" s="101">
        <f t="shared" si="566"/>
        <v>0</v>
      </c>
      <c r="AK526" s="101">
        <f t="shared" si="567"/>
        <v>0</v>
      </c>
      <c r="AL526" s="98" t="str">
        <f t="shared" si="568"/>
        <v>ok</v>
      </c>
    </row>
    <row r="527" spans="1:38" x14ac:dyDescent="0.25">
      <c r="A527" s="97">
        <v>929</v>
      </c>
      <c r="B527" s="97" t="s">
        <v>488</v>
      </c>
      <c r="C527" s="97" t="s">
        <v>1050</v>
      </c>
      <c r="D527" s="97" t="s">
        <v>743</v>
      </c>
      <c r="F527" s="101">
        <f>'Jurisdictional Study'!F1433</f>
        <v>0</v>
      </c>
      <c r="H527" s="101">
        <f t="shared" si="543"/>
        <v>0</v>
      </c>
      <c r="I527" s="101">
        <f t="shared" si="544"/>
        <v>0</v>
      </c>
      <c r="J527" s="101">
        <f t="shared" si="545"/>
        <v>0</v>
      </c>
      <c r="K527" s="101">
        <f t="shared" si="546"/>
        <v>0</v>
      </c>
      <c r="L527" s="101">
        <f t="shared" si="547"/>
        <v>0</v>
      </c>
      <c r="M527" s="101">
        <f t="shared" si="548"/>
        <v>0</v>
      </c>
      <c r="N527" s="101"/>
      <c r="O527" s="101">
        <f t="shared" si="549"/>
        <v>0</v>
      </c>
      <c r="P527" s="101">
        <f t="shared" si="550"/>
        <v>0</v>
      </c>
      <c r="Q527" s="101">
        <f t="shared" si="551"/>
        <v>0</v>
      </c>
      <c r="R527" s="101"/>
      <c r="S527" s="101">
        <f t="shared" si="552"/>
        <v>0</v>
      </c>
      <c r="T527" s="101">
        <f t="shared" si="553"/>
        <v>0</v>
      </c>
      <c r="U527" s="101">
        <f t="shared" si="554"/>
        <v>0</v>
      </c>
      <c r="V527" s="101">
        <f t="shared" si="555"/>
        <v>0</v>
      </c>
      <c r="W527" s="101">
        <f t="shared" si="556"/>
        <v>0</v>
      </c>
      <c r="X527" s="101">
        <f t="shared" si="557"/>
        <v>0</v>
      </c>
      <c r="Y527" s="101">
        <f t="shared" si="558"/>
        <v>0</v>
      </c>
      <c r="Z527" s="101">
        <f t="shared" si="559"/>
        <v>0</v>
      </c>
      <c r="AA527" s="101">
        <f t="shared" si="560"/>
        <v>0</v>
      </c>
      <c r="AB527" s="101">
        <f t="shared" si="561"/>
        <v>0</v>
      </c>
      <c r="AC527" s="101">
        <f t="shared" si="562"/>
        <v>0</v>
      </c>
      <c r="AD527" s="101">
        <f t="shared" si="563"/>
        <v>0</v>
      </c>
      <c r="AE527" s="101"/>
      <c r="AF527" s="101">
        <f t="shared" si="564"/>
        <v>0</v>
      </c>
      <c r="AG527" s="101"/>
      <c r="AH527" s="101">
        <f t="shared" si="565"/>
        <v>0</v>
      </c>
      <c r="AI527" s="101"/>
      <c r="AJ527" s="101">
        <f t="shared" si="566"/>
        <v>0</v>
      </c>
      <c r="AK527" s="101">
        <f t="shared" si="567"/>
        <v>0</v>
      </c>
      <c r="AL527" s="98" t="str">
        <f t="shared" si="568"/>
        <v>ok</v>
      </c>
    </row>
    <row r="528" spans="1:38" x14ac:dyDescent="0.25">
      <c r="A528" s="97">
        <v>930</v>
      </c>
      <c r="B528" s="97" t="s">
        <v>266</v>
      </c>
      <c r="C528" s="97" t="s">
        <v>1051</v>
      </c>
      <c r="D528" s="97" t="s">
        <v>743</v>
      </c>
      <c r="F528" s="101">
        <f>'Jurisdictional Study'!F1434</f>
        <v>0</v>
      </c>
      <c r="H528" s="101">
        <f t="shared" si="543"/>
        <v>0</v>
      </c>
      <c r="I528" s="101">
        <f t="shared" si="544"/>
        <v>0</v>
      </c>
      <c r="J528" s="101">
        <f t="shared" si="545"/>
        <v>0</v>
      </c>
      <c r="K528" s="101">
        <f t="shared" si="546"/>
        <v>0</v>
      </c>
      <c r="L528" s="101">
        <f t="shared" si="547"/>
        <v>0</v>
      </c>
      <c r="M528" s="101">
        <f t="shared" si="548"/>
        <v>0</v>
      </c>
      <c r="N528" s="101"/>
      <c r="O528" s="101">
        <f t="shared" si="549"/>
        <v>0</v>
      </c>
      <c r="P528" s="101">
        <f t="shared" si="550"/>
        <v>0</v>
      </c>
      <c r="Q528" s="101">
        <f t="shared" si="551"/>
        <v>0</v>
      </c>
      <c r="R528" s="101"/>
      <c r="S528" s="101">
        <f t="shared" si="552"/>
        <v>0</v>
      </c>
      <c r="T528" s="101">
        <f t="shared" si="553"/>
        <v>0</v>
      </c>
      <c r="U528" s="101">
        <f t="shared" si="554"/>
        <v>0</v>
      </c>
      <c r="V528" s="101">
        <f t="shared" si="555"/>
        <v>0</v>
      </c>
      <c r="W528" s="101">
        <f t="shared" si="556"/>
        <v>0</v>
      </c>
      <c r="X528" s="101">
        <f t="shared" si="557"/>
        <v>0</v>
      </c>
      <c r="Y528" s="101">
        <f t="shared" si="558"/>
        <v>0</v>
      </c>
      <c r="Z528" s="101">
        <f t="shared" si="559"/>
        <v>0</v>
      </c>
      <c r="AA528" s="101">
        <f t="shared" si="560"/>
        <v>0</v>
      </c>
      <c r="AB528" s="101">
        <f t="shared" si="561"/>
        <v>0</v>
      </c>
      <c r="AC528" s="101">
        <f t="shared" si="562"/>
        <v>0</v>
      </c>
      <c r="AD528" s="101">
        <f t="shared" si="563"/>
        <v>0</v>
      </c>
      <c r="AE528" s="101"/>
      <c r="AF528" s="101">
        <f t="shared" si="564"/>
        <v>0</v>
      </c>
      <c r="AG528" s="101"/>
      <c r="AH528" s="101">
        <f t="shared" si="565"/>
        <v>0</v>
      </c>
      <c r="AI528" s="101"/>
      <c r="AJ528" s="101">
        <f t="shared" si="566"/>
        <v>0</v>
      </c>
      <c r="AK528" s="101">
        <f t="shared" si="567"/>
        <v>0</v>
      </c>
      <c r="AL528" s="98" t="str">
        <f t="shared" si="568"/>
        <v>ok</v>
      </c>
    </row>
    <row r="529" spans="1:38" x14ac:dyDescent="0.25">
      <c r="A529" s="97">
        <v>931</v>
      </c>
      <c r="B529" s="97" t="s">
        <v>268</v>
      </c>
      <c r="C529" s="97" t="s">
        <v>1052</v>
      </c>
      <c r="D529" s="97" t="s">
        <v>186</v>
      </c>
      <c r="F529" s="101">
        <f>'Jurisdictional Study'!F1435</f>
        <v>0</v>
      </c>
      <c r="H529" s="101">
        <f t="shared" si="543"/>
        <v>0</v>
      </c>
      <c r="I529" s="101">
        <f t="shared" si="544"/>
        <v>0</v>
      </c>
      <c r="J529" s="101">
        <f t="shared" si="545"/>
        <v>0</v>
      </c>
      <c r="K529" s="101">
        <f t="shared" si="546"/>
        <v>0</v>
      </c>
      <c r="L529" s="101">
        <f t="shared" si="547"/>
        <v>0</v>
      </c>
      <c r="M529" s="101">
        <f t="shared" si="548"/>
        <v>0</v>
      </c>
      <c r="N529" s="101"/>
      <c r="O529" s="101">
        <f t="shared" si="549"/>
        <v>0</v>
      </c>
      <c r="P529" s="101">
        <f t="shared" si="550"/>
        <v>0</v>
      </c>
      <c r="Q529" s="101">
        <f t="shared" si="551"/>
        <v>0</v>
      </c>
      <c r="R529" s="101"/>
      <c r="S529" s="101">
        <f t="shared" si="552"/>
        <v>0</v>
      </c>
      <c r="T529" s="101">
        <f t="shared" si="553"/>
        <v>0</v>
      </c>
      <c r="U529" s="101">
        <f t="shared" si="554"/>
        <v>0</v>
      </c>
      <c r="V529" s="101">
        <f t="shared" si="555"/>
        <v>0</v>
      </c>
      <c r="W529" s="101">
        <f t="shared" si="556"/>
        <v>0</v>
      </c>
      <c r="X529" s="101">
        <f t="shared" si="557"/>
        <v>0</v>
      </c>
      <c r="Y529" s="101">
        <f t="shared" si="558"/>
        <v>0</v>
      </c>
      <c r="Z529" s="101">
        <f t="shared" si="559"/>
        <v>0</v>
      </c>
      <c r="AA529" s="101">
        <f t="shared" si="560"/>
        <v>0</v>
      </c>
      <c r="AB529" s="101">
        <f t="shared" si="561"/>
        <v>0</v>
      </c>
      <c r="AC529" s="101">
        <f t="shared" si="562"/>
        <v>0</v>
      </c>
      <c r="AD529" s="101">
        <f t="shared" si="563"/>
        <v>0</v>
      </c>
      <c r="AE529" s="101"/>
      <c r="AF529" s="101">
        <f t="shared" si="564"/>
        <v>0</v>
      </c>
      <c r="AG529" s="101"/>
      <c r="AH529" s="101">
        <f t="shared" si="565"/>
        <v>0</v>
      </c>
      <c r="AI529" s="101"/>
      <c r="AJ529" s="101">
        <f t="shared" si="566"/>
        <v>0</v>
      </c>
      <c r="AK529" s="101">
        <f t="shared" si="567"/>
        <v>0</v>
      </c>
      <c r="AL529" s="98" t="str">
        <f t="shared" si="568"/>
        <v>ok</v>
      </c>
    </row>
    <row r="530" spans="1:38" x14ac:dyDescent="0.25">
      <c r="A530" s="97">
        <v>935</v>
      </c>
      <c r="B530" s="97" t="s">
        <v>270</v>
      </c>
      <c r="C530" s="97" t="s">
        <v>1815</v>
      </c>
      <c r="D530" s="97" t="s">
        <v>186</v>
      </c>
      <c r="F530" s="101">
        <f>'Jurisdictional Study'!F1436</f>
        <v>593047.4349612738</v>
      </c>
      <c r="H530" s="101">
        <f t="shared" si="543"/>
        <v>124256.44586772198</v>
      </c>
      <c r="I530" s="101">
        <f t="shared" si="544"/>
        <v>130166.49177401904</v>
      </c>
      <c r="J530" s="101">
        <f t="shared" si="545"/>
        <v>106996.41731414736</v>
      </c>
      <c r="K530" s="101">
        <f t="shared" si="546"/>
        <v>0</v>
      </c>
      <c r="L530" s="101">
        <f t="shared" si="547"/>
        <v>0</v>
      </c>
      <c r="M530" s="101">
        <f t="shared" si="548"/>
        <v>0</v>
      </c>
      <c r="N530" s="101"/>
      <c r="O530" s="101">
        <f t="shared" si="549"/>
        <v>78121.849717167759</v>
      </c>
      <c r="P530" s="101">
        <f t="shared" si="550"/>
        <v>0</v>
      </c>
      <c r="Q530" s="101">
        <f t="shared" si="551"/>
        <v>0</v>
      </c>
      <c r="R530" s="101"/>
      <c r="S530" s="101">
        <f t="shared" si="552"/>
        <v>0</v>
      </c>
      <c r="T530" s="101">
        <f t="shared" si="553"/>
        <v>18585.505573228169</v>
      </c>
      <c r="U530" s="101">
        <f t="shared" si="554"/>
        <v>0</v>
      </c>
      <c r="V530" s="101">
        <f t="shared" si="555"/>
        <v>20252.475791684134</v>
      </c>
      <c r="W530" s="101">
        <f t="shared" si="556"/>
        <v>37556.392867202361</v>
      </c>
      <c r="X530" s="101">
        <f t="shared" si="557"/>
        <v>9323.3546603897921</v>
      </c>
      <c r="Y530" s="101">
        <f t="shared" si="558"/>
        <v>14252.343083351605</v>
      </c>
      <c r="Z530" s="101">
        <f t="shared" si="559"/>
        <v>14473.086476151953</v>
      </c>
      <c r="AA530" s="101">
        <f t="shared" si="560"/>
        <v>12879.301795042409</v>
      </c>
      <c r="AB530" s="101">
        <f t="shared" si="561"/>
        <v>8622.3361435006063</v>
      </c>
      <c r="AC530" s="101">
        <f t="shared" si="562"/>
        <v>7356.8696386935953</v>
      </c>
      <c r="AD530" s="101">
        <f t="shared" si="563"/>
        <v>10204.56425897306</v>
      </c>
      <c r="AE530" s="101"/>
      <c r="AF530" s="101">
        <f t="shared" si="564"/>
        <v>0</v>
      </c>
      <c r="AG530" s="101"/>
      <c r="AH530" s="101">
        <f t="shared" si="565"/>
        <v>0</v>
      </c>
      <c r="AI530" s="101"/>
      <c r="AJ530" s="101">
        <f t="shared" si="566"/>
        <v>0</v>
      </c>
      <c r="AK530" s="101">
        <f t="shared" si="567"/>
        <v>593047.43496127392</v>
      </c>
      <c r="AL530" s="98" t="str">
        <f t="shared" si="568"/>
        <v>ok</v>
      </c>
    </row>
    <row r="531" spans="1:38" x14ac:dyDescent="0.25">
      <c r="F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101"/>
      <c r="AC531" s="101"/>
      <c r="AD531" s="101"/>
      <c r="AE531" s="101"/>
      <c r="AF531" s="101"/>
      <c r="AG531" s="101"/>
      <c r="AH531" s="101"/>
      <c r="AI531" s="101"/>
      <c r="AJ531" s="101"/>
      <c r="AK531" s="101"/>
      <c r="AL531" s="98"/>
    </row>
    <row r="532" spans="1:38" x14ac:dyDescent="0.25">
      <c r="A532" s="97" t="s">
        <v>271</v>
      </c>
      <c r="C532" s="97" t="s">
        <v>1053</v>
      </c>
      <c r="F532" s="100">
        <f t="shared" ref="F532:M532" si="569">SUM(F519:F531)</f>
        <v>71182359.330107704</v>
      </c>
      <c r="G532" s="100">
        <f t="shared" si="569"/>
        <v>0</v>
      </c>
      <c r="H532" s="100">
        <f t="shared" si="569"/>
        <v>7815231.4029028928</v>
      </c>
      <c r="I532" s="100">
        <f t="shared" si="569"/>
        <v>7380277.4491392085</v>
      </c>
      <c r="J532" s="100">
        <f t="shared" si="569"/>
        <v>7552910.4209360257</v>
      </c>
      <c r="K532" s="100">
        <f t="shared" si="569"/>
        <v>16035372.201094812</v>
      </c>
      <c r="L532" s="100">
        <f t="shared" si="569"/>
        <v>0</v>
      </c>
      <c r="M532" s="100">
        <f t="shared" si="569"/>
        <v>0</v>
      </c>
      <c r="N532" s="101"/>
      <c r="O532" s="100">
        <f>SUM(O519:O531)</f>
        <v>4823292.047314493</v>
      </c>
      <c r="P532" s="100">
        <f>SUM(P519:P531)</f>
        <v>0</v>
      </c>
      <c r="Q532" s="100">
        <f>SUM(Q519:Q531)</f>
        <v>0</v>
      </c>
      <c r="R532" s="101"/>
      <c r="S532" s="100">
        <f t="shared" ref="S532:AD532" si="570">SUM(S519:S531)</f>
        <v>0</v>
      </c>
      <c r="T532" s="100">
        <f t="shared" si="570"/>
        <v>1682532.6601994915</v>
      </c>
      <c r="U532" s="100">
        <f t="shared" si="570"/>
        <v>0</v>
      </c>
      <c r="V532" s="100">
        <f t="shared" si="570"/>
        <v>2007478.1059258392</v>
      </c>
      <c r="W532" s="100">
        <f t="shared" si="570"/>
        <v>3189904.9161528787</v>
      </c>
      <c r="X532" s="100">
        <f t="shared" si="570"/>
        <v>1020617.0010206177</v>
      </c>
      <c r="Y532" s="100">
        <f t="shared" si="570"/>
        <v>1505108.2410435146</v>
      </c>
      <c r="Z532" s="100">
        <f t="shared" si="570"/>
        <v>274746.21346315206</v>
      </c>
      <c r="AA532" s="100">
        <f t="shared" si="570"/>
        <v>244491.00100850713</v>
      </c>
      <c r="AB532" s="100">
        <f t="shared" si="570"/>
        <v>152271.46282016081</v>
      </c>
      <c r="AC532" s="100">
        <f t="shared" si="570"/>
        <v>4503880.8087981828</v>
      </c>
      <c r="AD532" s="100">
        <f t="shared" si="570"/>
        <v>180213.79604035016</v>
      </c>
      <c r="AE532" s="101"/>
      <c r="AF532" s="100">
        <f>SUM(AF519:AF531)</f>
        <v>11265429.04637656</v>
      </c>
      <c r="AG532" s="101"/>
      <c r="AH532" s="100">
        <f>SUM(AH519:AH531)</f>
        <v>1548602.5558710252</v>
      </c>
      <c r="AI532" s="101"/>
      <c r="AJ532" s="100">
        <f>SUM(AJ519:AJ531)</f>
        <v>0</v>
      </c>
      <c r="AK532" s="101">
        <f>SUM(H532:AJ532)</f>
        <v>71182359.330107719</v>
      </c>
      <c r="AL532" s="98" t="str">
        <f>IF(ABS(AK532-F532)&lt;1,"ok","err")</f>
        <v>ok</v>
      </c>
    </row>
    <row r="533" spans="1:38" x14ac:dyDescent="0.25">
      <c r="F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101"/>
      <c r="AC533" s="101"/>
      <c r="AD533" s="101"/>
      <c r="AE533" s="101"/>
      <c r="AF533" s="101"/>
      <c r="AG533" s="101"/>
      <c r="AH533" s="101"/>
      <c r="AI533" s="101"/>
      <c r="AJ533" s="101"/>
      <c r="AK533" s="101"/>
      <c r="AL533" s="98"/>
    </row>
    <row r="534" spans="1:38" x14ac:dyDescent="0.25">
      <c r="A534" s="97" t="s">
        <v>839</v>
      </c>
      <c r="C534" s="97" t="s">
        <v>1054</v>
      </c>
      <c r="F534" s="100">
        <f>F485+F494+F508+F532</f>
        <v>171476568.89321756</v>
      </c>
      <c r="G534" s="100"/>
      <c r="H534" s="100">
        <f t="shared" ref="H534:M534" si="571">H485+H494+H508+H532</f>
        <v>18742668.338841524</v>
      </c>
      <c r="I534" s="100">
        <f t="shared" si="571"/>
        <v>17681329.098344762</v>
      </c>
      <c r="J534" s="100">
        <f t="shared" si="571"/>
        <v>18132161.576938502</v>
      </c>
      <c r="K534" s="100">
        <f t="shared" si="571"/>
        <v>38818636.930293135</v>
      </c>
      <c r="L534" s="100">
        <f t="shared" si="571"/>
        <v>0</v>
      </c>
      <c r="M534" s="100">
        <f t="shared" si="571"/>
        <v>0</v>
      </c>
      <c r="N534" s="100"/>
      <c r="O534" s="100">
        <f>O485+O494+O508+O532</f>
        <v>11565291.387347333</v>
      </c>
      <c r="P534" s="100">
        <f>P485+P494+P508+P532</f>
        <v>0</v>
      </c>
      <c r="Q534" s="100">
        <f>Q485+Q494+Q508+Q532</f>
        <v>0</v>
      </c>
      <c r="R534" s="100"/>
      <c r="S534" s="100">
        <f t="shared" ref="S534:AD534" si="572">S485+S494+S508+S532</f>
        <v>0</v>
      </c>
      <c r="T534" s="100">
        <f t="shared" si="572"/>
        <v>4046690.3513230029</v>
      </c>
      <c r="U534" s="100">
        <f t="shared" si="572"/>
        <v>0</v>
      </c>
      <c r="V534" s="100">
        <f t="shared" si="572"/>
        <v>4830954.0465032104</v>
      </c>
      <c r="W534" s="100">
        <f t="shared" si="572"/>
        <v>7668802.5696673645</v>
      </c>
      <c r="X534" s="100">
        <f t="shared" si="572"/>
        <v>2457476.1256506187</v>
      </c>
      <c r="Y534" s="100">
        <f t="shared" si="572"/>
        <v>3623335.6304890811</v>
      </c>
      <c r="Z534" s="100">
        <f t="shared" si="572"/>
        <v>644545.6468455724</v>
      </c>
      <c r="AA534" s="100">
        <f t="shared" si="572"/>
        <v>573567.9062018611</v>
      </c>
      <c r="AB534" s="100">
        <f t="shared" si="572"/>
        <v>356370.0044785231</v>
      </c>
      <c r="AC534" s="100">
        <f t="shared" si="572"/>
        <v>10892600.321030885</v>
      </c>
      <c r="AD534" s="100">
        <f t="shared" si="572"/>
        <v>421765.11680222803</v>
      </c>
      <c r="AE534" s="100"/>
      <c r="AF534" s="100">
        <f>AF485+AF494+AF508+AF532</f>
        <v>27271496.696871992</v>
      </c>
      <c r="AG534" s="100"/>
      <c r="AH534" s="100">
        <f>AH485+AH494+AH508+AH532</f>
        <v>3748877.1455879896</v>
      </c>
      <c r="AI534" s="100"/>
      <c r="AJ534" s="100">
        <f>AJ485+AJ494+AJ508+AJ532</f>
        <v>0</v>
      </c>
      <c r="AK534" s="101">
        <f>SUM(H534:AJ534)</f>
        <v>171476568.89321759</v>
      </c>
      <c r="AL534" s="98" t="str">
        <f>IF(ABS(AK534-F534)&lt;1,"ok","err")</f>
        <v>ok</v>
      </c>
    </row>
    <row r="535" spans="1:38" x14ac:dyDescent="0.25">
      <c r="F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  <c r="AB535" s="101"/>
      <c r="AC535" s="101"/>
      <c r="AD535" s="101"/>
      <c r="AE535" s="101"/>
      <c r="AF535" s="101"/>
      <c r="AG535" s="101"/>
      <c r="AH535" s="101"/>
      <c r="AI535" s="101"/>
      <c r="AJ535" s="101"/>
      <c r="AK535" s="101"/>
      <c r="AL535" s="98"/>
    </row>
    <row r="536" spans="1:38" x14ac:dyDescent="0.25">
      <c r="A536" s="97" t="s">
        <v>1356</v>
      </c>
      <c r="C536" s="97" t="s">
        <v>1055</v>
      </c>
      <c r="F536" s="102">
        <f t="shared" ref="F536:M536" si="573">F534-F422</f>
        <v>171476568.89321756</v>
      </c>
      <c r="G536" s="102">
        <f t="shared" si="573"/>
        <v>0</v>
      </c>
      <c r="H536" s="102">
        <f t="shared" si="573"/>
        <v>18742668.338841524</v>
      </c>
      <c r="I536" s="102">
        <f t="shared" si="573"/>
        <v>17681329.098344762</v>
      </c>
      <c r="J536" s="102">
        <f t="shared" si="573"/>
        <v>18132161.576938502</v>
      </c>
      <c r="K536" s="102">
        <f t="shared" si="573"/>
        <v>38818636.930293135</v>
      </c>
      <c r="L536" s="102">
        <f t="shared" si="573"/>
        <v>0</v>
      </c>
      <c r="M536" s="102">
        <f t="shared" si="573"/>
        <v>0</v>
      </c>
      <c r="N536" s="102"/>
      <c r="O536" s="102">
        <f>O534-O422</f>
        <v>11565291.387347333</v>
      </c>
      <c r="P536" s="102">
        <f>P534-P422</f>
        <v>0</v>
      </c>
      <c r="Q536" s="102">
        <f>Q534-Q422</f>
        <v>0</v>
      </c>
      <c r="R536" s="102"/>
      <c r="S536" s="102">
        <f t="shared" ref="S536:AD536" si="574">S534-S422</f>
        <v>0</v>
      </c>
      <c r="T536" s="102">
        <f t="shared" si="574"/>
        <v>4046690.3513230029</v>
      </c>
      <c r="U536" s="102">
        <f t="shared" si="574"/>
        <v>0</v>
      </c>
      <c r="V536" s="102">
        <f t="shared" si="574"/>
        <v>4830954.0465032104</v>
      </c>
      <c r="W536" s="102">
        <f t="shared" si="574"/>
        <v>7668802.5696673645</v>
      </c>
      <c r="X536" s="102">
        <f t="shared" si="574"/>
        <v>2457476.1256506187</v>
      </c>
      <c r="Y536" s="102">
        <f t="shared" si="574"/>
        <v>3623335.6304890811</v>
      </c>
      <c r="Z536" s="102">
        <f t="shared" si="574"/>
        <v>644545.6468455724</v>
      </c>
      <c r="AA536" s="102">
        <f t="shared" si="574"/>
        <v>573567.9062018611</v>
      </c>
      <c r="AB536" s="102">
        <f t="shared" si="574"/>
        <v>356370.0044785231</v>
      </c>
      <c r="AC536" s="102">
        <f t="shared" si="574"/>
        <v>10892600.321030885</v>
      </c>
      <c r="AD536" s="102">
        <f t="shared" si="574"/>
        <v>421765.11680222803</v>
      </c>
      <c r="AE536" s="102"/>
      <c r="AF536" s="102">
        <f>AF534-AF422</f>
        <v>27271496.696871992</v>
      </c>
      <c r="AG536" s="102"/>
      <c r="AH536" s="102">
        <f>AH534-AH422</f>
        <v>3748877.1455879896</v>
      </c>
      <c r="AI536" s="102"/>
      <c r="AJ536" s="102">
        <f>AJ534-AJ422</f>
        <v>0</v>
      </c>
      <c r="AK536" s="101">
        <f>SUM(H536:AJ536)</f>
        <v>171476568.89321759</v>
      </c>
      <c r="AL536" s="98" t="str">
        <f>IF(ABS(AK536-F536)&lt;1,"ok","err")</f>
        <v>ok</v>
      </c>
    </row>
    <row r="537" spans="1:38" x14ac:dyDescent="0.25"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  <c r="AH537" s="102"/>
      <c r="AI537" s="102"/>
      <c r="AJ537" s="102"/>
      <c r="AK537" s="101"/>
      <c r="AL537" s="98"/>
    </row>
    <row r="538" spans="1:38" x14ac:dyDescent="0.25"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102"/>
      <c r="AJ538" s="102"/>
      <c r="AK538" s="101"/>
      <c r="AL538" s="98"/>
    </row>
    <row r="539" spans="1:38" x14ac:dyDescent="0.25"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02"/>
      <c r="AG539" s="102"/>
      <c r="AH539" s="102"/>
      <c r="AI539" s="102"/>
      <c r="AJ539" s="102"/>
      <c r="AK539" s="101"/>
      <c r="AL539" s="98"/>
    </row>
    <row r="540" spans="1:38" x14ac:dyDescent="0.25"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  <c r="AH540" s="102"/>
      <c r="AI540" s="102"/>
      <c r="AJ540" s="102"/>
      <c r="AK540" s="101"/>
      <c r="AL540" s="98"/>
    </row>
    <row r="541" spans="1:38" x14ac:dyDescent="0.25"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02"/>
      <c r="AG541" s="102"/>
      <c r="AH541" s="102"/>
      <c r="AI541" s="102"/>
      <c r="AJ541" s="102"/>
      <c r="AK541" s="101"/>
      <c r="AL541" s="98"/>
    </row>
    <row r="542" spans="1:38" x14ac:dyDescent="0.25"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02"/>
      <c r="AG542" s="102"/>
      <c r="AH542" s="102"/>
      <c r="AI542" s="102"/>
      <c r="AJ542" s="102"/>
      <c r="AK542" s="101"/>
      <c r="AL542" s="98"/>
    </row>
    <row r="543" spans="1:38" x14ac:dyDescent="0.25"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102"/>
      <c r="AG543" s="102"/>
      <c r="AH543" s="102"/>
      <c r="AI543" s="102"/>
      <c r="AJ543" s="102"/>
      <c r="AK543" s="101"/>
      <c r="AL543" s="98"/>
    </row>
    <row r="544" spans="1:38" x14ac:dyDescent="0.25"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102"/>
      <c r="AG544" s="102"/>
      <c r="AH544" s="102"/>
      <c r="AI544" s="102"/>
      <c r="AJ544" s="102"/>
      <c r="AK544" s="101"/>
      <c r="AL544" s="98"/>
    </row>
    <row r="545" spans="6:38" x14ac:dyDescent="0.25"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02"/>
      <c r="AG545" s="102"/>
      <c r="AH545" s="102"/>
      <c r="AI545" s="102"/>
      <c r="AJ545" s="102"/>
      <c r="AK545" s="101"/>
      <c r="AL545" s="98"/>
    </row>
    <row r="546" spans="6:38" x14ac:dyDescent="0.25"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102"/>
      <c r="AJ546" s="102"/>
      <c r="AK546" s="101"/>
      <c r="AL546" s="98"/>
    </row>
    <row r="547" spans="6:38" x14ac:dyDescent="0.25"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02"/>
      <c r="AG547" s="102"/>
      <c r="AH547" s="102"/>
      <c r="AI547" s="102"/>
      <c r="AJ547" s="102"/>
      <c r="AK547" s="101"/>
      <c r="AL547" s="98"/>
    </row>
    <row r="548" spans="6:38" x14ac:dyDescent="0.25"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102"/>
      <c r="AG548" s="102"/>
      <c r="AH548" s="102"/>
      <c r="AI548" s="102"/>
      <c r="AJ548" s="102"/>
      <c r="AK548" s="101"/>
      <c r="AL548" s="98"/>
    </row>
    <row r="549" spans="6:38" x14ac:dyDescent="0.25"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F549" s="102"/>
      <c r="AG549" s="102"/>
      <c r="AH549" s="102"/>
      <c r="AI549" s="102"/>
      <c r="AJ549" s="102"/>
      <c r="AK549" s="101"/>
      <c r="AL549" s="98"/>
    </row>
    <row r="550" spans="6:38" x14ac:dyDescent="0.25"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02"/>
      <c r="AG550" s="102"/>
      <c r="AH550" s="102"/>
      <c r="AI550" s="102"/>
      <c r="AJ550" s="102"/>
      <c r="AK550" s="101"/>
      <c r="AL550" s="98"/>
    </row>
    <row r="551" spans="6:38" x14ac:dyDescent="0.25"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102"/>
      <c r="AG551" s="102"/>
      <c r="AH551" s="102"/>
      <c r="AI551" s="102"/>
      <c r="AJ551" s="102"/>
      <c r="AK551" s="101"/>
      <c r="AL551" s="98"/>
    </row>
    <row r="552" spans="6:38" x14ac:dyDescent="0.25"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F552" s="102"/>
      <c r="AG552" s="102"/>
      <c r="AH552" s="102"/>
      <c r="AI552" s="102"/>
      <c r="AJ552" s="102"/>
      <c r="AK552" s="101"/>
      <c r="AL552" s="98"/>
    </row>
    <row r="553" spans="6:38" x14ac:dyDescent="0.25"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102"/>
      <c r="AG553" s="102"/>
      <c r="AH553" s="102"/>
      <c r="AI553" s="102"/>
      <c r="AJ553" s="102"/>
      <c r="AK553" s="101"/>
      <c r="AL553" s="98"/>
    </row>
    <row r="554" spans="6:38" x14ac:dyDescent="0.25"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02"/>
      <c r="AG554" s="102"/>
      <c r="AH554" s="102"/>
      <c r="AI554" s="102"/>
      <c r="AJ554" s="102"/>
      <c r="AK554" s="101"/>
      <c r="AL554" s="98"/>
    </row>
    <row r="555" spans="6:38" x14ac:dyDescent="0.25"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02"/>
      <c r="AG555" s="102"/>
      <c r="AH555" s="102"/>
      <c r="AI555" s="102"/>
      <c r="AJ555" s="102"/>
      <c r="AK555" s="101"/>
      <c r="AL555" s="98"/>
    </row>
    <row r="556" spans="6:38" x14ac:dyDescent="0.25"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102"/>
      <c r="AG556" s="102"/>
      <c r="AH556" s="102"/>
      <c r="AI556" s="102"/>
      <c r="AJ556" s="102"/>
      <c r="AK556" s="101"/>
      <c r="AL556" s="98"/>
    </row>
    <row r="557" spans="6:38" x14ac:dyDescent="0.25"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102"/>
      <c r="AG557" s="102"/>
      <c r="AH557" s="102"/>
      <c r="AI557" s="102"/>
      <c r="AJ557" s="102"/>
      <c r="AK557" s="101"/>
      <c r="AL557" s="98"/>
    </row>
    <row r="558" spans="6:38" x14ac:dyDescent="0.25"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F558" s="102"/>
      <c r="AG558" s="102"/>
      <c r="AH558" s="102"/>
      <c r="AI558" s="102"/>
      <c r="AJ558" s="102"/>
      <c r="AK558" s="101"/>
      <c r="AL558" s="98"/>
    </row>
    <row r="559" spans="6:38" x14ac:dyDescent="0.25"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102"/>
      <c r="AG559" s="102"/>
      <c r="AH559" s="102"/>
      <c r="AI559" s="102"/>
      <c r="AJ559" s="102"/>
      <c r="AK559" s="101"/>
      <c r="AL559" s="98"/>
    </row>
    <row r="560" spans="6:38" x14ac:dyDescent="0.25"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  <c r="AH560" s="102"/>
      <c r="AI560" s="102"/>
      <c r="AJ560" s="102"/>
      <c r="AK560" s="101"/>
      <c r="AL560" s="98"/>
    </row>
    <row r="561" spans="1:38" x14ac:dyDescent="0.25"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02"/>
      <c r="AG561" s="102"/>
      <c r="AH561" s="102"/>
      <c r="AI561" s="102"/>
      <c r="AJ561" s="102"/>
      <c r="AK561" s="101"/>
      <c r="AL561" s="98"/>
    </row>
    <row r="562" spans="1:38" x14ac:dyDescent="0.25">
      <c r="A562" s="23" t="s">
        <v>842</v>
      </c>
      <c r="AL562" s="98"/>
    </row>
    <row r="563" spans="1:38" x14ac:dyDescent="0.25">
      <c r="AL563" s="98"/>
    </row>
    <row r="564" spans="1:38" x14ac:dyDescent="0.25">
      <c r="A564" s="24" t="s">
        <v>843</v>
      </c>
      <c r="AL564" s="98"/>
    </row>
    <row r="565" spans="1:38" x14ac:dyDescent="0.25">
      <c r="A565" s="107" t="s">
        <v>1661</v>
      </c>
      <c r="C565" s="97" t="s">
        <v>1358</v>
      </c>
      <c r="D565" s="97" t="s">
        <v>1547</v>
      </c>
      <c r="F565" s="100">
        <f>'Jurisdictional Study'!F1134-50159545</f>
        <v>99900146.210981131</v>
      </c>
      <c r="H565" s="101">
        <f t="shared" ref="H565:H572" si="575">IF(VLOOKUP($D565,$C$5:$AJ$644,6,)=0,0,((VLOOKUP($D565,$C$5:$AJ$644,6,)/VLOOKUP($D565,$C$5:$AJ$644,4,))*$F565))</f>
        <v>34345800.63194827</v>
      </c>
      <c r="I565" s="101">
        <f t="shared" ref="I565:I572" si="576">IF(VLOOKUP($D565,$C$5:$AJ$644,7,)=0,0,((VLOOKUP($D565,$C$5:$AJ$644,7,)/VLOOKUP($D565,$C$5:$AJ$644,4,))*$F565))</f>
        <v>35979400.056153834</v>
      </c>
      <c r="J565" s="101">
        <f t="shared" ref="J565:J572" si="577">IF(VLOOKUP($D565,$C$5:$AJ$644,8,)=0,0,((VLOOKUP($D565,$C$5:$AJ$644,8,)/VLOOKUP($D565,$C$5:$AJ$644,4,))*$F565))</f>
        <v>29574945.522879023</v>
      </c>
      <c r="K565" s="101">
        <f t="shared" ref="K565:K572" si="578">IF(VLOOKUP($D565,$C$5:$AJ$644,9,)=0,0,((VLOOKUP($D565,$C$5:$AJ$644,9,)/VLOOKUP($D565,$C$5:$AJ$644,4,))*$F565))</f>
        <v>0</v>
      </c>
      <c r="L565" s="101">
        <f t="shared" ref="L565:L572" si="579">IF(VLOOKUP($D565,$C$5:$AJ$644,10,)=0,0,((VLOOKUP($D565,$C$5:$AJ$644,10,)/VLOOKUP($D565,$C$5:$AJ$644,4,))*$F565))</f>
        <v>0</v>
      </c>
      <c r="M565" s="101">
        <f t="shared" ref="M565:M572" si="580">IF(VLOOKUP($D565,$C$5:$AJ$644,11,)=0,0,((VLOOKUP($D565,$C$5:$AJ$644,11,)/VLOOKUP($D565,$C$5:$AJ$644,4,))*$F565))</f>
        <v>0</v>
      </c>
      <c r="N565" s="101"/>
      <c r="O565" s="101">
        <f t="shared" ref="O565:O572" si="581">IF(VLOOKUP($D565,$C$5:$AJ$644,13,)=0,0,((VLOOKUP($D565,$C$5:$AJ$644,13,)/VLOOKUP($D565,$C$5:$AJ$644,4,))*$F565))</f>
        <v>0</v>
      </c>
      <c r="P565" s="101">
        <f t="shared" ref="P565:P572" si="582">IF(VLOOKUP($D565,$C$5:$AJ$644,14,)=0,0,((VLOOKUP($D565,$C$5:$AJ$644,14,)/VLOOKUP($D565,$C$5:$AJ$644,4,))*$F565))</f>
        <v>0</v>
      </c>
      <c r="Q565" s="101">
        <f t="shared" ref="Q565:Q572" si="583">IF(VLOOKUP($D565,$C$5:$AJ$644,15,)=0,0,((VLOOKUP($D565,$C$5:$AJ$644,15,)/VLOOKUP($D565,$C$5:$AJ$644,4,))*$F565))</f>
        <v>0</v>
      </c>
      <c r="R565" s="101"/>
      <c r="S565" s="101">
        <f t="shared" ref="S565:S572" si="584">IF(VLOOKUP($D565,$C$5:$AJ$644,17,)=0,0,((VLOOKUP($D565,$C$5:$AJ$644,17,)/VLOOKUP($D565,$C$5:$AJ$644,4,))*$F565))</f>
        <v>0</v>
      </c>
      <c r="T565" s="101">
        <f t="shared" ref="T565:T572" si="585">IF(VLOOKUP($D565,$C$5:$AJ$644,18,)=0,0,((VLOOKUP($D565,$C$5:$AJ$644,18,)/VLOOKUP($D565,$C$5:$AJ$644,4,))*$F565))</f>
        <v>0</v>
      </c>
      <c r="U565" s="101">
        <f t="shared" ref="U565:U572" si="586">IF(VLOOKUP($D565,$C$5:$AJ$644,19,)=0,0,((VLOOKUP($D565,$C$5:$AJ$644,19,)/VLOOKUP($D565,$C$5:$AJ$644,4,))*$F565))</f>
        <v>0</v>
      </c>
      <c r="V565" s="101">
        <f t="shared" ref="V565:V572" si="587">IF(VLOOKUP($D565,$C$5:$AJ$644,20,)=0,0,((VLOOKUP($D565,$C$5:$AJ$644,20,)/VLOOKUP($D565,$C$5:$AJ$644,4,))*$F565))</f>
        <v>0</v>
      </c>
      <c r="W565" s="101">
        <f t="shared" ref="W565:W572" si="588">IF(VLOOKUP($D565,$C$5:$AJ$644,21,)=0,0,((VLOOKUP($D565,$C$5:$AJ$644,21,)/VLOOKUP($D565,$C$5:$AJ$644,4,))*$F565))</f>
        <v>0</v>
      </c>
      <c r="X565" s="101">
        <f t="shared" ref="X565:X572" si="589">IF(VLOOKUP($D565,$C$5:$AJ$644,22,)=0,0,((VLOOKUP($D565,$C$5:$AJ$644,22,)/VLOOKUP($D565,$C$5:$AJ$644,4,))*$F565))</f>
        <v>0</v>
      </c>
      <c r="Y565" s="101">
        <f t="shared" ref="Y565:Y572" si="590">IF(VLOOKUP($D565,$C$5:$AJ$644,23,)=0,0,((VLOOKUP($D565,$C$5:$AJ$644,23,)/VLOOKUP($D565,$C$5:$AJ$644,4,))*$F565))</f>
        <v>0</v>
      </c>
      <c r="Z565" s="101">
        <f t="shared" ref="Z565:Z572" si="591">IF(VLOOKUP($D565,$C$5:$AJ$644,24,)=0,0,((VLOOKUP($D565,$C$5:$AJ$644,24,)/VLOOKUP($D565,$C$5:$AJ$644,4,))*$F565))</f>
        <v>0</v>
      </c>
      <c r="AA565" s="101">
        <f t="shared" ref="AA565:AA572" si="592">IF(VLOOKUP($D565,$C$5:$AJ$644,25,)=0,0,((VLOOKUP($D565,$C$5:$AJ$644,25,)/VLOOKUP($D565,$C$5:$AJ$644,4,))*$F565))</f>
        <v>0</v>
      </c>
      <c r="AB565" s="101">
        <f t="shared" ref="AB565:AB572" si="593">IF(VLOOKUP($D565,$C$5:$AJ$644,26,)=0,0,((VLOOKUP($D565,$C$5:$AJ$644,26,)/VLOOKUP($D565,$C$5:$AJ$644,4,))*$F565))</f>
        <v>0</v>
      </c>
      <c r="AC565" s="101">
        <f t="shared" ref="AC565:AC572" si="594">IF(VLOOKUP($D565,$C$5:$AJ$644,27,)=0,0,((VLOOKUP($D565,$C$5:$AJ$644,27,)/VLOOKUP($D565,$C$5:$AJ$644,4,))*$F565))</f>
        <v>0</v>
      </c>
      <c r="AD565" s="101">
        <f t="shared" ref="AD565:AD572" si="595">IF(VLOOKUP($D565,$C$5:$AJ$644,28,)=0,0,((VLOOKUP($D565,$C$5:$AJ$644,28,)/VLOOKUP($D565,$C$5:$AJ$644,4,))*$F565))</f>
        <v>0</v>
      </c>
      <c r="AE565" s="101"/>
      <c r="AF565" s="101">
        <f t="shared" ref="AF565:AF572" si="596">IF(VLOOKUP($D565,$C$5:$AJ$644,30,)=0,0,((VLOOKUP($D565,$C$5:$AJ$644,30,)/VLOOKUP($D565,$C$5:$AJ$644,4,))*$F565))</f>
        <v>0</v>
      </c>
      <c r="AG565" s="101"/>
      <c r="AH565" s="101">
        <f t="shared" ref="AH565:AH572" si="597">IF(VLOOKUP($D565,$C$5:$AJ$644,32,)=0,0,((VLOOKUP($D565,$C$5:$AJ$644,32,)/VLOOKUP($D565,$C$5:$AJ$644,4,))*$F565))</f>
        <v>0</v>
      </c>
      <c r="AI565" s="101"/>
      <c r="AJ565" s="101">
        <f t="shared" ref="AJ565:AJ572" si="598">IF(VLOOKUP($D565,$C$5:$AJ$644,34,)=0,0,((VLOOKUP($D565,$C$5:$AJ$644,34,)/VLOOKUP($D565,$C$5:$AJ$644,4,))*$F565))</f>
        <v>0</v>
      </c>
      <c r="AK565" s="101">
        <f t="shared" ref="AK565:AK572" si="599">SUM(H565:AJ565)</f>
        <v>99900146.210981116</v>
      </c>
      <c r="AL565" s="98" t="str">
        <f t="shared" ref="AL565:AL572" si="600">IF(ABS(AK565-F565)&lt;1,"ok","err")</f>
        <v>ok</v>
      </c>
    </row>
    <row r="566" spans="1:38" x14ac:dyDescent="0.25">
      <c r="A566" s="107" t="s">
        <v>1660</v>
      </c>
      <c r="C566" s="97" t="s">
        <v>990</v>
      </c>
      <c r="D566" s="97" t="s">
        <v>1547</v>
      </c>
      <c r="F566" s="101">
        <f>'Jurisdictional Study'!F1140</f>
        <v>1118830.8925168437</v>
      </c>
      <c r="H566" s="101">
        <f t="shared" si="575"/>
        <v>384655.52086473629</v>
      </c>
      <c r="I566" s="101">
        <f t="shared" si="576"/>
        <v>402951.00461647089</v>
      </c>
      <c r="J566" s="101">
        <f t="shared" si="577"/>
        <v>331224.36703563656</v>
      </c>
      <c r="K566" s="101">
        <f t="shared" si="578"/>
        <v>0</v>
      </c>
      <c r="L566" s="101">
        <f t="shared" si="579"/>
        <v>0</v>
      </c>
      <c r="M566" s="101">
        <f t="shared" si="580"/>
        <v>0</v>
      </c>
      <c r="N566" s="101"/>
      <c r="O566" s="101">
        <f t="shared" si="581"/>
        <v>0</v>
      </c>
      <c r="P566" s="101">
        <f t="shared" si="582"/>
        <v>0</v>
      </c>
      <c r="Q566" s="101">
        <f t="shared" si="583"/>
        <v>0</v>
      </c>
      <c r="R566" s="101"/>
      <c r="S566" s="101">
        <f t="shared" si="584"/>
        <v>0</v>
      </c>
      <c r="T566" s="101">
        <f t="shared" si="585"/>
        <v>0</v>
      </c>
      <c r="U566" s="101">
        <f t="shared" si="586"/>
        <v>0</v>
      </c>
      <c r="V566" s="101">
        <f t="shared" si="587"/>
        <v>0</v>
      </c>
      <c r="W566" s="101">
        <f t="shared" si="588"/>
        <v>0</v>
      </c>
      <c r="X566" s="101">
        <f t="shared" si="589"/>
        <v>0</v>
      </c>
      <c r="Y566" s="101">
        <f t="shared" si="590"/>
        <v>0</v>
      </c>
      <c r="Z566" s="101">
        <f t="shared" si="591"/>
        <v>0</v>
      </c>
      <c r="AA566" s="101">
        <f t="shared" si="592"/>
        <v>0</v>
      </c>
      <c r="AB566" s="101">
        <f t="shared" si="593"/>
        <v>0</v>
      </c>
      <c r="AC566" s="101">
        <f t="shared" si="594"/>
        <v>0</v>
      </c>
      <c r="AD566" s="101">
        <f t="shared" si="595"/>
        <v>0</v>
      </c>
      <c r="AE566" s="101"/>
      <c r="AF566" s="101">
        <f t="shared" si="596"/>
        <v>0</v>
      </c>
      <c r="AG566" s="101"/>
      <c r="AH566" s="101">
        <f t="shared" si="597"/>
        <v>0</v>
      </c>
      <c r="AI566" s="101"/>
      <c r="AJ566" s="101">
        <f t="shared" si="598"/>
        <v>0</v>
      </c>
      <c r="AK566" s="101">
        <f t="shared" si="599"/>
        <v>1118830.8925168437</v>
      </c>
      <c r="AL566" s="98" t="str">
        <f t="shared" si="600"/>
        <v>ok</v>
      </c>
    </row>
    <row r="567" spans="1:38" x14ac:dyDescent="0.25">
      <c r="A567" s="108" t="s">
        <v>1659</v>
      </c>
      <c r="C567" s="97" t="s">
        <v>991</v>
      </c>
      <c r="D567" s="97" t="s">
        <v>1547</v>
      </c>
      <c r="F567" s="101">
        <f>'Jurisdictional Study'!F1146</f>
        <v>35620454.175360583</v>
      </c>
      <c r="H567" s="101">
        <f t="shared" si="575"/>
        <v>12246358.628371106</v>
      </c>
      <c r="I567" s="101">
        <f t="shared" si="576"/>
        <v>12828835.788193457</v>
      </c>
      <c r="J567" s="101">
        <f t="shared" si="577"/>
        <v>10545259.758796018</v>
      </c>
      <c r="K567" s="101">
        <f t="shared" si="578"/>
        <v>0</v>
      </c>
      <c r="L567" s="101">
        <f t="shared" si="579"/>
        <v>0</v>
      </c>
      <c r="M567" s="101">
        <f t="shared" si="580"/>
        <v>0</v>
      </c>
      <c r="N567" s="101"/>
      <c r="O567" s="101">
        <f t="shared" si="581"/>
        <v>0</v>
      </c>
      <c r="P567" s="101">
        <f t="shared" si="582"/>
        <v>0</v>
      </c>
      <c r="Q567" s="101">
        <f t="shared" si="583"/>
        <v>0</v>
      </c>
      <c r="R567" s="101"/>
      <c r="S567" s="101">
        <f t="shared" si="584"/>
        <v>0</v>
      </c>
      <c r="T567" s="101">
        <f t="shared" si="585"/>
        <v>0</v>
      </c>
      <c r="U567" s="101">
        <f t="shared" si="586"/>
        <v>0</v>
      </c>
      <c r="V567" s="101">
        <f t="shared" si="587"/>
        <v>0</v>
      </c>
      <c r="W567" s="101">
        <f t="shared" si="588"/>
        <v>0</v>
      </c>
      <c r="X567" s="101">
        <f t="shared" si="589"/>
        <v>0</v>
      </c>
      <c r="Y567" s="101">
        <f t="shared" si="590"/>
        <v>0</v>
      </c>
      <c r="Z567" s="101">
        <f t="shared" si="591"/>
        <v>0</v>
      </c>
      <c r="AA567" s="101">
        <f t="shared" si="592"/>
        <v>0</v>
      </c>
      <c r="AB567" s="101">
        <f t="shared" si="593"/>
        <v>0</v>
      </c>
      <c r="AC567" s="101">
        <f t="shared" si="594"/>
        <v>0</v>
      </c>
      <c r="AD567" s="101">
        <f t="shared" si="595"/>
        <v>0</v>
      </c>
      <c r="AE567" s="101"/>
      <c r="AF567" s="101">
        <f t="shared" si="596"/>
        <v>0</v>
      </c>
      <c r="AG567" s="101"/>
      <c r="AH567" s="101">
        <f t="shared" si="597"/>
        <v>0</v>
      </c>
      <c r="AI567" s="101"/>
      <c r="AJ567" s="101">
        <f t="shared" si="598"/>
        <v>0</v>
      </c>
      <c r="AK567" s="101">
        <f t="shared" si="599"/>
        <v>35620454.175360575</v>
      </c>
      <c r="AL567" s="98" t="str">
        <f t="shared" si="600"/>
        <v>ok</v>
      </c>
    </row>
    <row r="568" spans="1:38" x14ac:dyDescent="0.25">
      <c r="A568" s="97" t="s">
        <v>1662</v>
      </c>
      <c r="C568" s="97" t="s">
        <v>992</v>
      </c>
      <c r="D568" s="97" t="s">
        <v>491</v>
      </c>
      <c r="F568" s="101">
        <f>'Jurisdictional Study'!F1151</f>
        <v>20185930.110497635</v>
      </c>
      <c r="H568" s="101">
        <f t="shared" si="575"/>
        <v>0</v>
      </c>
      <c r="I568" s="101">
        <f t="shared" si="576"/>
        <v>0</v>
      </c>
      <c r="J568" s="101">
        <f t="shared" si="577"/>
        <v>0</v>
      </c>
      <c r="K568" s="101">
        <f t="shared" si="578"/>
        <v>0</v>
      </c>
      <c r="L568" s="101">
        <f t="shared" si="579"/>
        <v>0</v>
      </c>
      <c r="M568" s="101">
        <f t="shared" si="580"/>
        <v>0</v>
      </c>
      <c r="N568" s="101"/>
      <c r="O568" s="101">
        <f t="shared" si="581"/>
        <v>20185930.110497635</v>
      </c>
      <c r="P568" s="101">
        <f t="shared" si="582"/>
        <v>0</v>
      </c>
      <c r="Q568" s="101">
        <f t="shared" si="583"/>
        <v>0</v>
      </c>
      <c r="R568" s="101"/>
      <c r="S568" s="101">
        <f t="shared" si="584"/>
        <v>0</v>
      </c>
      <c r="T568" s="101">
        <f t="shared" si="585"/>
        <v>0</v>
      </c>
      <c r="U568" s="101">
        <f t="shared" si="586"/>
        <v>0</v>
      </c>
      <c r="V568" s="101">
        <f t="shared" si="587"/>
        <v>0</v>
      </c>
      <c r="W568" s="101">
        <f t="shared" si="588"/>
        <v>0</v>
      </c>
      <c r="X568" s="101">
        <f t="shared" si="589"/>
        <v>0</v>
      </c>
      <c r="Y568" s="101">
        <f t="shared" si="590"/>
        <v>0</v>
      </c>
      <c r="Z568" s="101">
        <f t="shared" si="591"/>
        <v>0</v>
      </c>
      <c r="AA568" s="101">
        <f t="shared" si="592"/>
        <v>0</v>
      </c>
      <c r="AB568" s="101">
        <f t="shared" si="593"/>
        <v>0</v>
      </c>
      <c r="AC568" s="101">
        <f t="shared" si="594"/>
        <v>0</v>
      </c>
      <c r="AD568" s="101">
        <f t="shared" si="595"/>
        <v>0</v>
      </c>
      <c r="AE568" s="101"/>
      <c r="AF568" s="101">
        <f t="shared" si="596"/>
        <v>0</v>
      </c>
      <c r="AG568" s="101"/>
      <c r="AH568" s="101">
        <f t="shared" si="597"/>
        <v>0</v>
      </c>
      <c r="AI568" s="101"/>
      <c r="AJ568" s="101">
        <f t="shared" si="598"/>
        <v>0</v>
      </c>
      <c r="AK568" s="101">
        <f t="shared" si="599"/>
        <v>20185930.110497635</v>
      </c>
      <c r="AL568" s="98" t="str">
        <f t="shared" si="600"/>
        <v>ok</v>
      </c>
    </row>
    <row r="569" spans="1:38" x14ac:dyDescent="0.25">
      <c r="A569" s="97" t="s">
        <v>1663</v>
      </c>
      <c r="C569" s="97" t="s">
        <v>993</v>
      </c>
      <c r="D569" s="97" t="s">
        <v>491</v>
      </c>
      <c r="F569" s="101">
        <f>'Jurisdictional Study'!F1152</f>
        <v>182213.83552902148</v>
      </c>
      <c r="H569" s="101">
        <f t="shared" si="575"/>
        <v>0</v>
      </c>
      <c r="I569" s="101">
        <f t="shared" si="576"/>
        <v>0</v>
      </c>
      <c r="J569" s="101">
        <f t="shared" si="577"/>
        <v>0</v>
      </c>
      <c r="K569" s="101">
        <f t="shared" si="578"/>
        <v>0</v>
      </c>
      <c r="L569" s="101">
        <f t="shared" si="579"/>
        <v>0</v>
      </c>
      <c r="M569" s="101">
        <f t="shared" si="580"/>
        <v>0</v>
      </c>
      <c r="N569" s="101"/>
      <c r="O569" s="101">
        <f t="shared" si="581"/>
        <v>182213.83552902148</v>
      </c>
      <c r="P569" s="101">
        <f t="shared" si="582"/>
        <v>0</v>
      </c>
      <c r="Q569" s="101">
        <f t="shared" si="583"/>
        <v>0</v>
      </c>
      <c r="R569" s="101"/>
      <c r="S569" s="101">
        <f t="shared" si="584"/>
        <v>0</v>
      </c>
      <c r="T569" s="101">
        <f t="shared" si="585"/>
        <v>0</v>
      </c>
      <c r="U569" s="101">
        <f t="shared" si="586"/>
        <v>0</v>
      </c>
      <c r="V569" s="101">
        <f t="shared" si="587"/>
        <v>0</v>
      </c>
      <c r="W569" s="101">
        <f t="shared" si="588"/>
        <v>0</v>
      </c>
      <c r="X569" s="101">
        <f t="shared" si="589"/>
        <v>0</v>
      </c>
      <c r="Y569" s="101">
        <f t="shared" si="590"/>
        <v>0</v>
      </c>
      <c r="Z569" s="101">
        <f t="shared" si="591"/>
        <v>0</v>
      </c>
      <c r="AA569" s="101">
        <f t="shared" si="592"/>
        <v>0</v>
      </c>
      <c r="AB569" s="101">
        <f t="shared" si="593"/>
        <v>0</v>
      </c>
      <c r="AC569" s="101">
        <f t="shared" si="594"/>
        <v>0</v>
      </c>
      <c r="AD569" s="101">
        <f t="shared" si="595"/>
        <v>0</v>
      </c>
      <c r="AE569" s="101"/>
      <c r="AF569" s="101">
        <f t="shared" si="596"/>
        <v>0</v>
      </c>
      <c r="AG569" s="101"/>
      <c r="AH569" s="101">
        <f t="shared" si="597"/>
        <v>0</v>
      </c>
      <c r="AI569" s="101"/>
      <c r="AJ569" s="101">
        <f t="shared" si="598"/>
        <v>0</v>
      </c>
      <c r="AK569" s="101">
        <f t="shared" si="599"/>
        <v>182213.83552902148</v>
      </c>
      <c r="AL569" s="98" t="str">
        <f t="shared" si="600"/>
        <v>ok</v>
      </c>
    </row>
    <row r="570" spans="1:38" x14ac:dyDescent="0.25">
      <c r="A570" s="97" t="s">
        <v>1665</v>
      </c>
      <c r="C570" s="97" t="s">
        <v>994</v>
      </c>
      <c r="D570" s="97" t="s">
        <v>115</v>
      </c>
      <c r="F570" s="101">
        <f>'Jurisdictional Study'!F1161</f>
        <v>43044392.604235888</v>
      </c>
      <c r="H570" s="101">
        <f t="shared" si="575"/>
        <v>0</v>
      </c>
      <c r="I570" s="101">
        <f t="shared" si="576"/>
        <v>0</v>
      </c>
      <c r="J570" s="101">
        <f t="shared" si="577"/>
        <v>0</v>
      </c>
      <c r="K570" s="101">
        <f t="shared" si="578"/>
        <v>0</v>
      </c>
      <c r="L570" s="101">
        <f t="shared" si="579"/>
        <v>0</v>
      </c>
      <c r="M570" s="101">
        <f t="shared" si="580"/>
        <v>0</v>
      </c>
      <c r="N570" s="101"/>
      <c r="O570" s="101">
        <f t="shared" si="581"/>
        <v>0</v>
      </c>
      <c r="P570" s="101">
        <f t="shared" si="582"/>
        <v>0</v>
      </c>
      <c r="Q570" s="101">
        <f t="shared" si="583"/>
        <v>0</v>
      </c>
      <c r="R570" s="101"/>
      <c r="S570" s="101">
        <f t="shared" si="584"/>
        <v>0</v>
      </c>
      <c r="T570" s="101">
        <f t="shared" si="585"/>
        <v>5211526.5754373176</v>
      </c>
      <c r="U570" s="101">
        <f t="shared" si="586"/>
        <v>0</v>
      </c>
      <c r="V570" s="101">
        <f t="shared" si="587"/>
        <v>5678958.5513777426</v>
      </c>
      <c r="W570" s="101">
        <f t="shared" si="588"/>
        <v>10531117.312564632</v>
      </c>
      <c r="X570" s="101">
        <f t="shared" si="589"/>
        <v>2614344.3014452914</v>
      </c>
      <c r="Y570" s="101">
        <f t="shared" si="590"/>
        <v>3996472.6516845492</v>
      </c>
      <c r="Z570" s="101">
        <f t="shared" si="591"/>
        <v>4058370.8902553818</v>
      </c>
      <c r="AA570" s="101">
        <f t="shared" si="592"/>
        <v>3611460.732853374</v>
      </c>
      <c r="AB570" s="101">
        <f t="shared" si="593"/>
        <v>2417773.0208714548</v>
      </c>
      <c r="AC570" s="101">
        <f t="shared" si="594"/>
        <v>2062925.9442534572</v>
      </c>
      <c r="AD570" s="101">
        <f t="shared" si="595"/>
        <v>2861442.6234926847</v>
      </c>
      <c r="AE570" s="101"/>
      <c r="AF570" s="101">
        <f t="shared" si="596"/>
        <v>0</v>
      </c>
      <c r="AG570" s="101"/>
      <c r="AH570" s="101">
        <f t="shared" si="597"/>
        <v>0</v>
      </c>
      <c r="AI570" s="101"/>
      <c r="AJ570" s="101">
        <f t="shared" si="598"/>
        <v>0</v>
      </c>
      <c r="AK570" s="101">
        <f t="shared" si="599"/>
        <v>43044392.604235888</v>
      </c>
      <c r="AL570" s="98" t="str">
        <f t="shared" si="600"/>
        <v>ok</v>
      </c>
    </row>
    <row r="571" spans="1:38" x14ac:dyDescent="0.25">
      <c r="A571" s="107" t="s">
        <v>198</v>
      </c>
      <c r="C571" s="97" t="s">
        <v>995</v>
      </c>
      <c r="D571" s="97" t="s">
        <v>186</v>
      </c>
      <c r="F571" s="101">
        <f>'Jurisdictional Study'!F1163</f>
        <v>11631104.926124556</v>
      </c>
      <c r="H571" s="101">
        <f t="shared" si="575"/>
        <v>2436971.6053643585</v>
      </c>
      <c r="I571" s="101">
        <f t="shared" si="576"/>
        <v>2552882.0030863262</v>
      </c>
      <c r="J571" s="101">
        <f t="shared" si="577"/>
        <v>2098460.3981661662</v>
      </c>
      <c r="K571" s="101">
        <f t="shared" si="578"/>
        <v>0</v>
      </c>
      <c r="L571" s="101">
        <f t="shared" si="579"/>
        <v>0</v>
      </c>
      <c r="M571" s="101">
        <f t="shared" si="580"/>
        <v>0</v>
      </c>
      <c r="N571" s="101"/>
      <c r="O571" s="101">
        <f t="shared" si="581"/>
        <v>1532159.7860762132</v>
      </c>
      <c r="P571" s="101">
        <f t="shared" si="582"/>
        <v>0</v>
      </c>
      <c r="Q571" s="101">
        <f t="shared" si="583"/>
        <v>0</v>
      </c>
      <c r="R571" s="101"/>
      <c r="S571" s="101">
        <f t="shared" si="584"/>
        <v>0</v>
      </c>
      <c r="T571" s="101">
        <f t="shared" si="585"/>
        <v>364507.04055638571</v>
      </c>
      <c r="U571" s="101">
        <f t="shared" si="586"/>
        <v>0</v>
      </c>
      <c r="V571" s="101">
        <f t="shared" si="587"/>
        <v>397200.38745679375</v>
      </c>
      <c r="W571" s="101">
        <f t="shared" si="588"/>
        <v>736572.35548740067</v>
      </c>
      <c r="X571" s="101">
        <f t="shared" si="589"/>
        <v>182853.69757234896</v>
      </c>
      <c r="Y571" s="101">
        <f t="shared" si="590"/>
        <v>279523.16808589344</v>
      </c>
      <c r="Z571" s="101">
        <f t="shared" si="591"/>
        <v>283852.48377305636</v>
      </c>
      <c r="AA571" s="101">
        <f t="shared" si="592"/>
        <v>252594.48354775301</v>
      </c>
      <c r="AB571" s="101">
        <f t="shared" si="593"/>
        <v>169105.01670059579</v>
      </c>
      <c r="AC571" s="101">
        <f t="shared" si="594"/>
        <v>144286.1357305304</v>
      </c>
      <c r="AD571" s="101">
        <f t="shared" si="595"/>
        <v>200136.36452073458</v>
      </c>
      <c r="AE571" s="101"/>
      <c r="AF571" s="101">
        <f t="shared" si="596"/>
        <v>0</v>
      </c>
      <c r="AG571" s="101"/>
      <c r="AH571" s="101">
        <f t="shared" si="597"/>
        <v>0</v>
      </c>
      <c r="AI571" s="101"/>
      <c r="AJ571" s="101">
        <f t="shared" si="598"/>
        <v>0</v>
      </c>
      <c r="AK571" s="101">
        <f t="shared" si="599"/>
        <v>11631104.926124556</v>
      </c>
      <c r="AL571" s="98" t="str">
        <f t="shared" si="600"/>
        <v>ok</v>
      </c>
    </row>
    <row r="572" spans="1:38" x14ac:dyDescent="0.25">
      <c r="A572" s="107" t="s">
        <v>1664</v>
      </c>
      <c r="C572" s="97" t="s">
        <v>1359</v>
      </c>
      <c r="D572" s="97" t="s">
        <v>117</v>
      </c>
      <c r="F572" s="101">
        <f>'Jurisdictional Study'!F1165+'Jurisdictional Study'!F1167</f>
        <v>16379763.783943884</v>
      </c>
      <c r="H572" s="101">
        <f t="shared" si="575"/>
        <v>3431919.7958905278</v>
      </c>
      <c r="I572" s="101">
        <f t="shared" si="576"/>
        <v>3595153.2072343142</v>
      </c>
      <c r="J572" s="101">
        <f t="shared" si="577"/>
        <v>2955203.8134158044</v>
      </c>
      <c r="K572" s="101">
        <f t="shared" si="578"/>
        <v>0</v>
      </c>
      <c r="L572" s="101">
        <f t="shared" si="579"/>
        <v>0</v>
      </c>
      <c r="M572" s="101">
        <f t="shared" si="580"/>
        <v>0</v>
      </c>
      <c r="N572" s="101"/>
      <c r="O572" s="101">
        <f t="shared" si="581"/>
        <v>2157698.3042099001</v>
      </c>
      <c r="P572" s="101">
        <f t="shared" si="582"/>
        <v>0</v>
      </c>
      <c r="Q572" s="101">
        <f t="shared" si="583"/>
        <v>0</v>
      </c>
      <c r="R572" s="101"/>
      <c r="S572" s="101">
        <f t="shared" si="584"/>
        <v>0</v>
      </c>
      <c r="T572" s="101">
        <f t="shared" si="585"/>
        <v>513325.19651573768</v>
      </c>
      <c r="U572" s="101">
        <f t="shared" si="586"/>
        <v>0</v>
      </c>
      <c r="V572" s="101">
        <f t="shared" si="587"/>
        <v>559366.33387427113</v>
      </c>
      <c r="W572" s="101">
        <f t="shared" si="588"/>
        <v>1037294.5020526733</v>
      </c>
      <c r="X572" s="101">
        <f t="shared" si="589"/>
        <v>257507.81136266017</v>
      </c>
      <c r="Y572" s="101">
        <f t="shared" si="590"/>
        <v>393644.75640682969</v>
      </c>
      <c r="Z572" s="101">
        <f t="shared" si="591"/>
        <v>399741.61210130231</v>
      </c>
      <c r="AA572" s="101">
        <f t="shared" si="592"/>
        <v>355721.83381704515</v>
      </c>
      <c r="AB572" s="101">
        <f t="shared" si="593"/>
        <v>238145.92386783377</v>
      </c>
      <c r="AC572" s="101">
        <f t="shared" si="594"/>
        <v>203194.17936431782</v>
      </c>
      <c r="AD572" s="101">
        <f t="shared" si="595"/>
        <v>281846.51383066841</v>
      </c>
      <c r="AE572" s="101"/>
      <c r="AF572" s="101">
        <f t="shared" si="596"/>
        <v>0</v>
      </c>
      <c r="AG572" s="101"/>
      <c r="AH572" s="101">
        <f t="shared" si="597"/>
        <v>0</v>
      </c>
      <c r="AI572" s="101"/>
      <c r="AJ572" s="101">
        <f t="shared" si="598"/>
        <v>0</v>
      </c>
      <c r="AK572" s="101">
        <f t="shared" si="599"/>
        <v>16379763.783943884</v>
      </c>
      <c r="AL572" s="98" t="str">
        <f t="shared" si="600"/>
        <v>ok</v>
      </c>
    </row>
    <row r="573" spans="1:38" x14ac:dyDescent="0.25">
      <c r="F573" s="101"/>
      <c r="AL573" s="98"/>
    </row>
    <row r="574" spans="1:38" x14ac:dyDescent="0.25">
      <c r="A574" s="97" t="s">
        <v>844</v>
      </c>
      <c r="C574" s="97" t="s">
        <v>845</v>
      </c>
      <c r="F574" s="100">
        <f>SUM(F565:F573)</f>
        <v>228062836.53918952</v>
      </c>
      <c r="H574" s="101">
        <f t="shared" ref="H574:M574" si="601">SUM(H565:H573)</f>
        <v>52845706.182438992</v>
      </c>
      <c r="I574" s="101">
        <f t="shared" si="601"/>
        <v>55359222.059284404</v>
      </c>
      <c r="J574" s="101">
        <f t="shared" si="601"/>
        <v>45505093.860292643</v>
      </c>
      <c r="K574" s="101">
        <f t="shared" si="601"/>
        <v>0</v>
      </c>
      <c r="L574" s="101">
        <f t="shared" si="601"/>
        <v>0</v>
      </c>
      <c r="M574" s="101">
        <f t="shared" si="601"/>
        <v>0</v>
      </c>
      <c r="N574" s="101"/>
      <c r="O574" s="101">
        <f>SUM(O565:O573)</f>
        <v>24058002.03631277</v>
      </c>
      <c r="P574" s="101">
        <f>SUM(P565:P573)</f>
        <v>0</v>
      </c>
      <c r="Q574" s="101">
        <f>SUM(Q565:Q573)</f>
        <v>0</v>
      </c>
      <c r="S574" s="101">
        <f t="shared" ref="S574:AD574" si="602">SUM(S565:S573)</f>
        <v>0</v>
      </c>
      <c r="T574" s="101">
        <f t="shared" si="602"/>
        <v>6089358.8125094417</v>
      </c>
      <c r="U574" s="101">
        <f t="shared" si="602"/>
        <v>0</v>
      </c>
      <c r="V574" s="101">
        <f t="shared" si="602"/>
        <v>6635525.2727088071</v>
      </c>
      <c r="W574" s="101">
        <f t="shared" si="602"/>
        <v>12304984.170104707</v>
      </c>
      <c r="X574" s="101">
        <f t="shared" si="602"/>
        <v>3054705.8103803005</v>
      </c>
      <c r="Y574" s="101">
        <f t="shared" si="602"/>
        <v>4669640.576177272</v>
      </c>
      <c r="Z574" s="101">
        <f t="shared" si="602"/>
        <v>4741964.9861297403</v>
      </c>
      <c r="AA574" s="101">
        <f t="shared" si="602"/>
        <v>4219777.0502181724</v>
      </c>
      <c r="AB574" s="101">
        <f t="shared" si="602"/>
        <v>2825023.9614398843</v>
      </c>
      <c r="AC574" s="101">
        <f t="shared" si="602"/>
        <v>2410406.2593483059</v>
      </c>
      <c r="AD574" s="101">
        <f t="shared" si="602"/>
        <v>3343425.5018440876</v>
      </c>
      <c r="AF574" s="101">
        <f>SUM(AF565:AF573)</f>
        <v>0</v>
      </c>
      <c r="AH574" s="101">
        <f>SUM(AH565:AH573)</f>
        <v>0</v>
      </c>
      <c r="AJ574" s="101">
        <f>SUM(AJ565:AJ573)</f>
        <v>0</v>
      </c>
      <c r="AK574" s="101">
        <f>SUM(H574:AJ574)</f>
        <v>228062836.53918949</v>
      </c>
      <c r="AL574" s="98" t="str">
        <f>IF(ABS(AK574-F574)&lt;1,"ok","err")</f>
        <v>ok</v>
      </c>
    </row>
    <row r="575" spans="1:38" x14ac:dyDescent="0.25">
      <c r="F575" s="101"/>
      <c r="AL575" s="98"/>
    </row>
    <row r="576" spans="1:38" x14ac:dyDescent="0.25">
      <c r="A576" s="24" t="s">
        <v>273</v>
      </c>
      <c r="AL576" s="98"/>
    </row>
    <row r="577" spans="1:38" x14ac:dyDescent="0.25">
      <c r="A577" s="107" t="s">
        <v>70</v>
      </c>
      <c r="C577" s="97" t="s">
        <v>73</v>
      </c>
      <c r="D577" s="97" t="s">
        <v>1547</v>
      </c>
      <c r="F577" s="100">
        <v>0</v>
      </c>
      <c r="H577" s="101">
        <f>IF(VLOOKUP($D577,$C$5:$AJ$644,6,)=0,0,((VLOOKUP($D577,$C$5:$AJ$644,6,)/VLOOKUP($D577,$C$5:$AJ$644,4,))*$F577))</f>
        <v>0</v>
      </c>
      <c r="I577" s="101">
        <f>IF(VLOOKUP($D577,$C$5:$AJ$644,7,)=0,0,((VLOOKUP($D577,$C$5:$AJ$644,7,)/VLOOKUP($D577,$C$5:$AJ$644,4,))*$F577))</f>
        <v>0</v>
      </c>
      <c r="J577" s="101">
        <f>IF(VLOOKUP($D577,$C$5:$AJ$644,8,)=0,0,((VLOOKUP($D577,$C$5:$AJ$644,8,)/VLOOKUP($D577,$C$5:$AJ$644,4,))*$F577))</f>
        <v>0</v>
      </c>
      <c r="K577" s="101">
        <f>IF(VLOOKUP($D577,$C$5:$AJ$644,9,)=0,0,((VLOOKUP($D577,$C$5:$AJ$644,9,)/VLOOKUP($D577,$C$5:$AJ$644,4,))*$F577))</f>
        <v>0</v>
      </c>
      <c r="L577" s="101">
        <f>IF(VLOOKUP($D577,$C$5:$AJ$644,10,)=0,0,((VLOOKUP($D577,$C$5:$AJ$644,10,)/VLOOKUP($D577,$C$5:$AJ$644,4,))*$F577))</f>
        <v>0</v>
      </c>
      <c r="M577" s="101">
        <f>IF(VLOOKUP($D577,$C$5:$AJ$644,11,)=0,0,((VLOOKUP($D577,$C$5:$AJ$644,11,)/VLOOKUP($D577,$C$5:$AJ$644,4,))*$F577))</f>
        <v>0</v>
      </c>
      <c r="N577" s="101"/>
      <c r="O577" s="101">
        <f>IF(VLOOKUP($D577,$C$5:$AJ$644,13,)=0,0,((VLOOKUP($D577,$C$5:$AJ$644,13,)/VLOOKUP($D577,$C$5:$AJ$644,4,))*$F577))</f>
        <v>0</v>
      </c>
      <c r="P577" s="101">
        <f>IF(VLOOKUP($D577,$C$5:$AJ$644,14,)=0,0,((VLOOKUP($D577,$C$5:$AJ$644,14,)/VLOOKUP($D577,$C$5:$AJ$644,4,))*$F577))</f>
        <v>0</v>
      </c>
      <c r="Q577" s="101">
        <f>IF(VLOOKUP($D577,$C$5:$AJ$644,15,)=0,0,((VLOOKUP($D577,$C$5:$AJ$644,15,)/VLOOKUP($D577,$C$5:$AJ$644,4,))*$F577))</f>
        <v>0</v>
      </c>
      <c r="R577" s="101"/>
      <c r="S577" s="101">
        <f>IF(VLOOKUP($D577,$C$5:$AJ$644,17,)=0,0,((VLOOKUP($D577,$C$5:$AJ$644,17,)/VLOOKUP($D577,$C$5:$AJ$644,4,))*$F577))</f>
        <v>0</v>
      </c>
      <c r="T577" s="101">
        <f>IF(VLOOKUP($D577,$C$5:$AJ$644,18,)=0,0,((VLOOKUP($D577,$C$5:$AJ$644,18,)/VLOOKUP($D577,$C$5:$AJ$644,4,))*$F577))</f>
        <v>0</v>
      </c>
      <c r="U577" s="101">
        <f>IF(VLOOKUP($D577,$C$5:$AJ$644,19,)=0,0,((VLOOKUP($D577,$C$5:$AJ$644,19,)/VLOOKUP($D577,$C$5:$AJ$644,4,))*$F577))</f>
        <v>0</v>
      </c>
      <c r="V577" s="101">
        <f>IF(VLOOKUP($D577,$C$5:$AJ$644,20,)=0,0,((VLOOKUP($D577,$C$5:$AJ$644,20,)/VLOOKUP($D577,$C$5:$AJ$644,4,))*$F577))</f>
        <v>0</v>
      </c>
      <c r="W577" s="101">
        <f>IF(VLOOKUP($D577,$C$5:$AJ$644,21,)=0,0,((VLOOKUP($D577,$C$5:$AJ$644,21,)/VLOOKUP($D577,$C$5:$AJ$644,4,))*$F577))</f>
        <v>0</v>
      </c>
      <c r="X577" s="101">
        <f>IF(VLOOKUP($D577,$C$5:$AJ$644,22,)=0,0,((VLOOKUP($D577,$C$5:$AJ$644,22,)/VLOOKUP($D577,$C$5:$AJ$644,4,))*$F577))</f>
        <v>0</v>
      </c>
      <c r="Y577" s="101">
        <f>IF(VLOOKUP($D577,$C$5:$AJ$644,23,)=0,0,((VLOOKUP($D577,$C$5:$AJ$644,23,)/VLOOKUP($D577,$C$5:$AJ$644,4,))*$F577))</f>
        <v>0</v>
      </c>
      <c r="Z577" s="101">
        <f>IF(VLOOKUP($D577,$C$5:$AJ$644,24,)=0,0,((VLOOKUP($D577,$C$5:$AJ$644,24,)/VLOOKUP($D577,$C$5:$AJ$644,4,))*$F577))</f>
        <v>0</v>
      </c>
      <c r="AA577" s="101">
        <f>IF(VLOOKUP($D577,$C$5:$AJ$644,25,)=0,0,((VLOOKUP($D577,$C$5:$AJ$644,25,)/VLOOKUP($D577,$C$5:$AJ$644,4,))*$F577))</f>
        <v>0</v>
      </c>
      <c r="AB577" s="101">
        <f>IF(VLOOKUP($D577,$C$5:$AJ$644,26,)=0,0,((VLOOKUP($D577,$C$5:$AJ$644,26,)/VLOOKUP($D577,$C$5:$AJ$644,4,))*$F577))</f>
        <v>0</v>
      </c>
      <c r="AC577" s="101">
        <f>IF(VLOOKUP($D577,$C$5:$AJ$644,27,)=0,0,((VLOOKUP($D577,$C$5:$AJ$644,27,)/VLOOKUP($D577,$C$5:$AJ$644,4,))*$F577))</f>
        <v>0</v>
      </c>
      <c r="AD577" s="101">
        <f>IF(VLOOKUP($D577,$C$5:$AJ$644,28,)=0,0,((VLOOKUP($D577,$C$5:$AJ$644,28,)/VLOOKUP($D577,$C$5:$AJ$644,4,))*$F577))</f>
        <v>0</v>
      </c>
      <c r="AE577" s="101"/>
      <c r="AF577" s="101">
        <f>IF(VLOOKUP($D577,$C$5:$AJ$644,30,)=0,0,((VLOOKUP($D577,$C$5:$AJ$644,30,)/VLOOKUP($D577,$C$5:$AJ$644,4,))*$F577))</f>
        <v>0</v>
      </c>
      <c r="AG577" s="101"/>
      <c r="AH577" s="101">
        <f>IF(VLOOKUP($D577,$C$5:$AJ$644,32,)=0,0,((VLOOKUP($D577,$C$5:$AJ$644,32,)/VLOOKUP($D577,$C$5:$AJ$644,4,))*$F577))</f>
        <v>0</v>
      </c>
      <c r="AI577" s="101"/>
      <c r="AJ577" s="101">
        <f>IF(VLOOKUP($D577,$C$5:$AJ$644,34,)=0,0,((VLOOKUP($D577,$C$5:$AJ$644,34,)/VLOOKUP($D577,$C$5:$AJ$644,4,))*$F577))</f>
        <v>0</v>
      </c>
      <c r="AK577" s="101">
        <f>SUM(H577:AJ577)</f>
        <v>0</v>
      </c>
      <c r="AL577" s="98" t="str">
        <f>IF(ABS(AK577-F577)&lt;1,"ok","err")</f>
        <v>ok</v>
      </c>
    </row>
    <row r="578" spans="1:38" x14ac:dyDescent="0.25">
      <c r="A578" s="107" t="s">
        <v>71</v>
      </c>
      <c r="C578" s="97" t="s">
        <v>74</v>
      </c>
      <c r="D578" s="97" t="s">
        <v>491</v>
      </c>
      <c r="F578" s="101">
        <f>'Jurisdictional Study'!F1208</f>
        <v>0</v>
      </c>
      <c r="H578" s="101">
        <f>IF(VLOOKUP($D578,$C$5:$AJ$644,6,)=0,0,((VLOOKUP($D578,$C$5:$AJ$644,6,)/VLOOKUP($D578,$C$5:$AJ$644,4,))*$F578))</f>
        <v>0</v>
      </c>
      <c r="I578" s="101">
        <f>IF(VLOOKUP($D578,$C$5:$AJ$644,7,)=0,0,((VLOOKUP($D578,$C$5:$AJ$644,7,)/VLOOKUP($D578,$C$5:$AJ$644,4,))*$F578))</f>
        <v>0</v>
      </c>
      <c r="J578" s="101">
        <f>IF(VLOOKUP($D578,$C$5:$AJ$644,8,)=0,0,((VLOOKUP($D578,$C$5:$AJ$644,8,)/VLOOKUP($D578,$C$5:$AJ$644,4,))*$F578))</f>
        <v>0</v>
      </c>
      <c r="K578" s="101">
        <f>IF(VLOOKUP($D578,$C$5:$AJ$644,9,)=0,0,((VLOOKUP($D578,$C$5:$AJ$644,9,)/VLOOKUP($D578,$C$5:$AJ$644,4,))*$F578))</f>
        <v>0</v>
      </c>
      <c r="L578" s="101">
        <f>IF(VLOOKUP($D578,$C$5:$AJ$644,10,)=0,0,((VLOOKUP($D578,$C$5:$AJ$644,10,)/VLOOKUP($D578,$C$5:$AJ$644,4,))*$F578))</f>
        <v>0</v>
      </c>
      <c r="M578" s="101">
        <f>IF(VLOOKUP($D578,$C$5:$AJ$644,11,)=0,0,((VLOOKUP($D578,$C$5:$AJ$644,11,)/VLOOKUP($D578,$C$5:$AJ$644,4,))*$F578))</f>
        <v>0</v>
      </c>
      <c r="N578" s="101"/>
      <c r="O578" s="101">
        <f>IF(VLOOKUP($D578,$C$5:$AJ$644,13,)=0,0,((VLOOKUP($D578,$C$5:$AJ$644,13,)/VLOOKUP($D578,$C$5:$AJ$644,4,))*$F578))</f>
        <v>0</v>
      </c>
      <c r="P578" s="101">
        <f>IF(VLOOKUP($D578,$C$5:$AJ$644,14,)=0,0,((VLOOKUP($D578,$C$5:$AJ$644,14,)/VLOOKUP($D578,$C$5:$AJ$644,4,))*$F578))</f>
        <v>0</v>
      </c>
      <c r="Q578" s="101">
        <f>IF(VLOOKUP($D578,$C$5:$AJ$644,15,)=0,0,((VLOOKUP($D578,$C$5:$AJ$644,15,)/VLOOKUP($D578,$C$5:$AJ$644,4,))*$F578))</f>
        <v>0</v>
      </c>
      <c r="R578" s="101"/>
      <c r="S578" s="101">
        <f>IF(VLOOKUP($D578,$C$5:$AJ$644,17,)=0,0,((VLOOKUP($D578,$C$5:$AJ$644,17,)/VLOOKUP($D578,$C$5:$AJ$644,4,))*$F578))</f>
        <v>0</v>
      </c>
      <c r="T578" s="101">
        <f>IF(VLOOKUP($D578,$C$5:$AJ$644,18,)=0,0,((VLOOKUP($D578,$C$5:$AJ$644,18,)/VLOOKUP($D578,$C$5:$AJ$644,4,))*$F578))</f>
        <v>0</v>
      </c>
      <c r="U578" s="101">
        <f>IF(VLOOKUP($D578,$C$5:$AJ$644,19,)=0,0,((VLOOKUP($D578,$C$5:$AJ$644,19,)/VLOOKUP($D578,$C$5:$AJ$644,4,))*$F578))</f>
        <v>0</v>
      </c>
      <c r="V578" s="101">
        <f>IF(VLOOKUP($D578,$C$5:$AJ$644,20,)=0,0,((VLOOKUP($D578,$C$5:$AJ$644,20,)/VLOOKUP($D578,$C$5:$AJ$644,4,))*$F578))</f>
        <v>0</v>
      </c>
      <c r="W578" s="101">
        <f>IF(VLOOKUP($D578,$C$5:$AJ$644,21,)=0,0,((VLOOKUP($D578,$C$5:$AJ$644,21,)/VLOOKUP($D578,$C$5:$AJ$644,4,))*$F578))</f>
        <v>0</v>
      </c>
      <c r="X578" s="101">
        <f>IF(VLOOKUP($D578,$C$5:$AJ$644,22,)=0,0,((VLOOKUP($D578,$C$5:$AJ$644,22,)/VLOOKUP($D578,$C$5:$AJ$644,4,))*$F578))</f>
        <v>0</v>
      </c>
      <c r="Y578" s="101">
        <f>IF(VLOOKUP($D578,$C$5:$AJ$644,23,)=0,0,((VLOOKUP($D578,$C$5:$AJ$644,23,)/VLOOKUP($D578,$C$5:$AJ$644,4,))*$F578))</f>
        <v>0</v>
      </c>
      <c r="Z578" s="101">
        <f>IF(VLOOKUP($D578,$C$5:$AJ$644,24,)=0,0,((VLOOKUP($D578,$C$5:$AJ$644,24,)/VLOOKUP($D578,$C$5:$AJ$644,4,))*$F578))</f>
        <v>0</v>
      </c>
      <c r="AA578" s="101">
        <f>IF(VLOOKUP($D578,$C$5:$AJ$644,25,)=0,0,((VLOOKUP($D578,$C$5:$AJ$644,25,)/VLOOKUP($D578,$C$5:$AJ$644,4,))*$F578))</f>
        <v>0</v>
      </c>
      <c r="AB578" s="101">
        <f>IF(VLOOKUP($D578,$C$5:$AJ$644,26,)=0,0,((VLOOKUP($D578,$C$5:$AJ$644,26,)/VLOOKUP($D578,$C$5:$AJ$644,4,))*$F578))</f>
        <v>0</v>
      </c>
      <c r="AC578" s="101">
        <f>IF(VLOOKUP($D578,$C$5:$AJ$644,27,)=0,0,((VLOOKUP($D578,$C$5:$AJ$644,27,)/VLOOKUP($D578,$C$5:$AJ$644,4,))*$F578))</f>
        <v>0</v>
      </c>
      <c r="AD578" s="101">
        <f>IF(VLOOKUP($D578,$C$5:$AJ$644,28,)=0,0,((VLOOKUP($D578,$C$5:$AJ$644,28,)/VLOOKUP($D578,$C$5:$AJ$644,4,))*$F578))</f>
        <v>0</v>
      </c>
      <c r="AE578" s="101"/>
      <c r="AF578" s="101">
        <f>IF(VLOOKUP($D578,$C$5:$AJ$644,30,)=0,0,((VLOOKUP($D578,$C$5:$AJ$644,30,)/VLOOKUP($D578,$C$5:$AJ$644,4,))*$F578))</f>
        <v>0</v>
      </c>
      <c r="AG578" s="101"/>
      <c r="AH578" s="101">
        <f>IF(VLOOKUP($D578,$C$5:$AJ$644,32,)=0,0,((VLOOKUP($D578,$C$5:$AJ$644,32,)/VLOOKUP($D578,$C$5:$AJ$644,4,))*$F578))</f>
        <v>0</v>
      </c>
      <c r="AI578" s="101"/>
      <c r="AJ578" s="101">
        <f>IF(VLOOKUP($D578,$C$5:$AJ$644,34,)=0,0,((VLOOKUP($D578,$C$5:$AJ$644,34,)/VLOOKUP($D578,$C$5:$AJ$644,4,))*$F578))</f>
        <v>0</v>
      </c>
      <c r="AK578" s="101">
        <f>SUM(H578:AJ578)</f>
        <v>0</v>
      </c>
      <c r="AL578" s="98" t="str">
        <f>IF(ABS(AK578-F578)&lt;1,"ok","err")</f>
        <v>ok</v>
      </c>
    </row>
    <row r="579" spans="1:38" x14ac:dyDescent="0.25">
      <c r="A579" s="107" t="s">
        <v>589</v>
      </c>
      <c r="D579" s="97" t="s">
        <v>115</v>
      </c>
      <c r="F579" s="101">
        <f>'Jurisdictional Study'!F1216</f>
        <v>0</v>
      </c>
      <c r="H579" s="101">
        <f>IF(VLOOKUP($D579,$C$5:$AJ$644,6,)=0,0,((VLOOKUP($D579,$C$5:$AJ$644,6,)/VLOOKUP($D579,$C$5:$AJ$644,4,))*$F579))</f>
        <v>0</v>
      </c>
      <c r="I579" s="101">
        <f>IF(VLOOKUP($D579,$C$5:$AJ$644,7,)=0,0,((VLOOKUP($D579,$C$5:$AJ$644,7,)/VLOOKUP($D579,$C$5:$AJ$644,4,))*$F579))</f>
        <v>0</v>
      </c>
      <c r="J579" s="101">
        <f>IF(VLOOKUP($D579,$C$5:$AJ$644,8,)=0,0,((VLOOKUP($D579,$C$5:$AJ$644,8,)/VLOOKUP($D579,$C$5:$AJ$644,4,))*$F579))</f>
        <v>0</v>
      </c>
      <c r="K579" s="101">
        <f>IF(VLOOKUP($D579,$C$5:$AJ$644,9,)=0,0,((VLOOKUP($D579,$C$5:$AJ$644,9,)/VLOOKUP($D579,$C$5:$AJ$644,4,))*$F579))</f>
        <v>0</v>
      </c>
      <c r="L579" s="101">
        <f>IF(VLOOKUP($D579,$C$5:$AJ$644,10,)=0,0,((VLOOKUP($D579,$C$5:$AJ$644,10,)/VLOOKUP($D579,$C$5:$AJ$644,4,))*$F579))</f>
        <v>0</v>
      </c>
      <c r="M579" s="101">
        <f>IF(VLOOKUP($D579,$C$5:$AJ$644,11,)=0,0,((VLOOKUP($D579,$C$5:$AJ$644,11,)/VLOOKUP($D579,$C$5:$AJ$644,4,))*$F579))</f>
        <v>0</v>
      </c>
      <c r="N579" s="101"/>
      <c r="O579" s="101">
        <f>IF(VLOOKUP($D579,$C$5:$AJ$644,13,)=0,0,((VLOOKUP($D579,$C$5:$AJ$644,13,)/VLOOKUP($D579,$C$5:$AJ$644,4,))*$F579))</f>
        <v>0</v>
      </c>
      <c r="P579" s="101">
        <f>IF(VLOOKUP($D579,$C$5:$AJ$644,14,)=0,0,((VLOOKUP($D579,$C$5:$AJ$644,14,)/VLOOKUP($D579,$C$5:$AJ$644,4,))*$F579))</f>
        <v>0</v>
      </c>
      <c r="Q579" s="101">
        <f>IF(VLOOKUP($D579,$C$5:$AJ$644,15,)=0,0,((VLOOKUP($D579,$C$5:$AJ$644,15,)/VLOOKUP($D579,$C$5:$AJ$644,4,))*$F579))</f>
        <v>0</v>
      </c>
      <c r="R579" s="101"/>
      <c r="S579" s="101">
        <f>IF(VLOOKUP($D579,$C$5:$AJ$644,17,)=0,0,((VLOOKUP($D579,$C$5:$AJ$644,17,)/VLOOKUP($D579,$C$5:$AJ$644,4,))*$F579))</f>
        <v>0</v>
      </c>
      <c r="T579" s="101">
        <f>IF(VLOOKUP($D579,$C$5:$AJ$644,18,)=0,0,((VLOOKUP($D579,$C$5:$AJ$644,18,)/VLOOKUP($D579,$C$5:$AJ$644,4,))*$F579))</f>
        <v>0</v>
      </c>
      <c r="U579" s="101">
        <f>IF(VLOOKUP($D579,$C$5:$AJ$644,19,)=0,0,((VLOOKUP($D579,$C$5:$AJ$644,19,)/VLOOKUP($D579,$C$5:$AJ$644,4,))*$F579))</f>
        <v>0</v>
      </c>
      <c r="V579" s="101">
        <f>IF(VLOOKUP($D579,$C$5:$AJ$644,20,)=0,0,((VLOOKUP($D579,$C$5:$AJ$644,20,)/VLOOKUP($D579,$C$5:$AJ$644,4,))*$F579))</f>
        <v>0</v>
      </c>
      <c r="W579" s="101">
        <f>IF(VLOOKUP($D579,$C$5:$AJ$644,21,)=0,0,((VLOOKUP($D579,$C$5:$AJ$644,21,)/VLOOKUP($D579,$C$5:$AJ$644,4,))*$F579))</f>
        <v>0</v>
      </c>
      <c r="X579" s="101">
        <f>IF(VLOOKUP($D579,$C$5:$AJ$644,22,)=0,0,((VLOOKUP($D579,$C$5:$AJ$644,22,)/VLOOKUP($D579,$C$5:$AJ$644,4,))*$F579))</f>
        <v>0</v>
      </c>
      <c r="Y579" s="101">
        <f>IF(VLOOKUP($D579,$C$5:$AJ$644,23,)=0,0,((VLOOKUP($D579,$C$5:$AJ$644,23,)/VLOOKUP($D579,$C$5:$AJ$644,4,))*$F579))</f>
        <v>0</v>
      </c>
      <c r="Z579" s="101">
        <f>IF(VLOOKUP($D579,$C$5:$AJ$644,24,)=0,0,((VLOOKUP($D579,$C$5:$AJ$644,24,)/VLOOKUP($D579,$C$5:$AJ$644,4,))*$F579))</f>
        <v>0</v>
      </c>
      <c r="AA579" s="101">
        <f>IF(VLOOKUP($D579,$C$5:$AJ$644,25,)=0,0,((VLOOKUP($D579,$C$5:$AJ$644,25,)/VLOOKUP($D579,$C$5:$AJ$644,4,))*$F579))</f>
        <v>0</v>
      </c>
      <c r="AB579" s="101">
        <f>IF(VLOOKUP($D579,$C$5:$AJ$644,26,)=0,0,((VLOOKUP($D579,$C$5:$AJ$644,26,)/VLOOKUP($D579,$C$5:$AJ$644,4,))*$F579))</f>
        <v>0</v>
      </c>
      <c r="AC579" s="101">
        <f>IF(VLOOKUP($D579,$C$5:$AJ$644,27,)=0,0,((VLOOKUP($D579,$C$5:$AJ$644,27,)/VLOOKUP($D579,$C$5:$AJ$644,4,))*$F579))</f>
        <v>0</v>
      </c>
      <c r="AD579" s="101">
        <f>IF(VLOOKUP($D579,$C$5:$AJ$644,28,)=0,0,((VLOOKUP($D579,$C$5:$AJ$644,28,)/VLOOKUP($D579,$C$5:$AJ$644,4,))*$F579))</f>
        <v>0</v>
      </c>
      <c r="AE579" s="101"/>
      <c r="AF579" s="101">
        <f>IF(VLOOKUP($D579,$C$5:$AJ$644,30,)=0,0,((VLOOKUP($D579,$C$5:$AJ$644,30,)/VLOOKUP($D579,$C$5:$AJ$644,4,))*$F579))</f>
        <v>0</v>
      </c>
      <c r="AG579" s="101"/>
      <c r="AH579" s="101">
        <f>IF(VLOOKUP($D579,$C$5:$AJ$644,32,)=0,0,((VLOOKUP($D579,$C$5:$AJ$644,32,)/VLOOKUP($D579,$C$5:$AJ$644,4,))*$F579))</f>
        <v>0</v>
      </c>
      <c r="AI579" s="101"/>
      <c r="AJ579" s="101">
        <f>IF(VLOOKUP($D579,$C$5:$AJ$644,34,)=0,0,((VLOOKUP($D579,$C$5:$AJ$644,34,)/VLOOKUP($D579,$C$5:$AJ$644,4,))*$F579))</f>
        <v>0</v>
      </c>
      <c r="AK579" s="101">
        <f>SUM(H579:AJ579)</f>
        <v>0</v>
      </c>
      <c r="AL579" s="98" t="str">
        <f>IF(ABS(AK579-F579)&lt;1,"ok","err")</f>
        <v>ok</v>
      </c>
    </row>
    <row r="580" spans="1:38" x14ac:dyDescent="0.25">
      <c r="F580" s="101"/>
      <c r="AL580" s="98"/>
    </row>
    <row r="581" spans="1:38" x14ac:dyDescent="0.25">
      <c r="A581" s="97" t="s">
        <v>274</v>
      </c>
      <c r="C581" s="97" t="s">
        <v>72</v>
      </c>
      <c r="F581" s="100">
        <f>SUM(F577:F579)</f>
        <v>0</v>
      </c>
      <c r="H581" s="100">
        <f t="shared" ref="H581:M581" si="603">SUM(H577:H579)</f>
        <v>0</v>
      </c>
      <c r="I581" s="100">
        <f t="shared" si="603"/>
        <v>0</v>
      </c>
      <c r="J581" s="100">
        <f t="shared" si="603"/>
        <v>0</v>
      </c>
      <c r="K581" s="100">
        <f t="shared" si="603"/>
        <v>0</v>
      </c>
      <c r="L581" s="100">
        <f t="shared" si="603"/>
        <v>0</v>
      </c>
      <c r="M581" s="100">
        <f t="shared" si="603"/>
        <v>0</v>
      </c>
      <c r="N581" s="101"/>
      <c r="O581" s="100">
        <f>SUM(O577:O579)</f>
        <v>0</v>
      </c>
      <c r="P581" s="100">
        <f>SUM(P577:P579)</f>
        <v>0</v>
      </c>
      <c r="Q581" s="100">
        <f>SUM(Q577:Q579)</f>
        <v>0</v>
      </c>
      <c r="S581" s="100">
        <f t="shared" ref="S581:AD581" si="604">SUM(S577:S579)</f>
        <v>0</v>
      </c>
      <c r="T581" s="100">
        <f t="shared" si="604"/>
        <v>0</v>
      </c>
      <c r="U581" s="100">
        <f t="shared" si="604"/>
        <v>0</v>
      </c>
      <c r="V581" s="100">
        <f t="shared" si="604"/>
        <v>0</v>
      </c>
      <c r="W581" s="100">
        <f t="shared" si="604"/>
        <v>0</v>
      </c>
      <c r="X581" s="100">
        <f t="shared" si="604"/>
        <v>0</v>
      </c>
      <c r="Y581" s="100">
        <f t="shared" si="604"/>
        <v>0</v>
      </c>
      <c r="Z581" s="100">
        <f t="shared" si="604"/>
        <v>0</v>
      </c>
      <c r="AA581" s="100">
        <f t="shared" si="604"/>
        <v>0</v>
      </c>
      <c r="AB581" s="100">
        <f t="shared" si="604"/>
        <v>0</v>
      </c>
      <c r="AC581" s="100">
        <f t="shared" si="604"/>
        <v>0</v>
      </c>
      <c r="AD581" s="100">
        <f t="shared" si="604"/>
        <v>0</v>
      </c>
      <c r="AF581" s="100">
        <f>SUM(AF577:AF579)</f>
        <v>0</v>
      </c>
      <c r="AG581" s="100">
        <f>SUM(AG577:AG579)</f>
        <v>0</v>
      </c>
      <c r="AH581" s="100">
        <f>SUM(AH577:AH579)</f>
        <v>0</v>
      </c>
      <c r="AJ581" s="100">
        <f>SUM(AJ577:AJ579)</f>
        <v>0</v>
      </c>
      <c r="AK581" s="101">
        <f>SUM(H581:AJ581)</f>
        <v>0</v>
      </c>
      <c r="AL581" s="98" t="str">
        <f>IF(ABS(AK581-F581)&lt;1,"ok","err")</f>
        <v>ok</v>
      </c>
    </row>
    <row r="582" spans="1:38" x14ac:dyDescent="0.25">
      <c r="F582" s="101"/>
      <c r="AL582" s="98"/>
    </row>
    <row r="583" spans="1:38" x14ac:dyDescent="0.25">
      <c r="A583" s="97" t="s">
        <v>393</v>
      </c>
      <c r="C583" s="97" t="s">
        <v>394</v>
      </c>
      <c r="D583" s="97" t="s">
        <v>196</v>
      </c>
      <c r="F583" s="100">
        <f>'Jurisdictional Study'!F1223-1777924</f>
        <v>24894100.893674199</v>
      </c>
      <c r="H583" s="101">
        <f>IF(VLOOKUP($D583,$C$5:$AJ$644,6,)=0,0,((VLOOKUP($D583,$C$5:$AJ$644,6,)/VLOOKUP($D583,$C$5:$AJ$644,4,))*$F583))</f>
        <v>5182784.4920048928</v>
      </c>
      <c r="I583" s="101">
        <f>IF(VLOOKUP($D583,$C$5:$AJ$644,7,)=0,0,((VLOOKUP($D583,$C$5:$AJ$644,7,)/VLOOKUP($D583,$C$5:$AJ$644,4,))*$F583))</f>
        <v>5429294.7962091612</v>
      </c>
      <c r="J583" s="101">
        <f>IF(VLOOKUP($D583,$C$5:$AJ$644,8,)=0,0,((VLOOKUP($D583,$C$5:$AJ$644,8,)/VLOOKUP($D583,$C$5:$AJ$644,4,))*$F583))</f>
        <v>4462862.014789843</v>
      </c>
      <c r="K583" s="101">
        <f>IF(VLOOKUP($D583,$C$5:$AJ$644,9,)=0,0,((VLOOKUP($D583,$C$5:$AJ$644,9,)/VLOOKUP($D583,$C$5:$AJ$644,4,))*$F583))</f>
        <v>0</v>
      </c>
      <c r="L583" s="101">
        <f>IF(VLOOKUP($D583,$C$5:$AJ$644,10,)=0,0,((VLOOKUP($D583,$C$5:$AJ$644,10,)/VLOOKUP($D583,$C$5:$AJ$644,4,))*$F583))</f>
        <v>0</v>
      </c>
      <c r="M583" s="101">
        <f>IF(VLOOKUP($D583,$C$5:$AJ$644,11,)=0,0,((VLOOKUP($D583,$C$5:$AJ$644,11,)/VLOOKUP($D583,$C$5:$AJ$644,4,))*$F583))</f>
        <v>0</v>
      </c>
      <c r="N583" s="101"/>
      <c r="O583" s="101">
        <f>IF(VLOOKUP($D583,$C$5:$AJ$644,13,)=0,0,((VLOOKUP($D583,$C$5:$AJ$644,13,)/VLOOKUP($D583,$C$5:$AJ$644,4,))*$F583))</f>
        <v>3342931.7179400311</v>
      </c>
      <c r="P583" s="101">
        <f>IF(VLOOKUP($D583,$C$5:$AJ$644,14,)=0,0,((VLOOKUP($D583,$C$5:$AJ$644,14,)/VLOOKUP($D583,$C$5:$AJ$644,4,))*$F583))</f>
        <v>0</v>
      </c>
      <c r="Q583" s="101">
        <f>IF(VLOOKUP($D583,$C$5:$AJ$644,15,)=0,0,((VLOOKUP($D583,$C$5:$AJ$644,15,)/VLOOKUP($D583,$C$5:$AJ$644,4,))*$F583))</f>
        <v>0</v>
      </c>
      <c r="R583" s="101"/>
      <c r="S583" s="101">
        <f>IF(VLOOKUP($D583,$C$5:$AJ$644,17,)=0,0,((VLOOKUP($D583,$C$5:$AJ$644,17,)/VLOOKUP($D583,$C$5:$AJ$644,4,))*$F583))</f>
        <v>0</v>
      </c>
      <c r="T583" s="101">
        <f>IF(VLOOKUP($D583,$C$5:$AJ$644,18,)=0,0,((VLOOKUP($D583,$C$5:$AJ$644,18,)/VLOOKUP($D583,$C$5:$AJ$644,4,))*$F583))</f>
        <v>784098.26751743548</v>
      </c>
      <c r="U583" s="101">
        <f>IF(VLOOKUP($D583,$C$5:$AJ$644,19,)=0,0,((VLOOKUP($D583,$C$5:$AJ$644,19,)/VLOOKUP($D583,$C$5:$AJ$644,4,))*$F583))</f>
        <v>0</v>
      </c>
      <c r="V583" s="101">
        <f>IF(VLOOKUP($D583,$C$5:$AJ$644,20,)=0,0,((VLOOKUP($D583,$C$5:$AJ$644,20,)/VLOOKUP($D583,$C$5:$AJ$644,4,))*$F583))</f>
        <v>854425.56935727748</v>
      </c>
      <c r="W583" s="101">
        <f>IF(VLOOKUP($D583,$C$5:$AJ$644,21,)=0,0,((VLOOKUP($D583,$C$5:$AJ$644,21,)/VLOOKUP($D583,$C$5:$AJ$644,4,))*$F583))</f>
        <v>1584455.2877698585</v>
      </c>
      <c r="X583" s="101">
        <f>IF(VLOOKUP($D583,$C$5:$AJ$644,22,)=0,0,((VLOOKUP($D583,$C$5:$AJ$644,22,)/VLOOKUP($D583,$C$5:$AJ$644,4,))*$F583))</f>
        <v>393340.18694614794</v>
      </c>
      <c r="Y583" s="101">
        <f>IF(VLOOKUP($D583,$C$5:$AJ$644,23,)=0,0,((VLOOKUP($D583,$C$5:$AJ$644,23,)/VLOOKUP($D583,$C$5:$AJ$644,4,))*$F583))</f>
        <v>601287.78717850288</v>
      </c>
      <c r="Z583" s="101">
        <f>IF(VLOOKUP($D583,$C$5:$AJ$644,24,)=0,0,((VLOOKUP($D583,$C$5:$AJ$644,24,)/VLOOKUP($D583,$C$5:$AJ$644,4,))*$F583))</f>
        <v>610600.66334314167</v>
      </c>
      <c r="AA583" s="101">
        <f>IF(VLOOKUP($D583,$C$5:$AJ$644,25,)=0,0,((VLOOKUP($D583,$C$5:$AJ$644,25,)/VLOOKUP($D583,$C$5:$AJ$644,4,))*$F583))</f>
        <v>543360.9639801092</v>
      </c>
      <c r="AB583" s="101">
        <f>IF(VLOOKUP($D583,$C$5:$AJ$644,26,)=0,0,((VLOOKUP($D583,$C$5:$AJ$644,26,)/VLOOKUP($D583,$C$5:$AJ$644,4,))*$F583))</f>
        <v>363765.12898365542</v>
      </c>
      <c r="AC583" s="101">
        <f>IF(VLOOKUP($D583,$C$5:$AJ$644,27,)=0,0,((VLOOKUP($D583,$C$5:$AJ$644,27,)/VLOOKUP($D583,$C$5:$AJ$644,4,))*$F583))</f>
        <v>310376.7457561458</v>
      </c>
      <c r="AD583" s="101">
        <f>IF(VLOOKUP($D583,$C$5:$AJ$644,28,)=0,0,((VLOOKUP($D583,$C$5:$AJ$644,28,)/VLOOKUP($D583,$C$5:$AJ$644,4,))*$F583))</f>
        <v>430517.27189799212</v>
      </c>
      <c r="AE583" s="101"/>
      <c r="AF583" s="101">
        <f>IF(VLOOKUP($D583,$C$5:$AJ$644,30,)=0,0,((VLOOKUP($D583,$C$5:$AJ$644,30,)/VLOOKUP($D583,$C$5:$AJ$644,4,))*$F583))</f>
        <v>0</v>
      </c>
      <c r="AG583" s="101"/>
      <c r="AH583" s="101">
        <f>IF(VLOOKUP($D583,$C$5:$AJ$644,32,)=0,0,((VLOOKUP($D583,$C$5:$AJ$644,32,)/VLOOKUP($D583,$C$5:$AJ$644,4,))*$F583))</f>
        <v>0</v>
      </c>
      <c r="AI583" s="101"/>
      <c r="AJ583" s="101">
        <f>IF(VLOOKUP($D583,$C$5:$AJ$644,34,)=0,0,((VLOOKUP($D583,$C$5:$AJ$644,34,)/VLOOKUP($D583,$C$5:$AJ$644,4,))*$F583))</f>
        <v>0</v>
      </c>
      <c r="AK583" s="101">
        <f>SUM(H583:AJ583)</f>
        <v>24894100.893674187</v>
      </c>
      <c r="AL583" s="98" t="str">
        <f>IF(ABS(AK583-F583)&lt;1,"ok","err")</f>
        <v>ok</v>
      </c>
    </row>
    <row r="584" spans="1:38" x14ac:dyDescent="0.25">
      <c r="AL584" s="98"/>
    </row>
    <row r="585" spans="1:38" x14ac:dyDescent="0.25">
      <c r="A585" s="97" t="s">
        <v>428</v>
      </c>
      <c r="C585" s="97" t="s">
        <v>1755</v>
      </c>
      <c r="D585" s="97" t="s">
        <v>196</v>
      </c>
      <c r="F585" s="100">
        <f>SUM('Jurisdictional Study'!$F$1224:$F$1228)</f>
        <v>12926774.34840117</v>
      </c>
      <c r="G585" s="100">
        <v>600157</v>
      </c>
      <c r="H585" s="101">
        <f>IF(VLOOKUP($D585,$C$5:$AJ$644,6,)=0,0,((VLOOKUP($D585,$C$5:$AJ$644,6,)/VLOOKUP($D585,$C$5:$AJ$644,4,))*$F585))</f>
        <v>2691267.5380682121</v>
      </c>
      <c r="I585" s="101">
        <f>IF(VLOOKUP($D585,$C$5:$AJ$644,7,)=0,0,((VLOOKUP($D585,$C$5:$AJ$644,7,)/VLOOKUP($D585,$C$5:$AJ$644,4,))*$F585))</f>
        <v>2819273.0880824341</v>
      </c>
      <c r="J585" s="101">
        <f>IF(VLOOKUP($D585,$C$5:$AJ$644,8,)=0,0,((VLOOKUP($D585,$C$5:$AJ$644,8,)/VLOOKUP($D585,$C$5:$AJ$644,4,))*$F585))</f>
        <v>2317432.9717567316</v>
      </c>
      <c r="K585" s="101">
        <f>IF(VLOOKUP($D585,$C$5:$AJ$644,9,)=0,0,((VLOOKUP($D585,$C$5:$AJ$644,9,)/VLOOKUP($D585,$C$5:$AJ$644,4,))*$F585))</f>
        <v>0</v>
      </c>
      <c r="L585" s="101">
        <f>IF(VLOOKUP($D585,$C$5:$AJ$644,10,)=0,0,((VLOOKUP($D585,$C$5:$AJ$644,10,)/VLOOKUP($D585,$C$5:$AJ$644,4,))*$F585))</f>
        <v>0</v>
      </c>
      <c r="M585" s="101">
        <f>IF(VLOOKUP($D585,$C$5:$AJ$644,11,)=0,0,((VLOOKUP($D585,$C$5:$AJ$644,11,)/VLOOKUP($D585,$C$5:$AJ$644,4,))*$F585))</f>
        <v>0</v>
      </c>
      <c r="N585" s="101"/>
      <c r="O585" s="101">
        <f>IF(VLOOKUP($D585,$C$5:$AJ$644,13,)=0,0,((VLOOKUP($D585,$C$5:$AJ$644,13,)/VLOOKUP($D585,$C$5:$AJ$644,4,))*$F585))</f>
        <v>1735886.1107092532</v>
      </c>
      <c r="P585" s="101">
        <f>IF(VLOOKUP($D585,$C$5:$AJ$644,14,)=0,0,((VLOOKUP($D585,$C$5:$AJ$644,14,)/VLOOKUP($D585,$C$5:$AJ$644,4,))*$F585))</f>
        <v>0</v>
      </c>
      <c r="Q585" s="101">
        <f>IF(VLOOKUP($D585,$C$5:$AJ$644,15,)=0,0,((VLOOKUP($D585,$C$5:$AJ$644,15,)/VLOOKUP($D585,$C$5:$AJ$644,4,))*$F585))</f>
        <v>0</v>
      </c>
      <c r="R585" s="101"/>
      <c r="S585" s="101">
        <f>IF(VLOOKUP($D585,$C$5:$AJ$644,17,)=0,0,((VLOOKUP($D585,$C$5:$AJ$644,17,)/VLOOKUP($D585,$C$5:$AJ$644,4,))*$F585))</f>
        <v>0</v>
      </c>
      <c r="T585" s="101">
        <f>IF(VLOOKUP($D585,$C$5:$AJ$644,18,)=0,0,((VLOOKUP($D585,$C$5:$AJ$644,18,)/VLOOKUP($D585,$C$5:$AJ$644,4,))*$F585))</f>
        <v>407159.16652148665</v>
      </c>
      <c r="U585" s="101">
        <f>IF(VLOOKUP($D585,$C$5:$AJ$644,19,)=0,0,((VLOOKUP($D585,$C$5:$AJ$644,19,)/VLOOKUP($D585,$C$5:$AJ$644,4,))*$F585))</f>
        <v>0</v>
      </c>
      <c r="V585" s="101">
        <f>IF(VLOOKUP($D585,$C$5:$AJ$644,20,)=0,0,((VLOOKUP($D585,$C$5:$AJ$644,20,)/VLOOKUP($D585,$C$5:$AJ$644,4,))*$F585))</f>
        <v>443678.06572971429</v>
      </c>
      <c r="W585" s="101">
        <f>IF(VLOOKUP($D585,$C$5:$AJ$644,21,)=0,0,((VLOOKUP($D585,$C$5:$AJ$644,21,)/VLOOKUP($D585,$C$5:$AJ$644,4,))*$F585))</f>
        <v>822761.02509637631</v>
      </c>
      <c r="X585" s="101">
        <f>IF(VLOOKUP($D585,$C$5:$AJ$644,22,)=0,0,((VLOOKUP($D585,$C$5:$AJ$644,22,)/VLOOKUP($D585,$C$5:$AJ$644,4,))*$F585))</f>
        <v>204249.98920538765</v>
      </c>
      <c r="Y585" s="101">
        <f>IF(VLOOKUP($D585,$C$5:$AJ$644,23,)=0,0,((VLOOKUP($D585,$C$5:$AJ$644,23,)/VLOOKUP($D585,$C$5:$AJ$644,4,))*$F585))</f>
        <v>312231.06134679017</v>
      </c>
      <c r="Z585" s="101">
        <f>IF(VLOOKUP($D585,$C$5:$AJ$644,24,)=0,0,((VLOOKUP($D585,$C$5:$AJ$644,24,)/VLOOKUP($D585,$C$5:$AJ$644,4,))*$F585))</f>
        <v>317066.9640061821</v>
      </c>
      <c r="AA585" s="101">
        <f>IF(VLOOKUP($D585,$C$5:$AJ$644,25,)=0,0,((VLOOKUP($D585,$C$5:$AJ$644,25,)/VLOOKUP($D585,$C$5:$AJ$644,4,))*$F585))</f>
        <v>282151.36594410776</v>
      </c>
      <c r="AB585" s="101">
        <f>IF(VLOOKUP($D585,$C$5:$AJ$644,26,)=0,0,((VLOOKUP($D585,$C$5:$AJ$644,26,)/VLOOKUP($D585,$C$5:$AJ$644,4,))*$F585))</f>
        <v>188892.53153881355</v>
      </c>
      <c r="AC585" s="101">
        <f>IF(VLOOKUP($D585,$C$5:$AJ$644,27,)=0,0,((VLOOKUP($D585,$C$5:$AJ$644,27,)/VLOOKUP($D585,$C$5:$AJ$644,4,))*$F585))</f>
        <v>161169.51451740533</v>
      </c>
      <c r="AD585" s="101">
        <f>IF(VLOOKUP($D585,$C$5:$AJ$644,28,)=0,0,((VLOOKUP($D585,$C$5:$AJ$644,28,)/VLOOKUP($D585,$C$5:$AJ$644,4,))*$F585))</f>
        <v>223554.95587827321</v>
      </c>
      <c r="AE585" s="101"/>
      <c r="AF585" s="101">
        <f>IF(VLOOKUP($D585,$C$5:$AJ$644,30,)=0,0,((VLOOKUP($D585,$C$5:$AJ$644,30,)/VLOOKUP($D585,$C$5:$AJ$644,4,))*$F585))</f>
        <v>0</v>
      </c>
      <c r="AG585" s="101"/>
      <c r="AH585" s="101">
        <f>IF(VLOOKUP($D585,$C$5:$AJ$644,32,)=0,0,((VLOOKUP($D585,$C$5:$AJ$644,32,)/VLOOKUP($D585,$C$5:$AJ$644,4,))*$F585))</f>
        <v>0</v>
      </c>
      <c r="AI585" s="101"/>
      <c r="AJ585" s="101">
        <f>IF(VLOOKUP($D585,$C$5:$AJ$644,34,)=0,0,((VLOOKUP($D585,$C$5:$AJ$644,34,)/VLOOKUP($D585,$C$5:$AJ$644,4,))*$F585))</f>
        <v>0</v>
      </c>
      <c r="AK585" s="101">
        <f>SUM(H585:AJ585)</f>
        <v>12926774.348401168</v>
      </c>
      <c r="AL585" s="98" t="str">
        <f>IF(ABS(AK585-F585)&lt;1,"ok","err")</f>
        <v>ok</v>
      </c>
    </row>
    <row r="586" spans="1:38" x14ac:dyDescent="0.25">
      <c r="Y586" s="97"/>
    </row>
    <row r="587" spans="1:38" x14ac:dyDescent="0.25">
      <c r="A587" s="97" t="s">
        <v>732</v>
      </c>
      <c r="C587" s="97" t="s">
        <v>936</v>
      </c>
      <c r="D587" s="97" t="s">
        <v>1069</v>
      </c>
      <c r="F587" s="100">
        <f>'Jurisdictional Study'!F1231</f>
        <v>0</v>
      </c>
      <c r="G587" s="100">
        <v>600157</v>
      </c>
      <c r="H587" s="101">
        <f>IF(VLOOKUP($D587,$C$5:$AJ$644,6,)=0,0,((VLOOKUP($D587,$C$5:$AJ$644,6,)/VLOOKUP($D587,$C$5:$AJ$644,4,))*$F587))</f>
        <v>0</v>
      </c>
      <c r="I587" s="101">
        <f>IF(VLOOKUP($D587,$C$5:$AJ$644,7,)=0,0,((VLOOKUP($D587,$C$5:$AJ$644,7,)/VLOOKUP($D587,$C$5:$AJ$644,4,))*$F587))</f>
        <v>0</v>
      </c>
      <c r="J587" s="101">
        <f>IF(VLOOKUP($D587,$C$5:$AJ$644,8,)=0,0,((VLOOKUP($D587,$C$5:$AJ$644,8,)/VLOOKUP($D587,$C$5:$AJ$644,4,))*$F587))</f>
        <v>0</v>
      </c>
      <c r="K587" s="101">
        <f>IF(VLOOKUP($D587,$C$5:$AJ$644,9,)=0,0,((VLOOKUP($D587,$C$5:$AJ$644,9,)/VLOOKUP($D587,$C$5:$AJ$644,4,))*$F587))</f>
        <v>0</v>
      </c>
      <c r="L587" s="101">
        <f>IF(VLOOKUP($D587,$C$5:$AJ$644,10,)=0,0,((VLOOKUP($D587,$C$5:$AJ$644,10,)/VLOOKUP($D587,$C$5:$AJ$644,4,))*$F587))</f>
        <v>0</v>
      </c>
      <c r="M587" s="101">
        <f>IF(VLOOKUP($D587,$C$5:$AJ$644,11,)=0,0,((VLOOKUP($D587,$C$5:$AJ$644,11,)/VLOOKUP($D587,$C$5:$AJ$644,4,))*$F587))</f>
        <v>0</v>
      </c>
      <c r="N587" s="101"/>
      <c r="O587" s="101">
        <f>IF(VLOOKUP($D587,$C$5:$AJ$644,13,)=0,0,((VLOOKUP($D587,$C$5:$AJ$644,13,)/VLOOKUP($D587,$C$5:$AJ$644,4,))*$F587))</f>
        <v>0</v>
      </c>
      <c r="P587" s="101">
        <f>IF(VLOOKUP($D587,$C$5:$AJ$644,14,)=0,0,((VLOOKUP($D587,$C$5:$AJ$644,14,)/VLOOKUP($D587,$C$5:$AJ$644,4,))*$F587))</f>
        <v>0</v>
      </c>
      <c r="Q587" s="101">
        <f>IF(VLOOKUP($D587,$C$5:$AJ$644,15,)=0,0,((VLOOKUP($D587,$C$5:$AJ$644,15,)/VLOOKUP($D587,$C$5:$AJ$644,4,))*$F587))</f>
        <v>0</v>
      </c>
      <c r="R587" s="101"/>
      <c r="S587" s="101">
        <f>IF(VLOOKUP($D587,$C$5:$AJ$644,17,)=0,0,((VLOOKUP($D587,$C$5:$AJ$644,17,)/VLOOKUP($D587,$C$5:$AJ$644,4,))*$F587))</f>
        <v>0</v>
      </c>
      <c r="T587" s="101">
        <f>IF(VLOOKUP($D587,$C$5:$AJ$644,18,)=0,0,((VLOOKUP($D587,$C$5:$AJ$644,18,)/VLOOKUP($D587,$C$5:$AJ$644,4,))*$F587))</f>
        <v>0</v>
      </c>
      <c r="U587" s="101">
        <f>IF(VLOOKUP($D587,$C$5:$AJ$644,19,)=0,0,((VLOOKUP($D587,$C$5:$AJ$644,19,)/VLOOKUP($D587,$C$5:$AJ$644,4,))*$F587))</f>
        <v>0</v>
      </c>
      <c r="V587" s="101">
        <f>IF(VLOOKUP($D587,$C$5:$AJ$644,20,)=0,0,((VLOOKUP($D587,$C$5:$AJ$644,20,)/VLOOKUP($D587,$C$5:$AJ$644,4,))*$F587))</f>
        <v>0</v>
      </c>
      <c r="W587" s="101">
        <f>IF(VLOOKUP($D587,$C$5:$AJ$644,21,)=0,0,((VLOOKUP($D587,$C$5:$AJ$644,21,)/VLOOKUP($D587,$C$5:$AJ$644,4,))*$F587))</f>
        <v>0</v>
      </c>
      <c r="X587" s="101">
        <f>IF(VLOOKUP($D587,$C$5:$AJ$644,22,)=0,0,((VLOOKUP($D587,$C$5:$AJ$644,22,)/VLOOKUP($D587,$C$5:$AJ$644,4,))*$F587))</f>
        <v>0</v>
      </c>
      <c r="Y587" s="101">
        <f>IF(VLOOKUP($D587,$C$5:$AJ$644,23,)=0,0,((VLOOKUP($D587,$C$5:$AJ$644,23,)/VLOOKUP($D587,$C$5:$AJ$644,4,))*$F587))</f>
        <v>0</v>
      </c>
      <c r="Z587" s="101">
        <f>IF(VLOOKUP($D587,$C$5:$AJ$644,24,)=0,0,((VLOOKUP($D587,$C$5:$AJ$644,24,)/VLOOKUP($D587,$C$5:$AJ$644,4,))*$F587))</f>
        <v>0</v>
      </c>
      <c r="AA587" s="101">
        <f>IF(VLOOKUP($D587,$C$5:$AJ$644,25,)=0,0,((VLOOKUP($D587,$C$5:$AJ$644,25,)/VLOOKUP($D587,$C$5:$AJ$644,4,))*$F587))</f>
        <v>0</v>
      </c>
      <c r="AB587" s="101">
        <f>IF(VLOOKUP($D587,$C$5:$AJ$644,26,)=0,0,((VLOOKUP($D587,$C$5:$AJ$644,26,)/VLOOKUP($D587,$C$5:$AJ$644,4,))*$F587))</f>
        <v>0</v>
      </c>
      <c r="AC587" s="101">
        <f>IF(VLOOKUP($D587,$C$5:$AJ$644,27,)=0,0,((VLOOKUP($D587,$C$5:$AJ$644,27,)/VLOOKUP($D587,$C$5:$AJ$644,4,))*$F587))</f>
        <v>0</v>
      </c>
      <c r="AD587" s="101">
        <f>IF(VLOOKUP($D587,$C$5:$AJ$644,28,)=0,0,((VLOOKUP($D587,$C$5:$AJ$644,28,)/VLOOKUP($D587,$C$5:$AJ$644,4,))*$F587))</f>
        <v>0</v>
      </c>
      <c r="AE587" s="101"/>
      <c r="AF587" s="101">
        <f>IF(VLOOKUP($D587,$C$5:$AJ$644,30,)=0,0,((VLOOKUP($D587,$C$5:$AJ$644,30,)/VLOOKUP($D587,$C$5:$AJ$644,4,))*$F587))</f>
        <v>0</v>
      </c>
      <c r="AG587" s="101"/>
      <c r="AH587" s="101">
        <f>IF(VLOOKUP($D587,$C$5:$AJ$644,32,)=0,0,((VLOOKUP($D587,$C$5:$AJ$644,32,)/VLOOKUP($D587,$C$5:$AJ$644,4,))*$F587))</f>
        <v>0</v>
      </c>
      <c r="AI587" s="101"/>
      <c r="AJ587" s="101">
        <f>IF(VLOOKUP($D587,$C$5:$AJ$644,34,)=0,0,((VLOOKUP($D587,$C$5:$AJ$644,34,)/VLOOKUP($D587,$C$5:$AJ$644,4,))*$F587))</f>
        <v>0</v>
      </c>
      <c r="AK587" s="101">
        <f>SUM(H587:AJ587)</f>
        <v>0</v>
      </c>
      <c r="AL587" s="98" t="str">
        <f>IF(ABS(AK587-F587)&lt;1,"ok","err")</f>
        <v>ok</v>
      </c>
    </row>
    <row r="588" spans="1:38" x14ac:dyDescent="0.25">
      <c r="Y588" s="97"/>
    </row>
    <row r="589" spans="1:38" x14ac:dyDescent="0.25">
      <c r="A589" s="97" t="s">
        <v>1173</v>
      </c>
      <c r="C589" s="97" t="s">
        <v>396</v>
      </c>
      <c r="D589" s="97" t="s">
        <v>196</v>
      </c>
      <c r="F589" s="100">
        <f>'Jurisdictional Study'!F1269</f>
        <v>86095200.491145507</v>
      </c>
      <c r="H589" s="101">
        <f>IF(VLOOKUP($D589,$C$5:$AJ$644,6,)=0,0,((VLOOKUP($D589,$C$5:$AJ$644,6,)/VLOOKUP($D589,$C$5:$AJ$644,4,))*$F589))</f>
        <v>17924442.093626585</v>
      </c>
      <c r="I589" s="101">
        <f>IF(VLOOKUP($D589,$C$5:$AJ$644,7,)=0,0,((VLOOKUP($D589,$C$5:$AJ$644,7,)/VLOOKUP($D589,$C$5:$AJ$644,4,))*$F589))</f>
        <v>18776987.608495641</v>
      </c>
      <c r="J589" s="101">
        <f>IF(VLOOKUP($D589,$C$5:$AJ$644,8,)=0,0,((VLOOKUP($D589,$C$5:$AJ$644,8,)/VLOOKUP($D589,$C$5:$AJ$644,4,))*$F589))</f>
        <v>15434620.497793736</v>
      </c>
      <c r="K589" s="101">
        <f>IF(VLOOKUP($D589,$C$5:$AJ$644,9,)=0,0,((VLOOKUP($D589,$C$5:$AJ$644,9,)/VLOOKUP($D589,$C$5:$AJ$644,4,))*$F589))</f>
        <v>0</v>
      </c>
      <c r="L589" s="101">
        <f>IF(VLOOKUP($D589,$C$5:$AJ$644,10,)=0,0,((VLOOKUP($D589,$C$5:$AJ$644,10,)/VLOOKUP($D589,$C$5:$AJ$644,4,))*$F589))</f>
        <v>0</v>
      </c>
      <c r="M589" s="101">
        <f>IF(VLOOKUP($D589,$C$5:$AJ$644,11,)=0,0,((VLOOKUP($D589,$C$5:$AJ$644,11,)/VLOOKUP($D589,$C$5:$AJ$644,4,))*$F589))</f>
        <v>0</v>
      </c>
      <c r="N589" s="101"/>
      <c r="O589" s="101">
        <f>IF(VLOOKUP($D589,$C$5:$AJ$644,13,)=0,0,((VLOOKUP($D589,$C$5:$AJ$644,13,)/VLOOKUP($D589,$C$5:$AJ$644,4,))*$F589))</f>
        <v>11561388.688570451</v>
      </c>
      <c r="P589" s="101">
        <f>IF(VLOOKUP($D589,$C$5:$AJ$644,14,)=0,0,((VLOOKUP($D589,$C$5:$AJ$644,14,)/VLOOKUP($D589,$C$5:$AJ$644,4,))*$F589))</f>
        <v>0</v>
      </c>
      <c r="Q589" s="101">
        <f>IF(VLOOKUP($D589,$C$5:$AJ$644,15,)=0,0,((VLOOKUP($D589,$C$5:$AJ$644,15,)/VLOOKUP($D589,$C$5:$AJ$644,4,))*$F589))</f>
        <v>0</v>
      </c>
      <c r="R589" s="101"/>
      <c r="S589" s="101">
        <f>IF(VLOOKUP($D589,$C$5:$AJ$644,17,)=0,0,((VLOOKUP($D589,$C$5:$AJ$644,17,)/VLOOKUP($D589,$C$5:$AJ$644,4,))*$F589))</f>
        <v>0</v>
      </c>
      <c r="T589" s="101">
        <f>IF(VLOOKUP($D589,$C$5:$AJ$644,18,)=0,0,((VLOOKUP($D589,$C$5:$AJ$644,18,)/VLOOKUP($D589,$C$5:$AJ$644,4,))*$F589))</f>
        <v>2711770.8663190794</v>
      </c>
      <c r="U589" s="101">
        <f>IF(VLOOKUP($D589,$C$5:$AJ$644,19,)=0,0,((VLOOKUP($D589,$C$5:$AJ$644,19,)/VLOOKUP($D589,$C$5:$AJ$644,4,))*$F589))</f>
        <v>0</v>
      </c>
      <c r="V589" s="101">
        <f>IF(VLOOKUP($D589,$C$5:$AJ$644,20,)=0,0,((VLOOKUP($D589,$C$5:$AJ$644,20,)/VLOOKUP($D589,$C$5:$AJ$644,4,))*$F589))</f>
        <v>2954994.8806252596</v>
      </c>
      <c r="W589" s="101">
        <f>IF(VLOOKUP($D589,$C$5:$AJ$644,21,)=0,0,((VLOOKUP($D589,$C$5:$AJ$644,21,)/VLOOKUP($D589,$C$5:$AJ$644,4,))*$F589))</f>
        <v>5479771.9448652817</v>
      </c>
      <c r="X589" s="101">
        <f>IF(VLOOKUP($D589,$C$5:$AJ$644,22,)=0,0,((VLOOKUP($D589,$C$5:$AJ$644,22,)/VLOOKUP($D589,$C$5:$AJ$644,4,))*$F589))</f>
        <v>1360350.4862856311</v>
      </c>
      <c r="Y589" s="101">
        <f>IF(VLOOKUP($D589,$C$5:$AJ$644,23,)=0,0,((VLOOKUP($D589,$C$5:$AJ$644,23,)/VLOOKUP($D589,$C$5:$AJ$644,4,))*$F589))</f>
        <v>2079528.5120405823</v>
      </c>
      <c r="Z589" s="101">
        <f>IF(VLOOKUP($D589,$C$5:$AJ$644,24,)=0,0,((VLOOKUP($D589,$C$5:$AJ$644,24,)/VLOOKUP($D589,$C$5:$AJ$644,4,))*$F589))</f>
        <v>2111736.702405374</v>
      </c>
      <c r="AA589" s="101">
        <f>IF(VLOOKUP($D589,$C$5:$AJ$644,25,)=0,0,((VLOOKUP($D589,$C$5:$AJ$644,25,)/VLOOKUP($D589,$C$5:$AJ$644,4,))*$F589))</f>
        <v>1879191.0313506036</v>
      </c>
      <c r="AB589" s="101">
        <f>IF(VLOOKUP($D589,$C$5:$AJ$644,26,)=0,0,((VLOOKUP($D589,$C$5:$AJ$644,26,)/VLOOKUP($D589,$C$5:$AJ$644,4,))*$F589))</f>
        <v>1258066.3927289497</v>
      </c>
      <c r="AC589" s="101">
        <f>IF(VLOOKUP($D589,$C$5:$AJ$644,27,)=0,0,((VLOOKUP($D589,$C$5:$AJ$644,27,)/VLOOKUP($D589,$C$5:$AJ$644,4,))*$F589))</f>
        <v>1073424.9157178816</v>
      </c>
      <c r="AD589" s="101">
        <f>IF(VLOOKUP($D589,$C$5:$AJ$644,28,)=0,0,((VLOOKUP($D589,$C$5:$AJ$644,28,)/VLOOKUP($D589,$C$5:$AJ$644,4,))*$F589))</f>
        <v>1488925.8703204375</v>
      </c>
      <c r="AE589" s="101"/>
      <c r="AF589" s="101">
        <f>IF(VLOOKUP($D589,$C$5:$AJ$644,30,)=0,0,((VLOOKUP($D589,$C$5:$AJ$644,30,)/VLOOKUP($D589,$C$5:$AJ$644,4,))*$F589))</f>
        <v>0</v>
      </c>
      <c r="AG589" s="101"/>
      <c r="AH589" s="101">
        <f>IF(VLOOKUP($D589,$C$5:$AJ$644,32,)=0,0,((VLOOKUP($D589,$C$5:$AJ$644,32,)/VLOOKUP($D589,$C$5:$AJ$644,4,))*$F589))</f>
        <v>0</v>
      </c>
      <c r="AI589" s="101"/>
      <c r="AJ589" s="101">
        <f>IF(VLOOKUP($D589,$C$5:$AJ$644,34,)=0,0,((VLOOKUP($D589,$C$5:$AJ$644,34,)/VLOOKUP($D589,$C$5:$AJ$644,4,))*$F589))</f>
        <v>0</v>
      </c>
      <c r="AK589" s="101">
        <f>SUM(H589:AJ589)</f>
        <v>86095200.491145507</v>
      </c>
      <c r="AL589" s="98" t="str">
        <f>IF(ABS(AK589-F589)&lt;1,"ok","err")</f>
        <v>ok</v>
      </c>
    </row>
    <row r="590" spans="1:38" x14ac:dyDescent="0.25">
      <c r="AL590" s="98"/>
    </row>
    <row r="591" spans="1:38" x14ac:dyDescent="0.25">
      <c r="A591" s="97" t="s">
        <v>842</v>
      </c>
      <c r="C591" s="97" t="s">
        <v>395</v>
      </c>
      <c r="D591" s="97" t="s">
        <v>196</v>
      </c>
      <c r="F591" s="100">
        <v>0</v>
      </c>
      <c r="H591" s="101">
        <f>IF(VLOOKUP($D591,$C$5:$AJ$644,6,)=0,0,((VLOOKUP($D591,$C$5:$AJ$644,6,)/VLOOKUP($D591,$C$5:$AJ$644,4,))*$F591))</f>
        <v>0</v>
      </c>
      <c r="I591" s="101">
        <f>IF(VLOOKUP($D591,$C$5:$AJ$644,7,)=0,0,((VLOOKUP($D591,$C$5:$AJ$644,7,)/VLOOKUP($D591,$C$5:$AJ$644,4,))*$F591))</f>
        <v>0</v>
      </c>
      <c r="J591" s="101">
        <f>IF(VLOOKUP($D591,$C$5:$AJ$644,8,)=0,0,((VLOOKUP($D591,$C$5:$AJ$644,8,)/VLOOKUP($D591,$C$5:$AJ$644,4,))*$F591))</f>
        <v>0</v>
      </c>
      <c r="K591" s="101">
        <f>IF(VLOOKUP($D591,$C$5:$AJ$644,9,)=0,0,((VLOOKUP($D591,$C$5:$AJ$644,9,)/VLOOKUP($D591,$C$5:$AJ$644,4,))*$F591))</f>
        <v>0</v>
      </c>
      <c r="L591" s="101">
        <f>IF(VLOOKUP($D591,$C$5:$AJ$644,10,)=0,0,((VLOOKUP($D591,$C$5:$AJ$644,10,)/VLOOKUP($D591,$C$5:$AJ$644,4,))*$F591))</f>
        <v>0</v>
      </c>
      <c r="M591" s="101">
        <f>IF(VLOOKUP($D591,$C$5:$AJ$644,11,)=0,0,((VLOOKUP($D591,$C$5:$AJ$644,11,)/VLOOKUP($D591,$C$5:$AJ$644,4,))*$F591))</f>
        <v>0</v>
      </c>
      <c r="N591" s="101"/>
      <c r="O591" s="101">
        <f>IF(VLOOKUP($D591,$C$5:$AJ$644,13,)=0,0,((VLOOKUP($D591,$C$5:$AJ$644,13,)/VLOOKUP($D591,$C$5:$AJ$644,4,))*$F591))</f>
        <v>0</v>
      </c>
      <c r="P591" s="101">
        <f>IF(VLOOKUP($D591,$C$5:$AJ$644,14,)=0,0,((VLOOKUP($D591,$C$5:$AJ$644,14,)/VLOOKUP($D591,$C$5:$AJ$644,4,))*$F591))</f>
        <v>0</v>
      </c>
      <c r="Q591" s="101">
        <f>IF(VLOOKUP($D591,$C$5:$AJ$644,15,)=0,0,((VLOOKUP($D591,$C$5:$AJ$644,15,)/VLOOKUP($D591,$C$5:$AJ$644,4,))*$F591))</f>
        <v>0</v>
      </c>
      <c r="R591" s="101"/>
      <c r="S591" s="101">
        <f>IF(VLOOKUP($D591,$C$5:$AJ$644,17,)=0,0,((VLOOKUP($D591,$C$5:$AJ$644,17,)/VLOOKUP($D591,$C$5:$AJ$644,4,))*$F591))</f>
        <v>0</v>
      </c>
      <c r="T591" s="101">
        <f>IF(VLOOKUP($D591,$C$5:$AJ$644,18,)=0,0,((VLOOKUP($D591,$C$5:$AJ$644,18,)/VLOOKUP($D591,$C$5:$AJ$644,4,))*$F591))</f>
        <v>0</v>
      </c>
      <c r="U591" s="101">
        <f>IF(VLOOKUP($D591,$C$5:$AJ$644,19,)=0,0,((VLOOKUP($D591,$C$5:$AJ$644,19,)/VLOOKUP($D591,$C$5:$AJ$644,4,))*$F591))</f>
        <v>0</v>
      </c>
      <c r="V591" s="101">
        <f>IF(VLOOKUP($D591,$C$5:$AJ$644,20,)=0,0,((VLOOKUP($D591,$C$5:$AJ$644,20,)/VLOOKUP($D591,$C$5:$AJ$644,4,))*$F591))</f>
        <v>0</v>
      </c>
      <c r="W591" s="101">
        <f>IF(VLOOKUP($D591,$C$5:$AJ$644,21,)=0,0,((VLOOKUP($D591,$C$5:$AJ$644,21,)/VLOOKUP($D591,$C$5:$AJ$644,4,))*$F591))</f>
        <v>0</v>
      </c>
      <c r="X591" s="101">
        <f>IF(VLOOKUP($D591,$C$5:$AJ$644,22,)=0,0,((VLOOKUP($D591,$C$5:$AJ$644,22,)/VLOOKUP($D591,$C$5:$AJ$644,4,))*$F591))</f>
        <v>0</v>
      </c>
      <c r="Y591" s="101">
        <f>IF(VLOOKUP($D591,$C$5:$AJ$644,23,)=0,0,((VLOOKUP($D591,$C$5:$AJ$644,23,)/VLOOKUP($D591,$C$5:$AJ$644,4,))*$F591))</f>
        <v>0</v>
      </c>
      <c r="Z591" s="101">
        <f>IF(VLOOKUP($D591,$C$5:$AJ$644,24,)=0,0,((VLOOKUP($D591,$C$5:$AJ$644,24,)/VLOOKUP($D591,$C$5:$AJ$644,4,))*$F591))</f>
        <v>0</v>
      </c>
      <c r="AA591" s="101">
        <f>IF(VLOOKUP($D591,$C$5:$AJ$644,25,)=0,0,((VLOOKUP($D591,$C$5:$AJ$644,25,)/VLOOKUP($D591,$C$5:$AJ$644,4,))*$F591))</f>
        <v>0</v>
      </c>
      <c r="AB591" s="101">
        <f>IF(VLOOKUP($D591,$C$5:$AJ$644,26,)=0,0,((VLOOKUP($D591,$C$5:$AJ$644,26,)/VLOOKUP($D591,$C$5:$AJ$644,4,))*$F591))</f>
        <v>0</v>
      </c>
      <c r="AC591" s="101">
        <f>IF(VLOOKUP($D591,$C$5:$AJ$644,27,)=0,0,((VLOOKUP($D591,$C$5:$AJ$644,27,)/VLOOKUP($D591,$C$5:$AJ$644,4,))*$F591))</f>
        <v>0</v>
      </c>
      <c r="AD591" s="101">
        <f>IF(VLOOKUP($D591,$C$5:$AJ$644,28,)=0,0,((VLOOKUP($D591,$C$5:$AJ$644,28,)/VLOOKUP($D591,$C$5:$AJ$644,4,))*$F591))</f>
        <v>0</v>
      </c>
      <c r="AE591" s="101"/>
      <c r="AF591" s="101">
        <f>IF(VLOOKUP($D591,$C$5:$AJ$644,30,)=0,0,((VLOOKUP($D591,$C$5:$AJ$644,30,)/VLOOKUP($D591,$C$5:$AJ$644,4,))*$F591))</f>
        <v>0</v>
      </c>
      <c r="AG591" s="101"/>
      <c r="AH591" s="101">
        <f>IF(VLOOKUP($D591,$C$5:$AJ$644,32,)=0,0,((VLOOKUP($D591,$C$5:$AJ$644,32,)/VLOOKUP($D591,$C$5:$AJ$644,4,))*$F591))</f>
        <v>0</v>
      </c>
      <c r="AI591" s="101"/>
      <c r="AJ591" s="101">
        <f>IF(VLOOKUP($D591,$C$5:$AJ$644,34,)=0,0,((VLOOKUP($D591,$C$5:$AJ$644,34,)/VLOOKUP($D591,$C$5:$AJ$644,4,))*$F591))</f>
        <v>0</v>
      </c>
      <c r="AK591" s="101">
        <f>SUM(H591:AJ591)</f>
        <v>0</v>
      </c>
      <c r="AL591" s="98" t="str">
        <f>IF(ABS(AK591-F591)&lt;1,"ok","err")</f>
        <v>ok</v>
      </c>
    </row>
    <row r="592" spans="1:38" x14ac:dyDescent="0.25">
      <c r="AK592" s="101"/>
      <c r="AL592" s="98"/>
    </row>
    <row r="593" spans="1:38" x14ac:dyDescent="0.25">
      <c r="A593" s="24" t="s">
        <v>397</v>
      </c>
      <c r="C593" s="97" t="s">
        <v>398</v>
      </c>
      <c r="F593" s="102">
        <f>F574+F581+F583+F585+F587+F589+F591</f>
        <v>351978912.27241039</v>
      </c>
      <c r="G593" s="102"/>
      <c r="H593" s="102">
        <f t="shared" ref="H593:AJ593" si="605">H574+H581+H583+H585+H587+H589+H591</f>
        <v>78644200.306138679</v>
      </c>
      <c r="I593" s="102">
        <f t="shared" si="605"/>
        <v>82384777.552071646</v>
      </c>
      <c r="J593" s="102">
        <f t="shared" si="605"/>
        <v>67720009.344632953</v>
      </c>
      <c r="K593" s="102">
        <f t="shared" si="605"/>
        <v>0</v>
      </c>
      <c r="L593" s="102">
        <f t="shared" si="605"/>
        <v>0</v>
      </c>
      <c r="M593" s="102">
        <f t="shared" si="605"/>
        <v>0</v>
      </c>
      <c r="N593" s="102"/>
      <c r="O593" s="102">
        <f t="shared" si="605"/>
        <v>40698208.553532511</v>
      </c>
      <c r="P593" s="102">
        <f t="shared" si="605"/>
        <v>0</v>
      </c>
      <c r="Q593" s="102">
        <f t="shared" si="605"/>
        <v>0</v>
      </c>
      <c r="R593" s="102"/>
      <c r="S593" s="102">
        <f t="shared" si="605"/>
        <v>0</v>
      </c>
      <c r="T593" s="102">
        <f t="shared" si="605"/>
        <v>9992387.1128674429</v>
      </c>
      <c r="U593" s="102">
        <f t="shared" si="605"/>
        <v>0</v>
      </c>
      <c r="V593" s="102">
        <f t="shared" si="605"/>
        <v>10888623.788421059</v>
      </c>
      <c r="W593" s="102">
        <f t="shared" si="605"/>
        <v>20191972.427836221</v>
      </c>
      <c r="X593" s="102">
        <f t="shared" si="605"/>
        <v>5012646.4728174675</v>
      </c>
      <c r="Y593" s="102">
        <f t="shared" si="605"/>
        <v>7662687.9367431467</v>
      </c>
      <c r="Z593" s="102">
        <f t="shared" si="605"/>
        <v>7781369.3158844374</v>
      </c>
      <c r="AA593" s="102">
        <f t="shared" si="605"/>
        <v>6924480.4114929931</v>
      </c>
      <c r="AB593" s="102">
        <f t="shared" si="605"/>
        <v>4635748.0146913026</v>
      </c>
      <c r="AC593" s="102">
        <f t="shared" si="605"/>
        <v>3955377.4353397386</v>
      </c>
      <c r="AD593" s="102">
        <f t="shared" si="605"/>
        <v>5486423.5999407899</v>
      </c>
      <c r="AE593" s="102"/>
      <c r="AF593" s="102">
        <f t="shared" si="605"/>
        <v>0</v>
      </c>
      <c r="AG593" s="102"/>
      <c r="AH593" s="102">
        <f t="shared" si="605"/>
        <v>0</v>
      </c>
      <c r="AI593" s="102"/>
      <c r="AJ593" s="102">
        <f t="shared" si="605"/>
        <v>0</v>
      </c>
      <c r="AK593" s="101">
        <f>SUM(H593:AJ593)</f>
        <v>351978912.27241033</v>
      </c>
      <c r="AL593" s="98" t="str">
        <f>IF(ABS(AK593-F593)&lt;1,"ok","err")</f>
        <v>ok</v>
      </c>
    </row>
    <row r="594" spans="1:38" x14ac:dyDescent="0.25">
      <c r="AL594" s="98"/>
    </row>
    <row r="595" spans="1:38" x14ac:dyDescent="0.25">
      <c r="A595" s="24" t="s">
        <v>490</v>
      </c>
      <c r="F595" s="102">
        <f>F328+F593</f>
        <v>1285753150.8498964</v>
      </c>
      <c r="G595" s="102">
        <f t="shared" ref="G595:M595" si="606">G328+G593</f>
        <v>0</v>
      </c>
      <c r="H595" s="102">
        <f t="shared" si="606"/>
        <v>116269450.46963067</v>
      </c>
      <c r="I595" s="102">
        <f t="shared" si="606"/>
        <v>118336056.87504071</v>
      </c>
      <c r="J595" s="102">
        <f t="shared" si="606"/>
        <v>103653665.09026006</v>
      </c>
      <c r="K595" s="102">
        <f t="shared" si="606"/>
        <v>640387546.76813221</v>
      </c>
      <c r="L595" s="102">
        <f t="shared" si="606"/>
        <v>0</v>
      </c>
      <c r="M595" s="102">
        <f t="shared" si="606"/>
        <v>0</v>
      </c>
      <c r="N595" s="102"/>
      <c r="O595" s="102">
        <f>O328+O593</f>
        <v>84725138.03383708</v>
      </c>
      <c r="P595" s="102">
        <f>P328+P593</f>
        <v>0</v>
      </c>
      <c r="Q595" s="102">
        <f>Q328+Q593</f>
        <v>0</v>
      </c>
      <c r="R595" s="102"/>
      <c r="S595" s="102">
        <f t="shared" ref="S595:AJ595" si="607">S328+S593</f>
        <v>0</v>
      </c>
      <c r="T595" s="102">
        <f t="shared" si="607"/>
        <v>17266085.873301238</v>
      </c>
      <c r="U595" s="102">
        <f t="shared" si="607"/>
        <v>0</v>
      </c>
      <c r="V595" s="102">
        <f t="shared" si="607"/>
        <v>24702814.945699401</v>
      </c>
      <c r="W595" s="102">
        <f t="shared" si="607"/>
        <v>41539265.178775728</v>
      </c>
      <c r="X595" s="102">
        <f t="shared" si="607"/>
        <v>12145170.703012973</v>
      </c>
      <c r="Y595" s="102">
        <f t="shared" si="607"/>
        <v>18124547.913249221</v>
      </c>
      <c r="Z595" s="102">
        <f t="shared" si="607"/>
        <v>9187382.3753347844</v>
      </c>
      <c r="AA595" s="102">
        <f t="shared" si="607"/>
        <v>8175662.4969638549</v>
      </c>
      <c r="AB595" s="102">
        <f t="shared" si="607"/>
        <v>5426106.7174483761</v>
      </c>
      <c r="AC595" s="102">
        <f t="shared" si="607"/>
        <v>21877316.11277895</v>
      </c>
      <c r="AD595" s="102">
        <f t="shared" si="607"/>
        <v>6279015.8226161525</v>
      </c>
      <c r="AE595" s="102">
        <f t="shared" si="607"/>
        <v>0</v>
      </c>
      <c r="AF595" s="102">
        <f t="shared" si="607"/>
        <v>51233939.006895855</v>
      </c>
      <c r="AG595" s="102">
        <f t="shared" si="607"/>
        <v>0</v>
      </c>
      <c r="AH595" s="102">
        <f t="shared" si="607"/>
        <v>6423986.4669190757</v>
      </c>
      <c r="AI595" s="102">
        <f t="shared" si="607"/>
        <v>0</v>
      </c>
      <c r="AJ595" s="102">
        <f t="shared" si="607"/>
        <v>0</v>
      </c>
      <c r="AK595" s="101">
        <f>SUM(H595:AJ595)</f>
        <v>1285753150.8498962</v>
      </c>
      <c r="AL595" s="98" t="str">
        <f>IF(ABS(AK595-F595)&lt;1,"ok","err")</f>
        <v>ok</v>
      </c>
    </row>
    <row r="596" spans="1:38" x14ac:dyDescent="0.25">
      <c r="AL596" s="98"/>
    </row>
    <row r="597" spans="1:38" x14ac:dyDescent="0.25">
      <c r="AL597" s="98"/>
    </row>
    <row r="598" spans="1:38" x14ac:dyDescent="0.25">
      <c r="A598" s="24" t="s">
        <v>974</v>
      </c>
      <c r="AL598" s="98"/>
    </row>
    <row r="599" spans="1:38" x14ac:dyDescent="0.25">
      <c r="A599" s="97" t="s">
        <v>975</v>
      </c>
      <c r="F599" s="101">
        <v>0</v>
      </c>
      <c r="AL599" s="98"/>
    </row>
    <row r="600" spans="1:38" x14ac:dyDescent="0.25">
      <c r="A600" s="97" t="s">
        <v>542</v>
      </c>
      <c r="F600" s="101">
        <v>0</v>
      </c>
      <c r="AL600" s="98"/>
    </row>
    <row r="601" spans="1:38" x14ac:dyDescent="0.25">
      <c r="A601" s="97" t="s">
        <v>543</v>
      </c>
      <c r="F601" s="101">
        <v>0</v>
      </c>
      <c r="AL601" s="98"/>
    </row>
    <row r="602" spans="1:38" x14ac:dyDescent="0.25">
      <c r="A602" s="97" t="s">
        <v>544</v>
      </c>
      <c r="F602" s="101">
        <v>0</v>
      </c>
      <c r="AL602" s="98"/>
    </row>
    <row r="603" spans="1:38" x14ac:dyDescent="0.25">
      <c r="A603" s="97" t="s">
        <v>545</v>
      </c>
      <c r="F603" s="101">
        <v>0</v>
      </c>
      <c r="AL603" s="98"/>
    </row>
    <row r="604" spans="1:38" x14ac:dyDescent="0.25">
      <c r="A604" s="97" t="s">
        <v>546</v>
      </c>
      <c r="F604" s="101">
        <v>0</v>
      </c>
      <c r="AL604" s="98"/>
    </row>
    <row r="605" spans="1:38" x14ac:dyDescent="0.25">
      <c r="A605" s="97" t="s">
        <v>547</v>
      </c>
      <c r="F605" s="101">
        <v>0</v>
      </c>
      <c r="AL605" s="98"/>
    </row>
    <row r="606" spans="1:38" x14ac:dyDescent="0.25">
      <c r="F606" s="101"/>
      <c r="AL606" s="98"/>
    </row>
    <row r="607" spans="1:38" x14ac:dyDescent="0.25">
      <c r="A607" s="97" t="s">
        <v>548</v>
      </c>
      <c r="F607" s="101">
        <v>0</v>
      </c>
      <c r="AL607" s="98"/>
    </row>
    <row r="608" spans="1:38" x14ac:dyDescent="0.25">
      <c r="F608" s="101"/>
      <c r="AL608" s="98"/>
    </row>
    <row r="609" spans="1:38" x14ac:dyDescent="0.25">
      <c r="A609" s="23" t="s">
        <v>399</v>
      </c>
      <c r="AL609" s="98"/>
    </row>
    <row r="610" spans="1:38" x14ac:dyDescent="0.25">
      <c r="AL610" s="98"/>
    </row>
    <row r="611" spans="1:38" x14ac:dyDescent="0.25">
      <c r="A611" s="97" t="s">
        <v>103</v>
      </c>
      <c r="C611" s="97" t="s">
        <v>120</v>
      </c>
      <c r="F611" s="114">
        <v>1</v>
      </c>
      <c r="G611" s="114"/>
      <c r="H611" s="115">
        <v>0</v>
      </c>
      <c r="I611" s="115">
        <v>0</v>
      </c>
      <c r="J611" s="115">
        <v>0</v>
      </c>
      <c r="K611" s="115">
        <v>0</v>
      </c>
      <c r="L611" s="115">
        <v>0</v>
      </c>
      <c r="M611" s="115">
        <v>0</v>
      </c>
      <c r="N611" s="115"/>
      <c r="O611" s="115">
        <v>0</v>
      </c>
      <c r="P611" s="115">
        <v>0</v>
      </c>
      <c r="Q611" s="115">
        <v>0</v>
      </c>
      <c r="R611" s="114"/>
      <c r="S611" s="115">
        <v>0</v>
      </c>
      <c r="T611" s="115">
        <v>1</v>
      </c>
      <c r="U611" s="115">
        <v>0</v>
      </c>
      <c r="V611" s="115">
        <v>0</v>
      </c>
      <c r="W611" s="115">
        <v>0</v>
      </c>
      <c r="X611" s="115">
        <v>0</v>
      </c>
      <c r="Y611" s="115">
        <v>0</v>
      </c>
      <c r="Z611" s="114">
        <v>0</v>
      </c>
      <c r="AA611" s="114">
        <v>0</v>
      </c>
      <c r="AB611" s="114">
        <v>0</v>
      </c>
      <c r="AC611" s="114">
        <v>0</v>
      </c>
      <c r="AD611" s="114">
        <v>0</v>
      </c>
      <c r="AE611" s="114"/>
      <c r="AF611" s="114">
        <v>0</v>
      </c>
      <c r="AG611" s="114"/>
      <c r="AH611" s="114">
        <v>0</v>
      </c>
      <c r="AI611" s="114"/>
      <c r="AJ611" s="114">
        <v>0</v>
      </c>
      <c r="AK611" s="115">
        <f>SUM(H611:AJ611)</f>
        <v>1</v>
      </c>
      <c r="AL611" s="98" t="str">
        <f t="shared" ref="AL611:AL635" si="608">IF(ABS(AK611-F611)&lt;0.0000001,"ok","err")</f>
        <v>ok</v>
      </c>
    </row>
    <row r="612" spans="1:38" x14ac:dyDescent="0.25">
      <c r="A612" s="97" t="s">
        <v>400</v>
      </c>
      <c r="C612" s="97" t="s">
        <v>121</v>
      </c>
      <c r="F612" s="114">
        <v>1</v>
      </c>
      <c r="G612" s="114"/>
      <c r="H612" s="115">
        <v>0</v>
      </c>
      <c r="I612" s="115">
        <v>0</v>
      </c>
      <c r="J612" s="115">
        <v>0</v>
      </c>
      <c r="K612" s="115">
        <v>0</v>
      </c>
      <c r="L612" s="115">
        <v>0</v>
      </c>
      <c r="M612" s="115">
        <v>0</v>
      </c>
      <c r="N612" s="115"/>
      <c r="O612" s="115">
        <v>0</v>
      </c>
      <c r="P612" s="115">
        <v>0</v>
      </c>
      <c r="Q612" s="115">
        <v>0</v>
      </c>
      <c r="R612" s="114"/>
      <c r="S612" s="115">
        <v>0</v>
      </c>
      <c r="T612" s="115">
        <v>0</v>
      </c>
      <c r="U612" s="115">
        <v>0</v>
      </c>
      <c r="V612" s="129">
        <f>0.4081*0.6521</f>
        <v>0.26612201000000002</v>
      </c>
      <c r="W612" s="129">
        <f>0.5919*0.6521</f>
        <v>0.38597798999999999</v>
      </c>
      <c r="X612" s="129">
        <f>0.4081*0.3479</f>
        <v>0.14197799</v>
      </c>
      <c r="Y612" s="129">
        <f>0.5919*0.3479</f>
        <v>0.20592200999999999</v>
      </c>
      <c r="Z612" s="114">
        <v>0</v>
      </c>
      <c r="AA612" s="114">
        <v>0</v>
      </c>
      <c r="AB612" s="114">
        <v>0</v>
      </c>
      <c r="AC612" s="114">
        <v>0</v>
      </c>
      <c r="AD612" s="114">
        <v>0</v>
      </c>
      <c r="AE612" s="114"/>
      <c r="AF612" s="114">
        <v>0</v>
      </c>
      <c r="AG612" s="114"/>
      <c r="AH612" s="114">
        <v>0</v>
      </c>
      <c r="AI612" s="114"/>
      <c r="AJ612" s="114">
        <v>0</v>
      </c>
      <c r="AK612" s="115">
        <f t="shared" ref="AK612:AK634" si="609">SUM(H612:AJ612)</f>
        <v>1</v>
      </c>
      <c r="AL612" s="98" t="str">
        <f t="shared" si="608"/>
        <v>ok</v>
      </c>
    </row>
    <row r="613" spans="1:38" x14ac:dyDescent="0.25">
      <c r="A613" s="97" t="s">
        <v>401</v>
      </c>
      <c r="C613" s="97" t="s">
        <v>123</v>
      </c>
      <c r="F613" s="114">
        <v>1</v>
      </c>
      <c r="G613" s="114"/>
      <c r="H613" s="115">
        <v>0</v>
      </c>
      <c r="I613" s="115">
        <v>0</v>
      </c>
      <c r="J613" s="115">
        <v>0</v>
      </c>
      <c r="K613" s="115">
        <v>0</v>
      </c>
      <c r="L613" s="115">
        <v>0</v>
      </c>
      <c r="M613" s="115">
        <v>0</v>
      </c>
      <c r="N613" s="115"/>
      <c r="O613" s="115">
        <v>0</v>
      </c>
      <c r="P613" s="115">
        <v>0</v>
      </c>
      <c r="Q613" s="115">
        <v>0</v>
      </c>
      <c r="R613" s="114"/>
      <c r="S613" s="115">
        <v>0</v>
      </c>
      <c r="T613" s="115">
        <v>0</v>
      </c>
      <c r="U613" s="115">
        <v>0</v>
      </c>
      <c r="V613" s="129">
        <f>V612</f>
        <v>0.26612201000000002</v>
      </c>
      <c r="W613" s="129">
        <f>W612</f>
        <v>0.38597798999999999</v>
      </c>
      <c r="X613" s="129">
        <f>X612</f>
        <v>0.14197799</v>
      </c>
      <c r="Y613" s="129">
        <f>Y612</f>
        <v>0.20592200999999999</v>
      </c>
      <c r="Z613" s="114">
        <v>0</v>
      </c>
      <c r="AA613" s="114">
        <v>0</v>
      </c>
      <c r="AB613" s="114">
        <v>0</v>
      </c>
      <c r="AC613" s="114">
        <v>0</v>
      </c>
      <c r="AD613" s="114">
        <v>0</v>
      </c>
      <c r="AE613" s="114"/>
      <c r="AF613" s="114">
        <v>0</v>
      </c>
      <c r="AG613" s="114"/>
      <c r="AH613" s="114">
        <v>0</v>
      </c>
      <c r="AI613" s="114"/>
      <c r="AJ613" s="114">
        <v>0</v>
      </c>
      <c r="AK613" s="115">
        <f t="shared" si="609"/>
        <v>1</v>
      </c>
      <c r="AL613" s="98" t="str">
        <f t="shared" si="608"/>
        <v>ok</v>
      </c>
    </row>
    <row r="614" spans="1:38" x14ac:dyDescent="0.25">
      <c r="A614" s="97" t="s">
        <v>402</v>
      </c>
      <c r="C614" s="97" t="s">
        <v>124</v>
      </c>
      <c r="F614" s="114">
        <v>1</v>
      </c>
      <c r="G614" s="114"/>
      <c r="H614" s="115">
        <v>0</v>
      </c>
      <c r="I614" s="115">
        <v>0</v>
      </c>
      <c r="J614" s="115">
        <v>0</v>
      </c>
      <c r="K614" s="115">
        <v>0</v>
      </c>
      <c r="L614" s="115">
        <v>0</v>
      </c>
      <c r="M614" s="115">
        <v>0</v>
      </c>
      <c r="N614" s="115"/>
      <c r="O614" s="115">
        <v>0</v>
      </c>
      <c r="P614" s="115">
        <v>0</v>
      </c>
      <c r="Q614" s="115">
        <v>0</v>
      </c>
      <c r="R614" s="114"/>
      <c r="S614" s="115">
        <v>0</v>
      </c>
      <c r="T614" s="115">
        <v>0</v>
      </c>
      <c r="U614" s="115">
        <v>0</v>
      </c>
      <c r="V614" s="129">
        <f>0.9181*0.2039</f>
        <v>0.18720059</v>
      </c>
      <c r="W614" s="129">
        <f>0.9181*0.7961</f>
        <v>0.73089941000000003</v>
      </c>
      <c r="X614" s="129">
        <f>0.0819*0.2039</f>
        <v>1.6699410000000001E-2</v>
      </c>
      <c r="Y614" s="129">
        <f>0.0819*0.7961</f>
        <v>6.5200590000000003E-2</v>
      </c>
      <c r="Z614" s="114">
        <v>0</v>
      </c>
      <c r="AA614" s="114">
        <v>0</v>
      </c>
      <c r="AB614" s="114">
        <v>0</v>
      </c>
      <c r="AC614" s="114">
        <v>0</v>
      </c>
      <c r="AD614" s="114">
        <v>0</v>
      </c>
      <c r="AE614" s="114"/>
      <c r="AF614" s="114">
        <v>0</v>
      </c>
      <c r="AG614" s="114"/>
      <c r="AH614" s="114">
        <v>0</v>
      </c>
      <c r="AI614" s="114"/>
      <c r="AJ614" s="114">
        <v>0</v>
      </c>
      <c r="AK614" s="115">
        <f t="shared" si="609"/>
        <v>1</v>
      </c>
      <c r="AL614" s="98" t="str">
        <f t="shared" si="608"/>
        <v>ok</v>
      </c>
    </row>
    <row r="615" spans="1:38" x14ac:dyDescent="0.25">
      <c r="A615" s="97" t="s">
        <v>403</v>
      </c>
      <c r="C615" s="97" t="s">
        <v>127</v>
      </c>
      <c r="F615" s="114">
        <v>1</v>
      </c>
      <c r="G615" s="114"/>
      <c r="H615" s="115">
        <v>0</v>
      </c>
      <c r="I615" s="115">
        <v>0</v>
      </c>
      <c r="J615" s="115">
        <v>0</v>
      </c>
      <c r="K615" s="115">
        <v>0</v>
      </c>
      <c r="L615" s="115">
        <v>0</v>
      </c>
      <c r="M615" s="115">
        <v>0</v>
      </c>
      <c r="N615" s="115"/>
      <c r="O615" s="115">
        <v>0</v>
      </c>
      <c r="P615" s="115">
        <v>0</v>
      </c>
      <c r="Q615" s="115">
        <v>0</v>
      </c>
      <c r="R615" s="114"/>
      <c r="S615" s="115">
        <v>0</v>
      </c>
      <c r="T615" s="115">
        <v>0</v>
      </c>
      <c r="U615" s="115">
        <v>0</v>
      </c>
      <c r="V615" s="129">
        <v>0</v>
      </c>
      <c r="W615" s="129">
        <v>0</v>
      </c>
      <c r="X615" s="129">
        <v>0</v>
      </c>
      <c r="Y615" s="129">
        <v>0</v>
      </c>
      <c r="Z615" s="114">
        <v>0.52913428738484258</v>
      </c>
      <c r="AA615" s="114">
        <v>0.47086571261515742</v>
      </c>
      <c r="AB615" s="114">
        <v>0</v>
      </c>
      <c r="AC615" s="114">
        <v>0</v>
      </c>
      <c r="AD615" s="114">
        <v>0</v>
      </c>
      <c r="AE615" s="114"/>
      <c r="AF615" s="114">
        <v>0</v>
      </c>
      <c r="AG615" s="114"/>
      <c r="AH615" s="114">
        <v>0</v>
      </c>
      <c r="AI615" s="114"/>
      <c r="AJ615" s="114">
        <v>0</v>
      </c>
      <c r="AK615" s="115">
        <f t="shared" si="609"/>
        <v>1</v>
      </c>
      <c r="AL615" s="98" t="str">
        <f t="shared" si="608"/>
        <v>ok</v>
      </c>
    </row>
    <row r="616" spans="1:38" x14ac:dyDescent="0.25">
      <c r="A616" s="97" t="s">
        <v>404</v>
      </c>
      <c r="C616" s="97" t="s">
        <v>177</v>
      </c>
      <c r="F616" s="114">
        <v>1</v>
      </c>
      <c r="G616" s="114"/>
      <c r="H616" s="115">
        <v>0</v>
      </c>
      <c r="I616" s="115">
        <v>0</v>
      </c>
      <c r="J616" s="115">
        <v>0</v>
      </c>
      <c r="K616" s="115">
        <v>0</v>
      </c>
      <c r="L616" s="115">
        <v>0</v>
      </c>
      <c r="M616" s="115">
        <v>0</v>
      </c>
      <c r="N616" s="115"/>
      <c r="O616" s="115">
        <v>0</v>
      </c>
      <c r="P616" s="115">
        <v>0</v>
      </c>
      <c r="Q616" s="115">
        <v>0</v>
      </c>
      <c r="R616" s="114"/>
      <c r="S616" s="115">
        <v>0</v>
      </c>
      <c r="T616" s="115">
        <v>0</v>
      </c>
      <c r="U616" s="115">
        <v>0</v>
      </c>
      <c r="V616" s="115">
        <v>0</v>
      </c>
      <c r="W616" s="115">
        <v>0</v>
      </c>
      <c r="X616" s="115">
        <v>0</v>
      </c>
      <c r="Y616" s="115">
        <v>0</v>
      </c>
      <c r="Z616" s="114">
        <v>0</v>
      </c>
      <c r="AA616" s="114">
        <v>0</v>
      </c>
      <c r="AB616" s="114">
        <v>1</v>
      </c>
      <c r="AC616" s="114">
        <v>0</v>
      </c>
      <c r="AD616" s="114">
        <v>0</v>
      </c>
      <c r="AE616" s="114"/>
      <c r="AF616" s="114">
        <v>0</v>
      </c>
      <c r="AG616" s="114"/>
      <c r="AH616" s="114">
        <v>0</v>
      </c>
      <c r="AI616" s="114"/>
      <c r="AJ616" s="114">
        <v>0</v>
      </c>
      <c r="AK616" s="115">
        <f t="shared" si="609"/>
        <v>1</v>
      </c>
      <c r="AL616" s="98" t="str">
        <f t="shared" si="608"/>
        <v>ok</v>
      </c>
    </row>
    <row r="617" spans="1:38" x14ac:dyDescent="0.25">
      <c r="A617" s="97" t="s">
        <v>104</v>
      </c>
      <c r="C617" s="97" t="s">
        <v>179</v>
      </c>
      <c r="F617" s="114">
        <v>1</v>
      </c>
      <c r="G617" s="114"/>
      <c r="H617" s="115">
        <v>0</v>
      </c>
      <c r="I617" s="115">
        <v>0</v>
      </c>
      <c r="J617" s="115">
        <v>0</v>
      </c>
      <c r="K617" s="115">
        <v>0</v>
      </c>
      <c r="L617" s="115">
        <v>0</v>
      </c>
      <c r="M617" s="115">
        <v>0</v>
      </c>
      <c r="N617" s="115"/>
      <c r="O617" s="115">
        <v>0</v>
      </c>
      <c r="P617" s="115">
        <v>0</v>
      </c>
      <c r="Q617" s="115">
        <v>0</v>
      </c>
      <c r="R617" s="114"/>
      <c r="S617" s="115">
        <v>0</v>
      </c>
      <c r="T617" s="115">
        <v>0</v>
      </c>
      <c r="U617" s="115">
        <v>0</v>
      </c>
      <c r="V617" s="115">
        <v>0</v>
      </c>
      <c r="W617" s="115">
        <v>0</v>
      </c>
      <c r="X617" s="115">
        <v>0</v>
      </c>
      <c r="Y617" s="115">
        <v>0</v>
      </c>
      <c r="Z617" s="114">
        <v>0</v>
      </c>
      <c r="AA617" s="114">
        <v>0</v>
      </c>
      <c r="AB617" s="114">
        <v>0</v>
      </c>
      <c r="AC617" s="114">
        <v>1</v>
      </c>
      <c r="AD617" s="114">
        <v>0</v>
      </c>
      <c r="AE617" s="114"/>
      <c r="AF617" s="114">
        <v>0</v>
      </c>
      <c r="AG617" s="114"/>
      <c r="AH617" s="114">
        <v>0</v>
      </c>
      <c r="AI617" s="114"/>
      <c r="AJ617" s="114">
        <v>0</v>
      </c>
      <c r="AK617" s="115">
        <f t="shared" si="609"/>
        <v>1</v>
      </c>
      <c r="AL617" s="98" t="str">
        <f t="shared" si="608"/>
        <v>ok</v>
      </c>
    </row>
    <row r="618" spans="1:38" x14ac:dyDescent="0.25">
      <c r="A618" s="97" t="s">
        <v>405</v>
      </c>
      <c r="C618" s="97" t="s">
        <v>182</v>
      </c>
      <c r="F618" s="114">
        <v>1</v>
      </c>
      <c r="G618" s="114"/>
      <c r="H618" s="115">
        <v>0</v>
      </c>
      <c r="I618" s="115">
        <v>0</v>
      </c>
      <c r="J618" s="115">
        <v>0</v>
      </c>
      <c r="K618" s="115">
        <v>0</v>
      </c>
      <c r="L618" s="115">
        <v>0</v>
      </c>
      <c r="M618" s="115">
        <v>0</v>
      </c>
      <c r="N618" s="115"/>
      <c r="O618" s="115">
        <v>0</v>
      </c>
      <c r="P618" s="115">
        <v>0</v>
      </c>
      <c r="Q618" s="115">
        <v>0</v>
      </c>
      <c r="R618" s="114"/>
      <c r="S618" s="115">
        <v>0</v>
      </c>
      <c r="T618" s="115">
        <v>0</v>
      </c>
      <c r="U618" s="115">
        <v>0</v>
      </c>
      <c r="V618" s="115">
        <v>0</v>
      </c>
      <c r="W618" s="115">
        <v>0</v>
      </c>
      <c r="X618" s="115">
        <v>0</v>
      </c>
      <c r="Y618" s="115">
        <v>0</v>
      </c>
      <c r="Z618" s="114">
        <v>0</v>
      </c>
      <c r="AA618" s="114">
        <v>0</v>
      </c>
      <c r="AB618" s="114">
        <v>0</v>
      </c>
      <c r="AC618" s="114">
        <v>0</v>
      </c>
      <c r="AD618" s="114">
        <v>1</v>
      </c>
      <c r="AE618" s="114"/>
      <c r="AF618" s="114">
        <v>0</v>
      </c>
      <c r="AG618" s="114"/>
      <c r="AH618" s="114">
        <v>0</v>
      </c>
      <c r="AI618" s="114"/>
      <c r="AJ618" s="114">
        <v>0</v>
      </c>
      <c r="AK618" s="115">
        <f t="shared" si="609"/>
        <v>1</v>
      </c>
      <c r="AL618" s="98" t="str">
        <f t="shared" si="608"/>
        <v>ok</v>
      </c>
    </row>
    <row r="619" spans="1:38" x14ac:dyDescent="0.25">
      <c r="A619" s="97" t="s">
        <v>406</v>
      </c>
      <c r="C619" s="97" t="s">
        <v>312</v>
      </c>
      <c r="F619" s="114">
        <v>1</v>
      </c>
      <c r="G619" s="114"/>
      <c r="H619" s="115">
        <v>0</v>
      </c>
      <c r="I619" s="115">
        <v>0</v>
      </c>
      <c r="J619" s="115">
        <v>0</v>
      </c>
      <c r="K619" s="115">
        <v>0</v>
      </c>
      <c r="L619" s="115">
        <v>0</v>
      </c>
      <c r="M619" s="115">
        <v>0</v>
      </c>
      <c r="N619" s="115"/>
      <c r="O619" s="115">
        <v>0</v>
      </c>
      <c r="P619" s="115">
        <v>0</v>
      </c>
      <c r="Q619" s="115">
        <v>0</v>
      </c>
      <c r="R619" s="114"/>
      <c r="S619" s="115">
        <v>0</v>
      </c>
      <c r="T619" s="115">
        <v>0</v>
      </c>
      <c r="U619" s="115">
        <v>0</v>
      </c>
      <c r="V619" s="115">
        <v>0</v>
      </c>
      <c r="W619" s="115">
        <v>0</v>
      </c>
      <c r="X619" s="115">
        <v>0</v>
      </c>
      <c r="Y619" s="115">
        <v>0</v>
      </c>
      <c r="Z619" s="114">
        <v>0</v>
      </c>
      <c r="AA619" s="114">
        <v>0</v>
      </c>
      <c r="AB619" s="114">
        <v>0</v>
      </c>
      <c r="AC619" s="114">
        <v>0</v>
      </c>
      <c r="AD619" s="114">
        <v>0</v>
      </c>
      <c r="AE619" s="114"/>
      <c r="AF619" s="114">
        <v>0</v>
      </c>
      <c r="AG619" s="114"/>
      <c r="AH619" s="114">
        <v>1</v>
      </c>
      <c r="AI619" s="114"/>
      <c r="AJ619" s="114">
        <v>0</v>
      </c>
      <c r="AK619" s="115">
        <f t="shared" si="609"/>
        <v>1</v>
      </c>
      <c r="AL619" s="98" t="str">
        <f t="shared" si="608"/>
        <v>ok</v>
      </c>
    </row>
    <row r="620" spans="1:38" x14ac:dyDescent="0.25">
      <c r="A620" s="97" t="s">
        <v>407</v>
      </c>
      <c r="C620" s="97" t="s">
        <v>1234</v>
      </c>
      <c r="F620" s="114">
        <v>1</v>
      </c>
      <c r="G620" s="114"/>
      <c r="H620" s="115">
        <v>0</v>
      </c>
      <c r="I620" s="115">
        <v>0</v>
      </c>
      <c r="J620" s="115">
        <v>0</v>
      </c>
      <c r="K620" s="115">
        <v>0</v>
      </c>
      <c r="L620" s="115">
        <v>0</v>
      </c>
      <c r="M620" s="115">
        <v>0</v>
      </c>
      <c r="N620" s="115"/>
      <c r="O620" s="115">
        <v>0</v>
      </c>
      <c r="P620" s="115">
        <v>0</v>
      </c>
      <c r="Q620" s="115">
        <v>0</v>
      </c>
      <c r="R620" s="114"/>
      <c r="S620" s="115">
        <v>0</v>
      </c>
      <c r="T620" s="115">
        <v>0</v>
      </c>
      <c r="U620" s="115">
        <v>0</v>
      </c>
      <c r="V620" s="115">
        <v>0</v>
      </c>
      <c r="W620" s="115">
        <v>0</v>
      </c>
      <c r="X620" s="115">
        <v>0</v>
      </c>
      <c r="Y620" s="115">
        <v>0</v>
      </c>
      <c r="Z620" s="114">
        <v>0</v>
      </c>
      <c r="AA620" s="114">
        <v>0</v>
      </c>
      <c r="AB620" s="114">
        <v>0</v>
      </c>
      <c r="AC620" s="114">
        <v>0</v>
      </c>
      <c r="AD620" s="114">
        <v>0</v>
      </c>
      <c r="AE620" s="114"/>
      <c r="AF620" s="114">
        <v>0</v>
      </c>
      <c r="AG620" s="114"/>
      <c r="AH620" s="114">
        <v>1</v>
      </c>
      <c r="AI620" s="114"/>
      <c r="AJ620" s="114">
        <v>0</v>
      </c>
      <c r="AK620" s="115">
        <f t="shared" si="609"/>
        <v>1</v>
      </c>
      <c r="AL620" s="98" t="str">
        <f t="shared" si="608"/>
        <v>ok</v>
      </c>
    </row>
    <row r="621" spans="1:38" x14ac:dyDescent="0.25">
      <c r="A621" s="97" t="s">
        <v>459</v>
      </c>
      <c r="C621" s="97" t="s">
        <v>492</v>
      </c>
      <c r="F621" s="114">
        <v>1</v>
      </c>
      <c r="G621" s="114"/>
      <c r="H621" s="115">
        <v>0</v>
      </c>
      <c r="I621" s="115">
        <v>0</v>
      </c>
      <c r="J621" s="115">
        <v>0</v>
      </c>
      <c r="K621" s="115">
        <v>0</v>
      </c>
      <c r="L621" s="115">
        <v>0</v>
      </c>
      <c r="M621" s="115">
        <v>0</v>
      </c>
      <c r="N621" s="115"/>
      <c r="O621" s="115">
        <v>1</v>
      </c>
      <c r="P621" s="366">
        <v>0</v>
      </c>
      <c r="Q621" s="366">
        <v>0</v>
      </c>
      <c r="R621" s="114"/>
      <c r="S621" s="115">
        <v>0</v>
      </c>
      <c r="T621" s="115">
        <v>0</v>
      </c>
      <c r="U621" s="115">
        <v>0</v>
      </c>
      <c r="V621" s="115">
        <v>0</v>
      </c>
      <c r="W621" s="115">
        <v>0</v>
      </c>
      <c r="X621" s="115">
        <v>0</v>
      </c>
      <c r="Y621" s="115">
        <v>0</v>
      </c>
      <c r="Z621" s="114">
        <v>0</v>
      </c>
      <c r="AA621" s="114">
        <v>0</v>
      </c>
      <c r="AB621" s="114">
        <v>0</v>
      </c>
      <c r="AC621" s="114">
        <v>0</v>
      </c>
      <c r="AD621" s="114">
        <v>0</v>
      </c>
      <c r="AE621" s="114"/>
      <c r="AF621" s="114">
        <v>0</v>
      </c>
      <c r="AG621" s="114"/>
      <c r="AH621" s="114">
        <v>0</v>
      </c>
      <c r="AI621" s="114"/>
      <c r="AJ621" s="114">
        <v>0</v>
      </c>
      <c r="AK621" s="115">
        <f t="shared" si="609"/>
        <v>1</v>
      </c>
      <c r="AL621" s="98" t="str">
        <f t="shared" si="608"/>
        <v>ok</v>
      </c>
    </row>
    <row r="622" spans="1:38" x14ac:dyDescent="0.25">
      <c r="A622" s="97" t="s">
        <v>996</v>
      </c>
      <c r="C622" s="97" t="s">
        <v>997</v>
      </c>
      <c r="F622" s="114">
        <v>1</v>
      </c>
      <c r="G622" s="114"/>
      <c r="H622" s="115">
        <v>0</v>
      </c>
      <c r="I622" s="115">
        <v>0</v>
      </c>
      <c r="J622" s="115">
        <v>0</v>
      </c>
      <c r="K622" s="115">
        <v>0</v>
      </c>
      <c r="L622" s="115">
        <v>0</v>
      </c>
      <c r="M622" s="115">
        <v>0</v>
      </c>
      <c r="N622" s="115"/>
      <c r="O622" s="115">
        <v>0</v>
      </c>
      <c r="P622" s="115">
        <v>0</v>
      </c>
      <c r="Q622" s="115">
        <v>0</v>
      </c>
      <c r="R622" s="114"/>
      <c r="S622" s="115">
        <v>0</v>
      </c>
      <c r="T622" s="115">
        <v>0</v>
      </c>
      <c r="U622" s="115">
        <v>0</v>
      </c>
      <c r="V622" s="115">
        <v>0</v>
      </c>
      <c r="W622" s="115">
        <v>0</v>
      </c>
      <c r="X622" s="115">
        <v>0</v>
      </c>
      <c r="Y622" s="115">
        <v>0</v>
      </c>
      <c r="Z622" s="114">
        <v>0</v>
      </c>
      <c r="AA622" s="114">
        <v>0</v>
      </c>
      <c r="AB622" s="114">
        <v>0</v>
      </c>
      <c r="AC622" s="114">
        <v>0</v>
      </c>
      <c r="AD622" s="114">
        <v>0</v>
      </c>
      <c r="AE622" s="114"/>
      <c r="AF622" s="114">
        <v>0</v>
      </c>
      <c r="AG622" s="114"/>
      <c r="AH622" s="114">
        <v>0</v>
      </c>
      <c r="AI622" s="114"/>
      <c r="AJ622" s="114">
        <v>1</v>
      </c>
      <c r="AK622" s="115">
        <f t="shared" si="609"/>
        <v>1</v>
      </c>
      <c r="AL622" s="98" t="str">
        <f t="shared" si="608"/>
        <v>ok</v>
      </c>
    </row>
    <row r="623" spans="1:38" x14ac:dyDescent="0.25">
      <c r="A623" s="97" t="s">
        <v>750</v>
      </c>
      <c r="C623" s="97" t="s">
        <v>733</v>
      </c>
      <c r="F623" s="114">
        <v>1</v>
      </c>
      <c r="G623" s="114"/>
      <c r="H623" s="115">
        <v>0.34380130494917077</v>
      </c>
      <c r="I623" s="115">
        <v>0.36015362760499087</v>
      </c>
      <c r="J623" s="115">
        <v>0.29604506744583836</v>
      </c>
      <c r="K623" s="115">
        <v>0</v>
      </c>
      <c r="L623" s="115">
        <v>0</v>
      </c>
      <c r="M623" s="115">
        <v>0</v>
      </c>
      <c r="N623" s="115"/>
      <c r="O623" s="115">
        <v>0</v>
      </c>
      <c r="P623" s="115">
        <v>0</v>
      </c>
      <c r="Q623" s="115">
        <v>0</v>
      </c>
      <c r="R623" s="114"/>
      <c r="S623" s="115">
        <v>0</v>
      </c>
      <c r="T623" s="115">
        <v>0</v>
      </c>
      <c r="U623" s="115">
        <v>0</v>
      </c>
      <c r="V623" s="115">
        <v>0</v>
      </c>
      <c r="W623" s="115">
        <v>0</v>
      </c>
      <c r="X623" s="115">
        <v>0</v>
      </c>
      <c r="Y623" s="115">
        <v>0</v>
      </c>
      <c r="Z623" s="114">
        <v>0</v>
      </c>
      <c r="AA623" s="114">
        <v>0</v>
      </c>
      <c r="AB623" s="114">
        <v>0</v>
      </c>
      <c r="AC623" s="114">
        <v>0</v>
      </c>
      <c r="AD623" s="114">
        <v>0</v>
      </c>
      <c r="AE623" s="114"/>
      <c r="AF623" s="114">
        <v>0</v>
      </c>
      <c r="AG623" s="114"/>
      <c r="AH623" s="114">
        <v>0</v>
      </c>
      <c r="AI623" s="114"/>
      <c r="AJ623" s="114">
        <v>0</v>
      </c>
      <c r="AK623" s="115">
        <f t="shared" si="609"/>
        <v>1</v>
      </c>
      <c r="AL623" s="98" t="str">
        <f t="shared" si="608"/>
        <v>ok</v>
      </c>
    </row>
    <row r="624" spans="1:38" x14ac:dyDescent="0.25">
      <c r="A624" s="97" t="s">
        <v>751</v>
      </c>
      <c r="C624" s="97" t="s">
        <v>735</v>
      </c>
      <c r="F624" s="114">
        <v>1</v>
      </c>
      <c r="G624" s="114"/>
      <c r="H624" s="115">
        <v>0</v>
      </c>
      <c r="I624" s="115">
        <v>0</v>
      </c>
      <c r="J624" s="115">
        <v>0</v>
      </c>
      <c r="K624" s="115">
        <v>1</v>
      </c>
      <c r="L624" s="115">
        <v>0</v>
      </c>
      <c r="M624" s="115">
        <v>0</v>
      </c>
      <c r="N624" s="115"/>
      <c r="O624" s="115">
        <v>0</v>
      </c>
      <c r="P624" s="115">
        <v>0</v>
      </c>
      <c r="Q624" s="115">
        <v>0</v>
      </c>
      <c r="R624" s="114"/>
      <c r="S624" s="115">
        <v>0</v>
      </c>
      <c r="T624" s="115">
        <v>0</v>
      </c>
      <c r="U624" s="115">
        <v>0</v>
      </c>
      <c r="V624" s="115">
        <v>0</v>
      </c>
      <c r="W624" s="115">
        <v>0</v>
      </c>
      <c r="X624" s="115">
        <v>0</v>
      </c>
      <c r="Y624" s="115">
        <v>0</v>
      </c>
      <c r="Z624" s="114">
        <v>0</v>
      </c>
      <c r="AA624" s="114">
        <v>0</v>
      </c>
      <c r="AB624" s="114">
        <v>0</v>
      </c>
      <c r="AC624" s="114">
        <v>0</v>
      </c>
      <c r="AD624" s="114">
        <v>0</v>
      </c>
      <c r="AE624" s="114"/>
      <c r="AF624" s="114">
        <v>0</v>
      </c>
      <c r="AG624" s="114"/>
      <c r="AH624" s="114">
        <v>0</v>
      </c>
      <c r="AI624" s="114"/>
      <c r="AJ624" s="114">
        <v>0</v>
      </c>
      <c r="AK624" s="115">
        <f t="shared" si="609"/>
        <v>1</v>
      </c>
      <c r="AL624" s="98" t="str">
        <f t="shared" si="608"/>
        <v>ok</v>
      </c>
    </row>
    <row r="625" spans="1:38" x14ac:dyDescent="0.25">
      <c r="A625" s="97" t="s">
        <v>752</v>
      </c>
      <c r="C625" s="97" t="s">
        <v>753</v>
      </c>
      <c r="F625" s="114">
        <v>1</v>
      </c>
      <c r="G625" s="114"/>
      <c r="H625" s="115">
        <v>0</v>
      </c>
      <c r="I625" s="115">
        <v>0</v>
      </c>
      <c r="J625" s="115">
        <v>0</v>
      </c>
      <c r="K625" s="115">
        <v>1</v>
      </c>
      <c r="L625" s="115">
        <v>0</v>
      </c>
      <c r="M625" s="115">
        <v>0</v>
      </c>
      <c r="N625" s="115"/>
      <c r="O625" s="115">
        <v>0</v>
      </c>
      <c r="P625" s="115">
        <v>0</v>
      </c>
      <c r="Q625" s="115">
        <v>0</v>
      </c>
      <c r="R625" s="114"/>
      <c r="S625" s="115">
        <v>0</v>
      </c>
      <c r="T625" s="115">
        <v>0</v>
      </c>
      <c r="U625" s="115">
        <v>0</v>
      </c>
      <c r="V625" s="115">
        <v>0</v>
      </c>
      <c r="W625" s="115">
        <v>0</v>
      </c>
      <c r="X625" s="115">
        <v>0</v>
      </c>
      <c r="Y625" s="115">
        <v>0</v>
      </c>
      <c r="Z625" s="114">
        <v>0</v>
      </c>
      <c r="AA625" s="114">
        <v>0</v>
      </c>
      <c r="AB625" s="114">
        <v>0</v>
      </c>
      <c r="AC625" s="114">
        <v>0</v>
      </c>
      <c r="AD625" s="114">
        <v>0</v>
      </c>
      <c r="AE625" s="114"/>
      <c r="AF625" s="114">
        <v>0</v>
      </c>
      <c r="AG625" s="114"/>
      <c r="AH625" s="114">
        <v>0</v>
      </c>
      <c r="AI625" s="114"/>
      <c r="AJ625" s="114">
        <v>0</v>
      </c>
      <c r="AK625" s="115">
        <f t="shared" si="609"/>
        <v>1</v>
      </c>
      <c r="AL625" s="98" t="str">
        <f t="shared" si="608"/>
        <v>ok</v>
      </c>
    </row>
    <row r="626" spans="1:38" x14ac:dyDescent="0.25">
      <c r="A626" s="97" t="s">
        <v>754</v>
      </c>
      <c r="C626" s="97" t="s">
        <v>744</v>
      </c>
      <c r="F626" s="116">
        <f>F360+F361+F362+F363+F364</f>
        <v>18373986.24719847</v>
      </c>
      <c r="G626" s="114"/>
      <c r="H626" s="101">
        <f t="shared" ref="H626:M626" si="610">H360+H361+H362+H363+H364</f>
        <v>5447166.7430808321</v>
      </c>
      <c r="I626" s="101">
        <f t="shared" si="610"/>
        <v>5134922.8818487478</v>
      </c>
      <c r="J626" s="101">
        <f t="shared" si="610"/>
        <v>5273601.2480795123</v>
      </c>
      <c r="K626" s="101">
        <f t="shared" si="610"/>
        <v>2518295.3741893796</v>
      </c>
      <c r="L626" s="101">
        <f t="shared" si="610"/>
        <v>0</v>
      </c>
      <c r="M626" s="101">
        <f t="shared" si="610"/>
        <v>0</v>
      </c>
      <c r="N626" s="101"/>
      <c r="O626" s="101">
        <f>O360+O361+O362+O363+O364</f>
        <v>0</v>
      </c>
      <c r="P626" s="101">
        <f>P360+P361+P362+P363+P364</f>
        <v>0</v>
      </c>
      <c r="Q626" s="101">
        <f>Q360+Q361+Q362+Q363+Q364</f>
        <v>0</v>
      </c>
      <c r="R626" s="105"/>
      <c r="S626" s="101">
        <f t="shared" ref="S626:AD626" si="611">S360+S361+S362+S363+S364</f>
        <v>0</v>
      </c>
      <c r="T626" s="101">
        <f t="shared" si="611"/>
        <v>0</v>
      </c>
      <c r="U626" s="101">
        <f t="shared" si="611"/>
        <v>0</v>
      </c>
      <c r="V626" s="101">
        <f t="shared" si="611"/>
        <v>0</v>
      </c>
      <c r="W626" s="101">
        <f t="shared" si="611"/>
        <v>0</v>
      </c>
      <c r="X626" s="106">
        <f t="shared" si="611"/>
        <v>0</v>
      </c>
      <c r="Y626" s="106">
        <f t="shared" si="611"/>
        <v>0</v>
      </c>
      <c r="Z626" s="106">
        <f t="shared" si="611"/>
        <v>0</v>
      </c>
      <c r="AA626" s="106">
        <f t="shared" si="611"/>
        <v>0</v>
      </c>
      <c r="AB626" s="106">
        <f t="shared" si="611"/>
        <v>0</v>
      </c>
      <c r="AC626" s="106">
        <f t="shared" si="611"/>
        <v>0</v>
      </c>
      <c r="AD626" s="106">
        <f t="shared" si="611"/>
        <v>0</v>
      </c>
      <c r="AE626" s="114"/>
      <c r="AF626" s="106">
        <f>AF360+AF361+AF362+AF363+AF364</f>
        <v>0</v>
      </c>
      <c r="AG626" s="114"/>
      <c r="AH626" s="106">
        <f>AH360+AH361+AH362+AH363+AH364</f>
        <v>0</v>
      </c>
      <c r="AI626" s="114"/>
      <c r="AJ626" s="106">
        <f>AJ360+AJ361+AJ362+AJ363+AJ364</f>
        <v>0</v>
      </c>
      <c r="AK626" s="101">
        <f t="shared" si="609"/>
        <v>18373986.247198474</v>
      </c>
      <c r="AL626" s="98" t="str">
        <f t="shared" si="608"/>
        <v>ok</v>
      </c>
    </row>
    <row r="627" spans="1:38" x14ac:dyDescent="0.25">
      <c r="A627" s="97" t="s">
        <v>736</v>
      </c>
      <c r="C627" s="97" t="s">
        <v>736</v>
      </c>
      <c r="F627" s="114">
        <v>1</v>
      </c>
      <c r="G627" s="114"/>
      <c r="H627" s="115">
        <v>0.34354647720544701</v>
      </c>
      <c r="I627" s="115">
        <v>0.32385361968615639</v>
      </c>
      <c r="J627" s="115">
        <v>0.3325999031083966</v>
      </c>
      <c r="K627" s="115">
        <v>0</v>
      </c>
      <c r="L627" s="115">
        <v>0</v>
      </c>
      <c r="M627" s="115">
        <v>0</v>
      </c>
      <c r="N627" s="115"/>
      <c r="O627" s="115">
        <v>0</v>
      </c>
      <c r="P627" s="115">
        <v>0</v>
      </c>
      <c r="Q627" s="115">
        <v>0</v>
      </c>
      <c r="R627" s="114"/>
      <c r="S627" s="115">
        <v>0</v>
      </c>
      <c r="T627" s="115">
        <v>0</v>
      </c>
      <c r="U627" s="115">
        <v>0</v>
      </c>
      <c r="V627" s="115">
        <v>0</v>
      </c>
      <c r="W627" s="115">
        <v>0</v>
      </c>
      <c r="X627" s="115">
        <v>0</v>
      </c>
      <c r="Y627" s="115">
        <v>0</v>
      </c>
      <c r="Z627" s="114">
        <v>0</v>
      </c>
      <c r="AA627" s="114">
        <v>0</v>
      </c>
      <c r="AB627" s="114">
        <v>0</v>
      </c>
      <c r="AC627" s="114">
        <v>0</v>
      </c>
      <c r="AD627" s="114">
        <v>0</v>
      </c>
      <c r="AE627" s="114"/>
      <c r="AF627" s="114">
        <v>0</v>
      </c>
      <c r="AG627" s="114"/>
      <c r="AH627" s="114">
        <v>0</v>
      </c>
      <c r="AI627" s="114"/>
      <c r="AJ627" s="114">
        <v>0</v>
      </c>
      <c r="AK627" s="115">
        <f t="shared" si="609"/>
        <v>1</v>
      </c>
      <c r="AL627" s="98" t="str">
        <f t="shared" si="608"/>
        <v>ok</v>
      </c>
    </row>
    <row r="628" spans="1:38" x14ac:dyDescent="0.25">
      <c r="A628" s="97" t="s">
        <v>755</v>
      </c>
      <c r="C628" s="97" t="s">
        <v>745</v>
      </c>
      <c r="F628" s="101">
        <f>F370+F371+F372+F373</f>
        <v>12842397.527229311</v>
      </c>
      <c r="G628" s="114"/>
      <c r="H628" s="101">
        <f t="shared" ref="H628:M628" si="612">H370+H371+H372+H373</f>
        <v>425610.8128132422</v>
      </c>
      <c r="I628" s="101">
        <f t="shared" si="612"/>
        <v>401213.84282077051</v>
      </c>
      <c r="J628" s="101">
        <f t="shared" si="612"/>
        <v>412049.38631612272</v>
      </c>
      <c r="K628" s="101">
        <f t="shared" si="612"/>
        <v>11603523.485279175</v>
      </c>
      <c r="L628" s="101">
        <f t="shared" si="612"/>
        <v>0</v>
      </c>
      <c r="M628" s="101">
        <f t="shared" si="612"/>
        <v>0</v>
      </c>
      <c r="N628" s="101"/>
      <c r="O628" s="101">
        <f>O370+O371+O372+O373</f>
        <v>0</v>
      </c>
      <c r="P628" s="101">
        <f>P370+P371+P372+P373</f>
        <v>0</v>
      </c>
      <c r="Q628" s="101">
        <f>Q370+Q371+Q372+Q373</f>
        <v>0</v>
      </c>
      <c r="R628" s="105"/>
      <c r="S628" s="101">
        <f t="shared" ref="S628:AD628" si="613">S370+S371+S372+S373</f>
        <v>0</v>
      </c>
      <c r="T628" s="101">
        <f t="shared" si="613"/>
        <v>0</v>
      </c>
      <c r="U628" s="101">
        <f t="shared" si="613"/>
        <v>0</v>
      </c>
      <c r="V628" s="101">
        <f t="shared" si="613"/>
        <v>0</v>
      </c>
      <c r="W628" s="101">
        <f t="shared" si="613"/>
        <v>0</v>
      </c>
      <c r="X628" s="101">
        <f t="shared" si="613"/>
        <v>0</v>
      </c>
      <c r="Y628" s="101">
        <f t="shared" si="613"/>
        <v>0</v>
      </c>
      <c r="Z628" s="101">
        <f t="shared" si="613"/>
        <v>0</v>
      </c>
      <c r="AA628" s="101">
        <f t="shared" si="613"/>
        <v>0</v>
      </c>
      <c r="AB628" s="101">
        <f t="shared" si="613"/>
        <v>0</v>
      </c>
      <c r="AC628" s="101">
        <f t="shared" si="613"/>
        <v>0</v>
      </c>
      <c r="AD628" s="101">
        <f t="shared" si="613"/>
        <v>0</v>
      </c>
      <c r="AE628" s="105"/>
      <c r="AF628" s="101">
        <f>AF370+AF371+AF372+AF373</f>
        <v>0</v>
      </c>
      <c r="AG628" s="105"/>
      <c r="AH628" s="101">
        <f>AH370+AH371+AH372+AH373</f>
        <v>0</v>
      </c>
      <c r="AI628" s="105"/>
      <c r="AJ628" s="101">
        <f>AJ370+AJ371+AJ372+AJ373</f>
        <v>0</v>
      </c>
      <c r="AK628" s="101">
        <f t="shared" si="609"/>
        <v>12842397.527229309</v>
      </c>
      <c r="AL628" s="98" t="str">
        <f t="shared" si="608"/>
        <v>ok</v>
      </c>
    </row>
    <row r="629" spans="1:38" x14ac:dyDescent="0.25">
      <c r="A629" s="97" t="s">
        <v>756</v>
      </c>
      <c r="C629" s="97" t="s">
        <v>746</v>
      </c>
      <c r="F629" s="101">
        <f>F381+F382+F383+F384+F385</f>
        <v>0</v>
      </c>
      <c r="G629" s="114"/>
      <c r="H629" s="101">
        <f t="shared" ref="H629:M629" si="614">H381+H382+H383+H384+H385</f>
        <v>0</v>
      </c>
      <c r="I629" s="101">
        <f t="shared" si="614"/>
        <v>0</v>
      </c>
      <c r="J629" s="101">
        <f t="shared" si="614"/>
        <v>0</v>
      </c>
      <c r="K629" s="101">
        <f t="shared" si="614"/>
        <v>0</v>
      </c>
      <c r="L629" s="101">
        <f t="shared" si="614"/>
        <v>0</v>
      </c>
      <c r="M629" s="101">
        <f t="shared" si="614"/>
        <v>0</v>
      </c>
      <c r="N629" s="101"/>
      <c r="O629" s="101">
        <f>O381+O382+O383+O384+O385</f>
        <v>0</v>
      </c>
      <c r="P629" s="101">
        <f>P381+P382+P383+P384+P385</f>
        <v>0</v>
      </c>
      <c r="Q629" s="101">
        <f>Q381+Q382+Q383+Q384+Q385</f>
        <v>0</v>
      </c>
      <c r="R629" s="105"/>
      <c r="S629" s="101">
        <f t="shared" ref="S629:AD629" si="615">S381+S382+S383+S384+S385</f>
        <v>0</v>
      </c>
      <c r="T629" s="101">
        <f t="shared" si="615"/>
        <v>0</v>
      </c>
      <c r="U629" s="101">
        <f t="shared" si="615"/>
        <v>0</v>
      </c>
      <c r="V629" s="101">
        <f t="shared" si="615"/>
        <v>0</v>
      </c>
      <c r="W629" s="101">
        <f t="shared" si="615"/>
        <v>0</v>
      </c>
      <c r="X629" s="101">
        <f t="shared" si="615"/>
        <v>0</v>
      </c>
      <c r="Y629" s="101">
        <f t="shared" si="615"/>
        <v>0</v>
      </c>
      <c r="Z629" s="101">
        <f t="shared" si="615"/>
        <v>0</v>
      </c>
      <c r="AA629" s="101">
        <f t="shared" si="615"/>
        <v>0</v>
      </c>
      <c r="AB629" s="101">
        <f t="shared" si="615"/>
        <v>0</v>
      </c>
      <c r="AC629" s="101">
        <f t="shared" si="615"/>
        <v>0</v>
      </c>
      <c r="AD629" s="101">
        <f t="shared" si="615"/>
        <v>0</v>
      </c>
      <c r="AE629" s="105"/>
      <c r="AF629" s="101">
        <f>AF381+AF382+AF383+AF384+AF385</f>
        <v>0</v>
      </c>
      <c r="AG629" s="105"/>
      <c r="AH629" s="101">
        <f>AH381+AH382+AH383+AH384+AH385</f>
        <v>0</v>
      </c>
      <c r="AI629" s="105"/>
      <c r="AJ629" s="101">
        <f>AJ381+AJ382+AJ383+AJ384+AJ385</f>
        <v>0</v>
      </c>
      <c r="AK629" s="101">
        <f t="shared" si="609"/>
        <v>0</v>
      </c>
      <c r="AL629" s="98" t="str">
        <f t="shared" si="608"/>
        <v>ok</v>
      </c>
    </row>
    <row r="630" spans="1:38" x14ac:dyDescent="0.25">
      <c r="A630" s="97" t="s">
        <v>757</v>
      </c>
      <c r="C630" s="97" t="s">
        <v>747</v>
      </c>
      <c r="F630" s="101">
        <f>F391+F392+F393+F394</f>
        <v>47184.925882498494</v>
      </c>
      <c r="G630" s="114"/>
      <c r="H630" s="101">
        <f t="shared" ref="H630:M630" si="616">H391+H392+H393+H394</f>
        <v>16210.215064132475</v>
      </c>
      <c r="I630" s="101">
        <f t="shared" si="616"/>
        <v>15281.009041670144</v>
      </c>
      <c r="J630" s="101">
        <f t="shared" si="616"/>
        <v>15693.701776695874</v>
      </c>
      <c r="K630" s="101">
        <f t="shared" si="616"/>
        <v>0</v>
      </c>
      <c r="L630" s="101">
        <f t="shared" si="616"/>
        <v>0</v>
      </c>
      <c r="M630" s="101">
        <f t="shared" si="616"/>
        <v>0</v>
      </c>
      <c r="N630" s="101"/>
      <c r="O630" s="101">
        <f>O391+O392+O393+O394</f>
        <v>0</v>
      </c>
      <c r="P630" s="101">
        <f>P391+P392+P393+P394</f>
        <v>0</v>
      </c>
      <c r="Q630" s="101">
        <f>Q391+Q392+Q393+Q394</f>
        <v>0</v>
      </c>
      <c r="R630" s="105"/>
      <c r="S630" s="101">
        <f t="shared" ref="S630:AD630" si="617">S391+S392+S393+S394</f>
        <v>0</v>
      </c>
      <c r="T630" s="101">
        <f t="shared" si="617"/>
        <v>0</v>
      </c>
      <c r="U630" s="101">
        <f t="shared" si="617"/>
        <v>0</v>
      </c>
      <c r="V630" s="101">
        <f t="shared" si="617"/>
        <v>0</v>
      </c>
      <c r="W630" s="101">
        <f t="shared" si="617"/>
        <v>0</v>
      </c>
      <c r="X630" s="101">
        <f t="shared" si="617"/>
        <v>0</v>
      </c>
      <c r="Y630" s="101">
        <f t="shared" si="617"/>
        <v>0</v>
      </c>
      <c r="Z630" s="101">
        <f t="shared" si="617"/>
        <v>0</v>
      </c>
      <c r="AA630" s="101">
        <f t="shared" si="617"/>
        <v>0</v>
      </c>
      <c r="AB630" s="101">
        <f t="shared" si="617"/>
        <v>0</v>
      </c>
      <c r="AC630" s="101">
        <f t="shared" si="617"/>
        <v>0</v>
      </c>
      <c r="AD630" s="101">
        <f t="shared" si="617"/>
        <v>0</v>
      </c>
      <c r="AE630" s="105"/>
      <c r="AF630" s="101">
        <f>AF391+AF392+AF393+AF394</f>
        <v>0</v>
      </c>
      <c r="AG630" s="105"/>
      <c r="AH630" s="101">
        <f>AH391+AH392+AH393+AH394</f>
        <v>0</v>
      </c>
      <c r="AI630" s="105"/>
      <c r="AJ630" s="101">
        <f>AJ391+AJ392+AJ393+AJ394</f>
        <v>0</v>
      </c>
      <c r="AK630" s="101">
        <f t="shared" si="609"/>
        <v>47184.925882498494</v>
      </c>
      <c r="AL630" s="98" t="str">
        <f t="shared" si="608"/>
        <v>ok</v>
      </c>
    </row>
    <row r="631" spans="1:38" x14ac:dyDescent="0.25">
      <c r="A631" s="97" t="s">
        <v>758</v>
      </c>
      <c r="C631" s="97" t="s">
        <v>748</v>
      </c>
      <c r="F631" s="101">
        <f>F444+F445+F446+F447+F448+F449+F450+F451+F452+F453</f>
        <v>12444302.580154542</v>
      </c>
      <c r="G631" s="114"/>
      <c r="H631" s="101">
        <f t="shared" ref="H631:M631" si="618">H444+H445+H446+H447+H448+H449+H450+H451+H452+H453</f>
        <v>0</v>
      </c>
      <c r="I631" s="101">
        <f t="shared" si="618"/>
        <v>0</v>
      </c>
      <c r="J631" s="101">
        <f t="shared" si="618"/>
        <v>0</v>
      </c>
      <c r="K631" s="101">
        <f t="shared" si="618"/>
        <v>0</v>
      </c>
      <c r="L631" s="101">
        <f t="shared" si="618"/>
        <v>0</v>
      </c>
      <c r="M631" s="101">
        <f t="shared" si="618"/>
        <v>0</v>
      </c>
      <c r="N631" s="101"/>
      <c r="O631" s="101">
        <f>O444+O445+O446+O447+O448+O449+O450+O451+O452+O453</f>
        <v>0</v>
      </c>
      <c r="P631" s="101">
        <f>P444+P445+P446+P447+P448+P449+P450+P451+P452+P453</f>
        <v>0</v>
      </c>
      <c r="Q631" s="101">
        <f>Q444+Q445+Q446+Q447+Q448+Q449+Q450+Q451+Q452+Q453</f>
        <v>0</v>
      </c>
      <c r="R631" s="105"/>
      <c r="S631" s="101">
        <f t="shared" ref="S631:AD631" si="619">S444+S445+S446+S447+S448+S449+S450+S451+S452+S453</f>
        <v>0</v>
      </c>
      <c r="T631" s="101">
        <f t="shared" si="619"/>
        <v>1618225.8348742258</v>
      </c>
      <c r="U631" s="101">
        <f t="shared" si="619"/>
        <v>0</v>
      </c>
      <c r="V631" s="101">
        <f t="shared" si="619"/>
        <v>1018596.4745117625</v>
      </c>
      <c r="W631" s="101">
        <f t="shared" si="619"/>
        <v>1655551.7175841164</v>
      </c>
      <c r="X631" s="101">
        <f t="shared" si="619"/>
        <v>511164.86002779927</v>
      </c>
      <c r="Y631" s="101">
        <f t="shared" si="619"/>
        <v>757279.69185181917</v>
      </c>
      <c r="Z631" s="101">
        <f t="shared" si="619"/>
        <v>315193.21004416078</v>
      </c>
      <c r="AA631" s="101">
        <f t="shared" si="619"/>
        <v>280483.95085567492</v>
      </c>
      <c r="AB631" s="101">
        <f t="shared" si="619"/>
        <v>187776.2432794029</v>
      </c>
      <c r="AC631" s="101">
        <f t="shared" si="619"/>
        <v>5877796.7722128723</v>
      </c>
      <c r="AD631" s="101">
        <f t="shared" si="619"/>
        <v>222233.8249127077</v>
      </c>
      <c r="AE631" s="105"/>
      <c r="AF631" s="101">
        <f>AF444+AF445+AF446+AF447+AF448+AF449+AF450+AF451+AF452+AF453</f>
        <v>0</v>
      </c>
      <c r="AG631" s="105"/>
      <c r="AH631" s="101">
        <f>AH444+AH445+AH446+AH447+AH448+AH449+AH450+AH451+AH452+AH453</f>
        <v>0</v>
      </c>
      <c r="AI631" s="105"/>
      <c r="AJ631" s="101">
        <f>AJ444+AJ445+AJ446+AJ447+AJ448+AJ449+AJ450+AJ451+AJ452+AJ453</f>
        <v>0</v>
      </c>
      <c r="AK631" s="101">
        <f t="shared" si="609"/>
        <v>12444302.580154542</v>
      </c>
      <c r="AL631" s="98" t="str">
        <f t="shared" si="608"/>
        <v>ok</v>
      </c>
    </row>
    <row r="632" spans="1:38" x14ac:dyDescent="0.25">
      <c r="A632" s="97" t="s">
        <v>759</v>
      </c>
      <c r="C632" s="97" t="s">
        <v>749</v>
      </c>
      <c r="F632" s="101">
        <f>F471+F472+F473+F474+F475+F476+F477</f>
        <v>7228849.9753027568</v>
      </c>
      <c r="G632" s="114"/>
      <c r="H632" s="101">
        <f t="shared" ref="H632:M632" si="620">H471+H472+H473+H474+H475+H476+H477</f>
        <v>0</v>
      </c>
      <c r="I632" s="101">
        <f t="shared" si="620"/>
        <v>0</v>
      </c>
      <c r="J632" s="101">
        <f t="shared" si="620"/>
        <v>0</v>
      </c>
      <c r="K632" s="101">
        <f t="shared" si="620"/>
        <v>0</v>
      </c>
      <c r="L632" s="101">
        <f t="shared" si="620"/>
        <v>0</v>
      </c>
      <c r="M632" s="101">
        <f t="shared" si="620"/>
        <v>0</v>
      </c>
      <c r="N632" s="101"/>
      <c r="O632" s="101">
        <f>O471+O472+O473+O474+O475+O476+O477</f>
        <v>0</v>
      </c>
      <c r="P632" s="101">
        <f>P471+P472+P473+P474+P475+P476+P477</f>
        <v>0</v>
      </c>
      <c r="Q632" s="101">
        <f>Q471+Q472+Q473+Q474+Q475+Q476+Q477</f>
        <v>0</v>
      </c>
      <c r="R632" s="105"/>
      <c r="S632" s="101">
        <f t="shared" ref="S632:AD632" si="621">S471+S472+S473+S474+S475+S476+S477</f>
        <v>0</v>
      </c>
      <c r="T632" s="101">
        <f t="shared" si="621"/>
        <v>605268.88174267509</v>
      </c>
      <c r="U632" s="101">
        <f t="shared" si="621"/>
        <v>0</v>
      </c>
      <c r="V632" s="101">
        <f t="shared" si="621"/>
        <v>1716338.7897032718</v>
      </c>
      <c r="W632" s="101">
        <f t="shared" si="621"/>
        <v>2679438.4391976842</v>
      </c>
      <c r="X632" s="101">
        <f t="shared" si="621"/>
        <v>881261.6717432735</v>
      </c>
      <c r="Y632" s="101">
        <f t="shared" si="621"/>
        <v>1295121.7716360111</v>
      </c>
      <c r="Z632" s="101">
        <f t="shared" si="621"/>
        <v>27208.3079709372</v>
      </c>
      <c r="AA632" s="101">
        <f t="shared" si="621"/>
        <v>24212.113308904056</v>
      </c>
      <c r="AB632" s="101">
        <f t="shared" si="621"/>
        <v>0</v>
      </c>
      <c r="AC632" s="101">
        <f t="shared" si="621"/>
        <v>0</v>
      </c>
      <c r="AD632" s="101">
        <f t="shared" si="621"/>
        <v>0</v>
      </c>
      <c r="AE632" s="105"/>
      <c r="AF632" s="101">
        <f>AF471+AF472+AF473+AF474+AF475+AF476+AF477</f>
        <v>0</v>
      </c>
      <c r="AG632" s="105"/>
      <c r="AH632" s="101">
        <f>AH471+AH472+AH473+AH474+AH475+AH476+AH477</f>
        <v>0</v>
      </c>
      <c r="AI632" s="105"/>
      <c r="AJ632" s="101">
        <f>AJ471+AJ472+AJ473+AJ474+AJ475+AJ476+AJ477</f>
        <v>0</v>
      </c>
      <c r="AK632" s="101">
        <f t="shared" si="609"/>
        <v>7228849.9753027568</v>
      </c>
      <c r="AL632" s="98" t="str">
        <f t="shared" si="608"/>
        <v>ok</v>
      </c>
    </row>
    <row r="633" spans="1:38" x14ac:dyDescent="0.25">
      <c r="A633" s="97" t="s">
        <v>309</v>
      </c>
      <c r="C633" s="97" t="s">
        <v>741</v>
      </c>
      <c r="F633" s="114">
        <v>1</v>
      </c>
      <c r="G633" s="114"/>
      <c r="H633" s="115">
        <v>0</v>
      </c>
      <c r="I633" s="115">
        <v>0</v>
      </c>
      <c r="J633" s="115">
        <v>0</v>
      </c>
      <c r="K633" s="115">
        <v>0</v>
      </c>
      <c r="L633" s="115">
        <v>0</v>
      </c>
      <c r="M633" s="115">
        <v>0</v>
      </c>
      <c r="N633" s="115"/>
      <c r="O633" s="115">
        <v>0</v>
      </c>
      <c r="P633" s="115">
        <v>0</v>
      </c>
      <c r="Q633" s="115">
        <v>0</v>
      </c>
      <c r="R633" s="114"/>
      <c r="S633" s="115">
        <v>0</v>
      </c>
      <c r="T633" s="115">
        <v>0</v>
      </c>
      <c r="U633" s="115">
        <v>0</v>
      </c>
      <c r="V633" s="115">
        <v>0</v>
      </c>
      <c r="W633" s="115">
        <v>0</v>
      </c>
      <c r="X633" s="115">
        <v>0</v>
      </c>
      <c r="Y633" s="115">
        <v>0</v>
      </c>
      <c r="Z633" s="114">
        <v>0</v>
      </c>
      <c r="AA633" s="114">
        <v>0</v>
      </c>
      <c r="AB633" s="114">
        <v>0</v>
      </c>
      <c r="AC633" s="114">
        <v>0</v>
      </c>
      <c r="AD633" s="114">
        <v>0</v>
      </c>
      <c r="AE633" s="114"/>
      <c r="AF633" s="114">
        <v>1</v>
      </c>
      <c r="AG633" s="114"/>
      <c r="AH633" s="114">
        <v>0</v>
      </c>
      <c r="AI633" s="114"/>
      <c r="AJ633" s="114">
        <v>0</v>
      </c>
      <c r="AK633" s="115">
        <f t="shared" si="609"/>
        <v>1</v>
      </c>
      <c r="AL633" s="98" t="str">
        <f t="shared" si="608"/>
        <v>ok</v>
      </c>
    </row>
    <row r="634" spans="1:38" x14ac:dyDescent="0.25">
      <c r="A634" s="97" t="s">
        <v>320</v>
      </c>
      <c r="C634" s="97" t="s">
        <v>742</v>
      </c>
      <c r="F634" s="114">
        <v>1</v>
      </c>
      <c r="G634" s="114"/>
      <c r="H634" s="115">
        <v>0</v>
      </c>
      <c r="I634" s="115">
        <v>0</v>
      </c>
      <c r="J634" s="115">
        <v>0</v>
      </c>
      <c r="K634" s="115">
        <v>0</v>
      </c>
      <c r="L634" s="115">
        <v>0</v>
      </c>
      <c r="M634" s="115">
        <v>0</v>
      </c>
      <c r="N634" s="115"/>
      <c r="O634" s="115">
        <v>0</v>
      </c>
      <c r="P634" s="115">
        <v>0</v>
      </c>
      <c r="Q634" s="115">
        <v>0</v>
      </c>
      <c r="R634" s="114"/>
      <c r="S634" s="115">
        <v>0</v>
      </c>
      <c r="T634" s="115">
        <v>0</v>
      </c>
      <c r="U634" s="115">
        <v>0</v>
      </c>
      <c r="V634" s="115">
        <v>0</v>
      </c>
      <c r="W634" s="115">
        <v>0</v>
      </c>
      <c r="X634" s="115">
        <v>0</v>
      </c>
      <c r="Y634" s="115">
        <v>0</v>
      </c>
      <c r="Z634" s="114">
        <v>0</v>
      </c>
      <c r="AA634" s="114">
        <v>0</v>
      </c>
      <c r="AB634" s="114">
        <v>0</v>
      </c>
      <c r="AC634" s="114">
        <v>0</v>
      </c>
      <c r="AD634" s="114">
        <v>0</v>
      </c>
      <c r="AE634" s="114"/>
      <c r="AF634" s="114">
        <v>0</v>
      </c>
      <c r="AG634" s="114"/>
      <c r="AH634" s="114">
        <v>1</v>
      </c>
      <c r="AI634" s="114"/>
      <c r="AJ634" s="114">
        <v>0</v>
      </c>
      <c r="AK634" s="115">
        <f t="shared" si="609"/>
        <v>1</v>
      </c>
      <c r="AL634" s="98" t="str">
        <f t="shared" si="608"/>
        <v>ok</v>
      </c>
    </row>
    <row r="635" spans="1:38" x14ac:dyDescent="0.25">
      <c r="A635" s="97" t="s">
        <v>205</v>
      </c>
      <c r="C635" s="97" t="s">
        <v>574</v>
      </c>
      <c r="F635" s="101">
        <v>918042685.90230596</v>
      </c>
      <c r="G635" s="101"/>
      <c r="H635" s="101">
        <f t="shared" ref="H635:M635" si="622">H36+H37</f>
        <v>0</v>
      </c>
      <c r="I635" s="101">
        <f t="shared" si="622"/>
        <v>0</v>
      </c>
      <c r="J635" s="101">
        <f t="shared" si="622"/>
        <v>0</v>
      </c>
      <c r="K635" s="101">
        <f t="shared" si="622"/>
        <v>0</v>
      </c>
      <c r="L635" s="101">
        <f t="shared" si="622"/>
        <v>0</v>
      </c>
      <c r="M635" s="101">
        <f t="shared" si="622"/>
        <v>0</v>
      </c>
      <c r="N635" s="101"/>
      <c r="O635" s="101">
        <f>O36+O37</f>
        <v>0</v>
      </c>
      <c r="P635" s="101">
        <f>P36+P37</f>
        <v>0</v>
      </c>
      <c r="Q635" s="101">
        <f>Q36+Q37</f>
        <v>0</v>
      </c>
      <c r="R635" s="101"/>
      <c r="S635" s="101">
        <f t="shared" ref="S635:AD635" si="623">S36+S37</f>
        <v>0</v>
      </c>
      <c r="T635" s="101">
        <f t="shared" si="623"/>
        <v>0</v>
      </c>
      <c r="U635" s="101">
        <f t="shared" si="623"/>
        <v>0</v>
      </c>
      <c r="V635" s="101">
        <f t="shared" si="623"/>
        <v>228454092.63455608</v>
      </c>
      <c r="W635" s="101">
        <f t="shared" si="623"/>
        <v>423647545.28562999</v>
      </c>
      <c r="X635" s="101">
        <f t="shared" si="623"/>
        <v>105170278.98999348</v>
      </c>
      <c r="Y635" s="101">
        <f t="shared" si="623"/>
        <v>160770768.99212644</v>
      </c>
      <c r="Z635" s="101">
        <f t="shared" si="623"/>
        <v>0</v>
      </c>
      <c r="AA635" s="101">
        <f t="shared" si="623"/>
        <v>0</v>
      </c>
      <c r="AB635" s="101">
        <f t="shared" si="623"/>
        <v>0</v>
      </c>
      <c r="AC635" s="101">
        <f t="shared" si="623"/>
        <v>0</v>
      </c>
      <c r="AD635" s="101">
        <f t="shared" si="623"/>
        <v>0</v>
      </c>
      <c r="AE635" s="101"/>
      <c r="AF635" s="101">
        <f>AF36+AF37</f>
        <v>0</v>
      </c>
      <c r="AG635" s="101"/>
      <c r="AH635" s="101">
        <f>AH36+AH37</f>
        <v>0</v>
      </c>
      <c r="AI635" s="101"/>
      <c r="AJ635" s="101">
        <f>AJ36+AJ37</f>
        <v>0</v>
      </c>
      <c r="AK635" s="101">
        <f>SUM(H635:AJ635)</f>
        <v>918042685.90230596</v>
      </c>
      <c r="AL635" s="98" t="str">
        <f t="shared" si="608"/>
        <v>ok</v>
      </c>
    </row>
    <row r="636" spans="1:38" x14ac:dyDescent="0.25"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  <c r="AA636" s="101"/>
      <c r="AB636" s="101"/>
      <c r="AC636" s="101"/>
      <c r="AD636" s="101"/>
      <c r="AE636" s="101"/>
      <c r="AF636" s="101"/>
      <c r="AG636" s="101"/>
      <c r="AH636" s="101"/>
      <c r="AI636" s="101"/>
      <c r="AJ636" s="101"/>
      <c r="AK636" s="101"/>
      <c r="AL636" s="98"/>
    </row>
    <row r="637" spans="1:38" x14ac:dyDescent="0.25">
      <c r="A637" s="97" t="s">
        <v>442</v>
      </c>
      <c r="D637" s="97" t="s">
        <v>733</v>
      </c>
      <c r="F637" s="101">
        <f>'Jurisdictional Study'!F1004</f>
        <v>7312225.9596335888</v>
      </c>
      <c r="G637" s="101"/>
      <c r="H637" s="101">
        <f>IF(VLOOKUP($D637,$C$5:$AJ$644,6,)=0,0,((VLOOKUP($D637,$C$5:$AJ$644,6,)/VLOOKUP($D637,$C$5:$AJ$644,4,))*$F637))</f>
        <v>2513952.8270052304</v>
      </c>
      <c r="I637" s="101">
        <f>IF(VLOOKUP($D637,$C$5:$AJ$644,7,)=0,0,((VLOOKUP($D637,$C$5:$AJ$644,7,)/VLOOKUP($D637,$C$5:$AJ$644,4,))*$F637))</f>
        <v>2633524.7052294225</v>
      </c>
      <c r="J637" s="101">
        <f>IF(VLOOKUP($D637,$C$5:$AJ$644,8,)=0,0,((VLOOKUP($D637,$C$5:$AJ$644,8,)/VLOOKUP($D637,$C$5:$AJ$644,4,))*$F637))</f>
        <v>2164748.4273989359</v>
      </c>
      <c r="K637" s="101">
        <f>IF(VLOOKUP($D637,$C$5:$AJ$644,9,)=0,0,((VLOOKUP($D637,$C$5:$AJ$644,9,)/VLOOKUP($D637,$C$5:$AJ$644,4,))*$F637))</f>
        <v>0</v>
      </c>
      <c r="L637" s="101">
        <f>IF(VLOOKUP($D637,$C$5:$AJ$644,10,)=0,0,((VLOOKUP($D637,$C$5:$AJ$644,10,)/VLOOKUP($D637,$C$5:$AJ$644,4,))*$F637))</f>
        <v>0</v>
      </c>
      <c r="M637" s="101">
        <f>IF(VLOOKUP($D637,$C$5:$AJ$644,11,)=0,0,((VLOOKUP($D637,$C$5:$AJ$644,11,)/VLOOKUP($D637,$C$5:$AJ$644,4,))*$F637))</f>
        <v>0</v>
      </c>
      <c r="N637" s="101"/>
      <c r="O637" s="101">
        <f>IF(VLOOKUP($D637,$C$5:$AJ$644,13,)=0,0,((VLOOKUP($D637,$C$5:$AJ$644,13,)/VLOOKUP($D637,$C$5:$AJ$644,4,))*$F637))</f>
        <v>0</v>
      </c>
      <c r="P637" s="101">
        <f>IF(VLOOKUP($D637,$C$5:$AJ$644,14,)=0,0,((VLOOKUP($D637,$C$5:$AJ$644,14,)/VLOOKUP($D637,$C$5:$AJ$644,4,))*$F637))</f>
        <v>0</v>
      </c>
      <c r="Q637" s="101">
        <f>IF(VLOOKUP($D637,$C$5:$AJ$644,15,)=0,0,((VLOOKUP($D637,$C$5:$AJ$644,15,)/VLOOKUP($D637,$C$5:$AJ$644,4,))*$F637))</f>
        <v>0</v>
      </c>
      <c r="R637" s="101"/>
      <c r="S637" s="101">
        <f>IF(VLOOKUP($D637,$C$5:$AJ$644,17,)=0,0,((VLOOKUP($D637,$C$5:$AJ$644,17,)/VLOOKUP($D637,$C$5:$AJ$644,4,))*$F637))</f>
        <v>0</v>
      </c>
      <c r="T637" s="101">
        <f>IF(VLOOKUP($D637,$C$5:$AJ$644,18,)=0,0,((VLOOKUP($D637,$C$5:$AJ$644,18,)/VLOOKUP($D637,$C$5:$AJ$644,4,))*$F637))</f>
        <v>0</v>
      </c>
      <c r="U637" s="101">
        <f>IF(VLOOKUP($D637,$C$5:$AJ$644,19,)=0,0,((VLOOKUP($D637,$C$5:$AJ$644,19,)/VLOOKUP($D637,$C$5:$AJ$644,4,))*$F637))</f>
        <v>0</v>
      </c>
      <c r="V637" s="101">
        <f>IF(VLOOKUP($D637,$C$5:$AJ$644,20,)=0,0,((VLOOKUP($D637,$C$5:$AJ$644,20,)/VLOOKUP($D637,$C$5:$AJ$644,4,))*$F637))</f>
        <v>0</v>
      </c>
      <c r="W637" s="101">
        <f>IF(VLOOKUP($D637,$C$5:$AJ$644,21,)=0,0,((VLOOKUP($D637,$C$5:$AJ$644,21,)/VLOOKUP($D637,$C$5:$AJ$644,4,))*$F637))</f>
        <v>0</v>
      </c>
      <c r="X637" s="101">
        <f>IF(VLOOKUP($D637,$C$5:$AJ$644,22,)=0,0,((VLOOKUP($D637,$C$5:$AJ$644,22,)/VLOOKUP($D637,$C$5:$AJ$644,4,))*$F637))</f>
        <v>0</v>
      </c>
      <c r="Y637" s="101">
        <f>IF(VLOOKUP($D637,$C$5:$AJ$644,23,)=0,0,((VLOOKUP($D637,$C$5:$AJ$644,23,)/VLOOKUP($D637,$C$5:$AJ$644,4,))*$F637))</f>
        <v>0</v>
      </c>
      <c r="Z637" s="101">
        <f>IF(VLOOKUP($D637,$C$5:$AJ$644,24,)=0,0,((VLOOKUP($D637,$C$5:$AJ$644,24,)/VLOOKUP($D637,$C$5:$AJ$644,4,))*$F637))</f>
        <v>0</v>
      </c>
      <c r="AA637" s="101">
        <f>IF(VLOOKUP($D637,$C$5:$AJ$644,25,)=0,0,((VLOOKUP($D637,$C$5:$AJ$644,25,)/VLOOKUP($D637,$C$5:$AJ$644,4,))*$F637))</f>
        <v>0</v>
      </c>
      <c r="AB637" s="101">
        <f>IF(VLOOKUP($D637,$C$5:$AJ$644,26,)=0,0,((VLOOKUP($D637,$C$5:$AJ$644,26,)/VLOOKUP($D637,$C$5:$AJ$644,4,))*$F637))</f>
        <v>0</v>
      </c>
      <c r="AC637" s="101">
        <f>IF(VLOOKUP($D637,$C$5:$AJ$644,27,)=0,0,((VLOOKUP($D637,$C$5:$AJ$644,27,)/VLOOKUP($D637,$C$5:$AJ$644,4,))*$F637))</f>
        <v>0</v>
      </c>
      <c r="AD637" s="101">
        <f>IF(VLOOKUP($D637,$C$5:$AJ$644,28,)=0,0,((VLOOKUP($D637,$C$5:$AJ$644,28,)/VLOOKUP($D637,$C$5:$AJ$644,4,))*$F637))</f>
        <v>0</v>
      </c>
      <c r="AE637" s="101"/>
      <c r="AF637" s="101">
        <f>IF(VLOOKUP($D637,$C$5:$AJ$644,30,)=0,0,((VLOOKUP($D637,$C$5:$AJ$644,30,)/VLOOKUP($D637,$C$5:$AJ$644,4,))*$F637))</f>
        <v>0</v>
      </c>
      <c r="AG637" s="101"/>
      <c r="AH637" s="101">
        <f>IF(VLOOKUP($D637,$C$5:$AJ$644,32,)=0,0,((VLOOKUP($D637,$C$5:$AJ$644,32,)/VLOOKUP($D637,$C$5:$AJ$644,4,))*$F637))</f>
        <v>0</v>
      </c>
      <c r="AI637" s="101"/>
      <c r="AJ637" s="101">
        <f>IF(VLOOKUP($D637,$C$5:$AJ$644,34,)=0,0,((VLOOKUP($D637,$C$5:$AJ$644,34,)/VLOOKUP($D637,$C$5:$AJ$644,4,))*$F637))</f>
        <v>0</v>
      </c>
      <c r="AK637" s="101">
        <f>SUM(H637:AJ637)</f>
        <v>7312225.9596335888</v>
      </c>
      <c r="AL637" s="98" t="str">
        <f>IF(ABS(AK637-F637)&lt;1,"ok","err")</f>
        <v>ok</v>
      </c>
    </row>
    <row r="638" spans="1:38" x14ac:dyDescent="0.25">
      <c r="A638" s="97" t="s">
        <v>443</v>
      </c>
      <c r="D638" s="97" t="s">
        <v>753</v>
      </c>
      <c r="F638" s="101">
        <f>'Jurisdictional Study'!F1005</f>
        <v>43441112.705944642</v>
      </c>
      <c r="G638" s="114"/>
      <c r="H638" s="101">
        <f>IF(VLOOKUP($D638,$C$5:$AJ$644,6,)=0,0,((VLOOKUP($D638,$C$5:$AJ$644,6,)/VLOOKUP($D638,$C$5:$AJ$644,4,))*$F638))</f>
        <v>0</v>
      </c>
      <c r="I638" s="101">
        <f>IF(VLOOKUP($D638,$C$5:$AJ$644,7,)=0,0,((VLOOKUP($D638,$C$5:$AJ$644,7,)/VLOOKUP($D638,$C$5:$AJ$644,4,))*$F638))</f>
        <v>0</v>
      </c>
      <c r="J638" s="101">
        <f>IF(VLOOKUP($D638,$C$5:$AJ$644,8,)=0,0,((VLOOKUP($D638,$C$5:$AJ$644,8,)/VLOOKUP($D638,$C$5:$AJ$644,4,))*$F638))</f>
        <v>0</v>
      </c>
      <c r="K638" s="101">
        <f>IF(VLOOKUP($D638,$C$5:$AJ$644,9,)=0,0,((VLOOKUP($D638,$C$5:$AJ$644,9,)/VLOOKUP($D638,$C$5:$AJ$644,4,))*$F638))</f>
        <v>43441112.705944642</v>
      </c>
      <c r="L638" s="101">
        <f>IF(VLOOKUP($D638,$C$5:$AJ$644,10,)=0,0,((VLOOKUP($D638,$C$5:$AJ$644,10,)/VLOOKUP($D638,$C$5:$AJ$644,4,))*$F638))</f>
        <v>0</v>
      </c>
      <c r="M638" s="101">
        <f>IF(VLOOKUP($D638,$C$5:$AJ$644,11,)=0,0,((VLOOKUP($D638,$C$5:$AJ$644,11,)/VLOOKUP($D638,$C$5:$AJ$644,4,))*$F638))</f>
        <v>0</v>
      </c>
      <c r="N638" s="101"/>
      <c r="O638" s="101">
        <f>IF(VLOOKUP($D638,$C$5:$AJ$644,13,)=0,0,((VLOOKUP($D638,$C$5:$AJ$644,13,)/VLOOKUP($D638,$C$5:$AJ$644,4,))*$F638))</f>
        <v>0</v>
      </c>
      <c r="P638" s="101">
        <f>IF(VLOOKUP($D638,$C$5:$AJ$644,14,)=0,0,((VLOOKUP($D638,$C$5:$AJ$644,14,)/VLOOKUP($D638,$C$5:$AJ$644,4,))*$F638))</f>
        <v>0</v>
      </c>
      <c r="Q638" s="101">
        <f>IF(VLOOKUP($D638,$C$5:$AJ$644,15,)=0,0,((VLOOKUP($D638,$C$5:$AJ$644,15,)/VLOOKUP($D638,$C$5:$AJ$644,4,))*$F638))</f>
        <v>0</v>
      </c>
      <c r="R638" s="101"/>
      <c r="S638" s="101">
        <f>IF(VLOOKUP($D638,$C$5:$AJ$644,17,)=0,0,((VLOOKUP($D638,$C$5:$AJ$644,17,)/VLOOKUP($D638,$C$5:$AJ$644,4,))*$F638))</f>
        <v>0</v>
      </c>
      <c r="T638" s="101">
        <f>IF(VLOOKUP($D638,$C$5:$AJ$644,18,)=0,0,((VLOOKUP($D638,$C$5:$AJ$644,18,)/VLOOKUP($D638,$C$5:$AJ$644,4,))*$F638))</f>
        <v>0</v>
      </c>
      <c r="U638" s="101">
        <f>IF(VLOOKUP($D638,$C$5:$AJ$644,19,)=0,0,((VLOOKUP($D638,$C$5:$AJ$644,19,)/VLOOKUP($D638,$C$5:$AJ$644,4,))*$F638))</f>
        <v>0</v>
      </c>
      <c r="V638" s="101">
        <f>IF(VLOOKUP($D638,$C$5:$AJ$644,20,)=0,0,((VLOOKUP($D638,$C$5:$AJ$644,20,)/VLOOKUP($D638,$C$5:$AJ$644,4,))*$F638))</f>
        <v>0</v>
      </c>
      <c r="W638" s="101">
        <f>IF(VLOOKUP($D638,$C$5:$AJ$644,21,)=0,0,((VLOOKUP($D638,$C$5:$AJ$644,21,)/VLOOKUP($D638,$C$5:$AJ$644,4,))*$F638))</f>
        <v>0</v>
      </c>
      <c r="X638" s="101">
        <f>IF(VLOOKUP($D638,$C$5:$AJ$644,22,)=0,0,((VLOOKUP($D638,$C$5:$AJ$644,22,)/VLOOKUP($D638,$C$5:$AJ$644,4,))*$F638))</f>
        <v>0</v>
      </c>
      <c r="Y638" s="101">
        <f>IF(VLOOKUP($D638,$C$5:$AJ$644,23,)=0,0,((VLOOKUP($D638,$C$5:$AJ$644,23,)/VLOOKUP($D638,$C$5:$AJ$644,4,))*$F638))</f>
        <v>0</v>
      </c>
      <c r="Z638" s="101">
        <f>IF(VLOOKUP($D638,$C$5:$AJ$644,24,)=0,0,((VLOOKUP($D638,$C$5:$AJ$644,24,)/VLOOKUP($D638,$C$5:$AJ$644,4,))*$F638))</f>
        <v>0</v>
      </c>
      <c r="AA638" s="101">
        <f>IF(VLOOKUP($D638,$C$5:$AJ$644,25,)=0,0,((VLOOKUP($D638,$C$5:$AJ$644,25,)/VLOOKUP($D638,$C$5:$AJ$644,4,))*$F638))</f>
        <v>0</v>
      </c>
      <c r="AB638" s="101">
        <f>IF(VLOOKUP($D638,$C$5:$AJ$644,26,)=0,0,((VLOOKUP($D638,$C$5:$AJ$644,26,)/VLOOKUP($D638,$C$5:$AJ$644,4,))*$F638))</f>
        <v>0</v>
      </c>
      <c r="AC638" s="101">
        <f>IF(VLOOKUP($D638,$C$5:$AJ$644,27,)=0,0,((VLOOKUP($D638,$C$5:$AJ$644,27,)/VLOOKUP($D638,$C$5:$AJ$644,4,))*$F638))</f>
        <v>0</v>
      </c>
      <c r="AD638" s="101">
        <f>IF(VLOOKUP($D638,$C$5:$AJ$644,28,)=0,0,((VLOOKUP($D638,$C$5:$AJ$644,28,)/VLOOKUP($D638,$C$5:$AJ$644,4,))*$F638))</f>
        <v>0</v>
      </c>
      <c r="AE638" s="101"/>
      <c r="AF638" s="101">
        <f>IF(VLOOKUP($D638,$C$5:$AJ$644,30,)=0,0,((VLOOKUP($D638,$C$5:$AJ$644,30,)/VLOOKUP($D638,$C$5:$AJ$644,4,))*$F638))</f>
        <v>0</v>
      </c>
      <c r="AG638" s="101"/>
      <c r="AH638" s="101">
        <f>IF(VLOOKUP($D638,$C$5:$AJ$644,32,)=0,0,((VLOOKUP($D638,$C$5:$AJ$644,32,)/VLOOKUP($D638,$C$5:$AJ$644,4,))*$F638))</f>
        <v>0</v>
      </c>
      <c r="AI638" s="101"/>
      <c r="AJ638" s="101">
        <f>IF(VLOOKUP($D638,$C$5:$AJ$644,34,)=0,0,((VLOOKUP($D638,$C$5:$AJ$644,34,)/VLOOKUP($D638,$C$5:$AJ$644,4,))*$F638))</f>
        <v>0</v>
      </c>
      <c r="AK638" s="101">
        <f>SUM(H638:AJ638)</f>
        <v>43441112.705944642</v>
      </c>
      <c r="AL638" s="98" t="str">
        <f>IF(ABS(AK638-F638)&lt;1,"ok","err")</f>
        <v>ok</v>
      </c>
    </row>
    <row r="639" spans="1:38" x14ac:dyDescent="0.25">
      <c r="A639" s="24" t="s">
        <v>502</v>
      </c>
      <c r="C639" s="97" t="s">
        <v>806</v>
      </c>
      <c r="D639" s="97" t="s">
        <v>733</v>
      </c>
      <c r="F639" s="101">
        <f>'Jurisdictional Study'!F1006</f>
        <v>50753338.665578231</v>
      </c>
      <c r="G639" s="101"/>
      <c r="H639" s="101">
        <f>H637+H638</f>
        <v>2513952.8270052304</v>
      </c>
      <c r="I639" s="101">
        <f>I637+I638</f>
        <v>2633524.7052294225</v>
      </c>
      <c r="J639" s="101">
        <f>J637+J638</f>
        <v>2164748.4273989359</v>
      </c>
      <c r="K639" s="101">
        <f>K637+K638</f>
        <v>43441112.705944642</v>
      </c>
      <c r="L639" s="101">
        <f t="shared" ref="L639:AJ639" si="624">L637+L638</f>
        <v>0</v>
      </c>
      <c r="M639" s="101">
        <f t="shared" si="624"/>
        <v>0</v>
      </c>
      <c r="N639" s="101">
        <f t="shared" si="624"/>
        <v>0</v>
      </c>
      <c r="O639" s="101">
        <f t="shared" si="624"/>
        <v>0</v>
      </c>
      <c r="P639" s="101">
        <f t="shared" si="624"/>
        <v>0</v>
      </c>
      <c r="Q639" s="101">
        <f t="shared" si="624"/>
        <v>0</v>
      </c>
      <c r="R639" s="101">
        <f t="shared" si="624"/>
        <v>0</v>
      </c>
      <c r="S639" s="101">
        <f t="shared" si="624"/>
        <v>0</v>
      </c>
      <c r="T639" s="101">
        <f t="shared" si="624"/>
        <v>0</v>
      </c>
      <c r="U639" s="101">
        <f t="shared" si="624"/>
        <v>0</v>
      </c>
      <c r="V639" s="101">
        <f t="shared" si="624"/>
        <v>0</v>
      </c>
      <c r="W639" s="101">
        <f t="shared" si="624"/>
        <v>0</v>
      </c>
      <c r="X639" s="101">
        <f t="shared" si="624"/>
        <v>0</v>
      </c>
      <c r="Y639" s="101">
        <f t="shared" si="624"/>
        <v>0</v>
      </c>
      <c r="Z639" s="101">
        <f t="shared" si="624"/>
        <v>0</v>
      </c>
      <c r="AA639" s="101">
        <f t="shared" si="624"/>
        <v>0</v>
      </c>
      <c r="AB639" s="101">
        <f t="shared" si="624"/>
        <v>0</v>
      </c>
      <c r="AC639" s="101">
        <f t="shared" si="624"/>
        <v>0</v>
      </c>
      <c r="AD639" s="101">
        <f t="shared" si="624"/>
        <v>0</v>
      </c>
      <c r="AE639" s="101">
        <f t="shared" si="624"/>
        <v>0</v>
      </c>
      <c r="AF639" s="101">
        <f t="shared" si="624"/>
        <v>0</v>
      </c>
      <c r="AG639" s="101">
        <f t="shared" si="624"/>
        <v>0</v>
      </c>
      <c r="AH639" s="101">
        <f t="shared" si="624"/>
        <v>0</v>
      </c>
      <c r="AI639" s="101">
        <f t="shared" si="624"/>
        <v>0</v>
      </c>
      <c r="AJ639" s="101">
        <f t="shared" si="624"/>
        <v>0</v>
      </c>
      <c r="AK639" s="101">
        <f>SUM(H639:AJ639)</f>
        <v>50753338.665578231</v>
      </c>
      <c r="AL639" s="98" t="str">
        <f>IF(ABS(AK639-F639)&lt;1,"ok","err")</f>
        <v>ok</v>
      </c>
    </row>
    <row r="640" spans="1:38" x14ac:dyDescent="0.25">
      <c r="Y640" s="97"/>
      <c r="AL640" s="98"/>
    </row>
    <row r="641" spans="1:38" x14ac:dyDescent="0.25">
      <c r="A641" s="97" t="s">
        <v>732</v>
      </c>
      <c r="C641" s="97" t="s">
        <v>1069</v>
      </c>
      <c r="F641" s="117">
        <v>1</v>
      </c>
      <c r="H641" s="101">
        <v>0</v>
      </c>
      <c r="I641" s="101">
        <v>0</v>
      </c>
      <c r="J641" s="101">
        <v>0</v>
      </c>
      <c r="K641" s="118">
        <v>1</v>
      </c>
      <c r="L641" s="101">
        <v>0</v>
      </c>
      <c r="M641" s="118">
        <v>0</v>
      </c>
      <c r="O641" s="101">
        <v>0</v>
      </c>
      <c r="P641" s="101">
        <v>0</v>
      </c>
      <c r="Q641" s="101">
        <v>0</v>
      </c>
      <c r="S641" s="101">
        <v>0</v>
      </c>
      <c r="T641" s="101">
        <v>0</v>
      </c>
      <c r="U641" s="101">
        <v>0</v>
      </c>
      <c r="V641" s="101">
        <v>0</v>
      </c>
      <c r="W641" s="101">
        <v>0</v>
      </c>
      <c r="X641" s="101">
        <v>0</v>
      </c>
      <c r="Y641" s="101">
        <v>0</v>
      </c>
      <c r="Z641" s="101">
        <v>0</v>
      </c>
      <c r="AA641" s="101">
        <v>0</v>
      </c>
      <c r="AB641" s="101">
        <v>0</v>
      </c>
      <c r="AC641" s="101">
        <v>0</v>
      </c>
      <c r="AD641" s="101">
        <v>0</v>
      </c>
      <c r="AF641" s="117">
        <v>0</v>
      </c>
      <c r="AH641" s="101">
        <v>0</v>
      </c>
      <c r="AJ641" s="101">
        <v>0</v>
      </c>
      <c r="AK641" s="115">
        <f>SUM(H641:AJ641)</f>
        <v>1</v>
      </c>
      <c r="AL641" s="98" t="str">
        <f>IF(ABS(AK641-F641)&lt;1,"ok","err")</f>
        <v>ok</v>
      </c>
    </row>
    <row r="642" spans="1:38" x14ac:dyDescent="0.25">
      <c r="A642" s="97" t="s">
        <v>1071</v>
      </c>
      <c r="C642" s="97" t="s">
        <v>1070</v>
      </c>
      <c r="F642" s="117">
        <v>1</v>
      </c>
      <c r="H642" s="101">
        <v>0</v>
      </c>
      <c r="I642" s="101">
        <v>0</v>
      </c>
      <c r="J642" s="101">
        <v>0</v>
      </c>
      <c r="K642" s="101">
        <v>0</v>
      </c>
      <c r="L642" s="101">
        <v>0</v>
      </c>
      <c r="M642" s="101">
        <v>0</v>
      </c>
      <c r="O642" s="101">
        <v>0</v>
      </c>
      <c r="P642" s="101">
        <v>0</v>
      </c>
      <c r="Q642" s="101">
        <v>0</v>
      </c>
      <c r="S642" s="101">
        <v>0</v>
      </c>
      <c r="T642" s="101">
        <v>0</v>
      </c>
      <c r="U642" s="101">
        <v>0</v>
      </c>
      <c r="V642" s="101">
        <v>0</v>
      </c>
      <c r="W642" s="101">
        <v>0</v>
      </c>
      <c r="X642" s="101">
        <v>0</v>
      </c>
      <c r="Y642" s="101">
        <v>0</v>
      </c>
      <c r="Z642" s="101">
        <v>0</v>
      </c>
      <c r="AA642" s="101">
        <v>0</v>
      </c>
      <c r="AB642" s="101">
        <v>0</v>
      </c>
      <c r="AC642" s="101">
        <v>0</v>
      </c>
      <c r="AD642" s="101">
        <v>0</v>
      </c>
      <c r="AF642" s="117">
        <v>1</v>
      </c>
      <c r="AH642" s="101">
        <v>0</v>
      </c>
      <c r="AJ642" s="101">
        <v>0</v>
      </c>
      <c r="AK642" s="115">
        <f>SUM(H642:AJ642)</f>
        <v>1</v>
      </c>
      <c r="AL642" s="98" t="str">
        <f>IF(ABS(AK642-F642)&lt;1,"ok","err")</f>
        <v>ok</v>
      </c>
    </row>
    <row r="643" spans="1:38" x14ac:dyDescent="0.25">
      <c r="A643" s="97" t="s">
        <v>1074</v>
      </c>
      <c r="C643" s="97" t="s">
        <v>1073</v>
      </c>
      <c r="F643" s="114">
        <v>1</v>
      </c>
      <c r="G643" s="114"/>
      <c r="H643" s="115">
        <v>0</v>
      </c>
      <c r="I643" s="115">
        <v>0</v>
      </c>
      <c r="J643" s="115">
        <v>0</v>
      </c>
      <c r="K643" s="115">
        <v>0</v>
      </c>
      <c r="L643" s="115">
        <v>0</v>
      </c>
      <c r="M643" s="115">
        <v>1</v>
      </c>
      <c r="N643" s="115"/>
      <c r="O643" s="115">
        <v>0</v>
      </c>
      <c r="P643" s="115">
        <v>0</v>
      </c>
      <c r="Q643" s="115">
        <v>0</v>
      </c>
      <c r="R643" s="114"/>
      <c r="S643" s="115">
        <v>0</v>
      </c>
      <c r="T643" s="115">
        <v>0</v>
      </c>
      <c r="U643" s="115">
        <v>0</v>
      </c>
      <c r="V643" s="115">
        <v>0</v>
      </c>
      <c r="W643" s="115">
        <v>0</v>
      </c>
      <c r="X643" s="115">
        <v>0</v>
      </c>
      <c r="Y643" s="115">
        <v>0</v>
      </c>
      <c r="Z643" s="114">
        <v>0</v>
      </c>
      <c r="AA643" s="114">
        <v>0</v>
      </c>
      <c r="AB643" s="114">
        <v>0</v>
      </c>
      <c r="AC643" s="114">
        <v>0</v>
      </c>
      <c r="AD643" s="114">
        <v>0</v>
      </c>
      <c r="AE643" s="114"/>
      <c r="AF643" s="114">
        <v>0</v>
      </c>
      <c r="AG643" s="114"/>
      <c r="AH643" s="114">
        <v>0</v>
      </c>
      <c r="AI643" s="114"/>
      <c r="AJ643" s="114">
        <v>0</v>
      </c>
      <c r="AK643" s="115">
        <f>SUM(H643:AJ643)</f>
        <v>1</v>
      </c>
      <c r="AL643" s="98" t="str">
        <f>IF(ABS(AK643-F643)&lt;0.0000001,"ok","err")</f>
        <v>ok</v>
      </c>
    </row>
    <row r="644" spans="1:38" x14ac:dyDescent="0.25">
      <c r="C644" s="97" t="s">
        <v>110</v>
      </c>
      <c r="F644" s="114">
        <v>1</v>
      </c>
      <c r="G644" s="114"/>
      <c r="H644" s="115">
        <v>0</v>
      </c>
      <c r="I644" s="115">
        <v>0</v>
      </c>
      <c r="J644" s="115">
        <v>0</v>
      </c>
      <c r="K644" s="115">
        <v>1</v>
      </c>
      <c r="L644" s="115">
        <v>0</v>
      </c>
      <c r="M644" s="115">
        <v>0</v>
      </c>
      <c r="N644" s="115"/>
      <c r="O644" s="115">
        <v>0</v>
      </c>
      <c r="P644" s="115">
        <v>0</v>
      </c>
      <c r="Q644" s="115">
        <v>0</v>
      </c>
      <c r="R644" s="114"/>
      <c r="S644" s="115">
        <v>0</v>
      </c>
      <c r="T644" s="115">
        <v>0</v>
      </c>
      <c r="U644" s="115">
        <v>0</v>
      </c>
      <c r="V644" s="115">
        <v>0</v>
      </c>
      <c r="W644" s="115">
        <v>0</v>
      </c>
      <c r="X644" s="115">
        <v>0</v>
      </c>
      <c r="Y644" s="115">
        <v>0</v>
      </c>
      <c r="Z644" s="114">
        <v>0</v>
      </c>
      <c r="AA644" s="114">
        <v>0</v>
      </c>
      <c r="AB644" s="114">
        <v>0</v>
      </c>
      <c r="AC644" s="114">
        <v>0</v>
      </c>
      <c r="AD644" s="114">
        <v>0</v>
      </c>
      <c r="AE644" s="114"/>
      <c r="AF644" s="114">
        <v>0</v>
      </c>
      <c r="AG644" s="114"/>
      <c r="AH644" s="114">
        <v>0</v>
      </c>
      <c r="AI644" s="114"/>
      <c r="AJ644" s="114">
        <v>0</v>
      </c>
      <c r="AK644" s="115">
        <f>SUM(H644:AJ644)</f>
        <v>1</v>
      </c>
      <c r="AL644" s="98" t="str">
        <f>IF(ABS(AK644-F644)&lt;0.0000001,"ok","err")</f>
        <v>ok</v>
      </c>
    </row>
    <row r="645" spans="1:38" x14ac:dyDescent="0.25">
      <c r="A645" s="24" t="s">
        <v>447</v>
      </c>
      <c r="AL645" s="98"/>
    </row>
    <row r="646" spans="1:38" x14ac:dyDescent="0.25">
      <c r="A646" s="97" t="s">
        <v>204</v>
      </c>
      <c r="D646" s="97" t="s">
        <v>493</v>
      </c>
      <c r="F646" s="114">
        <v>1</v>
      </c>
      <c r="H646" s="118">
        <f t="shared" ref="H646:M646" si="625">H47/$F$47</f>
        <v>0.20952193457482191</v>
      </c>
      <c r="I646" s="118">
        <f t="shared" si="625"/>
        <v>0.21948748801606224</v>
      </c>
      <c r="J646" s="118">
        <f t="shared" si="625"/>
        <v>0.18041797503286439</v>
      </c>
      <c r="K646" s="118">
        <f t="shared" si="625"/>
        <v>0</v>
      </c>
      <c r="L646" s="118">
        <f t="shared" si="625"/>
        <v>0</v>
      </c>
      <c r="M646" s="118">
        <f t="shared" si="625"/>
        <v>0</v>
      </c>
      <c r="N646" s="118"/>
      <c r="O646" s="118">
        <f>O47/$F$47</f>
        <v>0.13172951287154483</v>
      </c>
      <c r="P646" s="118">
        <f>P47/$F$47</f>
        <v>0</v>
      </c>
      <c r="Q646" s="118">
        <f>Q47/$F$47</f>
        <v>0</v>
      </c>
      <c r="R646" s="118"/>
      <c r="S646" s="118">
        <f t="shared" ref="S646:AD646" si="626">S47/$F$47</f>
        <v>0</v>
      </c>
      <c r="T646" s="118">
        <f t="shared" si="626"/>
        <v>3.1338986525490678E-2</v>
      </c>
      <c r="U646" s="118">
        <f t="shared" si="626"/>
        <v>0</v>
      </c>
      <c r="V646" s="118">
        <f t="shared" si="626"/>
        <v>3.4149841307393271E-2</v>
      </c>
      <c r="W646" s="118">
        <f t="shared" si="626"/>
        <v>6.3327805927791941E-2</v>
      </c>
      <c r="X646" s="118">
        <f t="shared" si="626"/>
        <v>1.5721094318532226E-2</v>
      </c>
      <c r="Y646" s="118">
        <f t="shared" si="626"/>
        <v>2.4032382981780016E-2</v>
      </c>
      <c r="Z646" s="118">
        <f t="shared" si="626"/>
        <v>2.4404601761909742E-2</v>
      </c>
      <c r="AA646" s="118">
        <f t="shared" si="626"/>
        <v>2.1717152854532507E-2</v>
      </c>
      <c r="AB646" s="118">
        <f t="shared" si="626"/>
        <v>1.4539032858414855E-2</v>
      </c>
      <c r="AC646" s="118">
        <f t="shared" si="626"/>
        <v>1.2405195950597107E-2</v>
      </c>
      <c r="AD646" s="118">
        <f t="shared" si="626"/>
        <v>1.7206995018264299E-2</v>
      </c>
      <c r="AE646" s="118"/>
      <c r="AF646" s="118">
        <f>AF47/$F$47</f>
        <v>0</v>
      </c>
      <c r="AG646" s="118"/>
      <c r="AH646" s="118">
        <f>AH47/$F$47</f>
        <v>0</v>
      </c>
      <c r="AI646" s="118"/>
      <c r="AJ646" s="118">
        <f>AJ47/$F$47</f>
        <v>0</v>
      </c>
      <c r="AK646" s="115">
        <f t="shared" ref="AK646:AK664" si="627">SUM(H646:AJ646)</f>
        <v>0.99999999999999989</v>
      </c>
      <c r="AL646" s="98" t="str">
        <f t="shared" ref="AL646:AL664" si="628">IF(ABS(AK646-F646)&lt;0.0000001,"ok","err")</f>
        <v>ok</v>
      </c>
    </row>
    <row r="647" spans="1:38" x14ac:dyDescent="0.25">
      <c r="A647" s="97" t="s">
        <v>183</v>
      </c>
      <c r="D647" s="97" t="s">
        <v>115</v>
      </c>
      <c r="F647" s="114">
        <v>1</v>
      </c>
      <c r="H647" s="118">
        <f t="shared" ref="H647:M647" si="629">H45/$F$45</f>
        <v>0</v>
      </c>
      <c r="I647" s="118">
        <f t="shared" si="629"/>
        <v>0</v>
      </c>
      <c r="J647" s="118">
        <f t="shared" si="629"/>
        <v>0</v>
      </c>
      <c r="K647" s="118">
        <f t="shared" si="629"/>
        <v>0</v>
      </c>
      <c r="L647" s="118">
        <f t="shared" si="629"/>
        <v>0</v>
      </c>
      <c r="M647" s="118">
        <f t="shared" si="629"/>
        <v>0</v>
      </c>
      <c r="N647" s="118"/>
      <c r="O647" s="118">
        <f>O45/$F$45</f>
        <v>0</v>
      </c>
      <c r="P647" s="118">
        <f>P45/$F$45</f>
        <v>0</v>
      </c>
      <c r="Q647" s="118">
        <f>Q45/$F$45</f>
        <v>0</v>
      </c>
      <c r="R647" s="118"/>
      <c r="S647" s="118">
        <f t="shared" ref="S647:AD647" si="630">S45/$F$45</f>
        <v>0</v>
      </c>
      <c r="T647" s="118">
        <f t="shared" si="630"/>
        <v>0.12107329805658508</v>
      </c>
      <c r="U647" s="118">
        <f t="shared" si="630"/>
        <v>0</v>
      </c>
      <c r="V647" s="118">
        <f t="shared" si="630"/>
        <v>0.13193259813402247</v>
      </c>
      <c r="W647" s="118">
        <f t="shared" si="630"/>
        <v>0.2446571243179371</v>
      </c>
      <c r="X647" s="118">
        <f t="shared" si="630"/>
        <v>6.0736001678137759E-2</v>
      </c>
      <c r="Y647" s="118">
        <f t="shared" si="630"/>
        <v>9.2845372181910329E-2</v>
      </c>
      <c r="Z647" s="118">
        <f t="shared" si="630"/>
        <v>9.4283381521243909E-2</v>
      </c>
      <c r="AA647" s="118">
        <f t="shared" si="630"/>
        <v>8.3900840837930174E-2</v>
      </c>
      <c r="AB647" s="118">
        <f t="shared" si="630"/>
        <v>5.6169291157183804E-2</v>
      </c>
      <c r="AC647" s="118">
        <f t="shared" si="630"/>
        <v>4.7925544291463645E-2</v>
      </c>
      <c r="AD647" s="118">
        <f t="shared" si="630"/>
        <v>6.6476547823585683E-2</v>
      </c>
      <c r="AE647" s="118"/>
      <c r="AF647" s="118">
        <f>AF45/$F$45</f>
        <v>0</v>
      </c>
      <c r="AG647" s="118"/>
      <c r="AH647" s="118">
        <f>AH45/$F$45</f>
        <v>0</v>
      </c>
      <c r="AI647" s="118"/>
      <c r="AJ647" s="118">
        <f>AJ45/$F$45</f>
        <v>0</v>
      </c>
      <c r="AK647" s="115">
        <f t="shared" si="627"/>
        <v>1</v>
      </c>
      <c r="AL647" s="98" t="str">
        <f t="shared" si="628"/>
        <v>ok</v>
      </c>
    </row>
    <row r="648" spans="1:38" x14ac:dyDescent="0.25">
      <c r="A648" s="97" t="s">
        <v>463</v>
      </c>
      <c r="D648" s="97" t="s">
        <v>491</v>
      </c>
      <c r="F648" s="114">
        <v>1</v>
      </c>
      <c r="H648" s="118">
        <f t="shared" ref="H648:M648" si="631">H32/$F$32</f>
        <v>0</v>
      </c>
      <c r="I648" s="118">
        <f t="shared" si="631"/>
        <v>0</v>
      </c>
      <c r="J648" s="118">
        <f t="shared" si="631"/>
        <v>0</v>
      </c>
      <c r="K648" s="118">
        <f t="shared" si="631"/>
        <v>0</v>
      </c>
      <c r="L648" s="118">
        <f t="shared" si="631"/>
        <v>0</v>
      </c>
      <c r="M648" s="118">
        <f t="shared" si="631"/>
        <v>0</v>
      </c>
      <c r="N648" s="118"/>
      <c r="O648" s="118">
        <f>O32/$F$32</f>
        <v>1</v>
      </c>
      <c r="P648" s="118">
        <f>P32/$F$32</f>
        <v>0</v>
      </c>
      <c r="Q648" s="118">
        <f>Q32/$F$32</f>
        <v>0</v>
      </c>
      <c r="R648" s="118"/>
      <c r="S648" s="118">
        <f t="shared" ref="S648:AD648" si="632">S32/$F$32</f>
        <v>0</v>
      </c>
      <c r="T648" s="118">
        <f t="shared" si="632"/>
        <v>0</v>
      </c>
      <c r="U648" s="118">
        <f t="shared" si="632"/>
        <v>0</v>
      </c>
      <c r="V648" s="118">
        <f t="shared" si="632"/>
        <v>0</v>
      </c>
      <c r="W648" s="118">
        <f t="shared" si="632"/>
        <v>0</v>
      </c>
      <c r="X648" s="118">
        <f t="shared" si="632"/>
        <v>0</v>
      </c>
      <c r="Y648" s="118">
        <f t="shared" si="632"/>
        <v>0</v>
      </c>
      <c r="Z648" s="118">
        <f t="shared" si="632"/>
        <v>0</v>
      </c>
      <c r="AA648" s="118">
        <f t="shared" si="632"/>
        <v>0</v>
      </c>
      <c r="AB648" s="118">
        <f t="shared" si="632"/>
        <v>0</v>
      </c>
      <c r="AC648" s="118">
        <f t="shared" si="632"/>
        <v>0</v>
      </c>
      <c r="AD648" s="118">
        <f t="shared" si="632"/>
        <v>0</v>
      </c>
      <c r="AE648" s="118"/>
      <c r="AF648" s="118">
        <f>AF32/$F$32</f>
        <v>0</v>
      </c>
      <c r="AG648" s="118"/>
      <c r="AH648" s="118">
        <f>AH32/$F$32</f>
        <v>0</v>
      </c>
      <c r="AI648" s="118"/>
      <c r="AJ648" s="118">
        <f>AJ32/$F$32</f>
        <v>0</v>
      </c>
      <c r="AK648" s="115">
        <f t="shared" si="627"/>
        <v>1</v>
      </c>
      <c r="AL648" s="98" t="str">
        <f t="shared" si="628"/>
        <v>ok</v>
      </c>
    </row>
    <row r="649" spans="1:38" x14ac:dyDescent="0.25">
      <c r="A649" s="97" t="s">
        <v>1356</v>
      </c>
      <c r="D649" s="97" t="s">
        <v>797</v>
      </c>
      <c r="F649" s="114">
        <v>1</v>
      </c>
      <c r="H649" s="118">
        <f t="shared" ref="H649:M649" si="633">H330/$F$330</f>
        <v>3.9764185243287328E-2</v>
      </c>
      <c r="I649" s="118">
        <f t="shared" si="633"/>
        <v>3.7733706917855762E-2</v>
      </c>
      <c r="J649" s="118">
        <f t="shared" si="633"/>
        <v>3.8243147239114206E-2</v>
      </c>
      <c r="K649" s="118">
        <f t="shared" si="633"/>
        <v>0.67605482796901784</v>
      </c>
      <c r="L649" s="118">
        <f t="shared" si="633"/>
        <v>0</v>
      </c>
      <c r="M649" s="118">
        <f t="shared" si="633"/>
        <v>0</v>
      </c>
      <c r="N649" s="118"/>
      <c r="O649" s="118">
        <f>O330/$F$330</f>
        <v>4.9851875236650009E-2</v>
      </c>
      <c r="P649" s="118">
        <f>P330/$F$330</f>
        <v>0</v>
      </c>
      <c r="Q649" s="118">
        <f>Q330/$F$330</f>
        <v>0</v>
      </c>
      <c r="R649" s="118"/>
      <c r="S649" s="118">
        <f t="shared" ref="S649:AD649" si="634">S330/$F$330</f>
        <v>0</v>
      </c>
      <c r="T649" s="118">
        <f t="shared" si="634"/>
        <v>8.236039337613443E-3</v>
      </c>
      <c r="U649" s="118">
        <f t="shared" si="634"/>
        <v>0</v>
      </c>
      <c r="V649" s="118">
        <f t="shared" si="634"/>
        <v>1.5641866062359566E-2</v>
      </c>
      <c r="W649" s="118">
        <f t="shared" si="634"/>
        <v>2.4171628306174527E-2</v>
      </c>
      <c r="X649" s="118">
        <f t="shared" si="634"/>
        <v>8.0761868302706291E-3</v>
      </c>
      <c r="Y649" s="118">
        <f t="shared" si="634"/>
        <v>1.1846007533307433E-2</v>
      </c>
      <c r="Z649" s="118">
        <f t="shared" si="634"/>
        <v>1.5920344309310762E-3</v>
      </c>
      <c r="AA649" s="118">
        <f t="shared" si="634"/>
        <v>1.4167186755807682E-3</v>
      </c>
      <c r="AB649" s="118">
        <f t="shared" si="634"/>
        <v>8.9492644404539159E-4</v>
      </c>
      <c r="AC649" s="118">
        <f t="shared" si="634"/>
        <v>2.0293085652186422E-2</v>
      </c>
      <c r="AD649" s="118">
        <f t="shared" si="634"/>
        <v>8.9745546793189529E-4</v>
      </c>
      <c r="AE649" s="118"/>
      <c r="AF649" s="118">
        <f>AF330/$F$330</f>
        <v>5.801240207760771E-2</v>
      </c>
      <c r="AG649" s="118"/>
      <c r="AH649" s="118">
        <f>AH330/$F$330</f>
        <v>7.2739065760659199E-3</v>
      </c>
      <c r="AI649" s="118"/>
      <c r="AJ649" s="118">
        <f>AJ330/$F$330</f>
        <v>0</v>
      </c>
      <c r="AK649" s="115">
        <f t="shared" si="627"/>
        <v>1</v>
      </c>
      <c r="AL649" s="98" t="str">
        <f t="shared" si="628"/>
        <v>ok</v>
      </c>
    </row>
    <row r="650" spans="1:38" x14ac:dyDescent="0.25">
      <c r="A650" s="97" t="s">
        <v>187</v>
      </c>
      <c r="D650" s="97" t="s">
        <v>188</v>
      </c>
      <c r="F650" s="114">
        <v>1</v>
      </c>
      <c r="H650" s="118">
        <f t="shared" ref="H650:M650" si="635">H66/$F$66</f>
        <v>0.2095237336356337</v>
      </c>
      <c r="I650" s="118">
        <f t="shared" si="635"/>
        <v>0.21948937264613286</v>
      </c>
      <c r="J650" s="118">
        <f t="shared" si="635"/>
        <v>0.18041952419242746</v>
      </c>
      <c r="K650" s="118">
        <f t="shared" si="635"/>
        <v>0</v>
      </c>
      <c r="L650" s="118">
        <f t="shared" si="635"/>
        <v>0</v>
      </c>
      <c r="M650" s="118">
        <f t="shared" si="635"/>
        <v>0</v>
      </c>
      <c r="N650" s="118"/>
      <c r="O650" s="118">
        <f>O66/$F$66</f>
        <v>0.13172223789680521</v>
      </c>
      <c r="P650" s="118">
        <f>P66/$F$66</f>
        <v>0</v>
      </c>
      <c r="Q650" s="118">
        <f>Q66/$F$66</f>
        <v>0</v>
      </c>
      <c r="R650" s="118"/>
      <c r="S650" s="118">
        <f t="shared" ref="S650:AD650" si="636">S66/$F$66</f>
        <v>0</v>
      </c>
      <c r="T650" s="118">
        <f t="shared" si="636"/>
        <v>3.1339233772213988E-2</v>
      </c>
      <c r="U650" s="118">
        <f t="shared" si="636"/>
        <v>0</v>
      </c>
      <c r="V650" s="118">
        <f t="shared" si="636"/>
        <v>3.4150110730157092E-2</v>
      </c>
      <c r="W650" s="118">
        <f t="shared" si="636"/>
        <v>6.3328305548049219E-2</v>
      </c>
      <c r="X650" s="118">
        <f t="shared" si="636"/>
        <v>1.5721218348996771E-2</v>
      </c>
      <c r="Y650" s="118">
        <f t="shared" si="636"/>
        <v>2.4032572583570132E-2</v>
      </c>
      <c r="Z650" s="118">
        <f t="shared" si="636"/>
        <v>2.4404794300293672E-2</v>
      </c>
      <c r="AA650" s="118">
        <f t="shared" si="636"/>
        <v>2.1717324190477869E-2</v>
      </c>
      <c r="AB650" s="118">
        <f t="shared" si="636"/>
        <v>1.4539147563088904E-2</v>
      </c>
      <c r="AC650" s="118">
        <f t="shared" si="636"/>
        <v>1.240529382051541E-2</v>
      </c>
      <c r="AD650" s="118">
        <f t="shared" si="636"/>
        <v>1.7207130771637592E-2</v>
      </c>
      <c r="AE650" s="118"/>
      <c r="AF650" s="118">
        <f>AF66/$F$66</f>
        <v>0</v>
      </c>
      <c r="AG650" s="118"/>
      <c r="AH650" s="118">
        <f>AH66/$F$66</f>
        <v>0</v>
      </c>
      <c r="AI650" s="118"/>
      <c r="AJ650" s="118">
        <f>AJ66/$F$66</f>
        <v>0</v>
      </c>
      <c r="AK650" s="115">
        <f t="shared" si="627"/>
        <v>0.99999999999999989</v>
      </c>
      <c r="AL650" s="98" t="str">
        <f t="shared" si="628"/>
        <v>ok</v>
      </c>
    </row>
    <row r="651" spans="1:38" x14ac:dyDescent="0.25">
      <c r="A651" s="97" t="s">
        <v>448</v>
      </c>
      <c r="D651" s="97" t="s">
        <v>1054</v>
      </c>
      <c r="F651" s="114">
        <v>1</v>
      </c>
      <c r="H651" s="118">
        <f>H534/$F$534</f>
        <v>0.10930162913694068</v>
      </c>
      <c r="I651" s="118">
        <f t="shared" ref="I651:AJ651" si="637">I534/$F$534</f>
        <v>0.10311221651137267</v>
      </c>
      <c r="J651" s="118">
        <f t="shared" si="637"/>
        <v>0.10574133652178345</v>
      </c>
      <c r="K651" s="118">
        <f t="shared" si="637"/>
        <v>0.22637866608158227</v>
      </c>
      <c r="L651" s="118">
        <f t="shared" si="637"/>
        <v>0</v>
      </c>
      <c r="M651" s="118">
        <f t="shared" si="637"/>
        <v>0</v>
      </c>
      <c r="N651" s="118"/>
      <c r="O651" s="118">
        <f t="shared" si="637"/>
        <v>6.7445316068513755E-2</v>
      </c>
      <c r="P651" s="118">
        <f t="shared" si="637"/>
        <v>0</v>
      </c>
      <c r="Q651" s="118">
        <f t="shared" si="637"/>
        <v>0</v>
      </c>
      <c r="R651" s="118"/>
      <c r="S651" s="118">
        <f t="shared" si="637"/>
        <v>0</v>
      </c>
      <c r="T651" s="118">
        <f t="shared" si="637"/>
        <v>2.35990863209012E-2</v>
      </c>
      <c r="U651" s="118">
        <f t="shared" si="637"/>
        <v>0</v>
      </c>
      <c r="V651" s="118">
        <f t="shared" si="637"/>
        <v>2.817267733827563E-2</v>
      </c>
      <c r="W651" s="118">
        <f t="shared" si="637"/>
        <v>4.4722160112982585E-2</v>
      </c>
      <c r="X651" s="118">
        <f t="shared" si="637"/>
        <v>1.4331264857421692E-2</v>
      </c>
      <c r="Y651" s="118">
        <f t="shared" si="637"/>
        <v>2.1130208365350581E-2</v>
      </c>
      <c r="Z651" s="118">
        <f t="shared" si="637"/>
        <v>3.7587971989744319E-3</v>
      </c>
      <c r="AA651" s="118">
        <f t="shared" si="637"/>
        <v>3.3448762702911038E-3</v>
      </c>
      <c r="AB651" s="118">
        <f t="shared" si="637"/>
        <v>2.0782431487793704E-3</v>
      </c>
      <c r="AC651" s="118">
        <f t="shared" si="637"/>
        <v>6.3522383211515973E-2</v>
      </c>
      <c r="AD651" s="118">
        <f t="shared" si="637"/>
        <v>2.4596078608551523E-3</v>
      </c>
      <c r="AE651" s="118"/>
      <c r="AF651" s="118">
        <f t="shared" si="637"/>
        <v>0.15903920210728373</v>
      </c>
      <c r="AG651" s="118"/>
      <c r="AH651" s="118">
        <f t="shared" si="637"/>
        <v>2.1862328887175847E-2</v>
      </c>
      <c r="AI651" s="118"/>
      <c r="AJ651" s="118">
        <f t="shared" si="637"/>
        <v>0</v>
      </c>
      <c r="AK651" s="115">
        <f t="shared" si="627"/>
        <v>1.0000000000000002</v>
      </c>
      <c r="AL651" s="98" t="str">
        <f t="shared" si="628"/>
        <v>ok</v>
      </c>
    </row>
    <row r="652" spans="1:38" x14ac:dyDescent="0.25">
      <c r="A652" s="97" t="s">
        <v>1621</v>
      </c>
      <c r="D652" s="97" t="s">
        <v>1355</v>
      </c>
      <c r="F652" s="114">
        <v>1</v>
      </c>
      <c r="H652" s="118">
        <f t="shared" ref="H652:M652" si="638">H304/$F$304</f>
        <v>2.9538372935310656E-2</v>
      </c>
      <c r="I652" s="118">
        <f t="shared" si="638"/>
        <v>2.81659088678759E-2</v>
      </c>
      <c r="J652" s="118">
        <f t="shared" si="638"/>
        <v>2.8269838939716765E-2</v>
      </c>
      <c r="K652" s="118">
        <f t="shared" si="638"/>
        <v>0.7522802397900149</v>
      </c>
      <c r="L652" s="118">
        <f t="shared" si="638"/>
        <v>0</v>
      </c>
      <c r="M652" s="118">
        <f t="shared" si="638"/>
        <v>0</v>
      </c>
      <c r="N652" s="118"/>
      <c r="O652" s="118">
        <f>O304/$F$304</f>
        <v>4.3548458598156002E-2</v>
      </c>
      <c r="P652" s="118">
        <f>P304/$F$304</f>
        <v>0</v>
      </c>
      <c r="Q652" s="118">
        <f>Q304/$F$304</f>
        <v>0</v>
      </c>
      <c r="R652" s="118"/>
      <c r="S652" s="118">
        <f t="shared" ref="S652:AD652" si="639">S304/$F$304</f>
        <v>0</v>
      </c>
      <c r="T652" s="118">
        <f t="shared" si="639"/>
        <v>5.5012556449742902E-3</v>
      </c>
      <c r="U652" s="118">
        <f t="shared" si="639"/>
        <v>0</v>
      </c>
      <c r="V652" s="118">
        <f t="shared" si="639"/>
        <v>1.286387579436242E-2</v>
      </c>
      <c r="W652" s="118">
        <f t="shared" si="639"/>
        <v>1.9602803239215361E-2</v>
      </c>
      <c r="X652" s="118">
        <f t="shared" si="639"/>
        <v>6.691820589909774E-3</v>
      </c>
      <c r="Y652" s="118">
        <f t="shared" si="639"/>
        <v>9.7900076496004948E-3</v>
      </c>
      <c r="Z652" s="118">
        <f t="shared" si="639"/>
        <v>9.4778102976250276E-4</v>
      </c>
      <c r="AA652" s="118">
        <f t="shared" si="639"/>
        <v>8.4341083279237234E-4</v>
      </c>
      <c r="AB652" s="118">
        <f t="shared" si="639"/>
        <v>5.2744681503194796E-4</v>
      </c>
      <c r="AC652" s="118">
        <f t="shared" si="639"/>
        <v>1.3640564512974539E-2</v>
      </c>
      <c r="AD652" s="118">
        <f t="shared" si="639"/>
        <v>4.5007059756705319E-4</v>
      </c>
      <c r="AE652" s="118"/>
      <c r="AF652" s="118">
        <f>AF304/$F$304</f>
        <v>4.2280829495893048E-2</v>
      </c>
      <c r="AG652" s="118"/>
      <c r="AH652" s="118">
        <f>AH304/$F$304</f>
        <v>5.0573146668418242E-3</v>
      </c>
      <c r="AI652" s="118"/>
      <c r="AJ652" s="118">
        <f>AJ304/$F$304</f>
        <v>0</v>
      </c>
      <c r="AK652" s="115">
        <f t="shared" si="627"/>
        <v>0.99999999999999989</v>
      </c>
      <c r="AL652" s="98" t="str">
        <f t="shared" si="628"/>
        <v>ok</v>
      </c>
    </row>
    <row r="653" spans="1:38" x14ac:dyDescent="0.25">
      <c r="A653" s="97" t="s">
        <v>449</v>
      </c>
      <c r="D653" s="97" t="s">
        <v>734</v>
      </c>
      <c r="F653" s="114">
        <v>1</v>
      </c>
      <c r="H653" s="118">
        <f t="shared" ref="H653:M653" si="640">H366/$F$366</f>
        <v>0.29646080441098488</v>
      </c>
      <c r="I653" s="118">
        <f t="shared" si="640"/>
        <v>0.27946700366294674</v>
      </c>
      <c r="J653" s="118">
        <f t="shared" si="640"/>
        <v>0.28701454203404514</v>
      </c>
      <c r="K653" s="118">
        <f t="shared" si="640"/>
        <v>0.13705764989202335</v>
      </c>
      <c r="L653" s="118">
        <f t="shared" si="640"/>
        <v>0</v>
      </c>
      <c r="M653" s="118">
        <f t="shared" si="640"/>
        <v>0</v>
      </c>
      <c r="N653" s="118"/>
      <c r="O653" s="118">
        <f>O366/$F$366</f>
        <v>0</v>
      </c>
      <c r="P653" s="118">
        <f>P366/$F$366</f>
        <v>0</v>
      </c>
      <c r="Q653" s="118">
        <f>Q366/$F$366</f>
        <v>0</v>
      </c>
      <c r="R653" s="118"/>
      <c r="S653" s="118">
        <f t="shared" ref="S653:AD653" si="641">S366/$F$366</f>
        <v>0</v>
      </c>
      <c r="T653" s="118">
        <f t="shared" si="641"/>
        <v>0</v>
      </c>
      <c r="U653" s="118">
        <f t="shared" si="641"/>
        <v>0</v>
      </c>
      <c r="V653" s="118">
        <f t="shared" si="641"/>
        <v>0</v>
      </c>
      <c r="W653" s="118">
        <f t="shared" si="641"/>
        <v>0</v>
      </c>
      <c r="X653" s="118">
        <f t="shared" si="641"/>
        <v>0</v>
      </c>
      <c r="Y653" s="118">
        <f t="shared" si="641"/>
        <v>0</v>
      </c>
      <c r="Z653" s="118">
        <f t="shared" si="641"/>
        <v>0</v>
      </c>
      <c r="AA653" s="118">
        <f t="shared" si="641"/>
        <v>0</v>
      </c>
      <c r="AB653" s="118">
        <f t="shared" si="641"/>
        <v>0</v>
      </c>
      <c r="AC653" s="118">
        <f t="shared" si="641"/>
        <v>0</v>
      </c>
      <c r="AD653" s="118">
        <f t="shared" si="641"/>
        <v>0</v>
      </c>
      <c r="AE653" s="118"/>
      <c r="AF653" s="118">
        <f>AF366/$F$366</f>
        <v>0</v>
      </c>
      <c r="AG653" s="118"/>
      <c r="AH653" s="118">
        <f>AH366/$F$366</f>
        <v>0</v>
      </c>
      <c r="AI653" s="118"/>
      <c r="AJ653" s="118">
        <f>AJ366/$F$366</f>
        <v>0</v>
      </c>
      <c r="AK653" s="115">
        <f t="shared" si="627"/>
        <v>1</v>
      </c>
      <c r="AL653" s="98" t="str">
        <f t="shared" si="628"/>
        <v>ok</v>
      </c>
    </row>
    <row r="654" spans="1:38" x14ac:dyDescent="0.25">
      <c r="A654" s="97" t="s">
        <v>450</v>
      </c>
      <c r="D654" s="97" t="s">
        <v>1042</v>
      </c>
      <c r="F654" s="114">
        <v>1</v>
      </c>
      <c r="H654" s="118">
        <f t="shared" ref="H654:M654" si="642">H375/$F$375</f>
        <v>3.314107135453747E-2</v>
      </c>
      <c r="I654" s="118">
        <f t="shared" si="642"/>
        <v>3.1241350532101971E-2</v>
      </c>
      <c r="J654" s="118">
        <f t="shared" si="642"/>
        <v>3.2085082667972858E-2</v>
      </c>
      <c r="K654" s="118">
        <f t="shared" si="642"/>
        <v>0.90353249544538761</v>
      </c>
      <c r="L654" s="118">
        <f t="shared" si="642"/>
        <v>0</v>
      </c>
      <c r="M654" s="118">
        <f t="shared" si="642"/>
        <v>0</v>
      </c>
      <c r="N654" s="118"/>
      <c r="O654" s="118">
        <f>O375/$F$375</f>
        <v>0</v>
      </c>
      <c r="P654" s="118">
        <f>P375/$F$375</f>
        <v>0</v>
      </c>
      <c r="Q654" s="118">
        <f>Q375/$F$375</f>
        <v>0</v>
      </c>
      <c r="R654" s="118"/>
      <c r="S654" s="118">
        <f t="shared" ref="S654:AD654" si="643">S375/$F$375</f>
        <v>0</v>
      </c>
      <c r="T654" s="118">
        <f t="shared" si="643"/>
        <v>0</v>
      </c>
      <c r="U654" s="118">
        <f t="shared" si="643"/>
        <v>0</v>
      </c>
      <c r="V654" s="118">
        <f t="shared" si="643"/>
        <v>0</v>
      </c>
      <c r="W654" s="118">
        <f t="shared" si="643"/>
        <v>0</v>
      </c>
      <c r="X654" s="118">
        <f t="shared" si="643"/>
        <v>0</v>
      </c>
      <c r="Y654" s="118">
        <f t="shared" si="643"/>
        <v>0</v>
      </c>
      <c r="Z654" s="118">
        <f t="shared" si="643"/>
        <v>0</v>
      </c>
      <c r="AA654" s="118">
        <f t="shared" si="643"/>
        <v>0</v>
      </c>
      <c r="AB654" s="118">
        <f t="shared" si="643"/>
        <v>0</v>
      </c>
      <c r="AC654" s="118">
        <f t="shared" si="643"/>
        <v>0</v>
      </c>
      <c r="AD654" s="118">
        <f t="shared" si="643"/>
        <v>0</v>
      </c>
      <c r="AE654" s="118"/>
      <c r="AF654" s="118">
        <f>AF375/$F$375</f>
        <v>0</v>
      </c>
      <c r="AG654" s="118"/>
      <c r="AH654" s="118">
        <f>AH375/$F$375</f>
        <v>0</v>
      </c>
      <c r="AI654" s="118"/>
      <c r="AJ654" s="118">
        <f>AJ375/$F$375</f>
        <v>0</v>
      </c>
      <c r="AK654" s="115">
        <f t="shared" si="627"/>
        <v>0.99999999999999989</v>
      </c>
      <c r="AL654" s="98" t="str">
        <f t="shared" si="628"/>
        <v>ok</v>
      </c>
    </row>
    <row r="655" spans="1:38" x14ac:dyDescent="0.25">
      <c r="A655" s="97" t="s">
        <v>451</v>
      </c>
      <c r="D655" s="97" t="s">
        <v>737</v>
      </c>
      <c r="F655" s="114">
        <v>1</v>
      </c>
      <c r="H655" s="118" t="e">
        <f t="shared" ref="H655:M655" si="644">H387/$F$387</f>
        <v>#DIV/0!</v>
      </c>
      <c r="I655" s="118" t="e">
        <f t="shared" si="644"/>
        <v>#DIV/0!</v>
      </c>
      <c r="J655" s="118" t="e">
        <f t="shared" si="644"/>
        <v>#DIV/0!</v>
      </c>
      <c r="K655" s="118" t="e">
        <f t="shared" si="644"/>
        <v>#DIV/0!</v>
      </c>
      <c r="L655" s="118" t="e">
        <f t="shared" si="644"/>
        <v>#DIV/0!</v>
      </c>
      <c r="M655" s="118" t="e">
        <f t="shared" si="644"/>
        <v>#DIV/0!</v>
      </c>
      <c r="N655" s="118"/>
      <c r="O655" s="118" t="e">
        <f>O387/$F$387</f>
        <v>#DIV/0!</v>
      </c>
      <c r="P655" s="118" t="e">
        <f>P387/$F$387</f>
        <v>#DIV/0!</v>
      </c>
      <c r="Q655" s="118" t="e">
        <f>Q387/$F$387</f>
        <v>#DIV/0!</v>
      </c>
      <c r="R655" s="118"/>
      <c r="S655" s="118" t="e">
        <f t="shared" ref="S655:AD655" si="645">S387/$F$387</f>
        <v>#DIV/0!</v>
      </c>
      <c r="T655" s="118" t="e">
        <f t="shared" si="645"/>
        <v>#DIV/0!</v>
      </c>
      <c r="U655" s="118" t="e">
        <f t="shared" si="645"/>
        <v>#DIV/0!</v>
      </c>
      <c r="V655" s="118" t="e">
        <f t="shared" si="645"/>
        <v>#DIV/0!</v>
      </c>
      <c r="W655" s="118" t="e">
        <f t="shared" si="645"/>
        <v>#DIV/0!</v>
      </c>
      <c r="X655" s="118" t="e">
        <f t="shared" si="645"/>
        <v>#DIV/0!</v>
      </c>
      <c r="Y655" s="118" t="e">
        <f t="shared" si="645"/>
        <v>#DIV/0!</v>
      </c>
      <c r="Z655" s="118" t="e">
        <f t="shared" si="645"/>
        <v>#DIV/0!</v>
      </c>
      <c r="AA655" s="118" t="e">
        <f t="shared" si="645"/>
        <v>#DIV/0!</v>
      </c>
      <c r="AB655" s="118" t="e">
        <f t="shared" si="645"/>
        <v>#DIV/0!</v>
      </c>
      <c r="AC655" s="118" t="e">
        <f t="shared" si="645"/>
        <v>#DIV/0!</v>
      </c>
      <c r="AD655" s="118" t="e">
        <f t="shared" si="645"/>
        <v>#DIV/0!</v>
      </c>
      <c r="AE655" s="118"/>
      <c r="AF655" s="118" t="e">
        <f>AF387/$F$387</f>
        <v>#DIV/0!</v>
      </c>
      <c r="AG655" s="118"/>
      <c r="AH655" s="118" t="e">
        <f>AH387/$F$387</f>
        <v>#DIV/0!</v>
      </c>
      <c r="AI655" s="118"/>
      <c r="AJ655" s="118" t="e">
        <f>AJ387/$F$387</f>
        <v>#DIV/0!</v>
      </c>
      <c r="AK655" s="115" t="e">
        <f t="shared" si="627"/>
        <v>#DIV/0!</v>
      </c>
      <c r="AL655" s="98" t="e">
        <f t="shared" si="628"/>
        <v>#DIV/0!</v>
      </c>
    </row>
    <row r="656" spans="1:38" x14ac:dyDescent="0.25">
      <c r="A656" s="97" t="s">
        <v>452</v>
      </c>
      <c r="D656" s="97" t="s">
        <v>738</v>
      </c>
      <c r="F656" s="114">
        <v>1</v>
      </c>
      <c r="H656" s="118">
        <f t="shared" ref="H656:M656" si="646">H396/$F$396</f>
        <v>0.34354647720544701</v>
      </c>
      <c r="I656" s="118">
        <f t="shared" si="646"/>
        <v>0.32385361968615639</v>
      </c>
      <c r="J656" s="118">
        <f t="shared" si="646"/>
        <v>0.3325999031083966</v>
      </c>
      <c r="K656" s="118">
        <f t="shared" si="646"/>
        <v>0</v>
      </c>
      <c r="L656" s="118">
        <f t="shared" si="646"/>
        <v>0</v>
      </c>
      <c r="M656" s="118">
        <f t="shared" si="646"/>
        <v>0</v>
      </c>
      <c r="N656" s="118"/>
      <c r="O656" s="118">
        <f>O396/$F$396</f>
        <v>0</v>
      </c>
      <c r="P656" s="118">
        <f>P396/$F$396</f>
        <v>0</v>
      </c>
      <c r="Q656" s="118">
        <f>Q396/$F$396</f>
        <v>0</v>
      </c>
      <c r="R656" s="118"/>
      <c r="S656" s="118">
        <f t="shared" ref="S656:AD656" si="647">S396/$F$396</f>
        <v>0</v>
      </c>
      <c r="T656" s="118">
        <f t="shared" si="647"/>
        <v>0</v>
      </c>
      <c r="U656" s="118">
        <f t="shared" si="647"/>
        <v>0</v>
      </c>
      <c r="V656" s="118">
        <f t="shared" si="647"/>
        <v>0</v>
      </c>
      <c r="W656" s="118">
        <f t="shared" si="647"/>
        <v>0</v>
      </c>
      <c r="X656" s="118">
        <f t="shared" si="647"/>
        <v>0</v>
      </c>
      <c r="Y656" s="118">
        <f t="shared" si="647"/>
        <v>0</v>
      </c>
      <c r="Z656" s="118">
        <f t="shared" si="647"/>
        <v>0</v>
      </c>
      <c r="AA656" s="118">
        <f t="shared" si="647"/>
        <v>0</v>
      </c>
      <c r="AB656" s="118">
        <f t="shared" si="647"/>
        <v>0</v>
      </c>
      <c r="AC656" s="118">
        <f t="shared" si="647"/>
        <v>0</v>
      </c>
      <c r="AD656" s="118">
        <f t="shared" si="647"/>
        <v>0</v>
      </c>
      <c r="AE656" s="118"/>
      <c r="AF656" s="118">
        <f>AF396/$F$396</f>
        <v>0</v>
      </c>
      <c r="AG656" s="118"/>
      <c r="AH656" s="118">
        <f>AH396/$F$396</f>
        <v>0</v>
      </c>
      <c r="AI656" s="118"/>
      <c r="AJ656" s="118">
        <f>AJ396/$F$396</f>
        <v>0</v>
      </c>
      <c r="AK656" s="115">
        <f t="shared" si="627"/>
        <v>1</v>
      </c>
      <c r="AL656" s="98" t="str">
        <f t="shared" si="628"/>
        <v>ok</v>
      </c>
    </row>
    <row r="657" spans="1:38" x14ac:dyDescent="0.25">
      <c r="A657" s="97" t="s">
        <v>453</v>
      </c>
      <c r="D657" s="97" t="s">
        <v>739</v>
      </c>
      <c r="F657" s="114">
        <v>1</v>
      </c>
      <c r="H657" s="118">
        <f t="shared" ref="H657:M657" si="648">H407/$F$407</f>
        <v>0.34354647720544707</v>
      </c>
      <c r="I657" s="118">
        <f t="shared" si="648"/>
        <v>0.32385361968615645</v>
      </c>
      <c r="J657" s="118">
        <f t="shared" si="648"/>
        <v>0.3325999031083966</v>
      </c>
      <c r="K657" s="118">
        <f t="shared" si="648"/>
        <v>0</v>
      </c>
      <c r="L657" s="118">
        <f t="shared" si="648"/>
        <v>0</v>
      </c>
      <c r="M657" s="118">
        <f t="shared" si="648"/>
        <v>0</v>
      </c>
      <c r="N657" s="118"/>
      <c r="O657" s="118">
        <f>O407/$F$407</f>
        <v>0</v>
      </c>
      <c r="P657" s="118">
        <f>P407/$F$407</f>
        <v>0</v>
      </c>
      <c r="Q657" s="118">
        <f>Q407/$F$407</f>
        <v>0</v>
      </c>
      <c r="R657" s="118"/>
      <c r="S657" s="118">
        <f t="shared" ref="S657:AD657" si="649">S407/$F$407</f>
        <v>0</v>
      </c>
      <c r="T657" s="118">
        <f t="shared" si="649"/>
        <v>0</v>
      </c>
      <c r="U657" s="118">
        <f t="shared" si="649"/>
        <v>0</v>
      </c>
      <c r="V657" s="118">
        <f t="shared" si="649"/>
        <v>0</v>
      </c>
      <c r="W657" s="118">
        <f t="shared" si="649"/>
        <v>0</v>
      </c>
      <c r="X657" s="118">
        <f t="shared" si="649"/>
        <v>0</v>
      </c>
      <c r="Y657" s="118">
        <f t="shared" si="649"/>
        <v>0</v>
      </c>
      <c r="Z657" s="118">
        <f t="shared" si="649"/>
        <v>0</v>
      </c>
      <c r="AA657" s="118">
        <f t="shared" si="649"/>
        <v>0</v>
      </c>
      <c r="AB657" s="118">
        <f t="shared" si="649"/>
        <v>0</v>
      </c>
      <c r="AC657" s="118">
        <f t="shared" si="649"/>
        <v>0</v>
      </c>
      <c r="AD657" s="118">
        <f t="shared" si="649"/>
        <v>0</v>
      </c>
      <c r="AE657" s="118"/>
      <c r="AF657" s="118">
        <f>AF407/$F$407</f>
        <v>0</v>
      </c>
      <c r="AG657" s="118"/>
      <c r="AH657" s="118">
        <f>AH407/$F$407</f>
        <v>0</v>
      </c>
      <c r="AI657" s="118"/>
      <c r="AJ657" s="118">
        <f>AJ407/$F$407</f>
        <v>0</v>
      </c>
      <c r="AK657" s="115">
        <f t="shared" si="627"/>
        <v>1</v>
      </c>
      <c r="AL657" s="98" t="str">
        <f t="shared" si="628"/>
        <v>ok</v>
      </c>
    </row>
    <row r="658" spans="1:38" x14ac:dyDescent="0.25">
      <c r="A658" s="97" t="s">
        <v>1059</v>
      </c>
      <c r="D658" s="97" t="s">
        <v>740</v>
      </c>
      <c r="F658" s="114">
        <v>1</v>
      </c>
      <c r="H658" s="119">
        <f t="shared" ref="H658:M658" si="650">H440/$F$440</f>
        <v>0</v>
      </c>
      <c r="I658" s="119">
        <f t="shared" si="650"/>
        <v>0</v>
      </c>
      <c r="J658" s="119">
        <f t="shared" si="650"/>
        <v>0</v>
      </c>
      <c r="K658" s="119">
        <f t="shared" si="650"/>
        <v>0</v>
      </c>
      <c r="L658" s="119">
        <f t="shared" si="650"/>
        <v>0</v>
      </c>
      <c r="M658" s="119">
        <f t="shared" si="650"/>
        <v>0</v>
      </c>
      <c r="N658" s="119"/>
      <c r="O658" s="119">
        <f>O440/$F$440</f>
        <v>1</v>
      </c>
      <c r="P658" s="119">
        <f>P440/$F$440</f>
        <v>0</v>
      </c>
      <c r="Q658" s="119">
        <f>Q440/$F$440</f>
        <v>0</v>
      </c>
      <c r="R658" s="119"/>
      <c r="S658" s="119">
        <f t="shared" ref="S658:AD658" si="651">S440/$F$440</f>
        <v>0</v>
      </c>
      <c r="T658" s="119">
        <f t="shared" si="651"/>
        <v>0</v>
      </c>
      <c r="U658" s="119">
        <f t="shared" si="651"/>
        <v>0</v>
      </c>
      <c r="V658" s="119">
        <f t="shared" si="651"/>
        <v>0</v>
      </c>
      <c r="W658" s="119">
        <f t="shared" si="651"/>
        <v>0</v>
      </c>
      <c r="X658" s="119">
        <f t="shared" si="651"/>
        <v>0</v>
      </c>
      <c r="Y658" s="119">
        <f t="shared" si="651"/>
        <v>0</v>
      </c>
      <c r="Z658" s="119">
        <f t="shared" si="651"/>
        <v>0</v>
      </c>
      <c r="AA658" s="119">
        <f t="shared" si="651"/>
        <v>0</v>
      </c>
      <c r="AB658" s="119">
        <f t="shared" si="651"/>
        <v>0</v>
      </c>
      <c r="AC658" s="119">
        <f t="shared" si="651"/>
        <v>0</v>
      </c>
      <c r="AD658" s="119">
        <f t="shared" si="651"/>
        <v>0</v>
      </c>
      <c r="AE658" s="119"/>
      <c r="AF658" s="119">
        <f>AF440/$F$440</f>
        <v>0</v>
      </c>
      <c r="AG658" s="119"/>
      <c r="AH658" s="119">
        <f>AH440/$F$440</f>
        <v>0</v>
      </c>
      <c r="AI658" s="119"/>
      <c r="AJ658" s="119">
        <f>AJ440/$F$440</f>
        <v>0</v>
      </c>
      <c r="AK658" s="115">
        <f t="shared" si="627"/>
        <v>1</v>
      </c>
      <c r="AL658" s="98" t="str">
        <f t="shared" si="628"/>
        <v>ok</v>
      </c>
    </row>
    <row r="659" spans="1:38" x14ac:dyDescent="0.25">
      <c r="A659" s="97" t="s">
        <v>1062</v>
      </c>
      <c r="D659" s="97" t="s">
        <v>1019</v>
      </c>
      <c r="F659" s="114">
        <v>1</v>
      </c>
      <c r="H659" s="118">
        <f t="shared" ref="H659:M659" si="652">H455/$F$455</f>
        <v>0</v>
      </c>
      <c r="I659" s="118">
        <f t="shared" si="652"/>
        <v>0</v>
      </c>
      <c r="J659" s="118">
        <f t="shared" si="652"/>
        <v>0</v>
      </c>
      <c r="K659" s="118">
        <f t="shared" si="652"/>
        <v>0</v>
      </c>
      <c r="L659" s="118">
        <f t="shared" si="652"/>
        <v>0</v>
      </c>
      <c r="M659" s="118">
        <f t="shared" si="652"/>
        <v>0</v>
      </c>
      <c r="N659" s="118"/>
      <c r="O659" s="118">
        <f>O455/$F$455</f>
        <v>0</v>
      </c>
      <c r="P659" s="118">
        <f>P455/$F$455</f>
        <v>0</v>
      </c>
      <c r="Q659" s="118">
        <f>Q455/$F$455</f>
        <v>0</v>
      </c>
      <c r="R659" s="118"/>
      <c r="S659" s="118">
        <f t="shared" ref="S659:AD659" si="653">S455/$F$455</f>
        <v>0</v>
      </c>
      <c r="T659" s="118">
        <f t="shared" si="653"/>
        <v>0.13003748699062326</v>
      </c>
      <c r="U659" s="118">
        <f t="shared" si="653"/>
        <v>0</v>
      </c>
      <c r="V659" s="118">
        <f t="shared" si="653"/>
        <v>8.1852435518255703E-2</v>
      </c>
      <c r="W659" s="118">
        <f t="shared" si="653"/>
        <v>0.13303692247280255</v>
      </c>
      <c r="X659" s="118">
        <f t="shared" si="653"/>
        <v>4.1076215941821884E-2</v>
      </c>
      <c r="Y659" s="118">
        <f t="shared" si="653"/>
        <v>6.0853526099524879E-2</v>
      </c>
      <c r="Z659" s="118">
        <f t="shared" si="653"/>
        <v>2.5328314545068422E-2</v>
      </c>
      <c r="AA659" s="118">
        <f t="shared" si="653"/>
        <v>2.2539145850003248E-2</v>
      </c>
      <c r="AB659" s="118">
        <f t="shared" si="653"/>
        <v>1.5089334421911089E-2</v>
      </c>
      <c r="AC659" s="118">
        <f t="shared" si="653"/>
        <v>0.47232833936282176</v>
      </c>
      <c r="AD659" s="118">
        <f t="shared" si="653"/>
        <v>1.7858278797167261E-2</v>
      </c>
      <c r="AE659" s="118"/>
      <c r="AF659" s="118">
        <f>AF455/$F$455</f>
        <v>0</v>
      </c>
      <c r="AG659" s="118"/>
      <c r="AH659" s="118">
        <f>AH455/$F$455</f>
        <v>0</v>
      </c>
      <c r="AI659" s="118"/>
      <c r="AJ659" s="118">
        <f>AJ455/$F$455</f>
        <v>0</v>
      </c>
      <c r="AK659" s="115">
        <f t="shared" si="627"/>
        <v>1</v>
      </c>
      <c r="AL659" s="98" t="str">
        <f t="shared" si="628"/>
        <v>ok</v>
      </c>
    </row>
    <row r="660" spans="1:38" x14ac:dyDescent="0.25">
      <c r="A660" s="97" t="s">
        <v>1064</v>
      </c>
      <c r="D660" s="97" t="s">
        <v>1028</v>
      </c>
      <c r="F660" s="114">
        <v>1</v>
      </c>
      <c r="H660" s="118">
        <f t="shared" ref="H660:M660" si="654">H479/$F$479</f>
        <v>0</v>
      </c>
      <c r="I660" s="118">
        <f t="shared" si="654"/>
        <v>0</v>
      </c>
      <c r="J660" s="118">
        <f t="shared" si="654"/>
        <v>0</v>
      </c>
      <c r="K660" s="118">
        <f t="shared" si="654"/>
        <v>0</v>
      </c>
      <c r="L660" s="118">
        <f t="shared" si="654"/>
        <v>0</v>
      </c>
      <c r="M660" s="118">
        <f t="shared" si="654"/>
        <v>0</v>
      </c>
      <c r="N660" s="118"/>
      <c r="O660" s="118">
        <f>O479/$F$479</f>
        <v>0</v>
      </c>
      <c r="P660" s="118">
        <f>P479/$F$479</f>
        <v>0</v>
      </c>
      <c r="Q660" s="118">
        <f>Q479/$F$479</f>
        <v>0</v>
      </c>
      <c r="R660" s="118"/>
      <c r="S660" s="118">
        <f t="shared" ref="S660:AD660" si="655">S479/$F$479</f>
        <v>0</v>
      </c>
      <c r="T660" s="118">
        <f t="shared" si="655"/>
        <v>8.3729622804535428E-2</v>
      </c>
      <c r="U660" s="118">
        <f t="shared" si="655"/>
        <v>0</v>
      </c>
      <c r="V660" s="118">
        <f t="shared" si="655"/>
        <v>0.23742902336707972</v>
      </c>
      <c r="W660" s="118">
        <f t="shared" si="655"/>
        <v>0.37065901884143954</v>
      </c>
      <c r="X660" s="118">
        <f t="shared" si="655"/>
        <v>0.12190897234748115</v>
      </c>
      <c r="Y660" s="118">
        <f t="shared" si="655"/>
        <v>0.17916013972634273</v>
      </c>
      <c r="Z660" s="118">
        <f t="shared" si="655"/>
        <v>3.7638501371440717E-3</v>
      </c>
      <c r="AA660" s="118">
        <f t="shared" si="655"/>
        <v>3.349372775977414E-3</v>
      </c>
      <c r="AB660" s="118">
        <f t="shared" si="655"/>
        <v>0</v>
      </c>
      <c r="AC660" s="118">
        <f t="shared" si="655"/>
        <v>0</v>
      </c>
      <c r="AD660" s="118">
        <f t="shared" si="655"/>
        <v>0</v>
      </c>
      <c r="AE660" s="118"/>
      <c r="AF660" s="118">
        <f>AF479/$F$479</f>
        <v>0</v>
      </c>
      <c r="AG660" s="118"/>
      <c r="AH660" s="118">
        <f>AH479/$F$479</f>
        <v>0</v>
      </c>
      <c r="AI660" s="118"/>
      <c r="AJ660" s="118">
        <f>AJ479/$F$479</f>
        <v>0</v>
      </c>
      <c r="AK660" s="115">
        <f t="shared" si="627"/>
        <v>1</v>
      </c>
      <c r="AL660" s="98" t="str">
        <f t="shared" si="628"/>
        <v>ok</v>
      </c>
    </row>
    <row r="661" spans="1:38" x14ac:dyDescent="0.25">
      <c r="A661" s="97" t="s">
        <v>308</v>
      </c>
      <c r="D661" s="97" t="s">
        <v>743</v>
      </c>
      <c r="F661" s="114">
        <v>1</v>
      </c>
      <c r="H661" s="118">
        <f>H510/$F$510</f>
        <v>0.10895381681095527</v>
      </c>
      <c r="I661" s="118">
        <f t="shared" ref="I661:AJ661" si="656">I510/$F$510</f>
        <v>0.10270833873737889</v>
      </c>
      <c r="J661" s="118">
        <f t="shared" si="656"/>
        <v>0.10548217291991825</v>
      </c>
      <c r="K661" s="118">
        <f t="shared" si="656"/>
        <v>0.2271643081733648</v>
      </c>
      <c r="L661" s="118">
        <f t="shared" si="656"/>
        <v>0</v>
      </c>
      <c r="M661" s="118">
        <f t="shared" si="656"/>
        <v>0</v>
      </c>
      <c r="N661" s="118"/>
      <c r="O661" s="118">
        <f t="shared" si="656"/>
        <v>6.7222219202898781E-2</v>
      </c>
      <c r="P661" s="118">
        <f t="shared" si="656"/>
        <v>0</v>
      </c>
      <c r="Q661" s="118">
        <f t="shared" si="656"/>
        <v>0</v>
      </c>
      <c r="R661" s="118"/>
      <c r="S661" s="118">
        <f t="shared" si="656"/>
        <v>0</v>
      </c>
      <c r="T661" s="118">
        <f t="shared" si="656"/>
        <v>2.357222517054558E-2</v>
      </c>
      <c r="U661" s="118">
        <f t="shared" si="656"/>
        <v>0</v>
      </c>
      <c r="V661" s="118">
        <f t="shared" si="656"/>
        <v>2.8151933724555718E-2</v>
      </c>
      <c r="W661" s="118">
        <f t="shared" si="656"/>
        <v>4.4657589635782022E-2</v>
      </c>
      <c r="X661" s="118">
        <f t="shared" si="656"/>
        <v>1.4326441485396631E-2</v>
      </c>
      <c r="Y661" s="118">
        <f t="shared" si="656"/>
        <v>2.1120136433326966E-2</v>
      </c>
      <c r="Z661" s="118">
        <f t="shared" si="656"/>
        <v>3.6871463965197811E-3</v>
      </c>
      <c r="AA661" s="118">
        <f t="shared" si="656"/>
        <v>3.2811156957798567E-3</v>
      </c>
      <c r="AB661" s="118">
        <f t="shared" si="656"/>
        <v>2.0349982571021092E-3</v>
      </c>
      <c r="AC661" s="118">
        <f t="shared" si="656"/>
        <v>6.3699784265338052E-2</v>
      </c>
      <c r="AD661" s="118">
        <f t="shared" si="656"/>
        <v>2.4084273839346856E-3</v>
      </c>
      <c r="AE661" s="118"/>
      <c r="AF661" s="118">
        <f t="shared" si="656"/>
        <v>0.15959114409714406</v>
      </c>
      <c r="AG661" s="118"/>
      <c r="AH661" s="118">
        <f t="shared" si="656"/>
        <v>2.1938201610058529E-2</v>
      </c>
      <c r="AI661" s="118"/>
      <c r="AJ661" s="118">
        <f t="shared" si="656"/>
        <v>0</v>
      </c>
      <c r="AK661" s="115">
        <f t="shared" si="627"/>
        <v>1</v>
      </c>
      <c r="AL661" s="98" t="str">
        <f t="shared" si="628"/>
        <v>ok</v>
      </c>
    </row>
    <row r="662" spans="1:38" x14ac:dyDescent="0.25">
      <c r="A662" s="97" t="s">
        <v>185</v>
      </c>
      <c r="D662" s="97" t="s">
        <v>186</v>
      </c>
      <c r="F662" s="114">
        <v>1</v>
      </c>
      <c r="H662" s="118">
        <f>H57/$F$57</f>
        <v>0.20952193457482193</v>
      </c>
      <c r="I662" s="118">
        <f t="shared" ref="I662:AJ662" si="657">I57/$F$57</f>
        <v>0.21948748801606224</v>
      </c>
      <c r="J662" s="118">
        <f t="shared" si="657"/>
        <v>0.18041797503286439</v>
      </c>
      <c r="K662" s="118">
        <f t="shared" si="657"/>
        <v>0</v>
      </c>
      <c r="L662" s="118">
        <f t="shared" si="657"/>
        <v>0</v>
      </c>
      <c r="M662" s="118">
        <f t="shared" si="657"/>
        <v>0</v>
      </c>
      <c r="N662" s="118"/>
      <c r="O662" s="118">
        <f t="shared" si="657"/>
        <v>0.13172951287154483</v>
      </c>
      <c r="P662" s="118">
        <f t="shared" si="657"/>
        <v>0</v>
      </c>
      <c r="Q662" s="118">
        <f t="shared" si="657"/>
        <v>0</v>
      </c>
      <c r="R662" s="118"/>
      <c r="S662" s="118">
        <f t="shared" si="657"/>
        <v>0</v>
      </c>
      <c r="T662" s="118">
        <f t="shared" si="657"/>
        <v>3.1338986525490678E-2</v>
      </c>
      <c r="U662" s="118">
        <f t="shared" si="657"/>
        <v>0</v>
      </c>
      <c r="V662" s="118">
        <f t="shared" si="657"/>
        <v>3.4149841307393271E-2</v>
      </c>
      <c r="W662" s="118">
        <f t="shared" si="657"/>
        <v>6.3327805927791941E-2</v>
      </c>
      <c r="X662" s="118">
        <f t="shared" si="657"/>
        <v>1.5721094318532226E-2</v>
      </c>
      <c r="Y662" s="118">
        <f t="shared" si="657"/>
        <v>2.4032382981780013E-2</v>
      </c>
      <c r="Z662" s="118">
        <f t="shared" si="657"/>
        <v>2.4404601761909738E-2</v>
      </c>
      <c r="AA662" s="118">
        <f t="shared" si="657"/>
        <v>2.1717152854532507E-2</v>
      </c>
      <c r="AB662" s="118">
        <f t="shared" si="657"/>
        <v>1.4539032858414855E-2</v>
      </c>
      <c r="AC662" s="118">
        <f t="shared" si="657"/>
        <v>1.2405195950597107E-2</v>
      </c>
      <c r="AD662" s="118">
        <f t="shared" si="657"/>
        <v>1.7206995018264299E-2</v>
      </c>
      <c r="AE662" s="118"/>
      <c r="AF662" s="118">
        <f t="shared" si="657"/>
        <v>0</v>
      </c>
      <c r="AG662" s="118"/>
      <c r="AH662" s="118">
        <f t="shared" si="657"/>
        <v>0</v>
      </c>
      <c r="AI662" s="118"/>
      <c r="AJ662" s="118">
        <f t="shared" si="657"/>
        <v>0</v>
      </c>
      <c r="AK662" s="115">
        <f t="shared" si="627"/>
        <v>0.99999999999999989</v>
      </c>
      <c r="AL662" s="98" t="str">
        <f t="shared" si="628"/>
        <v>ok</v>
      </c>
    </row>
    <row r="663" spans="1:38" x14ac:dyDescent="0.25">
      <c r="A663" s="97" t="s">
        <v>1546</v>
      </c>
      <c r="D663" s="97" t="s">
        <v>1547</v>
      </c>
      <c r="F663" s="114">
        <v>1</v>
      </c>
      <c r="H663" s="118">
        <f>H26/$F$26</f>
        <v>0.34380130494917077</v>
      </c>
      <c r="I663" s="118">
        <f t="shared" ref="I663:AJ663" si="658">I26/$F$26</f>
        <v>0.36015362760499087</v>
      </c>
      <c r="J663" s="118">
        <f t="shared" si="658"/>
        <v>0.29604506744583836</v>
      </c>
      <c r="K663" s="118">
        <f t="shared" si="658"/>
        <v>0</v>
      </c>
      <c r="L663" s="118">
        <f t="shared" si="658"/>
        <v>0</v>
      </c>
      <c r="M663" s="118">
        <f t="shared" si="658"/>
        <v>0</v>
      </c>
      <c r="N663" s="118"/>
      <c r="O663" s="118">
        <f t="shared" si="658"/>
        <v>0</v>
      </c>
      <c r="P663" s="118">
        <f t="shared" si="658"/>
        <v>0</v>
      </c>
      <c r="Q663" s="118">
        <f t="shared" si="658"/>
        <v>0</v>
      </c>
      <c r="R663" s="118"/>
      <c r="S663" s="118">
        <f t="shared" si="658"/>
        <v>0</v>
      </c>
      <c r="T663" s="118">
        <f t="shared" si="658"/>
        <v>0</v>
      </c>
      <c r="U663" s="118">
        <f t="shared" si="658"/>
        <v>0</v>
      </c>
      <c r="V663" s="118">
        <f t="shared" si="658"/>
        <v>0</v>
      </c>
      <c r="W663" s="118">
        <f t="shared" si="658"/>
        <v>0</v>
      </c>
      <c r="X663" s="118">
        <f t="shared" si="658"/>
        <v>0</v>
      </c>
      <c r="Y663" s="118">
        <f t="shared" si="658"/>
        <v>0</v>
      </c>
      <c r="Z663" s="118">
        <f t="shared" si="658"/>
        <v>0</v>
      </c>
      <c r="AA663" s="118">
        <f t="shared" si="658"/>
        <v>0</v>
      </c>
      <c r="AB663" s="118">
        <f t="shared" si="658"/>
        <v>0</v>
      </c>
      <c r="AC663" s="118">
        <f t="shared" si="658"/>
        <v>0</v>
      </c>
      <c r="AD663" s="118">
        <f t="shared" si="658"/>
        <v>0</v>
      </c>
      <c r="AE663" s="118"/>
      <c r="AF663" s="118">
        <f t="shared" si="658"/>
        <v>0</v>
      </c>
      <c r="AG663" s="118"/>
      <c r="AH663" s="118">
        <f t="shared" si="658"/>
        <v>0</v>
      </c>
      <c r="AI663" s="118"/>
      <c r="AJ663" s="118">
        <f t="shared" si="658"/>
        <v>0</v>
      </c>
      <c r="AK663" s="115">
        <f t="shared" si="627"/>
        <v>1</v>
      </c>
      <c r="AL663" s="98" t="str">
        <f t="shared" si="628"/>
        <v>ok</v>
      </c>
    </row>
    <row r="664" spans="1:38" x14ac:dyDescent="0.25">
      <c r="A664" s="97" t="s">
        <v>116</v>
      </c>
      <c r="D664" s="97" t="s">
        <v>117</v>
      </c>
      <c r="F664" s="114">
        <v>1</v>
      </c>
      <c r="H664" s="118">
        <f>H12/$F$12</f>
        <v>0.20952193457482191</v>
      </c>
      <c r="I664" s="118">
        <f t="shared" ref="I664:AJ664" si="659">I12/$F$12</f>
        <v>0.21948748801606227</v>
      </c>
      <c r="J664" s="118">
        <f t="shared" si="659"/>
        <v>0.18041797503286441</v>
      </c>
      <c r="K664" s="118">
        <f t="shared" si="659"/>
        <v>0</v>
      </c>
      <c r="L664" s="118">
        <f t="shared" si="659"/>
        <v>0</v>
      </c>
      <c r="M664" s="118">
        <f t="shared" si="659"/>
        <v>0</v>
      </c>
      <c r="N664" s="118"/>
      <c r="O664" s="118">
        <f t="shared" si="659"/>
        <v>0.13172951287154486</v>
      </c>
      <c r="P664" s="118">
        <f t="shared" si="659"/>
        <v>0</v>
      </c>
      <c r="Q664" s="118">
        <f t="shared" si="659"/>
        <v>0</v>
      </c>
      <c r="R664" s="118"/>
      <c r="S664" s="118">
        <f t="shared" si="659"/>
        <v>0</v>
      </c>
      <c r="T664" s="118">
        <f t="shared" si="659"/>
        <v>3.1338986525490685E-2</v>
      </c>
      <c r="U664" s="118">
        <f t="shared" si="659"/>
        <v>0</v>
      </c>
      <c r="V664" s="118">
        <f t="shared" si="659"/>
        <v>3.4149841307393271E-2</v>
      </c>
      <c r="W664" s="118">
        <f t="shared" si="659"/>
        <v>6.3327805927791941E-2</v>
      </c>
      <c r="X664" s="118">
        <f t="shared" si="659"/>
        <v>1.572109431853223E-2</v>
      </c>
      <c r="Y664" s="118">
        <f t="shared" si="659"/>
        <v>2.403238298178002E-2</v>
      </c>
      <c r="Z664" s="118">
        <f t="shared" si="659"/>
        <v>2.4404601761909742E-2</v>
      </c>
      <c r="AA664" s="118">
        <f t="shared" si="659"/>
        <v>2.1717152854532511E-2</v>
      </c>
      <c r="AB664" s="118">
        <f t="shared" si="659"/>
        <v>1.4539032858414855E-2</v>
      </c>
      <c r="AC664" s="118">
        <f t="shared" si="659"/>
        <v>1.2405195950597107E-2</v>
      </c>
      <c r="AD664" s="118">
        <f t="shared" si="659"/>
        <v>1.7206995018264299E-2</v>
      </c>
      <c r="AE664" s="118"/>
      <c r="AF664" s="118">
        <f t="shared" si="659"/>
        <v>0</v>
      </c>
      <c r="AG664" s="118"/>
      <c r="AH664" s="118">
        <f t="shared" si="659"/>
        <v>0</v>
      </c>
      <c r="AI664" s="118"/>
      <c r="AJ664" s="118">
        <f t="shared" si="659"/>
        <v>0</v>
      </c>
      <c r="AK664" s="115">
        <f t="shared" si="627"/>
        <v>1</v>
      </c>
      <c r="AL664" s="98" t="str">
        <f t="shared" si="628"/>
        <v>ok</v>
      </c>
    </row>
  </sheetData>
  <autoFilter ref="C1:C664"/>
  <mergeCells count="5">
    <mergeCell ref="X2:Y2"/>
    <mergeCell ref="Z2:AA2"/>
    <mergeCell ref="H2:J2"/>
    <mergeCell ref="K2:M2"/>
    <mergeCell ref="U2:W2"/>
  </mergeCells>
  <phoneticPr fontId="0" type="noConversion"/>
  <pageMargins left="0.5" right="0.25" top="1.75" bottom="0.25" header="0.81" footer="0.25"/>
  <pageSetup scale="50" fitToWidth="3" pageOrder="overThenDown" orientation="landscape" horizontalDpi="300" verticalDpi="300" r:id="rId1"/>
  <headerFooter alignWithMargins="0">
    <oddHeader>&amp;C&amp;"Times New Roman,Bold"&amp;12KENTUCKY UTILITIES COMPANY
Cost of Service Study
Functional Assignment and Classification
12 Months Ended June 30, 2018
BIP METHODOLOGY&amp;RExhibit WSS-16
Page &amp;P of &amp;N</oddHeader>
  </headerFooter>
  <rowBreaks count="12" manualBreakCount="12">
    <brk id="52" max="16383" man="1"/>
    <brk id="89" max="16383" man="1"/>
    <brk id="145" min="5" max="35" man="1"/>
    <brk id="201" max="16383" man="1"/>
    <brk id="258" min="5" max="35" man="1"/>
    <brk id="308" min="5" max="35" man="1"/>
    <brk id="355" max="16383" man="1"/>
    <brk id="408" max="16383" man="1"/>
    <brk id="465" min="5" max="35" man="1"/>
    <brk id="515" max="16383" man="1"/>
    <brk id="561" max="16383" man="1"/>
    <brk id="608" max="16383" man="1"/>
  </rowBreaks>
  <colBreaks count="3" manualBreakCount="3">
    <brk id="13" min="4" max="669" man="1"/>
    <brk id="23" min="4" max="664" man="1"/>
    <brk id="30" min="4" max="6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135"/>
  <sheetViews>
    <sheetView zoomScaleNormal="100" zoomScaleSheetLayoutView="7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Q34" sqref="Q34"/>
    </sheetView>
  </sheetViews>
  <sheetFormatPr defaultColWidth="9.109375" defaultRowHeight="12" customHeight="1" x14ac:dyDescent="0.25"/>
  <cols>
    <col min="1" max="1" width="7.6640625" style="399" customWidth="1"/>
    <col min="2" max="2" width="25.88671875" style="399" customWidth="1"/>
    <col min="3" max="3" width="15.33203125" style="399" customWidth="1"/>
    <col min="4" max="4" width="11.88671875" style="399" hidden="1" customWidth="1"/>
    <col min="5" max="5" width="16.33203125" style="399" hidden="1" customWidth="1"/>
    <col min="6" max="6" width="19.44140625" style="399" customWidth="1"/>
    <col min="7" max="8" width="18.6640625" style="399" customWidth="1"/>
    <col min="9" max="9" width="20.44140625" style="399" hidden="1" customWidth="1"/>
    <col min="10" max="10" width="18.6640625" style="399" customWidth="1"/>
    <col min="11" max="11" width="19.88671875" style="399" hidden="1" customWidth="1"/>
    <col min="12" max="15" width="18.6640625" style="399" customWidth="1"/>
    <col min="16" max="17" width="20.33203125" style="399" customWidth="1"/>
    <col min="18" max="20" width="17.6640625" style="399" customWidth="1"/>
    <col min="21" max="16384" width="9.109375" style="399"/>
  </cols>
  <sheetData>
    <row r="1" spans="1:20" ht="12" customHeight="1" x14ac:dyDescent="0.25">
      <c r="A1" s="398"/>
      <c r="B1" s="398"/>
      <c r="C1" s="398"/>
      <c r="D1" s="398">
        <v>1</v>
      </c>
      <c r="E1" s="398">
        <f>D1+1</f>
        <v>2</v>
      </c>
      <c r="F1" s="398">
        <f t="shared" ref="F1:T1" si="0">E1+1</f>
        <v>3</v>
      </c>
      <c r="G1" s="398">
        <f t="shared" si="0"/>
        <v>4</v>
      </c>
      <c r="H1" s="398">
        <f t="shared" si="0"/>
        <v>5</v>
      </c>
      <c r="I1" s="398">
        <f t="shared" si="0"/>
        <v>6</v>
      </c>
      <c r="J1" s="398">
        <f t="shared" si="0"/>
        <v>7</v>
      </c>
      <c r="K1" s="398">
        <f t="shared" si="0"/>
        <v>8</v>
      </c>
      <c r="L1" s="398">
        <f t="shared" si="0"/>
        <v>9</v>
      </c>
      <c r="M1" s="398">
        <f t="shared" si="0"/>
        <v>10</v>
      </c>
      <c r="N1" s="398">
        <f t="shared" si="0"/>
        <v>11</v>
      </c>
      <c r="O1" s="398">
        <f t="shared" si="0"/>
        <v>12</v>
      </c>
      <c r="P1" s="398">
        <f t="shared" si="0"/>
        <v>13</v>
      </c>
      <c r="Q1" s="398">
        <f>P1+1</f>
        <v>14</v>
      </c>
      <c r="R1" s="398">
        <f t="shared" si="0"/>
        <v>15</v>
      </c>
      <c r="S1" s="398">
        <f t="shared" si="0"/>
        <v>16</v>
      </c>
      <c r="T1" s="398">
        <f t="shared" si="0"/>
        <v>17</v>
      </c>
    </row>
    <row r="2" spans="1:20" s="404" customFormat="1" ht="34.5" customHeight="1" x14ac:dyDescent="0.25">
      <c r="A2" s="400"/>
      <c r="B2" s="400"/>
      <c r="C2" s="400"/>
      <c r="D2" s="401"/>
      <c r="E2" s="402" t="s">
        <v>408</v>
      </c>
      <c r="F2" s="403" t="s">
        <v>68</v>
      </c>
      <c r="G2" s="401" t="s">
        <v>1550</v>
      </c>
      <c r="H2" s="401" t="s">
        <v>2310</v>
      </c>
      <c r="I2" s="401" t="s">
        <v>2337</v>
      </c>
      <c r="J2" s="401" t="s">
        <v>2338</v>
      </c>
      <c r="K2" s="401" t="s">
        <v>2337</v>
      </c>
      <c r="L2" s="401" t="s">
        <v>1878</v>
      </c>
      <c r="M2" s="401" t="s">
        <v>1878</v>
      </c>
      <c r="N2" s="401" t="s">
        <v>1881</v>
      </c>
      <c r="O2" s="401" t="s">
        <v>1881</v>
      </c>
      <c r="P2" s="401" t="s">
        <v>1884</v>
      </c>
      <c r="Q2" s="401" t="s">
        <v>2201</v>
      </c>
      <c r="R2" s="401" t="s">
        <v>2223</v>
      </c>
      <c r="S2" s="401" t="s">
        <v>2224</v>
      </c>
      <c r="T2" s="429" t="s">
        <v>2255</v>
      </c>
    </row>
    <row r="3" spans="1:20" ht="17.25" customHeight="1" thickBot="1" x14ac:dyDescent="0.3">
      <c r="A3" s="405" t="s">
        <v>105</v>
      </c>
      <c r="B3" s="405"/>
      <c r="C3" s="406"/>
      <c r="D3" s="407" t="s">
        <v>106</v>
      </c>
      <c r="E3" s="407" t="s">
        <v>107</v>
      </c>
      <c r="F3" s="408" t="s">
        <v>108</v>
      </c>
      <c r="G3" s="408" t="s">
        <v>1811</v>
      </c>
      <c r="H3" s="408" t="s">
        <v>2336</v>
      </c>
      <c r="I3" s="408"/>
      <c r="J3" s="408" t="s">
        <v>2339</v>
      </c>
      <c r="K3" s="408"/>
      <c r="L3" s="408" t="s">
        <v>1879</v>
      </c>
      <c r="M3" s="408" t="s">
        <v>1880</v>
      </c>
      <c r="N3" s="408" t="s">
        <v>1882</v>
      </c>
      <c r="O3" s="430" t="s">
        <v>2252</v>
      </c>
      <c r="P3" s="408" t="s">
        <v>1875</v>
      </c>
      <c r="Q3" s="408" t="s">
        <v>2219</v>
      </c>
      <c r="R3" s="408" t="s">
        <v>2231</v>
      </c>
      <c r="S3" s="408" t="s">
        <v>2218</v>
      </c>
      <c r="T3" s="430" t="s">
        <v>2256</v>
      </c>
    </row>
    <row r="5" spans="1:20" ht="13.8" x14ac:dyDescent="0.25">
      <c r="A5" s="409" t="s">
        <v>579</v>
      </c>
      <c r="F5" s="410"/>
    </row>
    <row r="6" spans="1:20" ht="12" customHeight="1" x14ac:dyDescent="0.25">
      <c r="F6" s="410"/>
      <c r="G6" s="410"/>
    </row>
    <row r="7" spans="1:20" ht="13.8" x14ac:dyDescent="0.25">
      <c r="A7" s="411" t="s">
        <v>431</v>
      </c>
    </row>
    <row r="8" spans="1:20" ht="13.8" x14ac:dyDescent="0.25">
      <c r="A8" s="412" t="s">
        <v>932</v>
      </c>
      <c r="D8" s="399" t="s">
        <v>432</v>
      </c>
      <c r="E8" s="399" t="s">
        <v>516</v>
      </c>
      <c r="F8" s="100">
        <f>'Allocation ProForma'!F651</f>
        <v>1464489053</v>
      </c>
      <c r="G8" s="100">
        <f>'Allocation ProForma'!G651</f>
        <v>554543189</v>
      </c>
      <c r="H8" s="100">
        <f>'Allocation ProForma'!H651</f>
        <v>198233993.99999997</v>
      </c>
      <c r="I8" s="100">
        <f>'Allocation ProForma'!I651</f>
        <v>0</v>
      </c>
      <c r="J8" s="100">
        <f>'Allocation ProForma'!J651</f>
        <v>12037990.999999998</v>
      </c>
      <c r="K8" s="100">
        <f>'Allocation ProForma'!K651</f>
        <v>0</v>
      </c>
      <c r="L8" s="100">
        <f>'Allocation ProForma'!L651</f>
        <v>174459441</v>
      </c>
      <c r="M8" s="100">
        <f>'Allocation ProForma'!M651</f>
        <v>13950650.999999998</v>
      </c>
      <c r="N8" s="100">
        <f>'Allocation ProForma'!N651</f>
        <v>116879945</v>
      </c>
      <c r="O8" s="100">
        <f>'Allocation ProForma'!O651</f>
        <v>251561897</v>
      </c>
      <c r="P8" s="100">
        <f>'Allocation ProForma'!P651</f>
        <v>86711460</v>
      </c>
      <c r="Q8" s="100">
        <f>'Allocation ProForma'!Q651</f>
        <v>29892107</v>
      </c>
      <c r="R8" s="100">
        <f>'Allocation ProForma'!R651</f>
        <v>26032396</v>
      </c>
      <c r="S8" s="100">
        <f>'Allocation ProForma'!S651</f>
        <v>29470.000000000004</v>
      </c>
      <c r="T8" s="100">
        <f>'Allocation ProForma'!T651</f>
        <v>156512</v>
      </c>
    </row>
    <row r="9" spans="1:20" ht="13.8" x14ac:dyDescent="0.25">
      <c r="A9" s="399" t="s">
        <v>1214</v>
      </c>
      <c r="D9" s="399" t="s">
        <v>825</v>
      </c>
      <c r="E9" s="399" t="s">
        <v>410</v>
      </c>
      <c r="F9" s="101">
        <f>'Allocation ProForma'!F652</f>
        <v>8422903.2400000002</v>
      </c>
      <c r="G9" s="101">
        <f>'Allocation ProForma'!G652</f>
        <v>2829615.4300200166</v>
      </c>
      <c r="H9" s="101">
        <f>'Allocation ProForma'!H652</f>
        <v>838290.47107581364</v>
      </c>
      <c r="I9" s="101">
        <f>'Allocation ProForma'!I652</f>
        <v>0</v>
      </c>
      <c r="J9" s="101">
        <f>'Allocation ProForma'!J652</f>
        <v>70540.746440541348</v>
      </c>
      <c r="K9" s="101">
        <f>'Allocation ProForma'!K652</f>
        <v>0</v>
      </c>
      <c r="L9" s="101">
        <f>'Allocation ProForma'!L652</f>
        <v>997111.51906858548</v>
      </c>
      <c r="M9" s="101">
        <f>'Allocation ProForma'!M652</f>
        <v>76946.693901392908</v>
      </c>
      <c r="N9" s="101">
        <f>'Allocation ProForma'!N652</f>
        <v>776254.74686152849</v>
      </c>
      <c r="O9" s="101">
        <f>'Allocation ProForma'!O652</f>
        <v>1865957.3271087771</v>
      </c>
      <c r="P9" s="101">
        <f>'Allocation ProForma'!P652</f>
        <v>664530.24368404015</v>
      </c>
      <c r="Q9" s="101">
        <f>'Allocation ProForma'!Q652</f>
        <v>245327.47728685281</v>
      </c>
      <c r="R9" s="101">
        <f>'Allocation ProForma'!R652</f>
        <v>57429.364383024025</v>
      </c>
      <c r="S9" s="101">
        <f>'Allocation ProForma'!S652</f>
        <v>207.50576376202625</v>
      </c>
      <c r="T9" s="101">
        <f>'Allocation ProForma'!T652</f>
        <v>691.71440566367289</v>
      </c>
    </row>
    <row r="10" spans="1:20" ht="15" hidden="1" customHeight="1" x14ac:dyDescent="0.25">
      <c r="A10" s="399" t="s">
        <v>1942</v>
      </c>
      <c r="E10" s="399" t="s">
        <v>1213</v>
      </c>
      <c r="F10" s="101">
        <f>'Allocation ProForma'!F653</f>
        <v>0</v>
      </c>
      <c r="G10" s="101">
        <f>'Allocation ProForma'!G653</f>
        <v>0</v>
      </c>
      <c r="H10" s="101">
        <f>'Allocation ProForma'!H653</f>
        <v>0</v>
      </c>
      <c r="I10" s="101">
        <f>'Allocation ProForma'!I653</f>
        <v>0</v>
      </c>
      <c r="J10" s="101">
        <f>'Allocation ProForma'!J653</f>
        <v>0</v>
      </c>
      <c r="K10" s="101">
        <f>'Allocation ProForma'!K653</f>
        <v>0</v>
      </c>
      <c r="L10" s="101">
        <f>'Allocation ProForma'!L653</f>
        <v>0</v>
      </c>
      <c r="M10" s="101">
        <f>'Allocation ProForma'!M653</f>
        <v>0</v>
      </c>
      <c r="N10" s="101">
        <f>'Allocation ProForma'!N653</f>
        <v>0</v>
      </c>
      <c r="O10" s="101">
        <f>'Allocation ProForma'!O653</f>
        <v>0</v>
      </c>
      <c r="P10" s="101">
        <f>'Allocation ProForma'!P653</f>
        <v>0</v>
      </c>
      <c r="Q10" s="101">
        <f>'Allocation ProForma'!Q653</f>
        <v>0</v>
      </c>
      <c r="R10" s="101">
        <f>'Allocation ProForma'!R653</f>
        <v>0</v>
      </c>
      <c r="S10" s="101">
        <f>'Allocation ProForma'!S653</f>
        <v>0</v>
      </c>
      <c r="T10" s="101">
        <f>'Allocation ProForma'!T653</f>
        <v>0</v>
      </c>
    </row>
    <row r="11" spans="1:20" ht="13.8" x14ac:dyDescent="0.25">
      <c r="A11" s="399" t="s">
        <v>2430</v>
      </c>
      <c r="E11" s="399" t="s">
        <v>582</v>
      </c>
      <c r="F11" s="101">
        <f>'Allocation ProForma'!F654</f>
        <v>-17395776</v>
      </c>
      <c r="G11" s="101">
        <f>'Allocation ProForma'!G654</f>
        <v>-7120997.5447985651</v>
      </c>
      <c r="H11" s="101">
        <f>'Allocation ProForma'!H654</f>
        <v>-1976551.7950724438</v>
      </c>
      <c r="I11" s="101">
        <f>'Allocation ProForma'!I654</f>
        <v>0</v>
      </c>
      <c r="J11" s="101">
        <f>'Allocation ProForma'!J654</f>
        <v>-148835.04237624098</v>
      </c>
      <c r="K11" s="101">
        <f>'Allocation ProForma'!K654</f>
        <v>0</v>
      </c>
      <c r="L11" s="101">
        <f>'Allocation ProForma'!L654</f>
        <v>-1986750.25159457</v>
      </c>
      <c r="M11" s="101">
        <f>'Allocation ProForma'!M654</f>
        <v>-146294.19723152765</v>
      </c>
      <c r="N11" s="101">
        <f>'Allocation ProForma'!N654</f>
        <v>-1450867.2355036079</v>
      </c>
      <c r="O11" s="101">
        <f>'Allocation ProForma'!O654</f>
        <v>-3173151.6699064914</v>
      </c>
      <c r="P11" s="101">
        <f>'Allocation ProForma'!P654</f>
        <v>-1103241.7810053704</v>
      </c>
      <c r="Q11" s="101">
        <f>'Allocation ProForma'!Q654</f>
        <v>-288197.08424574614</v>
      </c>
      <c r="R11" s="101">
        <f>'Allocation ProForma'!R654</f>
        <v>0</v>
      </c>
      <c r="S11" s="101">
        <f>'Allocation ProForma'!S654</f>
        <v>0</v>
      </c>
      <c r="T11" s="101">
        <f>'Allocation ProForma'!T654</f>
        <v>-889.39826543265804</v>
      </c>
    </row>
    <row r="12" spans="1:20" ht="13.8" x14ac:dyDescent="0.25">
      <c r="A12" s="399" t="s">
        <v>2191</v>
      </c>
      <c r="E12" s="399" t="s">
        <v>1931</v>
      </c>
      <c r="F12" s="101">
        <f>'Allocation ProForma'!F655</f>
        <v>3857505.2961587054</v>
      </c>
      <c r="G12" s="101">
        <f>'Allocation ProForma'!G655</f>
        <v>3012898.2127159415</v>
      </c>
      <c r="H12" s="101">
        <f>'Allocation ProForma'!H655</f>
        <v>568302.03020910779</v>
      </c>
      <c r="I12" s="101">
        <f>'Allocation ProForma'!I655</f>
        <v>0</v>
      </c>
      <c r="J12" s="101">
        <f>'Allocation ProForma'!J655</f>
        <v>3750.3524144748221</v>
      </c>
      <c r="K12" s="101">
        <f>'Allocation ProForma'!K655</f>
        <v>0</v>
      </c>
      <c r="L12" s="101">
        <f>'Allocation ProForma'!L655</f>
        <v>98651.332762320162</v>
      </c>
      <c r="M12" s="101">
        <f>'Allocation ProForma'!M655</f>
        <v>5534.7421869142427</v>
      </c>
      <c r="N12" s="101">
        <f>'Allocation ProForma'!N655</f>
        <v>41764.010353338403</v>
      </c>
      <c r="O12" s="101">
        <f>'Allocation ProForma'!O655</f>
        <v>107885.48865016444</v>
      </c>
      <c r="P12" s="101">
        <f>'Allocation ProForma'!P655</f>
        <v>18685.962777292352</v>
      </c>
      <c r="Q12" s="101">
        <f>'Allocation ProForma'!Q655</f>
        <v>0</v>
      </c>
      <c r="R12" s="101">
        <f>'Allocation ProForma'!R655</f>
        <v>33.164089152319214</v>
      </c>
      <c r="S12" s="101">
        <f>'Allocation ProForma'!S655</f>
        <v>0</v>
      </c>
      <c r="T12" s="101">
        <f>'Allocation ProForma'!T655</f>
        <v>0</v>
      </c>
    </row>
    <row r="13" spans="1:20" ht="15" hidden="1" customHeight="1" x14ac:dyDescent="0.25">
      <c r="A13" s="399" t="s">
        <v>2192</v>
      </c>
      <c r="E13" s="399" t="s">
        <v>2230</v>
      </c>
      <c r="F13" s="101">
        <f>'Allocation ProForma'!F656</f>
        <v>0</v>
      </c>
      <c r="G13" s="101">
        <f>'Allocation ProForma'!G656</f>
        <v>0</v>
      </c>
      <c r="H13" s="101">
        <f>'Allocation ProForma'!H656</f>
        <v>0</v>
      </c>
      <c r="I13" s="101">
        <f>'Allocation ProForma'!I656</f>
        <v>0</v>
      </c>
      <c r="J13" s="101">
        <f>'Allocation ProForma'!J656</f>
        <v>0</v>
      </c>
      <c r="K13" s="101">
        <f>'Allocation ProForma'!K656</f>
        <v>0</v>
      </c>
      <c r="L13" s="101">
        <f>'Allocation ProForma'!L656</f>
        <v>0</v>
      </c>
      <c r="M13" s="101">
        <f>'Allocation ProForma'!M656</f>
        <v>0</v>
      </c>
      <c r="N13" s="101">
        <f>'Allocation ProForma'!N656</f>
        <v>0</v>
      </c>
      <c r="O13" s="101">
        <f>'Allocation ProForma'!O656</f>
        <v>0</v>
      </c>
      <c r="P13" s="101">
        <f>'Allocation ProForma'!P656</f>
        <v>0</v>
      </c>
      <c r="Q13" s="101">
        <f>'Allocation ProForma'!Q656</f>
        <v>0</v>
      </c>
      <c r="R13" s="101">
        <f>'Allocation ProForma'!R656</f>
        <v>0</v>
      </c>
      <c r="S13" s="101">
        <f>'Allocation ProForma'!S656</f>
        <v>0</v>
      </c>
      <c r="T13" s="101">
        <f>'Allocation ProForma'!T656</f>
        <v>0</v>
      </c>
    </row>
    <row r="14" spans="1:20" ht="13.8" x14ac:dyDescent="0.25">
      <c r="A14" s="399" t="s">
        <v>2193</v>
      </c>
      <c r="E14" s="399" t="s">
        <v>2230</v>
      </c>
      <c r="F14" s="101">
        <f>'Allocation ProForma'!F657</f>
        <v>2108281.586779655</v>
      </c>
      <c r="G14" s="101">
        <f>'Allocation ProForma'!G657</f>
        <v>1967237.1981218893</v>
      </c>
      <c r="H14" s="101">
        <f>'Allocation ProForma'!H657</f>
        <v>136875.49873332356</v>
      </c>
      <c r="I14" s="101">
        <f>'Allocation ProForma'!I657</f>
        <v>0</v>
      </c>
      <c r="J14" s="101">
        <f>'Allocation ProForma'!J657</f>
        <v>852.85627588832403</v>
      </c>
      <c r="K14" s="101">
        <f>'Allocation ProForma'!K657</f>
        <v>0</v>
      </c>
      <c r="L14" s="101">
        <f>'Allocation ProForma'!L657</f>
        <v>1335.3264374361033</v>
      </c>
      <c r="M14" s="101">
        <f>'Allocation ProForma'!M657</f>
        <v>51.155304539599754</v>
      </c>
      <c r="N14" s="101">
        <f>'Allocation ProForma'!N657</f>
        <v>981.87969205789011</v>
      </c>
      <c r="O14" s="101">
        <f>'Allocation ProForma'!O657</f>
        <v>439.12613805743086</v>
      </c>
      <c r="P14" s="101">
        <f>'Allocation ProForma'!P657</f>
        <v>47.644788939323412</v>
      </c>
      <c r="Q14" s="101">
        <f>'Allocation ProForma'!Q657</f>
        <v>0</v>
      </c>
      <c r="R14" s="101">
        <f>'Allocation ProForma'!R657</f>
        <v>460.90128752325819</v>
      </c>
      <c r="S14" s="101">
        <f>'Allocation ProForma'!S657</f>
        <v>0</v>
      </c>
      <c r="T14" s="101">
        <f>'Allocation ProForma'!T657</f>
        <v>0</v>
      </c>
    </row>
    <row r="15" spans="1:20" ht="13.8" x14ac:dyDescent="0.25">
      <c r="A15" s="399" t="s">
        <v>2194</v>
      </c>
      <c r="E15" s="399" t="s">
        <v>422</v>
      </c>
      <c r="F15" s="101">
        <f>'Allocation ProForma'!F658</f>
        <v>3142644.6954118521</v>
      </c>
      <c r="G15" s="101">
        <f>'Allocation ProForma'!G658</f>
        <v>1482453.8396918518</v>
      </c>
      <c r="H15" s="101">
        <f>'Allocation ProForma'!H658</f>
        <v>381029.4600601329</v>
      </c>
      <c r="I15" s="101">
        <f>'Allocation ProForma'!I658</f>
        <v>0</v>
      </c>
      <c r="J15" s="101">
        <f>'Allocation ProForma'!J658</f>
        <v>24337.732367233741</v>
      </c>
      <c r="K15" s="101">
        <f>'Allocation ProForma'!K658</f>
        <v>0</v>
      </c>
      <c r="L15" s="101">
        <f>'Allocation ProForma'!L658</f>
        <v>299997.3131574103</v>
      </c>
      <c r="M15" s="101">
        <f>'Allocation ProForma'!M658</f>
        <v>21827.793073705088</v>
      </c>
      <c r="N15" s="101">
        <f>'Allocation ProForma'!N658</f>
        <v>214749.93273719854</v>
      </c>
      <c r="O15" s="101">
        <f>'Allocation ProForma'!O658</f>
        <v>460647.77068206581</v>
      </c>
      <c r="P15" s="101">
        <f>'Allocation ProForma'!P658</f>
        <v>147497.32439859424</v>
      </c>
      <c r="Q15" s="101">
        <f>'Allocation ProForma'!Q658</f>
        <v>38866.370531641274</v>
      </c>
      <c r="R15" s="101">
        <f>'Allocation ProForma'!R658</f>
        <v>70983.324024651694</v>
      </c>
      <c r="S15" s="101">
        <f>'Allocation ProForma'!S658</f>
        <v>13.120878664659836</v>
      </c>
      <c r="T15" s="101">
        <f>'Allocation ProForma'!T658</f>
        <v>240.71380870110107</v>
      </c>
    </row>
    <row r="16" spans="1:20" ht="15" hidden="1" customHeight="1" x14ac:dyDescent="0.25">
      <c r="A16" s="399" t="s">
        <v>2195</v>
      </c>
      <c r="E16" s="399" t="s">
        <v>148</v>
      </c>
      <c r="F16" s="101">
        <f>'Allocation ProForma'!F659</f>
        <v>0</v>
      </c>
      <c r="G16" s="101">
        <f>'Allocation ProForma'!G659</f>
        <v>0</v>
      </c>
      <c r="H16" s="101">
        <f>'Allocation ProForma'!H659</f>
        <v>0</v>
      </c>
      <c r="I16" s="101">
        <f>'Allocation ProForma'!I659</f>
        <v>0</v>
      </c>
      <c r="J16" s="101">
        <f>'Allocation ProForma'!J659</f>
        <v>0</v>
      </c>
      <c r="K16" s="101">
        <f>'Allocation ProForma'!K659</f>
        <v>0</v>
      </c>
      <c r="L16" s="101">
        <f>'Allocation ProForma'!L659</f>
        <v>0</v>
      </c>
      <c r="M16" s="101">
        <f>'Allocation ProForma'!M659</f>
        <v>0</v>
      </c>
      <c r="N16" s="101">
        <f>'Allocation ProForma'!N659</f>
        <v>0</v>
      </c>
      <c r="O16" s="101">
        <f>'Allocation ProForma'!O659</f>
        <v>0</v>
      </c>
      <c r="P16" s="101">
        <f>'Allocation ProForma'!P659</f>
        <v>0</v>
      </c>
      <c r="Q16" s="101">
        <f>'Allocation ProForma'!Q659</f>
        <v>0</v>
      </c>
      <c r="R16" s="101">
        <f>'Allocation ProForma'!R659</f>
        <v>0</v>
      </c>
      <c r="S16" s="101">
        <f>'Allocation ProForma'!S659</f>
        <v>0</v>
      </c>
      <c r="T16" s="101">
        <f>'Allocation ProForma'!T659</f>
        <v>0</v>
      </c>
    </row>
    <row r="17" spans="1:20" ht="15" hidden="1" customHeight="1" x14ac:dyDescent="0.25">
      <c r="A17" s="399" t="s">
        <v>2318</v>
      </c>
      <c r="E17" s="399" t="s">
        <v>148</v>
      </c>
      <c r="F17" s="101">
        <f>'Allocation ProForma'!F660</f>
        <v>0</v>
      </c>
      <c r="G17" s="101">
        <f>'Allocation ProForma'!G660</f>
        <v>0</v>
      </c>
      <c r="H17" s="101">
        <f>'Allocation ProForma'!H660</f>
        <v>0</v>
      </c>
      <c r="I17" s="101">
        <f>'Allocation ProForma'!I660</f>
        <v>0</v>
      </c>
      <c r="J17" s="101">
        <f>'Allocation ProForma'!J660</f>
        <v>0</v>
      </c>
      <c r="K17" s="101">
        <f>'Allocation ProForma'!K660</f>
        <v>0</v>
      </c>
      <c r="L17" s="101">
        <f>'Allocation ProForma'!L660</f>
        <v>0</v>
      </c>
      <c r="M17" s="101">
        <f>'Allocation ProForma'!M660</f>
        <v>0</v>
      </c>
      <c r="N17" s="101">
        <f>'Allocation ProForma'!N660</f>
        <v>0</v>
      </c>
      <c r="O17" s="101">
        <f>'Allocation ProForma'!O660</f>
        <v>0</v>
      </c>
      <c r="P17" s="101">
        <f>'Allocation ProForma'!P660</f>
        <v>0</v>
      </c>
      <c r="Q17" s="101">
        <f>'Allocation ProForma'!Q660</f>
        <v>0</v>
      </c>
      <c r="R17" s="101">
        <f>'Allocation ProForma'!R660</f>
        <v>0</v>
      </c>
      <c r="S17" s="101">
        <f>'Allocation ProForma'!S660</f>
        <v>0</v>
      </c>
      <c r="T17" s="101">
        <f>'Allocation ProForma'!T660</f>
        <v>0</v>
      </c>
    </row>
    <row r="18" spans="1:20" ht="15" hidden="1" customHeight="1" x14ac:dyDescent="0.25">
      <c r="A18" s="399" t="s">
        <v>2196</v>
      </c>
      <c r="E18" s="399" t="s">
        <v>516</v>
      </c>
      <c r="F18" s="101">
        <f>'Allocation ProForma'!F661</f>
        <v>0</v>
      </c>
      <c r="G18" s="101">
        <f>'Allocation ProForma'!G661</f>
        <v>0</v>
      </c>
      <c r="H18" s="101">
        <f>'Allocation ProForma'!H661</f>
        <v>0</v>
      </c>
      <c r="I18" s="101">
        <f>'Allocation ProForma'!I661</f>
        <v>0</v>
      </c>
      <c r="J18" s="101">
        <f>'Allocation ProForma'!J661</f>
        <v>0</v>
      </c>
      <c r="K18" s="101">
        <f>'Allocation ProForma'!K661</f>
        <v>0</v>
      </c>
      <c r="L18" s="101">
        <f>'Allocation ProForma'!L661</f>
        <v>0</v>
      </c>
      <c r="M18" s="101">
        <f>'Allocation ProForma'!M661</f>
        <v>0</v>
      </c>
      <c r="N18" s="101">
        <f>'Allocation ProForma'!N661</f>
        <v>0</v>
      </c>
      <c r="O18" s="101">
        <f>'Allocation ProForma'!O661</f>
        <v>0</v>
      </c>
      <c r="P18" s="101">
        <f>'Allocation ProForma'!P661</f>
        <v>0</v>
      </c>
      <c r="Q18" s="101">
        <f>'Allocation ProForma'!Q661</f>
        <v>0</v>
      </c>
      <c r="R18" s="101">
        <f>'Allocation ProForma'!R661</f>
        <v>0</v>
      </c>
      <c r="S18" s="101">
        <f>'Allocation ProForma'!S661</f>
        <v>0</v>
      </c>
      <c r="T18" s="101">
        <f>'Allocation ProForma'!T661</f>
        <v>0</v>
      </c>
    </row>
    <row r="19" spans="1:20" ht="15" hidden="1" customHeight="1" x14ac:dyDescent="0.25">
      <c r="A19" s="399" t="s">
        <v>2197</v>
      </c>
      <c r="E19" s="399" t="s">
        <v>2230</v>
      </c>
      <c r="F19" s="101">
        <f>'Allocation ProForma'!F662</f>
        <v>0</v>
      </c>
      <c r="G19" s="101">
        <f>'Allocation ProForma'!G662</f>
        <v>0</v>
      </c>
      <c r="H19" s="101">
        <f>'Allocation ProForma'!H662</f>
        <v>0</v>
      </c>
      <c r="I19" s="101">
        <f>'Allocation ProForma'!I662</f>
        <v>0</v>
      </c>
      <c r="J19" s="101">
        <f>'Allocation ProForma'!J662</f>
        <v>0</v>
      </c>
      <c r="K19" s="101">
        <f>'Allocation ProForma'!K662</f>
        <v>0</v>
      </c>
      <c r="L19" s="101">
        <f>'Allocation ProForma'!L662</f>
        <v>0</v>
      </c>
      <c r="M19" s="101">
        <f>'Allocation ProForma'!M662</f>
        <v>0</v>
      </c>
      <c r="N19" s="101">
        <f>'Allocation ProForma'!N662</f>
        <v>0</v>
      </c>
      <c r="O19" s="101">
        <f>'Allocation ProForma'!O662</f>
        <v>0</v>
      </c>
      <c r="P19" s="101">
        <f>'Allocation ProForma'!P662</f>
        <v>0</v>
      </c>
      <c r="Q19" s="101">
        <f>'Allocation ProForma'!Q662</f>
        <v>0</v>
      </c>
      <c r="R19" s="101">
        <f>'Allocation ProForma'!R662</f>
        <v>0</v>
      </c>
      <c r="S19" s="101">
        <f>'Allocation ProForma'!S662</f>
        <v>0</v>
      </c>
      <c r="T19" s="101">
        <f>'Allocation ProForma'!T662</f>
        <v>0</v>
      </c>
    </row>
    <row r="20" spans="1:20" ht="13.8" x14ac:dyDescent="0.25">
      <c r="A20" s="399" t="s">
        <v>2198</v>
      </c>
      <c r="E20" s="399" t="s">
        <v>2230</v>
      </c>
      <c r="F20" s="101">
        <f>'Allocation ProForma'!F663</f>
        <v>22338060.122524951</v>
      </c>
      <c r="G20" s="101">
        <f>'Allocation ProForma'!G663</f>
        <v>20843640.186621372</v>
      </c>
      <c r="H20" s="101">
        <f>'Allocation ProForma'!H663</f>
        <v>1450248.9322006893</v>
      </c>
      <c r="I20" s="101">
        <f>'Allocation ProForma'!I663</f>
        <v>0</v>
      </c>
      <c r="J20" s="101">
        <f>'Allocation ProForma'!J663</f>
        <v>9036.342624310566</v>
      </c>
      <c r="K20" s="101">
        <f>'Allocation ProForma'!K663</f>
        <v>0</v>
      </c>
      <c r="L20" s="101">
        <f>'Allocation ProForma'!L663</f>
        <v>14148.300886224186</v>
      </c>
      <c r="M20" s="101">
        <f>'Allocation ProForma'!M663</f>
        <v>542.01026824747498</v>
      </c>
      <c r="N20" s="101">
        <f>'Allocation ProForma'!N663</f>
        <v>10403.395699991839</v>
      </c>
      <c r="O20" s="101">
        <f>'Allocation ProForma'!O663</f>
        <v>4652.7115423335927</v>
      </c>
      <c r="P20" s="101">
        <f>'Allocation ProForma'!P663</f>
        <v>504.81499555156512</v>
      </c>
      <c r="Q20" s="101">
        <f>'Allocation ProForma'!Q663</f>
        <v>0</v>
      </c>
      <c r="R20" s="101">
        <f>'Allocation ProForma'!R663</f>
        <v>4883.4276862276365</v>
      </c>
      <c r="S20" s="101">
        <f>'Allocation ProForma'!S663</f>
        <v>0</v>
      </c>
      <c r="T20" s="101">
        <f>'Allocation ProForma'!T663</f>
        <v>0</v>
      </c>
    </row>
    <row r="21" spans="1:20" ht="12" hidden="1" customHeight="1" x14ac:dyDescent="0.25">
      <c r="A21" s="399" t="s">
        <v>2199</v>
      </c>
      <c r="E21" s="399" t="s">
        <v>2230</v>
      </c>
      <c r="F21" s="101">
        <f>'Allocation ProForma'!F664</f>
        <v>0</v>
      </c>
      <c r="G21" s="101">
        <f>'Allocation ProForma'!G664</f>
        <v>0</v>
      </c>
      <c r="H21" s="101">
        <f>'Allocation ProForma'!H664</f>
        <v>0</v>
      </c>
      <c r="I21" s="101">
        <f>'Allocation ProForma'!I664</f>
        <v>0</v>
      </c>
      <c r="J21" s="101">
        <f>'Allocation ProForma'!J664</f>
        <v>0</v>
      </c>
      <c r="K21" s="101">
        <f>'Allocation ProForma'!K664</f>
        <v>0</v>
      </c>
      <c r="L21" s="101">
        <f>'Allocation ProForma'!L664</f>
        <v>0</v>
      </c>
      <c r="M21" s="101">
        <f>'Allocation ProForma'!M664</f>
        <v>0</v>
      </c>
      <c r="N21" s="101">
        <f>'Allocation ProForma'!N664</f>
        <v>0</v>
      </c>
      <c r="O21" s="101">
        <f>'Allocation ProForma'!O664</f>
        <v>0</v>
      </c>
      <c r="P21" s="101">
        <f>'Allocation ProForma'!P664</f>
        <v>0</v>
      </c>
      <c r="Q21" s="101">
        <f>'Allocation ProForma'!Q664</f>
        <v>0</v>
      </c>
      <c r="R21" s="101">
        <f>'Allocation ProForma'!R664</f>
        <v>0</v>
      </c>
      <c r="S21" s="101">
        <f>'Allocation ProForma'!S664</f>
        <v>0</v>
      </c>
      <c r="T21" s="101">
        <f>'Allocation ProForma'!T664</f>
        <v>0</v>
      </c>
    </row>
    <row r="22" spans="1:20" ht="12" hidden="1" customHeight="1" x14ac:dyDescent="0.25">
      <c r="A22" s="399" t="s">
        <v>2200</v>
      </c>
      <c r="E22" s="399" t="s">
        <v>516</v>
      </c>
      <c r="F22" s="101">
        <f>'Allocation ProForma'!F665</f>
        <v>0</v>
      </c>
      <c r="G22" s="101">
        <f>'Allocation ProForma'!G665</f>
        <v>0</v>
      </c>
      <c r="H22" s="101">
        <f>'Allocation ProForma'!H665</f>
        <v>0</v>
      </c>
      <c r="I22" s="101">
        <f>'Allocation ProForma'!I665</f>
        <v>0</v>
      </c>
      <c r="J22" s="101">
        <f>'Allocation ProForma'!J665</f>
        <v>0</v>
      </c>
      <c r="K22" s="101">
        <f>'Allocation ProForma'!K665</f>
        <v>0</v>
      </c>
      <c r="L22" s="101">
        <f>'Allocation ProForma'!L665</f>
        <v>0</v>
      </c>
      <c r="M22" s="101">
        <f>'Allocation ProForma'!M665</f>
        <v>0</v>
      </c>
      <c r="N22" s="101">
        <f>'Allocation ProForma'!N665</f>
        <v>0</v>
      </c>
      <c r="O22" s="101">
        <f>'Allocation ProForma'!O665</f>
        <v>0</v>
      </c>
      <c r="P22" s="101">
        <f>'Allocation ProForma'!P665</f>
        <v>0</v>
      </c>
      <c r="Q22" s="101">
        <f>'Allocation ProForma'!Q665</f>
        <v>0</v>
      </c>
      <c r="R22" s="101">
        <f>'Allocation ProForma'!R665</f>
        <v>0</v>
      </c>
      <c r="S22" s="101">
        <f>'Allocation ProForma'!S665</f>
        <v>0</v>
      </c>
      <c r="T22" s="101">
        <f>'Allocation ProForma'!T665</f>
        <v>0</v>
      </c>
    </row>
    <row r="23" spans="1:20" ht="12" hidden="1" customHeight="1" x14ac:dyDescent="0.25">
      <c r="A23" s="412" t="s">
        <v>826</v>
      </c>
      <c r="D23" s="399" t="s">
        <v>827</v>
      </c>
      <c r="E23" s="399" t="s">
        <v>516</v>
      </c>
      <c r="F23" s="101">
        <f>'Allocation ProForma'!F666</f>
        <v>0</v>
      </c>
      <c r="G23" s="101">
        <f>'Allocation ProForma'!G666</f>
        <v>0</v>
      </c>
      <c r="H23" s="101">
        <f>'Allocation ProForma'!H666</f>
        <v>0</v>
      </c>
      <c r="I23" s="101">
        <f>'Allocation ProForma'!I666</f>
        <v>0</v>
      </c>
      <c r="J23" s="101">
        <f>'Allocation ProForma'!J666</f>
        <v>0</v>
      </c>
      <c r="K23" s="101">
        <f>'Allocation ProForma'!K666</f>
        <v>0</v>
      </c>
      <c r="L23" s="101">
        <f>'Allocation ProForma'!L666</f>
        <v>0</v>
      </c>
      <c r="M23" s="101">
        <f>'Allocation ProForma'!M666</f>
        <v>0</v>
      </c>
      <c r="N23" s="101">
        <f>'Allocation ProForma'!N666</f>
        <v>0</v>
      </c>
      <c r="O23" s="101">
        <f>'Allocation ProForma'!O666</f>
        <v>0</v>
      </c>
      <c r="P23" s="101">
        <f>'Allocation ProForma'!P666</f>
        <v>0</v>
      </c>
      <c r="Q23" s="101">
        <f>'Allocation ProForma'!Q666</f>
        <v>0</v>
      </c>
      <c r="R23" s="101">
        <f>'Allocation ProForma'!R666</f>
        <v>0</v>
      </c>
      <c r="S23" s="101">
        <f>'Allocation ProForma'!S666</f>
        <v>0</v>
      </c>
      <c r="T23" s="101">
        <f>'Allocation ProForma'!T666</f>
        <v>0</v>
      </c>
    </row>
    <row r="24" spans="1:20" ht="12" customHeight="1" x14ac:dyDescent="0.25">
      <c r="E24" s="413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1:20" ht="13.8" x14ac:dyDescent="0.25">
      <c r="A25" s="399" t="s">
        <v>433</v>
      </c>
      <c r="D25" s="399" t="s">
        <v>434</v>
      </c>
      <c r="E25" s="410"/>
      <c r="F25" s="410">
        <f>SUM(F8:F23)</f>
        <v>1486962671.9408753</v>
      </c>
      <c r="G25" s="410">
        <f t="shared" ref="G25:T25" si="1">SUM(G8:G24)</f>
        <v>577558036.32237256</v>
      </c>
      <c r="H25" s="410">
        <f t="shared" si="1"/>
        <v>199632188.59720656</v>
      </c>
      <c r="I25" s="410">
        <f t="shared" si="1"/>
        <v>0</v>
      </c>
      <c r="J25" s="410">
        <f t="shared" si="1"/>
        <v>11997673.987746205</v>
      </c>
      <c r="K25" s="410">
        <f t="shared" si="1"/>
        <v>0</v>
      </c>
      <c r="L25" s="410">
        <f t="shared" si="1"/>
        <v>173883934.54071742</v>
      </c>
      <c r="M25" s="410">
        <f t="shared" si="1"/>
        <v>13909259.197503271</v>
      </c>
      <c r="N25" s="410">
        <f t="shared" si="1"/>
        <v>116473231.72984052</v>
      </c>
      <c r="O25" s="410">
        <f t="shared" si="1"/>
        <v>250828327.75421491</v>
      </c>
      <c r="P25" s="410">
        <f t="shared" si="1"/>
        <v>86439484.209639043</v>
      </c>
      <c r="Q25" s="410">
        <f t="shared" si="1"/>
        <v>29888103.763572749</v>
      </c>
      <c r="R25" s="410">
        <f t="shared" si="1"/>
        <v>26166186.181470577</v>
      </c>
      <c r="S25" s="410">
        <f t="shared" si="1"/>
        <v>29690.626642426691</v>
      </c>
      <c r="T25" s="410">
        <f t="shared" si="1"/>
        <v>156555.02994893212</v>
      </c>
    </row>
    <row r="26" spans="1:20" ht="12" customHeight="1" x14ac:dyDescent="0.25">
      <c r="E26" s="410"/>
      <c r="F26" s="100"/>
      <c r="G26" s="410"/>
    </row>
    <row r="27" spans="1:20" ht="13.8" x14ac:dyDescent="0.25">
      <c r="A27" s="411" t="s">
        <v>435</v>
      </c>
      <c r="E27" s="410"/>
      <c r="F27" s="410"/>
    </row>
    <row r="28" spans="1:20" ht="13.8" x14ac:dyDescent="0.25">
      <c r="A28" s="412" t="s">
        <v>436</v>
      </c>
      <c r="E28" s="414"/>
      <c r="F28" s="410">
        <f>'Allocation ProForma'!F671</f>
        <v>933774238.57748592</v>
      </c>
      <c r="G28" s="410">
        <f>'Allocation ProForma'!G671</f>
        <v>370519405.17287457</v>
      </c>
      <c r="H28" s="410">
        <f>'Allocation ProForma'!H671</f>
        <v>108753033.19473302</v>
      </c>
      <c r="I28" s="410">
        <f>'Allocation ProForma'!I671</f>
        <v>0</v>
      </c>
      <c r="J28" s="410">
        <f>'Allocation ProForma'!J671</f>
        <v>7668256.0483589973</v>
      </c>
      <c r="K28" s="410">
        <f>'Allocation ProForma'!K671</f>
        <v>0</v>
      </c>
      <c r="L28" s="410">
        <f>'Allocation ProForma'!L671</f>
        <v>99088940.765030891</v>
      </c>
      <c r="M28" s="410">
        <f>'Allocation ProForma'!M671</f>
        <v>7651162.2855686005</v>
      </c>
      <c r="N28" s="410">
        <f>'Allocation ProForma'!N671</f>
        <v>75124152.589057371</v>
      </c>
      <c r="O28" s="410">
        <f>'Allocation ProForma'!O671</f>
        <v>174786954.93278927</v>
      </c>
      <c r="P28" s="410">
        <f>'Allocation ProForma'!P671</f>
        <v>60688793.139909752</v>
      </c>
      <c r="Q28" s="410">
        <f>'Allocation ProForma'!Q671</f>
        <v>21215963.597676735</v>
      </c>
      <c r="R28" s="410">
        <f>'Allocation ProForma'!R671</f>
        <v>8165872.7907812931</v>
      </c>
      <c r="S28" s="410">
        <f>'Allocation ProForma'!S671</f>
        <v>16912.945346934604</v>
      </c>
      <c r="T28" s="410">
        <f>'Allocation ProForma'!T671</f>
        <v>94791.115358423413</v>
      </c>
    </row>
    <row r="29" spans="1:20" ht="13.8" x14ac:dyDescent="0.25">
      <c r="A29" s="412" t="s">
        <v>437</v>
      </c>
      <c r="F29" s="101">
        <f>'Allocation ProForma'!F672</f>
        <v>228062836.53918952</v>
      </c>
      <c r="G29" s="101">
        <f>'Allocation ProForma'!G672</f>
        <v>105274952.74338102</v>
      </c>
      <c r="H29" s="101">
        <f>'Allocation ProForma'!H672</f>
        <v>27341782.225615479</v>
      </c>
      <c r="I29" s="101">
        <f>'Allocation ProForma'!I672</f>
        <v>0</v>
      </c>
      <c r="J29" s="101">
        <f>'Allocation ProForma'!J672</f>
        <v>1798932.0035182098</v>
      </c>
      <c r="K29" s="101">
        <f>'Allocation ProForma'!K672</f>
        <v>0</v>
      </c>
      <c r="L29" s="101">
        <f>'Allocation ProForma'!L672</f>
        <v>22530219.621316772</v>
      </c>
      <c r="M29" s="101">
        <f>'Allocation ProForma'!M672</f>
        <v>1641041.2910282558</v>
      </c>
      <c r="N29" s="101">
        <f>'Allocation ProForma'!N672</f>
        <v>16175658.255553182</v>
      </c>
      <c r="O29" s="101">
        <f>'Allocation ProForma'!O672</f>
        <v>34771889.749682277</v>
      </c>
      <c r="P29" s="101">
        <f>'Allocation ProForma'!P672</f>
        <v>11324624.823166879</v>
      </c>
      <c r="Q29" s="101">
        <f>'Allocation ProForma'!Q672</f>
        <v>2947235.6735119577</v>
      </c>
      <c r="R29" s="101">
        <f>'Allocation ProForma'!R672</f>
        <v>4239593.4682664694</v>
      </c>
      <c r="S29" s="101">
        <f>'Allocation ProForma'!S672</f>
        <v>693.9480169763392</v>
      </c>
      <c r="T29" s="101">
        <f>'Allocation ProForma'!T672</f>
        <v>16212.736132054226</v>
      </c>
    </row>
    <row r="30" spans="1:20" ht="13.8" x14ac:dyDescent="0.25">
      <c r="A30" s="412" t="s">
        <v>275</v>
      </c>
      <c r="F30" s="101">
        <f>'Allocation ProForma'!F673</f>
        <v>0</v>
      </c>
      <c r="G30" s="101">
        <f>'Allocation ProForma'!G673</f>
        <v>0</v>
      </c>
      <c r="H30" s="101">
        <f>'Allocation ProForma'!H673</f>
        <v>0</v>
      </c>
      <c r="I30" s="101">
        <f>'Allocation ProForma'!I673</f>
        <v>0</v>
      </c>
      <c r="J30" s="101">
        <f>'Allocation ProForma'!J673</f>
        <v>0</v>
      </c>
      <c r="K30" s="101">
        <f>'Allocation ProForma'!K673</f>
        <v>0</v>
      </c>
      <c r="L30" s="101">
        <f>'Allocation ProForma'!L673</f>
        <v>0</v>
      </c>
      <c r="M30" s="101">
        <f>'Allocation ProForma'!M673</f>
        <v>0</v>
      </c>
      <c r="N30" s="101">
        <f>'Allocation ProForma'!N673</f>
        <v>0</v>
      </c>
      <c r="O30" s="101">
        <f>'Allocation ProForma'!O673</f>
        <v>0</v>
      </c>
      <c r="P30" s="101">
        <f>'Allocation ProForma'!P673</f>
        <v>0</v>
      </c>
      <c r="Q30" s="101">
        <f>'Allocation ProForma'!Q673</f>
        <v>0</v>
      </c>
      <c r="R30" s="101">
        <f>'Allocation ProForma'!R673</f>
        <v>0</v>
      </c>
      <c r="S30" s="101">
        <f>'Allocation ProForma'!S673</f>
        <v>0</v>
      </c>
      <c r="T30" s="101">
        <f>'Allocation ProForma'!T673</f>
        <v>0</v>
      </c>
    </row>
    <row r="31" spans="1:20" ht="13.8" x14ac:dyDescent="0.25">
      <c r="A31" s="412" t="s">
        <v>438</v>
      </c>
      <c r="E31" s="399" t="s">
        <v>419</v>
      </c>
      <c r="F31" s="101">
        <f>'Allocation ProForma'!F674</f>
        <v>24894100.893674195</v>
      </c>
      <c r="G31" s="101">
        <f>'Allocation ProForma'!G674</f>
        <v>11724942.607902201</v>
      </c>
      <c r="H31" s="101">
        <f>'Allocation ProForma'!H674</f>
        <v>3012498.5580308898</v>
      </c>
      <c r="I31" s="101">
        <f>'Allocation ProForma'!I674</f>
        <v>0</v>
      </c>
      <c r="J31" s="101">
        <f>'Allocation ProForma'!J674</f>
        <v>193374.31487663536</v>
      </c>
      <c r="K31" s="101">
        <f>'Allocation ProForma'!K674</f>
        <v>0</v>
      </c>
      <c r="L31" s="101">
        <f>'Allocation ProForma'!L674</f>
        <v>2390314.0937590543</v>
      </c>
      <c r="M31" s="101">
        <f>'Allocation ProForma'!M674</f>
        <v>173696.72166999339</v>
      </c>
      <c r="N31" s="101">
        <f>'Allocation ProForma'!N674</f>
        <v>1709843.3931866884</v>
      </c>
      <c r="O31" s="101">
        <f>'Allocation ProForma'!O674</f>
        <v>3661590.8503487902</v>
      </c>
      <c r="P31" s="101">
        <f>'Allocation ProForma'!P674</f>
        <v>1174573.6077597258</v>
      </c>
      <c r="Q31" s="101">
        <f>'Allocation ProForma'!Q674</f>
        <v>305405.7858130887</v>
      </c>
      <c r="R31" s="101">
        <f>'Allocation ProForma'!R674</f>
        <v>545912.63149363315</v>
      </c>
      <c r="S31" s="101">
        <f>'Allocation ProForma'!S674</f>
        <v>89.356442051092216</v>
      </c>
      <c r="T31" s="101">
        <f>'Allocation ProForma'!T674</f>
        <v>1858.9723914415033</v>
      </c>
    </row>
    <row r="32" spans="1:20" ht="13.8" x14ac:dyDescent="0.25">
      <c r="A32" s="412" t="s">
        <v>439</v>
      </c>
      <c r="F32" s="101">
        <f>'Allocation ProForma'!F675</f>
        <v>12926774.348401168</v>
      </c>
      <c r="G32" s="101">
        <f>'Allocation ProForma'!G675</f>
        <v>6088417.8138291491</v>
      </c>
      <c r="H32" s="101">
        <f>'Allocation ProForma'!H675</f>
        <v>1564301.8902701035</v>
      </c>
      <c r="I32" s="101">
        <f>'Allocation ProForma'!I675</f>
        <v>0</v>
      </c>
      <c r="J32" s="101">
        <f>'Allocation ProForma'!J675</f>
        <v>100413.59372099827</v>
      </c>
      <c r="K32" s="101">
        <f>'Allocation ProForma'!K675</f>
        <v>0</v>
      </c>
      <c r="L32" s="101">
        <f>'Allocation ProForma'!L675</f>
        <v>1241219.7991725039</v>
      </c>
      <c r="M32" s="101">
        <f>'Allocation ProForma'!M675</f>
        <v>90195.59837389458</v>
      </c>
      <c r="N32" s="101">
        <f>'Allocation ProForma'!N675</f>
        <v>887871.38002021168</v>
      </c>
      <c r="O32" s="101">
        <f>'Allocation ProForma'!O675</f>
        <v>1901356.4249937129</v>
      </c>
      <c r="P32" s="101">
        <f>'Allocation ProForma'!P675</f>
        <v>609921.52510138182</v>
      </c>
      <c r="Q32" s="101">
        <f>'Allocation ProForma'!Q675</f>
        <v>158588.24123690827</v>
      </c>
      <c r="R32" s="101">
        <f>'Allocation ProForma'!R675</f>
        <v>283476.37182804599</v>
      </c>
      <c r="S32" s="101">
        <f>'Allocation ProForma'!S675</f>
        <v>46.400171988696833</v>
      </c>
      <c r="T32" s="101">
        <f>'Allocation ProForma'!T675</f>
        <v>965.30968227008179</v>
      </c>
    </row>
    <row r="33" spans="1:20" ht="13.8" x14ac:dyDescent="0.25">
      <c r="A33" s="399" t="s">
        <v>935</v>
      </c>
      <c r="F33" s="101">
        <f>'Allocation ProForma'!F676</f>
        <v>0</v>
      </c>
      <c r="G33" s="101">
        <f>'Allocation ProForma'!G676</f>
        <v>0</v>
      </c>
      <c r="H33" s="101">
        <f>'Allocation ProForma'!H676</f>
        <v>0</v>
      </c>
      <c r="I33" s="101">
        <f>'Allocation ProForma'!I676</f>
        <v>0</v>
      </c>
      <c r="J33" s="101">
        <f>'Allocation ProForma'!J676</f>
        <v>0</v>
      </c>
      <c r="K33" s="101">
        <f>'Allocation ProForma'!K676</f>
        <v>0</v>
      </c>
      <c r="L33" s="101">
        <f>'Allocation ProForma'!L676</f>
        <v>0</v>
      </c>
      <c r="M33" s="101">
        <f>'Allocation ProForma'!M676</f>
        <v>0</v>
      </c>
      <c r="N33" s="101">
        <f>'Allocation ProForma'!N676</f>
        <v>0</v>
      </c>
      <c r="O33" s="101">
        <f>'Allocation ProForma'!O676</f>
        <v>0</v>
      </c>
      <c r="P33" s="101">
        <f>'Allocation ProForma'!P676</f>
        <v>0</v>
      </c>
      <c r="Q33" s="101">
        <f>'Allocation ProForma'!Q676</f>
        <v>0</v>
      </c>
      <c r="R33" s="101">
        <f>'Allocation ProForma'!R676</f>
        <v>0</v>
      </c>
      <c r="S33" s="101">
        <f>'Allocation ProForma'!S676</f>
        <v>0</v>
      </c>
      <c r="T33" s="101">
        <f>'Allocation ProForma'!T676</f>
        <v>0</v>
      </c>
    </row>
    <row r="34" spans="1:20" ht="13.8" x14ac:dyDescent="0.25">
      <c r="A34" s="412" t="s">
        <v>1552</v>
      </c>
      <c r="E34" s="399" t="s">
        <v>1172</v>
      </c>
      <c r="F34" s="101">
        <f>'Allocation ProForma'!F677</f>
        <v>84161734.359999999</v>
      </c>
      <c r="G34" s="100">
        <f>'Allocation ProForma'!G677</f>
        <v>18153353.162271839</v>
      </c>
      <c r="H34" s="100">
        <f>'Allocation ProForma'!H677</f>
        <v>20304092.186474111</v>
      </c>
      <c r="I34" s="100">
        <f>'Allocation ProForma'!I677</f>
        <v>0</v>
      </c>
      <c r="J34" s="100">
        <f>'Allocation ProForma'!J677</f>
        <v>655828.60473441554</v>
      </c>
      <c r="K34" s="100">
        <f>'Allocation ProForma'!K677</f>
        <v>0</v>
      </c>
      <c r="L34" s="100">
        <f>'Allocation ProForma'!L677</f>
        <v>16884437.441701207</v>
      </c>
      <c r="M34" s="100">
        <f>'Allocation ProForma'!M677</f>
        <v>1569567.3810316068</v>
      </c>
      <c r="N34" s="100">
        <f>'Allocation ProForma'!N677</f>
        <v>6969485.2237654692</v>
      </c>
      <c r="O34" s="100">
        <f>'Allocation ProForma'!O677</f>
        <v>9638437.6168130934</v>
      </c>
      <c r="P34" s="100">
        <f>'Allocation ProForma'!P677</f>
        <v>3588565.9199093352</v>
      </c>
      <c r="Q34" s="100">
        <f>'Allocation ProForma'!Q677</f>
        <v>1758728.6244708167</v>
      </c>
      <c r="R34" s="100">
        <f>'Allocation ProForma'!R677</f>
        <v>4619187.7149082264</v>
      </c>
      <c r="S34" s="100">
        <f>'Allocation ProForma'!S677</f>
        <v>4868.3256618346886</v>
      </c>
      <c r="T34" s="100">
        <f>'Allocation ProForma'!T677</f>
        <v>15182.576536994065</v>
      </c>
    </row>
    <row r="35" spans="1:20" ht="12" hidden="1" customHeight="1" x14ac:dyDescent="0.25">
      <c r="A35" s="412" t="s">
        <v>531</v>
      </c>
      <c r="F35" s="101">
        <f>'Allocation ProForma'!F678</f>
        <v>0</v>
      </c>
      <c r="G35" s="101">
        <f>'Allocation ProForma'!G678</f>
        <v>-0.40935210621236828</v>
      </c>
      <c r="H35" s="101">
        <f>'Allocation ProForma'!H678</f>
        <v>-0.11362251359596974</v>
      </c>
      <c r="I35" s="101">
        <f>'Allocation ProForma'!I678</f>
        <v>0</v>
      </c>
      <c r="J35" s="101">
        <f>'Allocation ProForma'!J678</f>
        <v>-8.5558150654642239E-3</v>
      </c>
      <c r="K35" s="101">
        <f>'Allocation ProForma'!K678</f>
        <v>0</v>
      </c>
      <c r="L35" s="101">
        <f>'Allocation ProForma'!L678</f>
        <v>-0.11420877410668946</v>
      </c>
      <c r="M35" s="101">
        <f>'Allocation ProForma'!M678</f>
        <v>-8.40975402485797E-3</v>
      </c>
      <c r="N35" s="101">
        <f>'Allocation ProForma'!N678</f>
        <v>-8.3403421353758986E-2</v>
      </c>
      <c r="O35" s="101">
        <f>'Allocation ProForma'!O678</f>
        <v>-0.18240931993528153</v>
      </c>
      <c r="P35" s="101">
        <f>'Allocation ProForma'!P678</f>
        <v>-6.3420095832768281E-2</v>
      </c>
      <c r="Q35" s="101">
        <f>'Allocation ProForma'!Q678</f>
        <v>-1.6567072618418759E-2</v>
      </c>
      <c r="R35" s="101">
        <f>'Allocation ProForma'!R678</f>
        <v>0</v>
      </c>
      <c r="S35" s="101">
        <f>'Allocation ProForma'!S678</f>
        <v>0</v>
      </c>
      <c r="T35" s="101">
        <f>'Allocation ProForma'!T678</f>
        <v>-5.1127254422720664E-5</v>
      </c>
    </row>
    <row r="36" spans="1:20" ht="12" hidden="1" customHeight="1" x14ac:dyDescent="0.25">
      <c r="A36" s="412" t="s">
        <v>580</v>
      </c>
      <c r="E36" s="399" t="s">
        <v>582</v>
      </c>
      <c r="F36" s="101">
        <f>'Allocation ProForma'!F679</f>
        <v>0</v>
      </c>
      <c r="G36" s="100">
        <f>'Allocation ProForma'!G679</f>
        <v>0</v>
      </c>
      <c r="H36" s="100">
        <f>'Allocation ProForma'!H679</f>
        <v>0</v>
      </c>
      <c r="I36" s="100">
        <f>'Allocation ProForma'!I679</f>
        <v>0</v>
      </c>
      <c r="J36" s="100">
        <f>'Allocation ProForma'!J679</f>
        <v>0</v>
      </c>
      <c r="K36" s="100">
        <f>'Allocation ProForma'!K679</f>
        <v>0</v>
      </c>
      <c r="L36" s="100">
        <f>'Allocation ProForma'!L679</f>
        <v>0</v>
      </c>
      <c r="M36" s="100">
        <f>'Allocation ProForma'!M679</f>
        <v>0</v>
      </c>
      <c r="N36" s="100">
        <f>'Allocation ProForma'!N679</f>
        <v>0</v>
      </c>
      <c r="O36" s="100">
        <f>'Allocation ProForma'!O679</f>
        <v>0</v>
      </c>
      <c r="P36" s="100">
        <f>'Allocation ProForma'!P679</f>
        <v>0</v>
      </c>
      <c r="Q36" s="100">
        <f>'Allocation ProForma'!Q679</f>
        <v>0</v>
      </c>
      <c r="R36" s="100">
        <f>'Allocation ProForma'!R679</f>
        <v>0</v>
      </c>
      <c r="S36" s="100">
        <f>'Allocation ProForma'!S679</f>
        <v>0</v>
      </c>
      <c r="T36" s="100">
        <f>'Allocation ProForma'!T679</f>
        <v>0</v>
      </c>
    </row>
    <row r="37" spans="1:20" ht="12" customHeight="1" x14ac:dyDescent="0.25">
      <c r="A37" s="412"/>
    </row>
    <row r="38" spans="1:20" ht="13.8" x14ac:dyDescent="0.25">
      <c r="A38" s="399" t="s">
        <v>440</v>
      </c>
      <c r="D38" s="399" t="s">
        <v>398</v>
      </c>
      <c r="F38" s="410">
        <f t="shared" ref="F38:T38" si="2">SUM(F28:F37)</f>
        <v>1283819684.7187505</v>
      </c>
      <c r="G38" s="410">
        <f t="shared" si="2"/>
        <v>511761071.09090668</v>
      </c>
      <c r="H38" s="410">
        <f t="shared" si="2"/>
        <v>160975707.94150111</v>
      </c>
      <c r="I38" s="410">
        <f t="shared" si="2"/>
        <v>0</v>
      </c>
      <c r="J38" s="410">
        <f t="shared" si="2"/>
        <v>10416804.556653442</v>
      </c>
      <c r="K38" s="410">
        <f t="shared" si="2"/>
        <v>0</v>
      </c>
      <c r="L38" s="410">
        <f t="shared" si="2"/>
        <v>142135131.60677165</v>
      </c>
      <c r="M38" s="410">
        <f t="shared" si="2"/>
        <v>11125663.269262597</v>
      </c>
      <c r="N38" s="410">
        <f t="shared" si="2"/>
        <v>100867010.7581795</v>
      </c>
      <c r="O38" s="410">
        <f t="shared" si="2"/>
        <v>224760229.39221784</v>
      </c>
      <c r="P38" s="410">
        <f t="shared" si="2"/>
        <v>77386478.95242697</v>
      </c>
      <c r="Q38" s="410">
        <f t="shared" si="2"/>
        <v>26385921.906142429</v>
      </c>
      <c r="R38" s="410">
        <f t="shared" si="2"/>
        <v>17854042.977277666</v>
      </c>
      <c r="S38" s="410">
        <f t="shared" si="2"/>
        <v>22610.975639785425</v>
      </c>
      <c r="T38" s="410">
        <f t="shared" si="2"/>
        <v>129010.71005005603</v>
      </c>
    </row>
    <row r="39" spans="1:20" ht="12" customHeight="1" x14ac:dyDescent="0.25">
      <c r="A39" s="412"/>
    </row>
    <row r="40" spans="1:20" ht="13.8" x14ac:dyDescent="0.25">
      <c r="A40" s="399" t="s">
        <v>938</v>
      </c>
      <c r="D40" s="399" t="s">
        <v>840</v>
      </c>
      <c r="F40" s="410">
        <f t="shared" ref="F40:T40" si="3">F25-F38</f>
        <v>203142987.22212481</v>
      </c>
      <c r="G40" s="410">
        <f t="shared" si="3"/>
        <v>65796965.231465876</v>
      </c>
      <c r="H40" s="410">
        <f t="shared" si="3"/>
        <v>38656480.655705452</v>
      </c>
      <c r="I40" s="410">
        <f t="shared" si="3"/>
        <v>0</v>
      </c>
      <c r="J40" s="410">
        <f t="shared" si="3"/>
        <v>1580869.4310927633</v>
      </c>
      <c r="K40" s="410">
        <f t="shared" si="3"/>
        <v>0</v>
      </c>
      <c r="L40" s="410">
        <f t="shared" si="3"/>
        <v>31748802.933945775</v>
      </c>
      <c r="M40" s="410">
        <f t="shared" si="3"/>
        <v>2783595.9282406736</v>
      </c>
      <c r="N40" s="410">
        <f t="shared" si="3"/>
        <v>15606220.971661016</v>
      </c>
      <c r="O40" s="410">
        <f t="shared" si="3"/>
        <v>26068098.361997068</v>
      </c>
      <c r="P40" s="410">
        <f t="shared" si="3"/>
        <v>9053005.2572120726</v>
      </c>
      <c r="Q40" s="410">
        <f t="shared" si="3"/>
        <v>3502181.8574303202</v>
      </c>
      <c r="R40" s="410">
        <f t="shared" si="3"/>
        <v>8312143.2041929103</v>
      </c>
      <c r="S40" s="410">
        <f t="shared" si="3"/>
        <v>7079.6510026412652</v>
      </c>
      <c r="T40" s="410">
        <f t="shared" si="3"/>
        <v>27544.319898876085</v>
      </c>
    </row>
    <row r="42" spans="1:20" ht="13.8" x14ac:dyDescent="0.25">
      <c r="A42" s="399" t="s">
        <v>420</v>
      </c>
      <c r="F42" s="410">
        <f>'Allocation ProForma'!F685</f>
        <v>3639079759.3610182</v>
      </c>
      <c r="G42" s="410">
        <f>'Allocation ProForma'!G685</f>
        <v>1716633054.3461716</v>
      </c>
      <c r="H42" s="410">
        <f>'Allocation ProForma'!H685</f>
        <v>441219651.03133303</v>
      </c>
      <c r="I42" s="410">
        <f>'Allocation ProForma'!I685</f>
        <v>0</v>
      </c>
      <c r="J42" s="410">
        <f>'Allocation ProForma'!J685</f>
        <v>28182297.978403468</v>
      </c>
      <c r="K42" s="410">
        <f>'Allocation ProForma'!K685</f>
        <v>0</v>
      </c>
      <c r="L42" s="410">
        <f>'Allocation ProForma'!L685</f>
        <v>347387075.53153688</v>
      </c>
      <c r="M42" s="410">
        <f>'Allocation ProForma'!M685</f>
        <v>25275870.378223237</v>
      </c>
      <c r="N42" s="410">
        <f>'Allocation ProForma'!N685</f>
        <v>248673397.50148326</v>
      </c>
      <c r="O42" s="410">
        <f>'Allocation ProForma'!O685</f>
        <v>533415050.36546725</v>
      </c>
      <c r="P42" s="410">
        <f>'Allocation ProForma'!P685</f>
        <v>170797076.92138174</v>
      </c>
      <c r="Q42" s="410">
        <f>'Allocation ProForma'!Q685</f>
        <v>45005985.731704071</v>
      </c>
      <c r="R42" s="410">
        <f>'Allocation ProForma'!R685</f>
        <v>82196367.310438812</v>
      </c>
      <c r="S42" s="410">
        <f>'Allocation ProForma'!S685</f>
        <v>15193.548301309937</v>
      </c>
      <c r="T42" s="410">
        <f>'Allocation ProForma'!T685</f>
        <v>278738.71657262801</v>
      </c>
    </row>
    <row r="43" spans="1:20" ht="12" customHeight="1" x14ac:dyDescent="0.25">
      <c r="B43" s="410"/>
    </row>
    <row r="44" spans="1:20" s="411" customFormat="1" ht="12" hidden="1" customHeight="1" x14ac:dyDescent="0.25">
      <c r="A44" s="415"/>
      <c r="B44" s="415"/>
      <c r="C44" s="415"/>
      <c r="D44" s="415"/>
      <c r="E44" s="415"/>
      <c r="F44" s="378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</row>
    <row r="45" spans="1:20" ht="12" hidden="1" customHeight="1" x14ac:dyDescent="0.25"/>
    <row r="46" spans="1:20" ht="12" hidden="1" customHeight="1" x14ac:dyDescent="0.25">
      <c r="F46" s="101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</row>
    <row r="47" spans="1:20" ht="12" hidden="1" customHeight="1" x14ac:dyDescent="0.25"/>
    <row r="48" spans="1:20" ht="12" hidden="1" customHeight="1" x14ac:dyDescent="0.25"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1:20" ht="12" hidden="1" customHeight="1" x14ac:dyDescent="0.25">
      <c r="G49" s="417"/>
      <c r="H49" s="417"/>
      <c r="I49" s="417"/>
      <c r="J49" s="417"/>
      <c r="K49" s="417"/>
      <c r="L49" s="417"/>
      <c r="M49" s="418"/>
      <c r="N49" s="417"/>
      <c r="O49" s="418"/>
      <c r="P49" s="417"/>
      <c r="Q49" s="417"/>
      <c r="R49" s="417"/>
      <c r="S49" s="417"/>
      <c r="T49" s="417"/>
    </row>
    <row r="50" spans="1:20" ht="12" hidden="1" customHeight="1" x14ac:dyDescent="0.25">
      <c r="G50" s="417"/>
      <c r="H50" s="417"/>
      <c r="I50" s="417"/>
      <c r="J50" s="417"/>
      <c r="K50" s="417"/>
      <c r="L50" s="417"/>
      <c r="M50" s="417"/>
      <c r="N50" s="417"/>
      <c r="O50" s="417"/>
      <c r="P50" s="418"/>
      <c r="Q50" s="417"/>
      <c r="R50" s="417"/>
      <c r="S50" s="417"/>
      <c r="T50" s="417"/>
    </row>
    <row r="51" spans="1:20" ht="12" hidden="1" customHeight="1" x14ac:dyDescent="0.25"/>
    <row r="52" spans="1:20" ht="12" hidden="1" customHeight="1" x14ac:dyDescent="0.25"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</row>
    <row r="53" spans="1:20" ht="12" hidden="1" customHeight="1" x14ac:dyDescent="0.25"/>
    <row r="54" spans="1:20" ht="12" hidden="1" customHeight="1" x14ac:dyDescent="0.25"/>
    <row r="55" spans="1:20" ht="12" hidden="1" customHeight="1" x14ac:dyDescent="0.25"/>
    <row r="56" spans="1:20" ht="13.8" hidden="1" x14ac:dyDescent="0.25">
      <c r="A56" s="409" t="s">
        <v>1167</v>
      </c>
    </row>
    <row r="57" spans="1:20" ht="12" hidden="1" customHeight="1" x14ac:dyDescent="0.25"/>
    <row r="58" spans="1:20" ht="13.8" hidden="1" x14ac:dyDescent="0.25">
      <c r="A58" s="399" t="s">
        <v>1168</v>
      </c>
      <c r="F58" s="410">
        <f t="shared" ref="F58:T58" si="4">F25</f>
        <v>1486962671.9408753</v>
      </c>
      <c r="G58" s="410">
        <f t="shared" si="4"/>
        <v>577558036.32237256</v>
      </c>
      <c r="H58" s="410">
        <f t="shared" si="4"/>
        <v>199632188.59720656</v>
      </c>
      <c r="I58" s="410">
        <f t="shared" si="4"/>
        <v>0</v>
      </c>
      <c r="J58" s="410">
        <f t="shared" si="4"/>
        <v>11997673.987746205</v>
      </c>
      <c r="K58" s="410">
        <f t="shared" si="4"/>
        <v>0</v>
      </c>
      <c r="L58" s="410">
        <f t="shared" si="4"/>
        <v>173883934.54071742</v>
      </c>
      <c r="M58" s="410">
        <f t="shared" si="4"/>
        <v>13909259.197503271</v>
      </c>
      <c r="N58" s="410">
        <f t="shared" si="4"/>
        <v>116473231.72984052</v>
      </c>
      <c r="O58" s="410">
        <f t="shared" si="4"/>
        <v>250828327.75421491</v>
      </c>
      <c r="P58" s="410">
        <f t="shared" si="4"/>
        <v>86439484.209639043</v>
      </c>
      <c r="Q58" s="410">
        <f t="shared" si="4"/>
        <v>29888103.763572749</v>
      </c>
      <c r="R58" s="410">
        <f t="shared" si="4"/>
        <v>26166186.181470577</v>
      </c>
      <c r="S58" s="410">
        <f t="shared" si="4"/>
        <v>29690.626642426691</v>
      </c>
      <c r="T58" s="410">
        <f t="shared" si="4"/>
        <v>156555.02994893212</v>
      </c>
    </row>
    <row r="59" spans="1:20" ht="12" hidden="1" customHeight="1" x14ac:dyDescent="0.25"/>
    <row r="60" spans="1:20" ht="13.8" hidden="1" x14ac:dyDescent="0.25">
      <c r="A60" s="399" t="s">
        <v>435</v>
      </c>
      <c r="F60" s="410">
        <f t="shared" ref="F60:T60" si="5">F28+F29+F30+F31+F32+F33+F35+F36</f>
        <v>1199657950.3587506</v>
      </c>
      <c r="G60" s="410">
        <f t="shared" si="5"/>
        <v>493607717.92863482</v>
      </c>
      <c r="H60" s="410">
        <f t="shared" si="5"/>
        <v>140671615.755027</v>
      </c>
      <c r="I60" s="410">
        <f t="shared" si="5"/>
        <v>0</v>
      </c>
      <c r="J60" s="410">
        <f t="shared" si="5"/>
        <v>9760975.9519190267</v>
      </c>
      <c r="K60" s="410">
        <f t="shared" si="5"/>
        <v>0</v>
      </c>
      <c r="L60" s="410">
        <f t="shared" si="5"/>
        <v>125250694.16507046</v>
      </c>
      <c r="M60" s="410">
        <f t="shared" si="5"/>
        <v>9556095.8882309906</v>
      </c>
      <c r="N60" s="410">
        <f t="shared" si="5"/>
        <v>93897525.534414038</v>
      </c>
      <c r="O60" s="410">
        <f t="shared" si="5"/>
        <v>215121791.77540475</v>
      </c>
      <c r="P60" s="410">
        <f t="shared" si="5"/>
        <v>73797913.032517642</v>
      </c>
      <c r="Q60" s="410">
        <f t="shared" si="5"/>
        <v>24627193.281671613</v>
      </c>
      <c r="R60" s="410">
        <f t="shared" si="5"/>
        <v>13234855.262369441</v>
      </c>
      <c r="S60" s="410">
        <f t="shared" si="5"/>
        <v>17742.649977950736</v>
      </c>
      <c r="T60" s="410">
        <f t="shared" si="5"/>
        <v>113828.13351306197</v>
      </c>
    </row>
    <row r="61" spans="1:20" ht="12" hidden="1" customHeight="1" x14ac:dyDescent="0.25"/>
    <row r="62" spans="1:20" ht="13.8" hidden="1" x14ac:dyDescent="0.25">
      <c r="A62" s="399" t="s">
        <v>1169</v>
      </c>
      <c r="D62" s="399" t="s">
        <v>1170</v>
      </c>
      <c r="F62" s="420">
        <f>'Allocation ProForma'!F705</f>
        <v>86095200.491145507</v>
      </c>
      <c r="G62" s="420">
        <f>'Allocation ProForma'!G705</f>
        <v>40550220.668183573</v>
      </c>
      <c r="H62" s="420">
        <f>'Allocation ProForma'!H705</f>
        <v>10418599.508402497</v>
      </c>
      <c r="I62" s="420">
        <f>'Allocation ProForma'!I705</f>
        <v>0</v>
      </c>
      <c r="J62" s="420">
        <f>'Allocation ProForma'!J705</f>
        <v>668776.93154093286</v>
      </c>
      <c r="K62" s="420">
        <f>'Allocation ProForma'!K705</f>
        <v>0</v>
      </c>
      <c r="L62" s="420">
        <f>'Allocation ProForma'!L705</f>
        <v>8266800.717887775</v>
      </c>
      <c r="M62" s="420">
        <f>'Allocation ProForma'!M705</f>
        <v>600722.80339447141</v>
      </c>
      <c r="N62" s="420">
        <f>'Allocation ProForma'!N705</f>
        <v>5913421.431592077</v>
      </c>
      <c r="O62" s="420">
        <f>'Allocation ProForma'!O705</f>
        <v>12663457.890034882</v>
      </c>
      <c r="P62" s="420">
        <f>'Allocation ProForma'!P705</f>
        <v>4062213.4008213338</v>
      </c>
      <c r="Q62" s="420">
        <f>'Allocation ProForma'!Q705</f>
        <v>1056233.0599140152</v>
      </c>
      <c r="R62" s="420">
        <f>'Allocation ProForma'!R705</f>
        <v>1888015.8660816066</v>
      </c>
      <c r="S62" s="420">
        <f>'Allocation ProForma'!S705</f>
        <v>309.03549505252892</v>
      </c>
      <c r="T62" s="420">
        <f>'Allocation ProForma'!T705</f>
        <v>6429.1777972720492</v>
      </c>
    </row>
    <row r="63" spans="1:20" ht="12" hidden="1" customHeight="1" x14ac:dyDescent="0.25"/>
    <row r="64" spans="1:20" ht="13.8" hidden="1" x14ac:dyDescent="0.25">
      <c r="A64" s="399" t="s">
        <v>1171</v>
      </c>
      <c r="D64" s="399" t="s">
        <v>1172</v>
      </c>
      <c r="F64" s="410">
        <f>F58-F60-F62</f>
        <v>201209521.09097922</v>
      </c>
      <c r="G64" s="410">
        <f t="shared" ref="G64:T64" si="6">G58-G60-G62</f>
        <v>43400097.725554161</v>
      </c>
      <c r="H64" s="410">
        <f t="shared" si="6"/>
        <v>48541973.33377707</v>
      </c>
      <c r="I64" s="410">
        <f>I58-I60-I62</f>
        <v>0</v>
      </c>
      <c r="J64" s="410">
        <f>J58-J60-J62</f>
        <v>1567921.1042862455</v>
      </c>
      <c r="K64" s="410">
        <f>K58-K60-K62</f>
        <v>0</v>
      </c>
      <c r="L64" s="410">
        <f t="shared" si="6"/>
        <v>40366439.65775919</v>
      </c>
      <c r="M64" s="410">
        <f t="shared" si="6"/>
        <v>3752440.5058778087</v>
      </c>
      <c r="N64" s="410">
        <f t="shared" si="6"/>
        <v>16662284.763834402</v>
      </c>
      <c r="O64" s="410">
        <f>O58-O60-O62</f>
        <v>23043078.088775277</v>
      </c>
      <c r="P64" s="410">
        <f>P58-P60-P62</f>
        <v>8579357.7763000671</v>
      </c>
      <c r="Q64" s="410">
        <f t="shared" si="6"/>
        <v>4204677.4219871201</v>
      </c>
      <c r="R64" s="410">
        <f t="shared" si="6"/>
        <v>11043315.053019529</v>
      </c>
      <c r="S64" s="410">
        <f t="shared" si="6"/>
        <v>11638.941169423426</v>
      </c>
      <c r="T64" s="410">
        <f t="shared" si="6"/>
        <v>36297.718638598097</v>
      </c>
    </row>
    <row r="65" spans="1:20" ht="13.5" customHeight="1" x14ac:dyDescent="0.25"/>
    <row r="67" spans="1:20" ht="13.8" x14ac:dyDescent="0.25">
      <c r="A67" s="411" t="s">
        <v>1554</v>
      </c>
    </row>
    <row r="69" spans="1:20" ht="13.8" x14ac:dyDescent="0.25">
      <c r="A69" s="411" t="s">
        <v>431</v>
      </c>
    </row>
    <row r="71" spans="1:20" ht="13.8" x14ac:dyDescent="0.25">
      <c r="A71" s="399" t="s">
        <v>520</v>
      </c>
      <c r="F71" s="410">
        <f t="shared" ref="F71:T71" si="7">F25</f>
        <v>1486962671.9408753</v>
      </c>
      <c r="G71" s="410">
        <f t="shared" si="7"/>
        <v>577558036.32237256</v>
      </c>
      <c r="H71" s="410">
        <f t="shared" si="7"/>
        <v>199632188.59720656</v>
      </c>
      <c r="I71" s="410">
        <f t="shared" si="7"/>
        <v>0</v>
      </c>
      <c r="J71" s="410">
        <f t="shared" si="7"/>
        <v>11997673.987746205</v>
      </c>
      <c r="K71" s="410">
        <f t="shared" si="7"/>
        <v>0</v>
      </c>
      <c r="L71" s="410">
        <f t="shared" si="7"/>
        <v>173883934.54071742</v>
      </c>
      <c r="M71" s="410">
        <f t="shared" si="7"/>
        <v>13909259.197503271</v>
      </c>
      <c r="N71" s="410">
        <f t="shared" si="7"/>
        <v>116473231.72984052</v>
      </c>
      <c r="O71" s="410">
        <f t="shared" si="7"/>
        <v>250828327.75421491</v>
      </c>
      <c r="P71" s="410">
        <f t="shared" si="7"/>
        <v>86439484.209639043</v>
      </c>
      <c r="Q71" s="410">
        <f t="shared" si="7"/>
        <v>29888103.763572749</v>
      </c>
      <c r="R71" s="410">
        <f t="shared" si="7"/>
        <v>26166186.181470577</v>
      </c>
      <c r="S71" s="410">
        <f t="shared" si="7"/>
        <v>29690.626642426691</v>
      </c>
      <c r="T71" s="410">
        <f t="shared" si="7"/>
        <v>156555.02994893212</v>
      </c>
    </row>
    <row r="72" spans="1:20" ht="12" customHeight="1" x14ac:dyDescent="0.25"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10"/>
    </row>
    <row r="73" spans="1:20" ht="13.8" x14ac:dyDescent="0.25">
      <c r="A73" s="399" t="s">
        <v>521</v>
      </c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</row>
    <row r="74" spans="1:20" ht="12" hidden="1" customHeight="1" x14ac:dyDescent="0.25">
      <c r="B74" s="399" t="s">
        <v>2319</v>
      </c>
      <c r="F74" s="421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1:20" ht="12" hidden="1" customHeight="1" x14ac:dyDescent="0.25">
      <c r="B75" s="399" t="s">
        <v>2323</v>
      </c>
      <c r="F75" s="421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1:20" ht="12" hidden="1" customHeight="1" x14ac:dyDescent="0.25">
      <c r="B76" s="399" t="s">
        <v>2320</v>
      </c>
      <c r="F76" s="421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1:20" ht="12" hidden="1" customHeight="1" x14ac:dyDescent="0.25">
      <c r="B77" s="399" t="s">
        <v>2321</v>
      </c>
      <c r="F77" s="421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1:20" ht="13.8" x14ac:dyDescent="0.25">
      <c r="B78" s="399" t="s">
        <v>2322</v>
      </c>
      <c r="E78" s="399" t="s">
        <v>2431</v>
      </c>
      <c r="F78" s="421">
        <f>'Allocation ProForma'!F721</f>
        <v>-1635232</v>
      </c>
      <c r="G78" s="100">
        <f>'Allocation ProForma'!G721</f>
        <v>-609965.43393935554</v>
      </c>
      <c r="H78" s="100">
        <f>'Allocation ProForma'!H721</f>
        <v>-368765.56167765619</v>
      </c>
      <c r="I78" s="100">
        <f>'Allocation ProForma'!I721</f>
        <v>0</v>
      </c>
      <c r="J78" s="100">
        <f>'Allocation ProForma'!J721</f>
        <v>-23372.784947542106</v>
      </c>
      <c r="K78" s="100">
        <f>'Allocation ProForma'!K721</f>
        <v>0</v>
      </c>
      <c r="L78" s="100">
        <f>'Allocation ProForma'!L721</f>
        <v>-168729.68557332992</v>
      </c>
      <c r="M78" s="100">
        <f>'Allocation ProForma'!M721</f>
        <v>-13653.249062990584</v>
      </c>
      <c r="N78" s="100">
        <f>'Allocation ProForma'!N721</f>
        <v>-105681.79888788707</v>
      </c>
      <c r="O78" s="100">
        <f>'Allocation ProForma'!O721</f>
        <v>-210278.71484812399</v>
      </c>
      <c r="P78" s="100">
        <f>'Allocation ProForma'!P721</f>
        <v>-68614.131736137875</v>
      </c>
      <c r="Q78" s="100">
        <f>'Allocation ProForma'!Q721</f>
        <v>-23718.864328387746</v>
      </c>
      <c r="R78" s="100">
        <f>'Allocation ProForma'!R721</f>
        <v>-42193.733198806258</v>
      </c>
      <c r="S78" s="100">
        <f>'Allocation ProForma'!S721</f>
        <v>-65.934718193416572</v>
      </c>
      <c r="T78" s="100">
        <f>'Allocation ProForma'!T721</f>
        <v>-192.10708158932405</v>
      </c>
    </row>
    <row r="79" spans="1:20" ht="12" hidden="1" customHeight="1" x14ac:dyDescent="0.25">
      <c r="B79" s="399" t="s">
        <v>323</v>
      </c>
      <c r="E79" s="399" t="s">
        <v>1213</v>
      </c>
      <c r="F79" s="421">
        <f>'Allocation ProForma'!F722</f>
        <v>0</v>
      </c>
      <c r="G79" s="100">
        <f>'Allocation ProForma'!G722</f>
        <v>0</v>
      </c>
      <c r="H79" s="100">
        <f>'Allocation ProForma'!H722</f>
        <v>0</v>
      </c>
      <c r="I79" s="100">
        <f>'Allocation ProForma'!I722</f>
        <v>0</v>
      </c>
      <c r="J79" s="100">
        <f>'Allocation ProForma'!J722</f>
        <v>0</v>
      </c>
      <c r="K79" s="100">
        <f>'Allocation ProForma'!K722</f>
        <v>0</v>
      </c>
      <c r="L79" s="100">
        <f>'Allocation ProForma'!L722</f>
        <v>0</v>
      </c>
      <c r="M79" s="100">
        <f>'Allocation ProForma'!M722</f>
        <v>0</v>
      </c>
      <c r="N79" s="100">
        <f>'Allocation ProForma'!N722</f>
        <v>0</v>
      </c>
      <c r="O79" s="100">
        <f>'Allocation ProForma'!O722</f>
        <v>0</v>
      </c>
      <c r="P79" s="100">
        <f>'Allocation ProForma'!P722</f>
        <v>0</v>
      </c>
      <c r="Q79" s="100">
        <f>'Allocation ProForma'!Q722</f>
        <v>0</v>
      </c>
      <c r="R79" s="100">
        <f>'Allocation ProForma'!R722</f>
        <v>0</v>
      </c>
      <c r="S79" s="100">
        <f>'Allocation ProForma'!S722</f>
        <v>0</v>
      </c>
      <c r="T79" s="100">
        <f>'Allocation ProForma'!T722</f>
        <v>0</v>
      </c>
    </row>
    <row r="80" spans="1:20" ht="12" hidden="1" customHeight="1" x14ac:dyDescent="0.25">
      <c r="B80" s="399" t="s">
        <v>2225</v>
      </c>
      <c r="E80" s="399" t="s">
        <v>1213</v>
      </c>
      <c r="F80" s="421">
        <f>'Allocation ProForma'!F723</f>
        <v>0</v>
      </c>
      <c r="G80" s="100">
        <f>'Allocation ProForma'!G723</f>
        <v>0</v>
      </c>
      <c r="H80" s="100">
        <f>'Allocation ProForma'!H723</f>
        <v>0</v>
      </c>
      <c r="I80" s="100">
        <f>'Allocation ProForma'!I723</f>
        <v>0</v>
      </c>
      <c r="J80" s="100">
        <f>'Allocation ProForma'!J723</f>
        <v>0</v>
      </c>
      <c r="K80" s="100">
        <f>'Allocation ProForma'!K723</f>
        <v>0</v>
      </c>
      <c r="L80" s="100">
        <f>'Allocation ProForma'!L723</f>
        <v>0</v>
      </c>
      <c r="M80" s="100">
        <f>'Allocation ProForma'!M723</f>
        <v>0</v>
      </c>
      <c r="N80" s="100">
        <f>'Allocation ProForma'!N723</f>
        <v>0</v>
      </c>
      <c r="O80" s="100">
        <f>'Allocation ProForma'!O723</f>
        <v>0</v>
      </c>
      <c r="P80" s="100">
        <f>'Allocation ProForma'!P723</f>
        <v>0</v>
      </c>
      <c r="Q80" s="100">
        <f>'Allocation ProForma'!Q723</f>
        <v>0</v>
      </c>
      <c r="R80" s="100">
        <f>'Allocation ProForma'!R723</f>
        <v>0</v>
      </c>
      <c r="S80" s="100">
        <f>'Allocation ProForma'!S723</f>
        <v>0</v>
      </c>
      <c r="T80" s="100">
        <f>'Allocation ProForma'!T723</f>
        <v>0</v>
      </c>
    </row>
    <row r="81" spans="1:20" ht="12" hidden="1" customHeight="1" x14ac:dyDescent="0.25">
      <c r="B81" s="399" t="s">
        <v>1945</v>
      </c>
      <c r="E81" s="399" t="s">
        <v>110</v>
      </c>
      <c r="F81" s="421">
        <f>'Allocation ProForma'!F724</f>
        <v>0</v>
      </c>
      <c r="G81" s="100">
        <f>'Allocation ProForma'!G724</f>
        <v>0</v>
      </c>
      <c r="H81" s="100">
        <f>'Allocation ProForma'!H724</f>
        <v>0</v>
      </c>
      <c r="I81" s="100">
        <f>'Allocation ProForma'!I724</f>
        <v>0</v>
      </c>
      <c r="J81" s="100">
        <f>'Allocation ProForma'!J724</f>
        <v>0</v>
      </c>
      <c r="K81" s="100">
        <f>'Allocation ProForma'!K724</f>
        <v>0</v>
      </c>
      <c r="L81" s="100">
        <f>'Allocation ProForma'!L724</f>
        <v>0</v>
      </c>
      <c r="M81" s="100">
        <f>'Allocation ProForma'!M724</f>
        <v>0</v>
      </c>
      <c r="N81" s="100">
        <f>'Allocation ProForma'!N724</f>
        <v>0</v>
      </c>
      <c r="O81" s="100">
        <f>'Allocation ProForma'!O724</f>
        <v>0</v>
      </c>
      <c r="P81" s="100">
        <f>'Allocation ProForma'!P724</f>
        <v>0</v>
      </c>
      <c r="Q81" s="100">
        <f>'Allocation ProForma'!Q724</f>
        <v>0</v>
      </c>
      <c r="R81" s="100">
        <f>'Allocation ProForma'!R724</f>
        <v>0</v>
      </c>
      <c r="S81" s="100">
        <f>'Allocation ProForma'!S724</f>
        <v>0</v>
      </c>
      <c r="T81" s="100">
        <f>'Allocation ProForma'!T724</f>
        <v>0</v>
      </c>
    </row>
    <row r="82" spans="1:20" ht="12" hidden="1" customHeight="1" x14ac:dyDescent="0.25">
      <c r="B82" s="399" t="s">
        <v>1946</v>
      </c>
      <c r="D82" s="399" t="s">
        <v>846</v>
      </c>
      <c r="E82" s="399" t="s">
        <v>1885</v>
      </c>
      <c r="F82" s="421">
        <f>'Allocation ProForma'!F725</f>
        <v>0</v>
      </c>
      <c r="G82" s="100">
        <f>'Allocation ProForma'!G725</f>
        <v>0</v>
      </c>
      <c r="H82" s="100">
        <f>'Allocation ProForma'!H725</f>
        <v>0</v>
      </c>
      <c r="I82" s="100">
        <f>'Allocation ProForma'!I725</f>
        <v>0</v>
      </c>
      <c r="J82" s="100">
        <f>'Allocation ProForma'!J725</f>
        <v>0</v>
      </c>
      <c r="K82" s="100">
        <f>'Allocation ProForma'!K725</f>
        <v>0</v>
      </c>
      <c r="L82" s="100">
        <f>'Allocation ProForma'!L725</f>
        <v>0</v>
      </c>
      <c r="M82" s="100">
        <f>'Allocation ProForma'!M725</f>
        <v>0</v>
      </c>
      <c r="N82" s="100">
        <f>'Allocation ProForma'!N725</f>
        <v>0</v>
      </c>
      <c r="O82" s="100">
        <f>'Allocation ProForma'!O725</f>
        <v>0</v>
      </c>
      <c r="P82" s="100">
        <f>'Allocation ProForma'!P725</f>
        <v>0</v>
      </c>
      <c r="Q82" s="100">
        <f>'Allocation ProForma'!Q725</f>
        <v>0</v>
      </c>
      <c r="R82" s="100">
        <f>'Allocation ProForma'!R725</f>
        <v>0</v>
      </c>
      <c r="S82" s="100">
        <f>'Allocation ProForma'!S725</f>
        <v>0</v>
      </c>
      <c r="T82" s="100">
        <f>'Allocation ProForma'!T725</f>
        <v>0</v>
      </c>
    </row>
    <row r="83" spans="1:20" ht="12" hidden="1" customHeight="1" x14ac:dyDescent="0.25">
      <c r="B83" s="399" t="s">
        <v>324</v>
      </c>
      <c r="D83" s="399" t="s">
        <v>1516</v>
      </c>
      <c r="E83" s="399" t="s">
        <v>1886</v>
      </c>
      <c r="F83" s="421">
        <f>'Allocation ProForma'!F726</f>
        <v>0</v>
      </c>
      <c r="G83" s="100">
        <f>'Allocation ProForma'!G726</f>
        <v>0</v>
      </c>
      <c r="H83" s="100">
        <f>'Allocation ProForma'!H726</f>
        <v>0</v>
      </c>
      <c r="I83" s="100">
        <f>'Allocation ProForma'!I726</f>
        <v>0</v>
      </c>
      <c r="J83" s="100">
        <f>'Allocation ProForma'!J726</f>
        <v>0</v>
      </c>
      <c r="K83" s="100">
        <f>'Allocation ProForma'!K726</f>
        <v>0</v>
      </c>
      <c r="L83" s="100">
        <f>'Allocation ProForma'!L726</f>
        <v>0</v>
      </c>
      <c r="M83" s="100">
        <f>'Allocation ProForma'!M726</f>
        <v>0</v>
      </c>
      <c r="N83" s="100">
        <f>'Allocation ProForma'!N726</f>
        <v>0</v>
      </c>
      <c r="O83" s="100">
        <f>'Allocation ProForma'!O726</f>
        <v>0</v>
      </c>
      <c r="P83" s="100">
        <f>'Allocation ProForma'!P726</f>
        <v>0</v>
      </c>
      <c r="Q83" s="100">
        <f>'Allocation ProForma'!Q726</f>
        <v>0</v>
      </c>
      <c r="R83" s="100">
        <f>'Allocation ProForma'!R726</f>
        <v>0</v>
      </c>
      <c r="S83" s="100">
        <f>'Allocation ProForma'!S726</f>
        <v>0</v>
      </c>
      <c r="T83" s="100">
        <f>'Allocation ProForma'!T726</f>
        <v>0</v>
      </c>
    </row>
    <row r="84" spans="1:20" ht="12" hidden="1" customHeight="1" x14ac:dyDescent="0.25">
      <c r="B84" s="422" t="s">
        <v>2226</v>
      </c>
      <c r="E84" s="399" t="s">
        <v>422</v>
      </c>
      <c r="F84" s="421">
        <f>'Allocation ProForma'!F727</f>
        <v>0</v>
      </c>
      <c r="G84" s="100">
        <f>'Allocation ProForma'!G727</f>
        <v>0</v>
      </c>
      <c r="H84" s="100">
        <f>'Allocation ProForma'!H727</f>
        <v>0</v>
      </c>
      <c r="I84" s="100">
        <f>'Allocation ProForma'!I727</f>
        <v>0</v>
      </c>
      <c r="J84" s="100">
        <f>'Allocation ProForma'!J727</f>
        <v>0</v>
      </c>
      <c r="K84" s="100">
        <f>'Allocation ProForma'!K727</f>
        <v>0</v>
      </c>
      <c r="L84" s="100">
        <f>'Allocation ProForma'!L727</f>
        <v>0</v>
      </c>
      <c r="M84" s="100">
        <f>'Allocation ProForma'!M727</f>
        <v>0</v>
      </c>
      <c r="N84" s="100">
        <f>'Allocation ProForma'!N727</f>
        <v>0</v>
      </c>
      <c r="O84" s="100">
        <f>'Allocation ProForma'!O727</f>
        <v>0</v>
      </c>
      <c r="P84" s="100">
        <f>'Allocation ProForma'!P727</f>
        <v>0</v>
      </c>
      <c r="Q84" s="100">
        <f>'Allocation ProForma'!Q727</f>
        <v>0</v>
      </c>
      <c r="R84" s="100">
        <f>'Allocation ProForma'!R727</f>
        <v>0</v>
      </c>
      <c r="S84" s="100">
        <f>'Allocation ProForma'!S727</f>
        <v>0</v>
      </c>
      <c r="T84" s="100">
        <f>'Allocation ProForma'!T727</f>
        <v>0</v>
      </c>
    </row>
    <row r="85" spans="1:20" ht="12" customHeight="1" x14ac:dyDescent="0.25">
      <c r="F85" s="399">
        <f>'Allocation ProForma'!F728</f>
        <v>0</v>
      </c>
      <c r="G85" s="399">
        <f>'Allocation ProForma'!G728</f>
        <v>0</v>
      </c>
      <c r="H85" s="399">
        <f>'Allocation ProForma'!H728</f>
        <v>0</v>
      </c>
      <c r="I85" s="399">
        <f>'Allocation ProForma'!I728</f>
        <v>0</v>
      </c>
      <c r="J85" s="399">
        <f>'Allocation ProForma'!J728</f>
        <v>0</v>
      </c>
      <c r="K85" s="399">
        <f>'Allocation ProForma'!K728</f>
        <v>0</v>
      </c>
      <c r="L85" s="399">
        <f>'Allocation ProForma'!L728</f>
        <v>0</v>
      </c>
      <c r="M85" s="399">
        <f>'Allocation ProForma'!M728</f>
        <v>0</v>
      </c>
      <c r="N85" s="399">
        <f>'Allocation ProForma'!N728</f>
        <v>0</v>
      </c>
      <c r="O85" s="399">
        <f>'Allocation ProForma'!O728</f>
        <v>0</v>
      </c>
      <c r="P85" s="399">
        <f>'Allocation ProForma'!P728</f>
        <v>0</v>
      </c>
      <c r="Q85" s="399">
        <f>'Allocation ProForma'!Q728</f>
        <v>0</v>
      </c>
      <c r="R85" s="399">
        <f>'Allocation ProForma'!R728</f>
        <v>0</v>
      </c>
      <c r="S85" s="399">
        <f>'Allocation ProForma'!S728</f>
        <v>0</v>
      </c>
      <c r="T85" s="399">
        <f>'Allocation ProForma'!T728</f>
        <v>0</v>
      </c>
    </row>
    <row r="86" spans="1:20" ht="13.8" x14ac:dyDescent="0.25">
      <c r="A86" s="399" t="s">
        <v>522</v>
      </c>
      <c r="E86" s="413"/>
      <c r="F86" s="410">
        <f t="shared" ref="F86:T86" si="8">SUM(F71:F84)</f>
        <v>1485327439.9408753</v>
      </c>
      <c r="G86" s="410">
        <f t="shared" si="8"/>
        <v>576948070.88843322</v>
      </c>
      <c r="H86" s="410">
        <f t="shared" si="8"/>
        <v>199263423.0355289</v>
      </c>
      <c r="I86" s="410">
        <f t="shared" si="8"/>
        <v>0</v>
      </c>
      <c r="J86" s="410">
        <f t="shared" si="8"/>
        <v>11974301.202798663</v>
      </c>
      <c r="K86" s="410">
        <f t="shared" si="8"/>
        <v>0</v>
      </c>
      <c r="L86" s="410">
        <f t="shared" si="8"/>
        <v>173715204.85514408</v>
      </c>
      <c r="M86" s="410">
        <f t="shared" si="8"/>
        <v>13895605.94844028</v>
      </c>
      <c r="N86" s="410">
        <f t="shared" si="8"/>
        <v>116367549.93095262</v>
      </c>
      <c r="O86" s="410">
        <f t="shared" si="8"/>
        <v>250618049.03936678</v>
      </c>
      <c r="P86" s="410">
        <f t="shared" si="8"/>
        <v>86370870.077902898</v>
      </c>
      <c r="Q86" s="410">
        <f t="shared" si="8"/>
        <v>29864384.899244361</v>
      </c>
      <c r="R86" s="410">
        <f t="shared" si="8"/>
        <v>26123992.44827177</v>
      </c>
      <c r="S86" s="410">
        <f t="shared" si="8"/>
        <v>29624.691924233273</v>
      </c>
      <c r="T86" s="410">
        <f t="shared" si="8"/>
        <v>156362.9228673428</v>
      </c>
    </row>
    <row r="87" spans="1:20" ht="12" customHeight="1" x14ac:dyDescent="0.25">
      <c r="E87" s="410"/>
      <c r="F87" s="413"/>
    </row>
    <row r="89" spans="1:20" ht="13.8" x14ac:dyDescent="0.25">
      <c r="A89" s="411" t="s">
        <v>435</v>
      </c>
      <c r="F89" s="410"/>
    </row>
    <row r="91" spans="1:20" ht="13.8" x14ac:dyDescent="0.25">
      <c r="A91" s="412" t="s">
        <v>436</v>
      </c>
      <c r="F91" s="410">
        <f>'Allocation ProForma'!F734</f>
        <v>933774238.57748592</v>
      </c>
      <c r="G91" s="410">
        <f>'Allocation ProForma'!G734</f>
        <v>370519405.17287457</v>
      </c>
      <c r="H91" s="410">
        <f>'Allocation ProForma'!H734</f>
        <v>108753033.19473302</v>
      </c>
      <c r="I91" s="410">
        <f>'Allocation ProForma'!I734</f>
        <v>0</v>
      </c>
      <c r="J91" s="410">
        <f>'Allocation ProForma'!J734</f>
        <v>7668256.0483589973</v>
      </c>
      <c r="K91" s="410">
        <f>'Allocation ProForma'!K734</f>
        <v>0</v>
      </c>
      <c r="L91" s="410">
        <f>'Allocation ProForma'!L734</f>
        <v>99088940.765030891</v>
      </c>
      <c r="M91" s="410">
        <f>'Allocation ProForma'!M734</f>
        <v>7651162.2855686005</v>
      </c>
      <c r="N91" s="410">
        <f>'Allocation ProForma'!N734</f>
        <v>75124152.589057371</v>
      </c>
      <c r="O91" s="410">
        <f>'Allocation ProForma'!O734</f>
        <v>174786954.93278927</v>
      </c>
      <c r="P91" s="410">
        <f>'Allocation ProForma'!P734</f>
        <v>60688793.139909752</v>
      </c>
      <c r="Q91" s="410">
        <f>'Allocation ProForma'!Q734</f>
        <v>21215963.597676735</v>
      </c>
      <c r="R91" s="410">
        <f>'Allocation ProForma'!R734</f>
        <v>8165872.7907812931</v>
      </c>
      <c r="S91" s="410">
        <f>'Allocation ProForma'!S734</f>
        <v>16912.945346934604</v>
      </c>
      <c r="T91" s="410">
        <f>'Allocation ProForma'!T734</f>
        <v>94791.115358423413</v>
      </c>
    </row>
    <row r="92" spans="1:20" ht="13.8" x14ac:dyDescent="0.25">
      <c r="A92" s="412" t="s">
        <v>437</v>
      </c>
      <c r="F92" s="101">
        <f>'Allocation ProForma'!F735</f>
        <v>228062836.53918952</v>
      </c>
      <c r="G92" s="101">
        <f>'Allocation ProForma'!G735</f>
        <v>105274952.74338102</v>
      </c>
      <c r="H92" s="101">
        <f>'Allocation ProForma'!H735</f>
        <v>27341782.225615479</v>
      </c>
      <c r="I92" s="101">
        <f>'Allocation ProForma'!I735</f>
        <v>0</v>
      </c>
      <c r="J92" s="101">
        <f>'Allocation ProForma'!J735</f>
        <v>1798932.0035182098</v>
      </c>
      <c r="K92" s="101">
        <f>'Allocation ProForma'!K735</f>
        <v>0</v>
      </c>
      <c r="L92" s="101">
        <f>'Allocation ProForma'!L735</f>
        <v>22530219.621316772</v>
      </c>
      <c r="M92" s="101">
        <f>'Allocation ProForma'!M735</f>
        <v>1641041.2910282558</v>
      </c>
      <c r="N92" s="101">
        <f>'Allocation ProForma'!N735</f>
        <v>16175658.255553182</v>
      </c>
      <c r="O92" s="101">
        <f>'Allocation ProForma'!O735</f>
        <v>34771889.749682277</v>
      </c>
      <c r="P92" s="101">
        <f>'Allocation ProForma'!P735</f>
        <v>11324624.823166879</v>
      </c>
      <c r="Q92" s="101">
        <f>'Allocation ProForma'!Q735</f>
        <v>2947235.6735119577</v>
      </c>
      <c r="R92" s="101">
        <f>'Allocation ProForma'!R735</f>
        <v>4239593.4682664694</v>
      </c>
      <c r="S92" s="101">
        <f>'Allocation ProForma'!S735</f>
        <v>693.9480169763392</v>
      </c>
      <c r="T92" s="101">
        <f>'Allocation ProForma'!T735</f>
        <v>16212.736132054226</v>
      </c>
    </row>
    <row r="93" spans="1:20" ht="13.8" x14ac:dyDescent="0.25">
      <c r="A93" s="412" t="s">
        <v>275</v>
      </c>
      <c r="F93" s="101">
        <f>'Allocation ProForma'!F736</f>
        <v>0</v>
      </c>
      <c r="G93" s="101">
        <f>'Allocation ProForma'!G736</f>
        <v>0</v>
      </c>
      <c r="H93" s="101">
        <f>'Allocation ProForma'!H736</f>
        <v>0</v>
      </c>
      <c r="I93" s="101">
        <f>'Allocation ProForma'!I736</f>
        <v>0</v>
      </c>
      <c r="J93" s="101">
        <f>'Allocation ProForma'!J736</f>
        <v>0</v>
      </c>
      <c r="K93" s="101">
        <f>'Allocation ProForma'!K736</f>
        <v>0</v>
      </c>
      <c r="L93" s="101">
        <f>'Allocation ProForma'!L736</f>
        <v>0</v>
      </c>
      <c r="M93" s="101">
        <f>'Allocation ProForma'!M736</f>
        <v>0</v>
      </c>
      <c r="N93" s="101">
        <f>'Allocation ProForma'!N736</f>
        <v>0</v>
      </c>
      <c r="O93" s="101">
        <f>'Allocation ProForma'!O736</f>
        <v>0</v>
      </c>
      <c r="P93" s="101">
        <f>'Allocation ProForma'!P736</f>
        <v>0</v>
      </c>
      <c r="Q93" s="101">
        <f>'Allocation ProForma'!Q736</f>
        <v>0</v>
      </c>
      <c r="R93" s="101">
        <f>'Allocation ProForma'!R736</f>
        <v>0</v>
      </c>
      <c r="S93" s="101">
        <f>'Allocation ProForma'!S736</f>
        <v>0</v>
      </c>
      <c r="T93" s="101">
        <f>'Allocation ProForma'!T736</f>
        <v>0</v>
      </c>
    </row>
    <row r="94" spans="1:20" ht="13.8" x14ac:dyDescent="0.25">
      <c r="A94" s="412" t="s">
        <v>438</v>
      </c>
      <c r="E94" s="399" t="s">
        <v>419</v>
      </c>
      <c r="F94" s="101">
        <f>'Allocation ProForma'!F737</f>
        <v>24894100.893674195</v>
      </c>
      <c r="G94" s="101">
        <f>'Allocation ProForma'!G737</f>
        <v>11724942.607902201</v>
      </c>
      <c r="H94" s="101">
        <f>'Allocation ProForma'!H737</f>
        <v>3012498.5580308898</v>
      </c>
      <c r="I94" s="101">
        <f>'Allocation ProForma'!I737</f>
        <v>0</v>
      </c>
      <c r="J94" s="101">
        <f>'Allocation ProForma'!J737</f>
        <v>193374.31487663536</v>
      </c>
      <c r="K94" s="101">
        <f>'Allocation ProForma'!K737</f>
        <v>0</v>
      </c>
      <c r="L94" s="101">
        <f>'Allocation ProForma'!L737</f>
        <v>2390314.0937590543</v>
      </c>
      <c r="M94" s="101">
        <f>'Allocation ProForma'!M737</f>
        <v>173696.72166999339</v>
      </c>
      <c r="N94" s="101">
        <f>'Allocation ProForma'!N737</f>
        <v>1709843.3931866884</v>
      </c>
      <c r="O94" s="101">
        <f>'Allocation ProForma'!O737</f>
        <v>3661590.8503487902</v>
      </c>
      <c r="P94" s="101">
        <f>'Allocation ProForma'!P737</f>
        <v>1174573.6077597258</v>
      </c>
      <c r="Q94" s="101">
        <f>'Allocation ProForma'!Q737</f>
        <v>305405.7858130887</v>
      </c>
      <c r="R94" s="101">
        <f>'Allocation ProForma'!R737</f>
        <v>545912.63149363315</v>
      </c>
      <c r="S94" s="101">
        <f>'Allocation ProForma'!S737</f>
        <v>89.356442051092216</v>
      </c>
      <c r="T94" s="101">
        <f>'Allocation ProForma'!T737</f>
        <v>1858.9723914415033</v>
      </c>
    </row>
    <row r="95" spans="1:20" ht="13.8" x14ac:dyDescent="0.25">
      <c r="A95" s="412" t="s">
        <v>439</v>
      </c>
      <c r="F95" s="101">
        <f>'Allocation ProForma'!F738</f>
        <v>12926774.348401168</v>
      </c>
      <c r="G95" s="101">
        <f>'Allocation ProForma'!G738</f>
        <v>6088417.8138291491</v>
      </c>
      <c r="H95" s="101">
        <f>'Allocation ProForma'!H738</f>
        <v>1564301.8902701035</v>
      </c>
      <c r="I95" s="101">
        <f>'Allocation ProForma'!I738</f>
        <v>0</v>
      </c>
      <c r="J95" s="101">
        <f>'Allocation ProForma'!J738</f>
        <v>100413.59372099827</v>
      </c>
      <c r="K95" s="101">
        <f>'Allocation ProForma'!K738</f>
        <v>0</v>
      </c>
      <c r="L95" s="101">
        <f>'Allocation ProForma'!L738</f>
        <v>1241219.7991725039</v>
      </c>
      <c r="M95" s="101">
        <f>'Allocation ProForma'!M738</f>
        <v>90195.59837389458</v>
      </c>
      <c r="N95" s="101">
        <f>'Allocation ProForma'!N738</f>
        <v>887871.38002021168</v>
      </c>
      <c r="O95" s="101">
        <f>'Allocation ProForma'!O738</f>
        <v>1901356.4249937129</v>
      </c>
      <c r="P95" s="101">
        <f>'Allocation ProForma'!P738</f>
        <v>609921.52510138182</v>
      </c>
      <c r="Q95" s="101">
        <f>'Allocation ProForma'!Q738</f>
        <v>158588.24123690827</v>
      </c>
      <c r="R95" s="101">
        <f>'Allocation ProForma'!R738</f>
        <v>283476.37182804599</v>
      </c>
      <c r="S95" s="101">
        <f>'Allocation ProForma'!S738</f>
        <v>46.400171988696833</v>
      </c>
      <c r="T95" s="101">
        <f>'Allocation ProForma'!T738</f>
        <v>965.30968227008179</v>
      </c>
    </row>
    <row r="96" spans="1:20" ht="13.8" x14ac:dyDescent="0.25">
      <c r="A96" s="399" t="s">
        <v>935</v>
      </c>
      <c r="F96" s="101">
        <f>'Allocation ProForma'!F739</f>
        <v>0</v>
      </c>
      <c r="G96" s="101">
        <f>'Allocation ProForma'!G739</f>
        <v>0</v>
      </c>
      <c r="H96" s="101">
        <f>'Allocation ProForma'!H739</f>
        <v>0</v>
      </c>
      <c r="I96" s="101">
        <f>'Allocation ProForma'!I739</f>
        <v>0</v>
      </c>
      <c r="J96" s="101">
        <f>'Allocation ProForma'!J739</f>
        <v>0</v>
      </c>
      <c r="K96" s="101">
        <f>'Allocation ProForma'!K739</f>
        <v>0</v>
      </c>
      <c r="L96" s="101">
        <f>'Allocation ProForma'!L739</f>
        <v>0</v>
      </c>
      <c r="M96" s="101">
        <f>'Allocation ProForma'!M739</f>
        <v>0</v>
      </c>
      <c r="N96" s="101">
        <f>'Allocation ProForma'!N739</f>
        <v>0</v>
      </c>
      <c r="O96" s="101">
        <f>'Allocation ProForma'!O739</f>
        <v>0</v>
      </c>
      <c r="P96" s="101">
        <f>'Allocation ProForma'!P739</f>
        <v>0</v>
      </c>
      <c r="Q96" s="101">
        <f>'Allocation ProForma'!Q739</f>
        <v>0</v>
      </c>
      <c r="R96" s="101">
        <f>'Allocation ProForma'!R739</f>
        <v>0</v>
      </c>
      <c r="S96" s="101">
        <f>'Allocation ProForma'!S739</f>
        <v>0</v>
      </c>
      <c r="T96" s="101">
        <f>'Allocation ProForma'!T739</f>
        <v>0</v>
      </c>
    </row>
    <row r="97" spans="1:20" ht="13.8" x14ac:dyDescent="0.25">
      <c r="A97" s="412" t="s">
        <v>1552</v>
      </c>
      <c r="E97" s="399" t="s">
        <v>1172</v>
      </c>
      <c r="F97" s="101">
        <f>'Allocation ProForma'!F740</f>
        <v>84161734.359999999</v>
      </c>
      <c r="G97" s="100">
        <f>'Allocation ProForma'!G740</f>
        <v>18153353.162271839</v>
      </c>
      <c r="H97" s="100">
        <f>'Allocation ProForma'!H740</f>
        <v>20304092.186474111</v>
      </c>
      <c r="I97" s="100">
        <f>'Allocation ProForma'!I740</f>
        <v>0</v>
      </c>
      <c r="J97" s="100">
        <f>'Allocation ProForma'!J740</f>
        <v>655828.60473441554</v>
      </c>
      <c r="K97" s="100">
        <f>'Allocation ProForma'!K740</f>
        <v>0</v>
      </c>
      <c r="L97" s="100">
        <f>'Allocation ProForma'!L740</f>
        <v>16884437.441701207</v>
      </c>
      <c r="M97" s="100">
        <f>'Allocation ProForma'!M740</f>
        <v>1569567.3810316068</v>
      </c>
      <c r="N97" s="100">
        <f>'Allocation ProForma'!N740</f>
        <v>6969485.2237654692</v>
      </c>
      <c r="O97" s="100">
        <f>'Allocation ProForma'!O740</f>
        <v>9638437.6168130934</v>
      </c>
      <c r="P97" s="100">
        <f>'Allocation ProForma'!P740</f>
        <v>3588565.9199093352</v>
      </c>
      <c r="Q97" s="100">
        <f>'Allocation ProForma'!Q740</f>
        <v>1758728.6244708167</v>
      </c>
      <c r="R97" s="100">
        <f>'Allocation ProForma'!R740</f>
        <v>4619187.7149082264</v>
      </c>
      <c r="S97" s="100">
        <f>'Allocation ProForma'!S740</f>
        <v>4868.3256618346886</v>
      </c>
      <c r="T97" s="100">
        <f>'Allocation ProForma'!T740</f>
        <v>15182.576536994065</v>
      </c>
    </row>
    <row r="98" spans="1:20" ht="13.8" x14ac:dyDescent="0.25">
      <c r="A98" s="412" t="s">
        <v>945</v>
      </c>
      <c r="F98" s="101">
        <f>'Allocation ProForma'!F741</f>
        <v>-1</v>
      </c>
      <c r="G98" s="101">
        <f>'Allocation ProForma'!G741</f>
        <v>-0.40935210621236828</v>
      </c>
      <c r="H98" s="101">
        <f>'Allocation ProForma'!H741</f>
        <v>-0.11362251359596974</v>
      </c>
      <c r="I98" s="101">
        <f>'Allocation ProForma'!I741</f>
        <v>0</v>
      </c>
      <c r="J98" s="101">
        <f>'Allocation ProForma'!J741</f>
        <v>-8.5558150654642239E-3</v>
      </c>
      <c r="K98" s="101">
        <f>'Allocation ProForma'!K741</f>
        <v>0</v>
      </c>
      <c r="L98" s="101">
        <f>'Allocation ProForma'!L741</f>
        <v>-0.11420877410668946</v>
      </c>
      <c r="M98" s="101">
        <f>'Allocation ProForma'!M741</f>
        <v>-8.40975402485797E-3</v>
      </c>
      <c r="N98" s="101">
        <f>'Allocation ProForma'!N741</f>
        <v>-8.3403421353758986E-2</v>
      </c>
      <c r="O98" s="101">
        <f>'Allocation ProForma'!O741</f>
        <v>-0.18240931993528153</v>
      </c>
      <c r="P98" s="101">
        <f>'Allocation ProForma'!P741</f>
        <v>-6.3420095832768281E-2</v>
      </c>
      <c r="Q98" s="101">
        <f>'Allocation ProForma'!Q741</f>
        <v>-1.6567072618418759E-2</v>
      </c>
      <c r="R98" s="101">
        <f>'Allocation ProForma'!R741</f>
        <v>0</v>
      </c>
      <c r="S98" s="101">
        <f>'Allocation ProForma'!S741</f>
        <v>0</v>
      </c>
      <c r="T98" s="101">
        <f>'Allocation ProForma'!T741</f>
        <v>-5.1127254422720664E-5</v>
      </c>
    </row>
    <row r="99" spans="1:20" ht="13.8" x14ac:dyDescent="0.25">
      <c r="A99" s="412" t="s">
        <v>580</v>
      </c>
      <c r="E99" s="399" t="s">
        <v>582</v>
      </c>
      <c r="F99" s="100">
        <f>'Allocation ProForma'!F742</f>
        <v>1</v>
      </c>
      <c r="G99" s="100">
        <f>'Allocation ProForma'!G742</f>
        <v>0.40935210621236817</v>
      </c>
      <c r="H99" s="100">
        <f>'Allocation ProForma'!H742</f>
        <v>0.11362251359596973</v>
      </c>
      <c r="I99" s="100">
        <f>'Allocation ProForma'!I742</f>
        <v>0</v>
      </c>
      <c r="J99" s="100">
        <f>'Allocation ProForma'!J742</f>
        <v>8.5558150654642239E-3</v>
      </c>
      <c r="K99" s="100">
        <f>'Allocation ProForma'!K742</f>
        <v>0</v>
      </c>
      <c r="L99" s="100">
        <f>'Allocation ProForma'!L742</f>
        <v>0.11420877410668946</v>
      </c>
      <c r="M99" s="100">
        <f>'Allocation ProForma'!M742</f>
        <v>8.4097540248579683E-3</v>
      </c>
      <c r="N99" s="100">
        <f>'Allocation ProForma'!N742</f>
        <v>8.3403421353758972E-2</v>
      </c>
      <c r="O99" s="100">
        <f>'Allocation ProForma'!O742</f>
        <v>0.18240931993528151</v>
      </c>
      <c r="P99" s="100">
        <f>'Allocation ProForma'!P742</f>
        <v>6.3420095832768281E-2</v>
      </c>
      <c r="Q99" s="100">
        <f>'Allocation ProForma'!Q742</f>
        <v>1.6567072618418756E-2</v>
      </c>
      <c r="R99" s="100">
        <f>'Allocation ProForma'!R742</f>
        <v>0</v>
      </c>
      <c r="S99" s="100">
        <f>'Allocation ProForma'!S742</f>
        <v>0</v>
      </c>
      <c r="T99" s="100">
        <f>'Allocation ProForma'!T742</f>
        <v>5.1127254422720664E-5</v>
      </c>
    </row>
    <row r="100" spans="1:20" ht="12" customHeight="1" x14ac:dyDescent="0.25">
      <c r="A100" s="412"/>
      <c r="B100" s="410"/>
      <c r="D100" s="413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1:20" ht="13.8" x14ac:dyDescent="0.25">
      <c r="A101" s="399" t="s">
        <v>1553</v>
      </c>
      <c r="D101" s="413"/>
      <c r="F101" s="399">
        <f>'Allocation ProForma'!F744</f>
        <v>0</v>
      </c>
      <c r="G101" s="413">
        <f>'Allocation ProForma'!G744</f>
        <v>0</v>
      </c>
      <c r="H101" s="399">
        <f>'Allocation ProForma'!H744</f>
        <v>0</v>
      </c>
      <c r="I101" s="399">
        <f>'Allocation ProForma'!I744</f>
        <v>0</v>
      </c>
      <c r="J101" s="399">
        <f>'Allocation ProForma'!J744</f>
        <v>0</v>
      </c>
      <c r="K101" s="399">
        <f>'Allocation ProForma'!K744</f>
        <v>0</v>
      </c>
      <c r="L101" s="399">
        <f>'Allocation ProForma'!L744</f>
        <v>0</v>
      </c>
      <c r="M101" s="399">
        <f>'Allocation ProForma'!M744</f>
        <v>0</v>
      </c>
      <c r="N101" s="399">
        <f>'Allocation ProForma'!N744</f>
        <v>0</v>
      </c>
      <c r="O101" s="399">
        <f>'Allocation ProForma'!O744</f>
        <v>0</v>
      </c>
      <c r="P101" s="399">
        <f>'Allocation ProForma'!P744</f>
        <v>0</v>
      </c>
      <c r="Q101" s="399">
        <f>'Allocation ProForma'!Q744</f>
        <v>0</v>
      </c>
      <c r="R101" s="399">
        <f>'Allocation ProForma'!R744</f>
        <v>0</v>
      </c>
      <c r="S101" s="399">
        <f>'Allocation ProForma'!S744</f>
        <v>0</v>
      </c>
      <c r="T101" s="399">
        <f>'Allocation ProForma'!T744</f>
        <v>0</v>
      </c>
    </row>
    <row r="102" spans="1:20" ht="12" hidden="1" customHeight="1" x14ac:dyDescent="0.25">
      <c r="B102" s="399" t="s">
        <v>2324</v>
      </c>
      <c r="E102" s="399" t="s">
        <v>1732</v>
      </c>
      <c r="F102" s="101">
        <f>'Allocation ProForma'!F745</f>
        <v>0</v>
      </c>
      <c r="G102" s="101">
        <f>'Allocation ProForma'!G745</f>
        <v>0</v>
      </c>
      <c r="H102" s="101">
        <f>'Allocation ProForma'!H745</f>
        <v>0</v>
      </c>
      <c r="I102" s="101">
        <f>'Allocation ProForma'!I745</f>
        <v>0</v>
      </c>
      <c r="J102" s="101">
        <f>'Allocation ProForma'!J745</f>
        <v>0</v>
      </c>
      <c r="K102" s="101">
        <f>'Allocation ProForma'!K745</f>
        <v>0</v>
      </c>
      <c r="L102" s="101">
        <f>'Allocation ProForma'!L745</f>
        <v>0</v>
      </c>
      <c r="M102" s="101">
        <f>'Allocation ProForma'!M745</f>
        <v>0</v>
      </c>
      <c r="N102" s="101">
        <f>'Allocation ProForma'!N745</f>
        <v>0</v>
      </c>
      <c r="O102" s="101">
        <f>'Allocation ProForma'!O745</f>
        <v>0</v>
      </c>
      <c r="P102" s="101">
        <f>'Allocation ProForma'!P745</f>
        <v>0</v>
      </c>
      <c r="Q102" s="101">
        <f>'Allocation ProForma'!Q745</f>
        <v>0</v>
      </c>
      <c r="R102" s="101">
        <f>'Allocation ProForma'!R745</f>
        <v>0</v>
      </c>
      <c r="S102" s="101">
        <f>'Allocation ProForma'!S745</f>
        <v>0</v>
      </c>
      <c r="T102" s="101">
        <f>'Allocation ProForma'!T745</f>
        <v>0</v>
      </c>
    </row>
    <row r="103" spans="1:20" ht="12" hidden="1" customHeight="1" x14ac:dyDescent="0.25">
      <c r="B103" s="399" t="s">
        <v>2325</v>
      </c>
      <c r="E103" s="399" t="s">
        <v>415</v>
      </c>
      <c r="F103" s="101">
        <f>'Allocation ProForma'!F746</f>
        <v>0</v>
      </c>
      <c r="G103" s="101">
        <f>'Allocation ProForma'!G746</f>
        <v>0</v>
      </c>
      <c r="H103" s="101">
        <f>'Allocation ProForma'!H746</f>
        <v>0</v>
      </c>
      <c r="I103" s="101">
        <f>'Allocation ProForma'!I746</f>
        <v>0</v>
      </c>
      <c r="J103" s="101">
        <f>'Allocation ProForma'!J746</f>
        <v>0</v>
      </c>
      <c r="K103" s="101">
        <f>'Allocation ProForma'!K746</f>
        <v>0</v>
      </c>
      <c r="L103" s="101">
        <f>'Allocation ProForma'!L746</f>
        <v>0</v>
      </c>
      <c r="M103" s="101">
        <f>'Allocation ProForma'!M746</f>
        <v>0</v>
      </c>
      <c r="N103" s="101">
        <f>'Allocation ProForma'!N746</f>
        <v>0</v>
      </c>
      <c r="O103" s="101">
        <f>'Allocation ProForma'!O746</f>
        <v>0</v>
      </c>
      <c r="P103" s="101">
        <f>'Allocation ProForma'!P746</f>
        <v>0</v>
      </c>
      <c r="Q103" s="101">
        <f>'Allocation ProForma'!Q746</f>
        <v>0</v>
      </c>
      <c r="R103" s="101">
        <f>'Allocation ProForma'!R746</f>
        <v>0</v>
      </c>
      <c r="S103" s="101">
        <f>'Allocation ProForma'!S746</f>
        <v>0</v>
      </c>
      <c r="T103" s="101">
        <f>'Allocation ProForma'!T746</f>
        <v>0</v>
      </c>
    </row>
    <row r="104" spans="1:20" ht="12" hidden="1" customHeight="1" x14ac:dyDescent="0.25">
      <c r="B104" s="399" t="s">
        <v>2329</v>
      </c>
      <c r="E104" s="399" t="s">
        <v>415</v>
      </c>
      <c r="F104" s="101">
        <f>'Allocation ProForma'!F747</f>
        <v>0</v>
      </c>
      <c r="G104" s="101">
        <f>'Allocation ProForma'!G747</f>
        <v>0</v>
      </c>
      <c r="H104" s="101">
        <f>'Allocation ProForma'!H747</f>
        <v>0</v>
      </c>
      <c r="I104" s="101">
        <f>'Allocation ProForma'!I747</f>
        <v>0</v>
      </c>
      <c r="J104" s="101">
        <f>'Allocation ProForma'!J747</f>
        <v>0</v>
      </c>
      <c r="K104" s="101">
        <f>'Allocation ProForma'!K747</f>
        <v>0</v>
      </c>
      <c r="L104" s="101">
        <f>'Allocation ProForma'!L747</f>
        <v>0</v>
      </c>
      <c r="M104" s="101">
        <f>'Allocation ProForma'!M747</f>
        <v>0</v>
      </c>
      <c r="N104" s="101">
        <f>'Allocation ProForma'!N747</f>
        <v>0</v>
      </c>
      <c r="O104" s="101">
        <f>'Allocation ProForma'!O747</f>
        <v>0</v>
      </c>
      <c r="P104" s="101">
        <f>'Allocation ProForma'!P747</f>
        <v>0</v>
      </c>
      <c r="Q104" s="101">
        <f>'Allocation ProForma'!Q747</f>
        <v>0</v>
      </c>
      <c r="R104" s="101">
        <f>'Allocation ProForma'!R747</f>
        <v>0</v>
      </c>
      <c r="S104" s="101">
        <f>'Allocation ProForma'!S747</f>
        <v>0</v>
      </c>
      <c r="T104" s="101">
        <f>'Allocation ProForma'!T747</f>
        <v>0</v>
      </c>
    </row>
    <row r="105" spans="1:20" ht="12" hidden="1" customHeight="1" x14ac:dyDescent="0.25">
      <c r="B105" s="399" t="s">
        <v>2326</v>
      </c>
      <c r="E105" s="399" t="s">
        <v>415</v>
      </c>
      <c r="F105" s="101">
        <f>'Allocation ProForma'!F748</f>
        <v>0</v>
      </c>
      <c r="G105" s="101">
        <f>'Allocation ProForma'!G748</f>
        <v>0</v>
      </c>
      <c r="H105" s="101">
        <f>'Allocation ProForma'!H748</f>
        <v>0</v>
      </c>
      <c r="I105" s="101">
        <f>'Allocation ProForma'!I748</f>
        <v>0</v>
      </c>
      <c r="J105" s="101">
        <f>'Allocation ProForma'!J748</f>
        <v>0</v>
      </c>
      <c r="K105" s="101">
        <f>'Allocation ProForma'!K748</f>
        <v>0</v>
      </c>
      <c r="L105" s="101">
        <f>'Allocation ProForma'!L748</f>
        <v>0</v>
      </c>
      <c r="M105" s="101">
        <f>'Allocation ProForma'!M748</f>
        <v>0</v>
      </c>
      <c r="N105" s="101">
        <f>'Allocation ProForma'!N748</f>
        <v>0</v>
      </c>
      <c r="O105" s="101">
        <f>'Allocation ProForma'!O748</f>
        <v>0</v>
      </c>
      <c r="P105" s="101">
        <f>'Allocation ProForma'!P748</f>
        <v>0</v>
      </c>
      <c r="Q105" s="101">
        <f>'Allocation ProForma'!Q748</f>
        <v>0</v>
      </c>
      <c r="R105" s="101">
        <f>'Allocation ProForma'!R748</f>
        <v>0</v>
      </c>
      <c r="S105" s="101">
        <f>'Allocation ProForma'!S748</f>
        <v>0</v>
      </c>
      <c r="T105" s="101">
        <f>'Allocation ProForma'!T748</f>
        <v>0</v>
      </c>
    </row>
    <row r="106" spans="1:20" ht="12" hidden="1" customHeight="1" x14ac:dyDescent="0.25">
      <c r="B106" s="399" t="s">
        <v>324</v>
      </c>
      <c r="E106" s="399" t="s">
        <v>1516</v>
      </c>
      <c r="F106" s="101">
        <f>'Allocation ProForma'!F749</f>
        <v>0</v>
      </c>
      <c r="G106" s="101">
        <f>'Allocation ProForma'!G749</f>
        <v>0</v>
      </c>
      <c r="H106" s="101">
        <f>'Allocation ProForma'!H749</f>
        <v>0</v>
      </c>
      <c r="I106" s="101">
        <f>'Allocation ProForma'!I749</f>
        <v>0</v>
      </c>
      <c r="J106" s="101">
        <f>'Allocation ProForma'!J749</f>
        <v>0</v>
      </c>
      <c r="K106" s="101">
        <f>'Allocation ProForma'!K749</f>
        <v>0</v>
      </c>
      <c r="L106" s="101">
        <f>'Allocation ProForma'!L749</f>
        <v>0</v>
      </c>
      <c r="M106" s="101">
        <f>'Allocation ProForma'!M749</f>
        <v>0</v>
      </c>
      <c r="N106" s="101">
        <f>'Allocation ProForma'!N749</f>
        <v>0</v>
      </c>
      <c r="O106" s="101">
        <f>'Allocation ProForma'!O749</f>
        <v>0</v>
      </c>
      <c r="P106" s="101">
        <f>'Allocation ProForma'!P749</f>
        <v>0</v>
      </c>
      <c r="Q106" s="101">
        <f>'Allocation ProForma'!Q749</f>
        <v>0</v>
      </c>
      <c r="R106" s="101">
        <f>'Allocation ProForma'!R749</f>
        <v>0</v>
      </c>
      <c r="S106" s="101">
        <f>'Allocation ProForma'!S749</f>
        <v>0</v>
      </c>
      <c r="T106" s="101">
        <f>'Allocation ProForma'!T749</f>
        <v>0</v>
      </c>
    </row>
    <row r="107" spans="1:20" ht="12" hidden="1" customHeight="1" x14ac:dyDescent="0.25">
      <c r="B107" s="399" t="s">
        <v>1948</v>
      </c>
      <c r="E107" s="399" t="s">
        <v>1754</v>
      </c>
      <c r="F107" s="101">
        <f>'Allocation ProForma'!F750</f>
        <v>0</v>
      </c>
      <c r="G107" s="101">
        <f>'Allocation ProForma'!G750</f>
        <v>0</v>
      </c>
      <c r="H107" s="101">
        <f>'Allocation ProForma'!H750</f>
        <v>0</v>
      </c>
      <c r="I107" s="101">
        <f>'Allocation ProForma'!I750</f>
        <v>0</v>
      </c>
      <c r="J107" s="101">
        <f>'Allocation ProForma'!J750</f>
        <v>0</v>
      </c>
      <c r="K107" s="101">
        <f>'Allocation ProForma'!K750</f>
        <v>0</v>
      </c>
      <c r="L107" s="101">
        <f>'Allocation ProForma'!L750</f>
        <v>0</v>
      </c>
      <c r="M107" s="101">
        <f>'Allocation ProForma'!M750</f>
        <v>0</v>
      </c>
      <c r="N107" s="101">
        <f>'Allocation ProForma'!N750</f>
        <v>0</v>
      </c>
      <c r="O107" s="101">
        <f>'Allocation ProForma'!O750</f>
        <v>0</v>
      </c>
      <c r="P107" s="101">
        <f>'Allocation ProForma'!P750</f>
        <v>0</v>
      </c>
      <c r="Q107" s="101">
        <f>'Allocation ProForma'!Q750</f>
        <v>0</v>
      </c>
      <c r="R107" s="101">
        <f>'Allocation ProForma'!R750</f>
        <v>0</v>
      </c>
      <c r="S107" s="101">
        <f>'Allocation ProForma'!S750</f>
        <v>0</v>
      </c>
      <c r="T107" s="101">
        <f>'Allocation ProForma'!T750</f>
        <v>0</v>
      </c>
    </row>
    <row r="108" spans="1:20" ht="12" hidden="1" customHeight="1" x14ac:dyDescent="0.25">
      <c r="B108" s="399" t="s">
        <v>276</v>
      </c>
      <c r="E108" s="399" t="s">
        <v>426</v>
      </c>
      <c r="F108" s="101">
        <f>'Allocation ProForma'!F751</f>
        <v>0</v>
      </c>
      <c r="G108" s="101">
        <f>'Allocation ProForma'!G751</f>
        <v>0</v>
      </c>
      <c r="H108" s="101">
        <f>'Allocation ProForma'!H751</f>
        <v>0</v>
      </c>
      <c r="I108" s="101">
        <f>'Allocation ProForma'!I751</f>
        <v>0</v>
      </c>
      <c r="J108" s="101">
        <f>'Allocation ProForma'!J751</f>
        <v>0</v>
      </c>
      <c r="K108" s="101">
        <f>'Allocation ProForma'!K751</f>
        <v>0</v>
      </c>
      <c r="L108" s="101">
        <f>'Allocation ProForma'!L751</f>
        <v>0</v>
      </c>
      <c r="M108" s="101">
        <f>'Allocation ProForma'!M751</f>
        <v>0</v>
      </c>
      <c r="N108" s="101">
        <f>'Allocation ProForma'!N751</f>
        <v>0</v>
      </c>
      <c r="O108" s="101">
        <f>'Allocation ProForma'!O751</f>
        <v>0</v>
      </c>
      <c r="P108" s="101">
        <f>'Allocation ProForma'!P751</f>
        <v>0</v>
      </c>
      <c r="Q108" s="101">
        <f>'Allocation ProForma'!Q751</f>
        <v>0</v>
      </c>
      <c r="R108" s="101">
        <f>'Allocation ProForma'!R751</f>
        <v>0</v>
      </c>
      <c r="S108" s="101">
        <f>'Allocation ProForma'!S751</f>
        <v>0</v>
      </c>
      <c r="T108" s="101">
        <f>'Allocation ProForma'!T751</f>
        <v>0</v>
      </c>
    </row>
    <row r="109" spans="1:20" ht="12" hidden="1" customHeight="1" x14ac:dyDescent="0.25">
      <c r="B109" s="399" t="s">
        <v>1947</v>
      </c>
      <c r="E109" s="399" t="s">
        <v>426</v>
      </c>
      <c r="F109" s="101">
        <f>'Allocation ProForma'!F752</f>
        <v>0</v>
      </c>
      <c r="G109" s="101">
        <f>'Allocation ProForma'!G752</f>
        <v>0</v>
      </c>
      <c r="H109" s="101">
        <f>'Allocation ProForma'!H752</f>
        <v>0</v>
      </c>
      <c r="I109" s="101">
        <f>'Allocation ProForma'!I752</f>
        <v>0</v>
      </c>
      <c r="J109" s="101">
        <f>'Allocation ProForma'!J752</f>
        <v>0</v>
      </c>
      <c r="K109" s="101">
        <f>'Allocation ProForma'!K752</f>
        <v>0</v>
      </c>
      <c r="L109" s="101">
        <f>'Allocation ProForma'!L752</f>
        <v>0</v>
      </c>
      <c r="M109" s="101">
        <f>'Allocation ProForma'!M752</f>
        <v>0</v>
      </c>
      <c r="N109" s="101">
        <f>'Allocation ProForma'!N752</f>
        <v>0</v>
      </c>
      <c r="O109" s="101">
        <f>'Allocation ProForma'!O752</f>
        <v>0</v>
      </c>
      <c r="P109" s="101">
        <f>'Allocation ProForma'!P752</f>
        <v>0</v>
      </c>
      <c r="Q109" s="101">
        <f>'Allocation ProForma'!Q752</f>
        <v>0</v>
      </c>
      <c r="R109" s="101">
        <f>'Allocation ProForma'!R752</f>
        <v>0</v>
      </c>
      <c r="S109" s="101">
        <f>'Allocation ProForma'!S752</f>
        <v>0</v>
      </c>
      <c r="T109" s="101">
        <f>'Allocation ProForma'!T752</f>
        <v>0</v>
      </c>
    </row>
    <row r="110" spans="1:20" ht="12" hidden="1" customHeight="1" x14ac:dyDescent="0.25">
      <c r="B110" s="399" t="s">
        <v>1951</v>
      </c>
      <c r="E110" s="399" t="s">
        <v>254</v>
      </c>
      <c r="F110" s="101">
        <f>'Allocation ProForma'!F753</f>
        <v>0</v>
      </c>
      <c r="G110" s="101">
        <f>'Allocation ProForma'!G753</f>
        <v>0</v>
      </c>
      <c r="H110" s="101">
        <f>'Allocation ProForma'!H753</f>
        <v>0</v>
      </c>
      <c r="I110" s="101">
        <f>'Allocation ProForma'!I753</f>
        <v>0</v>
      </c>
      <c r="J110" s="101">
        <f>'Allocation ProForma'!J753</f>
        <v>0</v>
      </c>
      <c r="K110" s="101">
        <f>'Allocation ProForma'!K753</f>
        <v>0</v>
      </c>
      <c r="L110" s="101">
        <f>'Allocation ProForma'!L753</f>
        <v>0</v>
      </c>
      <c r="M110" s="101">
        <f>'Allocation ProForma'!M753</f>
        <v>0</v>
      </c>
      <c r="N110" s="101">
        <f>'Allocation ProForma'!N753</f>
        <v>0</v>
      </c>
      <c r="O110" s="101">
        <f>'Allocation ProForma'!O753</f>
        <v>0</v>
      </c>
      <c r="P110" s="101">
        <f>'Allocation ProForma'!P753</f>
        <v>0</v>
      </c>
      <c r="Q110" s="101">
        <f>'Allocation ProForma'!Q753</f>
        <v>0</v>
      </c>
      <c r="R110" s="101">
        <f>'Allocation ProForma'!R753</f>
        <v>0</v>
      </c>
      <c r="S110" s="101">
        <f>'Allocation ProForma'!S753</f>
        <v>0</v>
      </c>
      <c r="T110" s="101">
        <f>'Allocation ProForma'!T753</f>
        <v>0</v>
      </c>
    </row>
    <row r="111" spans="1:20" ht="12" hidden="1" customHeight="1" x14ac:dyDescent="0.25">
      <c r="B111" s="399" t="s">
        <v>1949</v>
      </c>
      <c r="E111" s="399" t="s">
        <v>422</v>
      </c>
      <c r="F111" s="101">
        <f>'Allocation ProForma'!F754</f>
        <v>0</v>
      </c>
      <c r="G111" s="101">
        <f>'Allocation ProForma'!G754</f>
        <v>0</v>
      </c>
      <c r="H111" s="101">
        <f>'Allocation ProForma'!H754</f>
        <v>0</v>
      </c>
      <c r="I111" s="101">
        <f>'Allocation ProForma'!I754</f>
        <v>0</v>
      </c>
      <c r="J111" s="101">
        <f>'Allocation ProForma'!J754</f>
        <v>0</v>
      </c>
      <c r="K111" s="101">
        <f>'Allocation ProForma'!K754</f>
        <v>0</v>
      </c>
      <c r="L111" s="101">
        <f>'Allocation ProForma'!L754</f>
        <v>0</v>
      </c>
      <c r="M111" s="101">
        <f>'Allocation ProForma'!M754</f>
        <v>0</v>
      </c>
      <c r="N111" s="101">
        <f>'Allocation ProForma'!N754</f>
        <v>0</v>
      </c>
      <c r="O111" s="101">
        <f>'Allocation ProForma'!O754</f>
        <v>0</v>
      </c>
      <c r="P111" s="101">
        <f>'Allocation ProForma'!P754</f>
        <v>0</v>
      </c>
      <c r="Q111" s="101">
        <f>'Allocation ProForma'!Q754</f>
        <v>0</v>
      </c>
      <c r="R111" s="101">
        <f>'Allocation ProForma'!R754</f>
        <v>0</v>
      </c>
      <c r="S111" s="101">
        <f>'Allocation ProForma'!S754</f>
        <v>0</v>
      </c>
      <c r="T111" s="101">
        <f>'Allocation ProForma'!T754</f>
        <v>0</v>
      </c>
    </row>
    <row r="112" spans="1:20" ht="13.8" x14ac:dyDescent="0.25">
      <c r="B112" s="399" t="s">
        <v>2227</v>
      </c>
      <c r="E112" s="399" t="s">
        <v>432</v>
      </c>
      <c r="F112" s="101">
        <f>'Allocation ProForma'!F755</f>
        <v>-838116</v>
      </c>
      <c r="G112" s="101">
        <f>'Allocation ProForma'!G755</f>
        <v>-317360.86960830563</v>
      </c>
      <c r="H112" s="101">
        <f>'Allocation ProForma'!H755</f>
        <v>-113447.81429056131</v>
      </c>
      <c r="I112" s="101">
        <f>'Allocation ProForma'!I755</f>
        <v>0</v>
      </c>
      <c r="J112" s="101">
        <f>'Allocation ProForma'!J755</f>
        <v>-6889.2511311629441</v>
      </c>
      <c r="K112" s="101">
        <f>'Allocation ProForma'!K755</f>
        <v>0</v>
      </c>
      <c r="L112" s="101">
        <f>'Allocation ProForma'!L755</f>
        <v>-99841.817563354634</v>
      </c>
      <c r="M112" s="101">
        <f>'Allocation ProForma'!M755</f>
        <v>-7983.8519718289754</v>
      </c>
      <c r="N112" s="101">
        <f>'Allocation ProForma'!N755</f>
        <v>-66889.507834115575</v>
      </c>
      <c r="O112" s="101">
        <f>'Allocation ProForma'!O755</f>
        <v>-143966.96952712012</v>
      </c>
      <c r="P112" s="101">
        <f>'Allocation ProForma'!P755</f>
        <v>-49624.312220352258</v>
      </c>
      <c r="Q112" s="101">
        <f>'Allocation ProForma'!Q755</f>
        <v>-17107.026576327709</v>
      </c>
      <c r="R112" s="101">
        <f>'Allocation ProForma'!R755</f>
        <v>-14898.143186008507</v>
      </c>
      <c r="S112" s="101">
        <f>'Allocation ProForma'!S755</f>
        <v>-16.865457935246173</v>
      </c>
      <c r="T112" s="101">
        <f>'Allocation ProForma'!T755</f>
        <v>-89.57063292708682</v>
      </c>
    </row>
    <row r="113" spans="1:20" ht="12" hidden="1" customHeight="1" x14ac:dyDescent="0.25">
      <c r="B113" s="399" t="s">
        <v>2229</v>
      </c>
      <c r="E113" s="399" t="s">
        <v>148</v>
      </c>
      <c r="F113" s="101">
        <f>'Allocation ProForma'!F756</f>
        <v>0</v>
      </c>
      <c r="G113" s="101">
        <f>'Allocation ProForma'!G756</f>
        <v>0</v>
      </c>
      <c r="H113" s="101">
        <f>'Allocation ProForma'!H756</f>
        <v>0</v>
      </c>
      <c r="I113" s="101">
        <f>'Allocation ProForma'!I756</f>
        <v>0</v>
      </c>
      <c r="J113" s="101">
        <f>'Allocation ProForma'!J756</f>
        <v>0</v>
      </c>
      <c r="K113" s="101">
        <f>'Allocation ProForma'!K756</f>
        <v>0</v>
      </c>
      <c r="L113" s="101">
        <f>'Allocation ProForma'!L756</f>
        <v>0</v>
      </c>
      <c r="M113" s="101">
        <f>'Allocation ProForma'!M756</f>
        <v>0</v>
      </c>
      <c r="N113" s="101">
        <f>'Allocation ProForma'!N756</f>
        <v>0</v>
      </c>
      <c r="O113" s="101">
        <f>'Allocation ProForma'!O756</f>
        <v>0</v>
      </c>
      <c r="P113" s="101">
        <f>'Allocation ProForma'!P756</f>
        <v>0</v>
      </c>
      <c r="Q113" s="101">
        <f>'Allocation ProForma'!Q756</f>
        <v>0</v>
      </c>
      <c r="R113" s="101">
        <f>'Allocation ProForma'!R756</f>
        <v>0</v>
      </c>
      <c r="S113" s="101">
        <f>'Allocation ProForma'!S756</f>
        <v>0</v>
      </c>
      <c r="T113" s="101">
        <f>'Allocation ProForma'!T756</f>
        <v>0</v>
      </c>
    </row>
    <row r="114" spans="1:20" ht="12" hidden="1" customHeight="1" x14ac:dyDescent="0.25">
      <c r="B114" s="399" t="s">
        <v>277</v>
      </c>
      <c r="E114" s="399" t="s">
        <v>424</v>
      </c>
      <c r="F114" s="101">
        <f>'Allocation ProForma'!F757</f>
        <v>0</v>
      </c>
      <c r="G114" s="101">
        <f>'Allocation ProForma'!G757</f>
        <v>0</v>
      </c>
      <c r="H114" s="101">
        <f>'Allocation ProForma'!H757</f>
        <v>0</v>
      </c>
      <c r="I114" s="101">
        <f>'Allocation ProForma'!I757</f>
        <v>0</v>
      </c>
      <c r="J114" s="101">
        <f>'Allocation ProForma'!J757</f>
        <v>0</v>
      </c>
      <c r="K114" s="101">
        <f>'Allocation ProForma'!K757</f>
        <v>0</v>
      </c>
      <c r="L114" s="101">
        <f>'Allocation ProForma'!L757</f>
        <v>0</v>
      </c>
      <c r="M114" s="101">
        <f>'Allocation ProForma'!M757</f>
        <v>0</v>
      </c>
      <c r="N114" s="101">
        <f>'Allocation ProForma'!N757</f>
        <v>0</v>
      </c>
      <c r="O114" s="101">
        <f>'Allocation ProForma'!O757</f>
        <v>0</v>
      </c>
      <c r="P114" s="101">
        <f>'Allocation ProForma'!P757</f>
        <v>0</v>
      </c>
      <c r="Q114" s="101">
        <f>'Allocation ProForma'!Q757</f>
        <v>0</v>
      </c>
      <c r="R114" s="101">
        <f>'Allocation ProForma'!R757</f>
        <v>0</v>
      </c>
      <c r="S114" s="101">
        <f>'Allocation ProForma'!S757</f>
        <v>0</v>
      </c>
      <c r="T114" s="101">
        <f>'Allocation ProForma'!T757</f>
        <v>0</v>
      </c>
    </row>
    <row r="115" spans="1:20" ht="12" hidden="1" customHeight="1" x14ac:dyDescent="0.25">
      <c r="B115" s="422" t="s">
        <v>2228</v>
      </c>
      <c r="E115" s="399" t="s">
        <v>254</v>
      </c>
      <c r="F115" s="101">
        <f>'Allocation ProForma'!F758</f>
        <v>0</v>
      </c>
      <c r="G115" s="101">
        <f>'Allocation ProForma'!G758</f>
        <v>0</v>
      </c>
      <c r="H115" s="101">
        <f>'Allocation ProForma'!H758</f>
        <v>0</v>
      </c>
      <c r="I115" s="101">
        <f>'Allocation ProForma'!I758</f>
        <v>0</v>
      </c>
      <c r="J115" s="101">
        <f>'Allocation ProForma'!J758</f>
        <v>0</v>
      </c>
      <c r="K115" s="101">
        <f>'Allocation ProForma'!K758</f>
        <v>0</v>
      </c>
      <c r="L115" s="101">
        <f>'Allocation ProForma'!L758</f>
        <v>0</v>
      </c>
      <c r="M115" s="101">
        <f>'Allocation ProForma'!M758</f>
        <v>0</v>
      </c>
      <c r="N115" s="101">
        <f>'Allocation ProForma'!N758</f>
        <v>0</v>
      </c>
      <c r="O115" s="101">
        <f>'Allocation ProForma'!O758</f>
        <v>0</v>
      </c>
      <c r="P115" s="101">
        <f>'Allocation ProForma'!P758</f>
        <v>0</v>
      </c>
      <c r="Q115" s="101">
        <f>'Allocation ProForma'!Q758</f>
        <v>0</v>
      </c>
      <c r="R115" s="101">
        <f>'Allocation ProForma'!R758</f>
        <v>0</v>
      </c>
      <c r="S115" s="101">
        <f>'Allocation ProForma'!S758</f>
        <v>0</v>
      </c>
      <c r="T115" s="101">
        <f>'Allocation ProForma'!T758</f>
        <v>0</v>
      </c>
    </row>
    <row r="116" spans="1:20" ht="12" hidden="1" customHeight="1" x14ac:dyDescent="0.25">
      <c r="B116" s="399" t="s">
        <v>1950</v>
      </c>
      <c r="E116" s="399" t="s">
        <v>148</v>
      </c>
      <c r="F116" s="101">
        <f>'Allocation ProForma'!F759</f>
        <v>0</v>
      </c>
      <c r="G116" s="101">
        <f>'Allocation ProForma'!G759</f>
        <v>0</v>
      </c>
      <c r="H116" s="101">
        <f>'Allocation ProForma'!H759</f>
        <v>0</v>
      </c>
      <c r="I116" s="101">
        <f>'Allocation ProForma'!I759</f>
        <v>0</v>
      </c>
      <c r="J116" s="101">
        <f>'Allocation ProForma'!J759</f>
        <v>0</v>
      </c>
      <c r="K116" s="101">
        <f>'Allocation ProForma'!K759</f>
        <v>0</v>
      </c>
      <c r="L116" s="101">
        <f>'Allocation ProForma'!L759</f>
        <v>0</v>
      </c>
      <c r="M116" s="101">
        <f>'Allocation ProForma'!M759</f>
        <v>0</v>
      </c>
      <c r="N116" s="101">
        <f>'Allocation ProForma'!N759</f>
        <v>0</v>
      </c>
      <c r="O116" s="101">
        <f>'Allocation ProForma'!O759</f>
        <v>0</v>
      </c>
      <c r="P116" s="101">
        <f>'Allocation ProForma'!P759</f>
        <v>0</v>
      </c>
      <c r="Q116" s="101">
        <f>'Allocation ProForma'!Q759</f>
        <v>0</v>
      </c>
      <c r="R116" s="101">
        <f>'Allocation ProForma'!R759</f>
        <v>0</v>
      </c>
      <c r="S116" s="101">
        <f>'Allocation ProForma'!S759</f>
        <v>0</v>
      </c>
      <c r="T116" s="101">
        <f>'Allocation ProForma'!T759</f>
        <v>0</v>
      </c>
    </row>
    <row r="117" spans="1:20" ht="12" hidden="1" customHeight="1" x14ac:dyDescent="0.25">
      <c r="B117" s="399" t="s">
        <v>1952</v>
      </c>
      <c r="E117" s="399" t="s">
        <v>424</v>
      </c>
      <c r="F117" s="101">
        <f>'Allocation ProForma'!F760</f>
        <v>0</v>
      </c>
      <c r="G117" s="101">
        <f>'Allocation ProForma'!G760</f>
        <v>0</v>
      </c>
      <c r="H117" s="101">
        <f>'Allocation ProForma'!H760</f>
        <v>0</v>
      </c>
      <c r="I117" s="101">
        <f>'Allocation ProForma'!I760</f>
        <v>0</v>
      </c>
      <c r="J117" s="101">
        <f>'Allocation ProForma'!J760</f>
        <v>0</v>
      </c>
      <c r="K117" s="101">
        <f>'Allocation ProForma'!K760</f>
        <v>0</v>
      </c>
      <c r="L117" s="101">
        <f>'Allocation ProForma'!L760</f>
        <v>0</v>
      </c>
      <c r="M117" s="101">
        <f>'Allocation ProForma'!M760</f>
        <v>0</v>
      </c>
      <c r="N117" s="101">
        <f>'Allocation ProForma'!N760</f>
        <v>0</v>
      </c>
      <c r="O117" s="101">
        <f>'Allocation ProForma'!O760</f>
        <v>0</v>
      </c>
      <c r="P117" s="101">
        <f>'Allocation ProForma'!P760</f>
        <v>0</v>
      </c>
      <c r="Q117" s="101">
        <f>'Allocation ProForma'!Q760</f>
        <v>0</v>
      </c>
      <c r="R117" s="101">
        <f>'Allocation ProForma'!R760</f>
        <v>0</v>
      </c>
      <c r="S117" s="101">
        <f>'Allocation ProForma'!S760</f>
        <v>0</v>
      </c>
      <c r="T117" s="101">
        <f>'Allocation ProForma'!T760</f>
        <v>0</v>
      </c>
    </row>
    <row r="118" spans="1:20" ht="12" hidden="1" customHeight="1" x14ac:dyDescent="0.25">
      <c r="B118" s="399" t="s">
        <v>1877</v>
      </c>
      <c r="E118" s="399" t="s">
        <v>1172</v>
      </c>
      <c r="F118" s="101">
        <f>'Allocation ProForma'!F761</f>
        <v>0</v>
      </c>
      <c r="G118" s="101">
        <f>'Allocation ProForma'!G761</f>
        <v>0</v>
      </c>
      <c r="H118" s="101">
        <f>'Allocation ProForma'!H761</f>
        <v>0</v>
      </c>
      <c r="I118" s="101">
        <f>'Allocation ProForma'!I761</f>
        <v>0</v>
      </c>
      <c r="J118" s="101">
        <f>'Allocation ProForma'!J761</f>
        <v>0</v>
      </c>
      <c r="K118" s="101">
        <f>'Allocation ProForma'!K761</f>
        <v>0</v>
      </c>
      <c r="L118" s="101">
        <f>'Allocation ProForma'!L761</f>
        <v>0</v>
      </c>
      <c r="M118" s="101">
        <f>'Allocation ProForma'!M761</f>
        <v>0</v>
      </c>
      <c r="N118" s="101">
        <f>'Allocation ProForma'!N761</f>
        <v>0</v>
      </c>
      <c r="O118" s="101">
        <f>'Allocation ProForma'!O761</f>
        <v>0</v>
      </c>
      <c r="P118" s="101">
        <f>'Allocation ProForma'!P761</f>
        <v>0</v>
      </c>
      <c r="Q118" s="101">
        <f>'Allocation ProForma'!Q761</f>
        <v>0</v>
      </c>
      <c r="R118" s="101">
        <f>'Allocation ProForma'!R761</f>
        <v>0</v>
      </c>
      <c r="S118" s="101">
        <f>'Allocation ProForma'!S761</f>
        <v>0</v>
      </c>
      <c r="T118" s="101">
        <f>'Allocation ProForma'!T761</f>
        <v>0</v>
      </c>
    </row>
    <row r="119" spans="1:20" ht="12" hidden="1" customHeight="1" x14ac:dyDescent="0.25">
      <c r="B119" s="412" t="s">
        <v>2251</v>
      </c>
      <c r="E119" s="399" t="s">
        <v>1172</v>
      </c>
      <c r="F119" s="101">
        <f>'Allocation ProForma'!F762</f>
        <v>0</v>
      </c>
      <c r="G119" s="101">
        <f>'Allocation ProForma'!G762</f>
        <v>0</v>
      </c>
      <c r="H119" s="101">
        <f>'Allocation ProForma'!H762</f>
        <v>0</v>
      </c>
      <c r="I119" s="101">
        <f>'Allocation ProForma'!I762</f>
        <v>0</v>
      </c>
      <c r="J119" s="101">
        <f>'Allocation ProForma'!J762</f>
        <v>0</v>
      </c>
      <c r="K119" s="101">
        <f>'Allocation ProForma'!K762</f>
        <v>0</v>
      </c>
      <c r="L119" s="101">
        <f>'Allocation ProForma'!L762</f>
        <v>0</v>
      </c>
      <c r="M119" s="101">
        <f>'Allocation ProForma'!M762</f>
        <v>0</v>
      </c>
      <c r="N119" s="101">
        <f>'Allocation ProForma'!N762</f>
        <v>0</v>
      </c>
      <c r="O119" s="101">
        <f>'Allocation ProForma'!O762</f>
        <v>0</v>
      </c>
      <c r="P119" s="101">
        <f>'Allocation ProForma'!P762</f>
        <v>0</v>
      </c>
      <c r="Q119" s="101">
        <f>'Allocation ProForma'!Q762</f>
        <v>0</v>
      </c>
      <c r="R119" s="101">
        <f>'Allocation ProForma'!R762</f>
        <v>0</v>
      </c>
      <c r="S119" s="101">
        <f>'Allocation ProForma'!S762</f>
        <v>0</v>
      </c>
      <c r="T119" s="101">
        <f>'Allocation ProForma'!T762</f>
        <v>0</v>
      </c>
    </row>
    <row r="120" spans="1:20" ht="13.8" x14ac:dyDescent="0.25">
      <c r="B120" s="399" t="s">
        <v>1876</v>
      </c>
      <c r="E120" s="399" t="s">
        <v>1172</v>
      </c>
      <c r="F120" s="101">
        <f>'Allocation ProForma'!F763</f>
        <v>-164668</v>
      </c>
      <c r="G120" s="101">
        <f>'Allocation ProForma'!G763</f>
        <v>-35518.236182472356</v>
      </c>
      <c r="H120" s="101">
        <f>'Allocation ProForma'!H763</f>
        <v>-39726.29934004035</v>
      </c>
      <c r="I120" s="101">
        <f>'Allocation ProForma'!I763</f>
        <v>0</v>
      </c>
      <c r="J120" s="101">
        <f>'Allocation ProForma'!J763</f>
        <v>-1283.1720437516747</v>
      </c>
      <c r="K120" s="101">
        <f>'Allocation ProForma'!K763</f>
        <v>0</v>
      </c>
      <c r="L120" s="101">
        <f>'Allocation ProForma'!L763</f>
        <v>-33035.518645056291</v>
      </c>
      <c r="M120" s="101">
        <f>'Allocation ProForma'!M763</f>
        <v>-3070.9623971645615</v>
      </c>
      <c r="N120" s="101">
        <f>'Allocation ProForma'!N763</f>
        <v>-13636.258824205775</v>
      </c>
      <c r="O120" s="101">
        <f>'Allocation ProForma'!O763</f>
        <v>-18858.240714199303</v>
      </c>
      <c r="P120" s="101">
        <f>'Allocation ProForma'!P763</f>
        <v>-7021.2665814605771</v>
      </c>
      <c r="Q120" s="101">
        <f>'Allocation ProForma'!Q763</f>
        <v>-3441.0688816793581</v>
      </c>
      <c r="R120" s="101">
        <f>'Allocation ProForma'!R763</f>
        <v>-9037.7462919777681</v>
      </c>
      <c r="S120" s="101">
        <f>'Allocation ProForma'!S763</f>
        <v>-9.5252011639152077</v>
      </c>
      <c r="T120" s="101">
        <f>'Allocation ProForma'!T763</f>
        <v>-29.705715218506327</v>
      </c>
    </row>
    <row r="121" spans="1:20" ht="13.8" x14ac:dyDescent="0.25">
      <c r="A121" s="399" t="s">
        <v>944</v>
      </c>
      <c r="F121" s="100">
        <f t="shared" ref="F121:T121" si="9">SUM(F102:F120)</f>
        <v>-1002784</v>
      </c>
      <c r="G121" s="100">
        <f t="shared" si="9"/>
        <v>-352879.10579077801</v>
      </c>
      <c r="H121" s="100">
        <f t="shared" si="9"/>
        <v>-153174.11363060167</v>
      </c>
      <c r="I121" s="100">
        <f t="shared" si="9"/>
        <v>0</v>
      </c>
      <c r="J121" s="100">
        <f t="shared" si="9"/>
        <v>-8172.4231749146184</v>
      </c>
      <c r="K121" s="100">
        <f t="shared" si="9"/>
        <v>0</v>
      </c>
      <c r="L121" s="100">
        <f t="shared" si="9"/>
        <v>-132877.33620841091</v>
      </c>
      <c r="M121" s="100">
        <f t="shared" si="9"/>
        <v>-11054.814368993537</v>
      </c>
      <c r="N121" s="100">
        <f t="shared" si="9"/>
        <v>-80525.766658321343</v>
      </c>
      <c r="O121" s="100">
        <f t="shared" si="9"/>
        <v>-162825.21024131944</v>
      </c>
      <c r="P121" s="100">
        <f t="shared" si="9"/>
        <v>-56645.578801812837</v>
      </c>
      <c r="Q121" s="100">
        <f t="shared" si="9"/>
        <v>-20548.095458007068</v>
      </c>
      <c r="R121" s="100">
        <f t="shared" si="9"/>
        <v>-23935.889477986275</v>
      </c>
      <c r="S121" s="100">
        <f t="shared" si="9"/>
        <v>-26.390659099161383</v>
      </c>
      <c r="T121" s="100">
        <f t="shared" si="9"/>
        <v>-119.27634814559315</v>
      </c>
    </row>
    <row r="122" spans="1:20" ht="12" customHeight="1" x14ac:dyDescent="0.25">
      <c r="F122" s="101"/>
      <c r="G122" s="101"/>
      <c r="H122" s="101"/>
      <c r="I122" s="101"/>
      <c r="J122" s="101"/>
      <c r="K122" s="101"/>
      <c r="L122" s="266"/>
      <c r="M122" s="266"/>
      <c r="N122" s="266"/>
      <c r="O122" s="266"/>
      <c r="P122" s="101"/>
      <c r="Q122" s="101"/>
      <c r="R122" s="101"/>
      <c r="S122" s="101"/>
      <c r="T122" s="101"/>
    </row>
    <row r="123" spans="1:20" ht="12" customHeight="1" x14ac:dyDescent="0.25"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</row>
    <row r="124" spans="1:20" ht="12" customHeight="1" x14ac:dyDescent="0.25">
      <c r="F124" s="413"/>
      <c r="G124" s="413"/>
    </row>
    <row r="125" spans="1:20" ht="13.8" x14ac:dyDescent="0.25">
      <c r="A125" s="399" t="s">
        <v>440</v>
      </c>
      <c r="D125" s="399" t="s">
        <v>398</v>
      </c>
      <c r="F125" s="410">
        <f t="shared" ref="F125:T125" si="10">SUM(F91:F120)</f>
        <v>1282816900.7187505</v>
      </c>
      <c r="G125" s="410">
        <f t="shared" si="10"/>
        <v>511408192.39446807</v>
      </c>
      <c r="H125" s="410">
        <f t="shared" si="10"/>
        <v>160822533.94149303</v>
      </c>
      <c r="I125" s="410">
        <f t="shared" si="10"/>
        <v>0</v>
      </c>
      <c r="J125" s="410">
        <f t="shared" si="10"/>
        <v>10408632.142034343</v>
      </c>
      <c r="K125" s="410">
        <f t="shared" si="10"/>
        <v>0</v>
      </c>
      <c r="L125" s="410">
        <f t="shared" si="10"/>
        <v>142002254.38477203</v>
      </c>
      <c r="M125" s="410">
        <f t="shared" si="10"/>
        <v>11114608.463303357</v>
      </c>
      <c r="N125" s="410">
        <f t="shared" si="10"/>
        <v>100786485.0749246</v>
      </c>
      <c r="O125" s="410">
        <f t="shared" si="10"/>
        <v>224597404.36438584</v>
      </c>
      <c r="P125" s="410">
        <f t="shared" si="10"/>
        <v>77329833.437045261</v>
      </c>
      <c r="Q125" s="410">
        <f t="shared" si="10"/>
        <v>26365373.827251494</v>
      </c>
      <c r="R125" s="410">
        <f t="shared" si="10"/>
        <v>17830107.087799683</v>
      </c>
      <c r="S125" s="410">
        <f t="shared" si="10"/>
        <v>22584.584980686261</v>
      </c>
      <c r="T125" s="410">
        <f t="shared" si="10"/>
        <v>128891.43375303769</v>
      </c>
    </row>
    <row r="126" spans="1:20" ht="12" customHeight="1" x14ac:dyDescent="0.25">
      <c r="F126" s="410"/>
    </row>
    <row r="127" spans="1:20" ht="13.8" x14ac:dyDescent="0.25">
      <c r="A127" s="399" t="s">
        <v>937</v>
      </c>
      <c r="F127" s="410">
        <f t="shared" ref="F127:T127" si="11">F86-F125</f>
        <v>202510539.22212481</v>
      </c>
      <c r="G127" s="410">
        <f t="shared" si="11"/>
        <v>65539878.493965149</v>
      </c>
      <c r="H127" s="410">
        <f t="shared" si="11"/>
        <v>38440889.094035864</v>
      </c>
      <c r="I127" s="410">
        <f t="shared" si="11"/>
        <v>0</v>
      </c>
      <c r="J127" s="410">
        <f t="shared" si="11"/>
        <v>1565669.0607643202</v>
      </c>
      <c r="K127" s="410">
        <f t="shared" si="11"/>
        <v>0</v>
      </c>
      <c r="L127" s="410">
        <f t="shared" si="11"/>
        <v>31712950.470372051</v>
      </c>
      <c r="M127" s="410">
        <f t="shared" si="11"/>
        <v>2780997.4851369224</v>
      </c>
      <c r="N127" s="410">
        <f t="shared" si="11"/>
        <v>15581064.85602802</v>
      </c>
      <c r="O127" s="410">
        <f t="shared" si="11"/>
        <v>26020644.674980938</v>
      </c>
      <c r="P127" s="410">
        <f t="shared" si="11"/>
        <v>9041036.6408576369</v>
      </c>
      <c r="Q127" s="410">
        <f t="shared" si="11"/>
        <v>3499011.0719928667</v>
      </c>
      <c r="R127" s="410">
        <f t="shared" si="11"/>
        <v>8293885.3604720868</v>
      </c>
      <c r="S127" s="410">
        <f t="shared" si="11"/>
        <v>7040.1069435470126</v>
      </c>
      <c r="T127" s="410">
        <f t="shared" si="11"/>
        <v>27471.489114305106</v>
      </c>
    </row>
    <row r="129" spans="1:20" ht="13.8" x14ac:dyDescent="0.25">
      <c r="A129" s="411" t="s">
        <v>420</v>
      </c>
      <c r="F129" s="410">
        <f t="shared" ref="F129:T129" si="12">F42</f>
        <v>3639079759.3610182</v>
      </c>
      <c r="G129" s="410">
        <f t="shared" si="12"/>
        <v>1716633054.3461716</v>
      </c>
      <c r="H129" s="410">
        <f t="shared" si="12"/>
        <v>441219651.03133303</v>
      </c>
      <c r="I129" s="410">
        <f t="shared" si="12"/>
        <v>0</v>
      </c>
      <c r="J129" s="410">
        <f t="shared" si="12"/>
        <v>28182297.978403468</v>
      </c>
      <c r="K129" s="410">
        <f t="shared" si="12"/>
        <v>0</v>
      </c>
      <c r="L129" s="410">
        <f t="shared" si="12"/>
        <v>347387075.53153688</v>
      </c>
      <c r="M129" s="410">
        <f t="shared" si="12"/>
        <v>25275870.378223237</v>
      </c>
      <c r="N129" s="410">
        <f t="shared" si="12"/>
        <v>248673397.50148326</v>
      </c>
      <c r="O129" s="410">
        <f t="shared" si="12"/>
        <v>533415050.36546725</v>
      </c>
      <c r="P129" s="410">
        <f t="shared" si="12"/>
        <v>170797076.92138174</v>
      </c>
      <c r="Q129" s="410">
        <f t="shared" si="12"/>
        <v>45005985.731704071</v>
      </c>
      <c r="R129" s="410">
        <f t="shared" si="12"/>
        <v>82196367.310438812</v>
      </c>
      <c r="S129" s="410">
        <f t="shared" si="12"/>
        <v>15193.548301309937</v>
      </c>
      <c r="T129" s="410">
        <f t="shared" si="12"/>
        <v>278738.71657262801</v>
      </c>
    </row>
    <row r="130" spans="1:20" ht="12" hidden="1" customHeight="1" x14ac:dyDescent="0.25">
      <c r="A130" s="411" t="s">
        <v>2337</v>
      </c>
      <c r="E130" s="399" t="s">
        <v>411</v>
      </c>
      <c r="F130" s="410">
        <f>'Allocation ProForma'!F773</f>
        <v>0</v>
      </c>
      <c r="G130" s="100">
        <f>'Allocation ProForma'!G773</f>
        <v>0</v>
      </c>
      <c r="H130" s="100">
        <f>'Allocation ProForma'!H773</f>
        <v>0</v>
      </c>
      <c r="I130" s="100">
        <f>'Allocation ProForma'!I773</f>
        <v>0</v>
      </c>
      <c r="J130" s="100">
        <f>'Allocation ProForma'!J773</f>
        <v>0</v>
      </c>
      <c r="K130" s="100">
        <f>'Allocation ProForma'!K773</f>
        <v>0</v>
      </c>
      <c r="L130" s="100">
        <f>'Allocation ProForma'!L773</f>
        <v>0</v>
      </c>
      <c r="M130" s="100">
        <f>'Allocation ProForma'!M773</f>
        <v>0</v>
      </c>
      <c r="N130" s="100">
        <f>'Allocation ProForma'!N773</f>
        <v>0</v>
      </c>
      <c r="O130" s="100">
        <f>'Allocation ProForma'!O773</f>
        <v>0</v>
      </c>
      <c r="P130" s="100">
        <f>'Allocation ProForma'!P773</f>
        <v>0</v>
      </c>
      <c r="Q130" s="100">
        <f>'Allocation ProForma'!Q773</f>
        <v>0</v>
      </c>
      <c r="R130" s="100">
        <f>'Allocation ProForma'!R773</f>
        <v>0</v>
      </c>
      <c r="S130" s="100">
        <f>'Allocation ProForma'!S773</f>
        <v>0</v>
      </c>
      <c r="T130" s="100">
        <f>'Allocation ProForma'!T773</f>
        <v>0</v>
      </c>
    </row>
    <row r="131" spans="1:20" ht="12" hidden="1" customHeight="1" x14ac:dyDescent="0.25">
      <c r="A131" s="411" t="s">
        <v>2337</v>
      </c>
      <c r="E131" s="399" t="s">
        <v>1754</v>
      </c>
      <c r="F131" s="410">
        <f>'Allocation ProForma'!F774</f>
        <v>0</v>
      </c>
      <c r="G131" s="100">
        <f>'Allocation ProForma'!G774</f>
        <v>0</v>
      </c>
      <c r="H131" s="100">
        <f>'Allocation ProForma'!H774</f>
        <v>0</v>
      </c>
      <c r="I131" s="100">
        <f>'Allocation ProForma'!I774</f>
        <v>0</v>
      </c>
      <c r="J131" s="100">
        <f>'Allocation ProForma'!J774</f>
        <v>0</v>
      </c>
      <c r="K131" s="100">
        <f>'Allocation ProForma'!K774</f>
        <v>0</v>
      </c>
      <c r="L131" s="100">
        <f>'Allocation ProForma'!L774</f>
        <v>0</v>
      </c>
      <c r="M131" s="100">
        <f>'Allocation ProForma'!M774</f>
        <v>0</v>
      </c>
      <c r="N131" s="100">
        <f>'Allocation ProForma'!N774</f>
        <v>0</v>
      </c>
      <c r="O131" s="100">
        <f>'Allocation ProForma'!O774</f>
        <v>0</v>
      </c>
      <c r="P131" s="100">
        <f>'Allocation ProForma'!P774</f>
        <v>0</v>
      </c>
      <c r="Q131" s="100">
        <f>'Allocation ProForma'!Q774</f>
        <v>0</v>
      </c>
      <c r="R131" s="100">
        <f>'Allocation ProForma'!R774</f>
        <v>0</v>
      </c>
      <c r="S131" s="100">
        <f>'Allocation ProForma'!S774</f>
        <v>0</v>
      </c>
      <c r="T131" s="100">
        <f>'Allocation ProForma'!T774</f>
        <v>0</v>
      </c>
    </row>
    <row r="132" spans="1:20" ht="12" hidden="1" customHeight="1" x14ac:dyDescent="0.25">
      <c r="A132" s="411" t="s">
        <v>2337</v>
      </c>
      <c r="E132" s="399" t="s">
        <v>532</v>
      </c>
      <c r="F132" s="410">
        <f>'Allocation ProForma'!F775</f>
        <v>0</v>
      </c>
      <c r="G132" s="100">
        <f>'Allocation ProForma'!G775</f>
        <v>0</v>
      </c>
      <c r="H132" s="100">
        <f>'Allocation ProForma'!H775</f>
        <v>0</v>
      </c>
      <c r="I132" s="100">
        <f>'Allocation ProForma'!I775</f>
        <v>0</v>
      </c>
      <c r="J132" s="100">
        <f>'Allocation ProForma'!J775</f>
        <v>0</v>
      </c>
      <c r="K132" s="100">
        <f>'Allocation ProForma'!K775</f>
        <v>0</v>
      </c>
      <c r="L132" s="100">
        <f>'Allocation ProForma'!L775</f>
        <v>0</v>
      </c>
      <c r="M132" s="100">
        <f>'Allocation ProForma'!M775</f>
        <v>0</v>
      </c>
      <c r="N132" s="100">
        <f>'Allocation ProForma'!N775</f>
        <v>0</v>
      </c>
      <c r="O132" s="100">
        <f>'Allocation ProForma'!O775</f>
        <v>0</v>
      </c>
      <c r="P132" s="100">
        <f>'Allocation ProForma'!P775</f>
        <v>0</v>
      </c>
      <c r="Q132" s="100">
        <f>'Allocation ProForma'!Q775</f>
        <v>0</v>
      </c>
      <c r="R132" s="100">
        <f>'Allocation ProForma'!R775</f>
        <v>0</v>
      </c>
      <c r="S132" s="100">
        <f>'Allocation ProForma'!S775</f>
        <v>0</v>
      </c>
      <c r="T132" s="100">
        <f>'Allocation ProForma'!T775</f>
        <v>0</v>
      </c>
    </row>
    <row r="133" spans="1:20" ht="12" hidden="1" customHeight="1" x14ac:dyDescent="0.25">
      <c r="A133" s="423" t="s">
        <v>731</v>
      </c>
      <c r="B133" s="424"/>
      <c r="C133" s="424"/>
      <c r="D133" s="424"/>
      <c r="E133" s="424"/>
      <c r="F133" s="410">
        <f t="shared" ref="F133:T133" si="13">SUM(F129:F132)</f>
        <v>3639079759.3610182</v>
      </c>
      <c r="G133" s="425">
        <f t="shared" si="13"/>
        <v>1716633054.3461716</v>
      </c>
      <c r="H133" s="425">
        <f t="shared" si="13"/>
        <v>441219651.03133303</v>
      </c>
      <c r="I133" s="425">
        <f>SUM(I129:I132)</f>
        <v>0</v>
      </c>
      <c r="J133" s="425">
        <f t="shared" si="13"/>
        <v>28182297.978403468</v>
      </c>
      <c r="K133" s="425">
        <f>SUM(K129:K132)</f>
        <v>0</v>
      </c>
      <c r="L133" s="410">
        <f t="shared" si="13"/>
        <v>347387075.53153688</v>
      </c>
      <c r="M133" s="410">
        <f t="shared" si="13"/>
        <v>25275870.378223237</v>
      </c>
      <c r="N133" s="410">
        <f t="shared" si="13"/>
        <v>248673397.50148326</v>
      </c>
      <c r="O133" s="410">
        <f t="shared" si="13"/>
        <v>533415050.36546725</v>
      </c>
      <c r="P133" s="410">
        <f t="shared" si="13"/>
        <v>170797076.92138174</v>
      </c>
      <c r="Q133" s="425">
        <f t="shared" si="13"/>
        <v>45005985.731704071</v>
      </c>
      <c r="R133" s="425">
        <f t="shared" si="13"/>
        <v>82196367.310438812</v>
      </c>
      <c r="S133" s="425">
        <f t="shared" si="13"/>
        <v>15193.548301309937</v>
      </c>
      <c r="T133" s="425">
        <f t="shared" si="13"/>
        <v>278738.71657262801</v>
      </c>
    </row>
    <row r="134" spans="1:20" ht="12" customHeight="1" thickBot="1" x14ac:dyDescent="0.3"/>
    <row r="135" spans="1:20" ht="15" customHeight="1" thickBot="1" x14ac:dyDescent="0.3">
      <c r="A135" s="426" t="s">
        <v>441</v>
      </c>
      <c r="B135" s="427"/>
      <c r="C135" s="427"/>
      <c r="D135" s="427"/>
      <c r="E135" s="427"/>
      <c r="F135" s="428">
        <f t="shared" ref="F135:T135" si="14">F127/F133</f>
        <v>5.5648832290964519E-2</v>
      </c>
      <c r="G135" s="428">
        <f t="shared" si="14"/>
        <v>3.8179317547236601E-2</v>
      </c>
      <c r="H135" s="428">
        <f t="shared" si="14"/>
        <v>8.712415461138652E-2</v>
      </c>
      <c r="I135" s="428" t="e">
        <f>I127/I133</f>
        <v>#DIV/0!</v>
      </c>
      <c r="J135" s="428">
        <f t="shared" si="14"/>
        <v>5.5555053103338727E-2</v>
      </c>
      <c r="K135" s="428" t="e">
        <f>K127/K133</f>
        <v>#DIV/0!</v>
      </c>
      <c r="L135" s="428">
        <f t="shared" si="14"/>
        <v>9.1289954935278098E-2</v>
      </c>
      <c r="M135" s="428">
        <f t="shared" si="14"/>
        <v>0.11002578520630997</v>
      </c>
      <c r="N135" s="428">
        <f t="shared" si="14"/>
        <v>6.2656741784915232E-2</v>
      </c>
      <c r="O135" s="428">
        <f t="shared" si="14"/>
        <v>4.8781234532383359E-2</v>
      </c>
      <c r="P135" s="428">
        <f t="shared" si="14"/>
        <v>5.2934375715453522E-2</v>
      </c>
      <c r="Q135" s="428">
        <f t="shared" si="14"/>
        <v>7.7745460189488066E-2</v>
      </c>
      <c r="R135" s="428">
        <f t="shared" si="14"/>
        <v>0.10090330791807117</v>
      </c>
      <c r="S135" s="428">
        <f t="shared" si="14"/>
        <v>0.46336160611935778</v>
      </c>
      <c r="T135" s="428">
        <f t="shared" si="14"/>
        <v>9.8556416747894254E-2</v>
      </c>
    </row>
  </sheetData>
  <autoFilter ref="D2:E136"/>
  <printOptions horizontalCentered="1"/>
  <pageMargins left="0.4" right="0.4" top="1.8" bottom="0.5" header="0.74" footer="0.5"/>
  <pageSetup scale="67" fitToWidth="2" fitToHeight="2" pageOrder="overThenDown" orientation="landscape" r:id="rId1"/>
  <headerFooter alignWithMargins="0">
    <oddHeader>&amp;C&amp;"Times New Roman,Bold"&amp;12KENTUCKY UTILITIES COMPANY
Cost of Service Study
Class Allocation
12 Months Ended June 30, 2018
5 CP METHODOLOGY</oddHeader>
  </headerFooter>
  <rowBreaks count="1" manualBreakCount="1">
    <brk id="65" max="16383" man="1"/>
  </rowBreaks>
  <colBreaks count="1" manualBreakCount="1">
    <brk id="14" min="3" max="1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1064"/>
  <sheetViews>
    <sheetView tabSelected="1" zoomScaleNormal="100" zoomScaleSheetLayoutView="75" workbookViewId="0">
      <pane xSplit="6" ySplit="3" topLeftCell="G4" activePane="bottomRight" state="frozen"/>
      <selection pane="topRight" activeCell="G1" sqref="G1"/>
      <selection pane="bottomLeft" activeCell="A4" sqref="A4"/>
      <selection pane="bottomRight"/>
    </sheetView>
  </sheetViews>
  <sheetFormatPr defaultColWidth="9.109375" defaultRowHeight="12" customHeight="1" x14ac:dyDescent="0.25"/>
  <cols>
    <col min="1" max="1" width="7.6640625" style="97" customWidth="1"/>
    <col min="2" max="2" width="25.88671875" style="97" customWidth="1"/>
    <col min="3" max="3" width="12.5546875" style="97" customWidth="1"/>
    <col min="4" max="4" width="11.88671875" style="97" customWidth="1"/>
    <col min="5" max="5" width="16.33203125" style="97" bestFit="1" customWidth="1"/>
    <col min="6" max="6" width="19.44140625" style="97" customWidth="1"/>
    <col min="7" max="7" width="24.33203125" style="97" bestFit="1" customWidth="1"/>
    <col min="8" max="8" width="20.44140625" style="97" customWidth="1"/>
    <col min="9" max="9" width="20.44140625" style="97" hidden="1" customWidth="1"/>
    <col min="10" max="10" width="19.88671875" style="97" customWidth="1"/>
    <col min="11" max="11" width="19.88671875" style="97" hidden="1" customWidth="1"/>
    <col min="12" max="12" width="23.6640625" style="97" customWidth="1"/>
    <col min="13" max="14" width="20.109375" style="97" customWidth="1"/>
    <col min="15" max="15" width="21.109375" style="97" customWidth="1"/>
    <col min="16" max="16" width="19.88671875" style="97" customWidth="1"/>
    <col min="17" max="17" width="21.109375" style="97" bestFit="1" customWidth="1"/>
    <col min="18" max="20" width="17.6640625" style="97" customWidth="1"/>
    <col min="21" max="21" width="18" style="97" customWidth="1"/>
    <col min="22" max="22" width="19.109375" style="97" customWidth="1"/>
    <col min="23" max="23" width="16.88671875" style="97" customWidth="1"/>
    <col min="24" max="24" width="25.5546875" style="97" customWidth="1"/>
    <col min="25" max="25" width="15.88671875" style="97" bestFit="1" customWidth="1"/>
    <col min="26" max="26" width="25.88671875" style="97" bestFit="1" customWidth="1"/>
    <col min="27" max="28" width="10.33203125" style="97" bestFit="1" customWidth="1"/>
    <col min="29" max="29" width="11.6640625" style="97" bestFit="1" customWidth="1"/>
    <col min="30" max="30" width="21.6640625" style="97" customWidth="1"/>
    <col min="31" max="31" width="20.5546875" style="97" customWidth="1"/>
    <col min="32" max="32" width="13.88671875" style="97" customWidth="1"/>
    <col min="33" max="16384" width="9.109375" style="97"/>
  </cols>
  <sheetData>
    <row r="1" spans="1:25" ht="12" customHeight="1" x14ac:dyDescent="0.25">
      <c r="A1" s="95"/>
      <c r="B1" s="95"/>
      <c r="C1" s="95"/>
      <c r="D1" s="95">
        <v>1</v>
      </c>
      <c r="E1" s="95">
        <f>D1+1</f>
        <v>2</v>
      </c>
      <c r="F1" s="95">
        <f t="shared" ref="F1:T1" si="0">E1+1</f>
        <v>3</v>
      </c>
      <c r="G1" s="95">
        <f t="shared" si="0"/>
        <v>4</v>
      </c>
      <c r="H1" s="95">
        <f t="shared" si="0"/>
        <v>5</v>
      </c>
      <c r="I1" s="95">
        <f t="shared" si="0"/>
        <v>6</v>
      </c>
      <c r="J1" s="95">
        <f t="shared" si="0"/>
        <v>7</v>
      </c>
      <c r="K1" s="95">
        <f t="shared" si="0"/>
        <v>8</v>
      </c>
      <c r="L1" s="95">
        <f t="shared" si="0"/>
        <v>9</v>
      </c>
      <c r="M1" s="95">
        <f t="shared" si="0"/>
        <v>10</v>
      </c>
      <c r="N1" s="95">
        <f t="shared" si="0"/>
        <v>11</v>
      </c>
      <c r="O1" s="95">
        <f t="shared" si="0"/>
        <v>12</v>
      </c>
      <c r="P1" s="95">
        <f t="shared" si="0"/>
        <v>13</v>
      </c>
      <c r="Q1" s="95">
        <f>P1+1</f>
        <v>14</v>
      </c>
      <c r="R1" s="95">
        <f t="shared" si="0"/>
        <v>15</v>
      </c>
      <c r="S1" s="95">
        <f t="shared" si="0"/>
        <v>16</v>
      </c>
      <c r="T1" s="95">
        <f t="shared" si="0"/>
        <v>17</v>
      </c>
    </row>
    <row r="2" spans="1:25" s="242" customFormat="1" ht="17.25" customHeight="1" x14ac:dyDescent="0.25">
      <c r="A2" s="238"/>
      <c r="B2" s="238"/>
      <c r="C2" s="238"/>
      <c r="D2" s="239"/>
      <c r="E2" s="240" t="s">
        <v>408</v>
      </c>
      <c r="F2" s="29" t="s">
        <v>68</v>
      </c>
      <c r="G2" s="241" t="s">
        <v>1550</v>
      </c>
      <c r="H2" s="241" t="s">
        <v>2310</v>
      </c>
      <c r="I2" s="241" t="s">
        <v>2337</v>
      </c>
      <c r="J2" s="241" t="s">
        <v>2338</v>
      </c>
      <c r="K2" s="241" t="s">
        <v>2337</v>
      </c>
      <c r="L2" s="241" t="s">
        <v>1878</v>
      </c>
      <c r="M2" s="241" t="s">
        <v>1878</v>
      </c>
      <c r="N2" s="241" t="s">
        <v>1881</v>
      </c>
      <c r="O2" s="241" t="s">
        <v>1881</v>
      </c>
      <c r="P2" s="241" t="s">
        <v>1884</v>
      </c>
      <c r="Q2" s="241" t="s">
        <v>2201</v>
      </c>
      <c r="R2" s="241" t="s">
        <v>2223</v>
      </c>
      <c r="S2" s="241" t="s">
        <v>2224</v>
      </c>
      <c r="T2" s="328" t="s">
        <v>2255</v>
      </c>
      <c r="U2" s="241"/>
      <c r="W2" s="238"/>
      <c r="X2" s="39"/>
    </row>
    <row r="3" spans="1:25" ht="17.25" customHeight="1" thickBot="1" x14ac:dyDescent="0.3">
      <c r="A3" s="30" t="s">
        <v>105</v>
      </c>
      <c r="B3" s="30"/>
      <c r="C3" s="31" t="s">
        <v>1691</v>
      </c>
      <c r="D3" s="32" t="s">
        <v>106</v>
      </c>
      <c r="E3" s="32" t="s">
        <v>107</v>
      </c>
      <c r="F3" s="22" t="s">
        <v>108</v>
      </c>
      <c r="G3" s="31" t="s">
        <v>1811</v>
      </c>
      <c r="H3" s="31" t="s">
        <v>2336</v>
      </c>
      <c r="I3" s="31"/>
      <c r="J3" s="31" t="s">
        <v>2339</v>
      </c>
      <c r="K3" s="31"/>
      <c r="L3" s="31" t="s">
        <v>1879</v>
      </c>
      <c r="M3" s="31" t="s">
        <v>1880</v>
      </c>
      <c r="N3" s="31" t="s">
        <v>1882</v>
      </c>
      <c r="O3" s="278" t="s">
        <v>2252</v>
      </c>
      <c r="P3" s="31" t="s">
        <v>1875</v>
      </c>
      <c r="Q3" s="31" t="s">
        <v>2219</v>
      </c>
      <c r="R3" s="31" t="s">
        <v>2231</v>
      </c>
      <c r="S3" s="31" t="s">
        <v>2218</v>
      </c>
      <c r="T3" s="278" t="s">
        <v>2256</v>
      </c>
      <c r="U3" s="22"/>
      <c r="V3" s="22" t="s">
        <v>112</v>
      </c>
      <c r="W3" s="22" t="s">
        <v>113</v>
      </c>
      <c r="X3" s="22" t="s">
        <v>849</v>
      </c>
    </row>
    <row r="5" spans="1:25" ht="12" customHeight="1" x14ac:dyDescent="0.25">
      <c r="A5" s="23" t="s">
        <v>114</v>
      </c>
    </row>
    <row r="7" spans="1:25" ht="12" customHeight="1" x14ac:dyDescent="0.25">
      <c r="A7" s="24" t="s">
        <v>149</v>
      </c>
    </row>
    <row r="8" spans="1:25" ht="12" customHeight="1" x14ac:dyDescent="0.25">
      <c r="A8" s="107" t="s">
        <v>139</v>
      </c>
      <c r="C8" s="97" t="s">
        <v>188</v>
      </c>
      <c r="D8" s="97" t="s">
        <v>150</v>
      </c>
      <c r="E8" s="397" t="s">
        <v>2455</v>
      </c>
      <c r="F8" s="100">
        <f>VLOOKUP(C8,'Functional Assignment'!$C$1:$AU$771,6,)</f>
        <v>1460538244.8090184</v>
      </c>
      <c r="G8" s="100">
        <f t="shared" ref="G8:T13" si="1">IF(VLOOKUP($E8,$D$5:$AJ$945,3,)=0,0,(VLOOKUP($E8,$D$5:$AJ$945,G$1,)/VLOOKUP($E8,$D$5:$AJ$945,3,))*$F8)</f>
        <v>597874406.71628726</v>
      </c>
      <c r="H8" s="100">
        <f t="shared" si="1"/>
        <v>165950026.57824647</v>
      </c>
      <c r="I8" s="100">
        <f t="shared" si="1"/>
        <v>0</v>
      </c>
      <c r="J8" s="100">
        <f t="shared" si="1"/>
        <v>12496095.118623674</v>
      </c>
      <c r="K8" s="100">
        <f t="shared" si="1"/>
        <v>0</v>
      </c>
      <c r="L8" s="100">
        <f t="shared" si="1"/>
        <v>166806282.4755739</v>
      </c>
      <c r="M8" s="100">
        <f t="shared" si="1"/>
        <v>12282767.382741638</v>
      </c>
      <c r="N8" s="100">
        <f t="shared" si="1"/>
        <v>121813886.63508615</v>
      </c>
      <c r="O8" s="100">
        <f t="shared" si="1"/>
        <v>266415787.97508278</v>
      </c>
      <c r="P8" s="100">
        <f t="shared" si="1"/>
        <v>92627475.453211129</v>
      </c>
      <c r="Q8" s="100">
        <f t="shared" si="1"/>
        <v>24196843.163728882</v>
      </c>
      <c r="R8" s="100">
        <f t="shared" si="1"/>
        <v>0</v>
      </c>
      <c r="S8" s="100">
        <f t="shared" si="1"/>
        <v>0</v>
      </c>
      <c r="T8" s="100">
        <f t="shared" si="1"/>
        <v>74673.310436464555</v>
      </c>
      <c r="U8" s="100"/>
      <c r="V8" s="102">
        <f>SUM(G8:T8)</f>
        <v>1460538244.8090186</v>
      </c>
      <c r="W8" s="98" t="str">
        <f t="shared" ref="W8:W14" si="2">IF(ABS(F8-V8)&lt;0.01,"ok","err")</f>
        <v>ok</v>
      </c>
      <c r="X8" s="243" t="str">
        <f t="shared" ref="X8:X14" si="3">IF(W8="err",V8-F8,"")</f>
        <v/>
      </c>
    </row>
    <row r="9" spans="1:25" ht="12" customHeight="1" x14ac:dyDescent="0.25">
      <c r="A9" s="107" t="s">
        <v>143</v>
      </c>
      <c r="C9" s="97" t="s">
        <v>188</v>
      </c>
      <c r="D9" s="97" t="s">
        <v>151</v>
      </c>
      <c r="E9" s="397" t="s">
        <v>2455</v>
      </c>
      <c r="F9" s="101">
        <f>VLOOKUP(C9,'Functional Assignment'!$C$1:$AU$771,7,)</f>
        <v>1530006255.2164052</v>
      </c>
      <c r="G9" s="101">
        <f t="shared" si="1"/>
        <v>626311283.09093368</v>
      </c>
      <c r="H9" s="101">
        <f t="shared" si="1"/>
        <v>173843156.53524473</v>
      </c>
      <c r="I9" s="101">
        <f t="shared" si="1"/>
        <v>0</v>
      </c>
      <c r="J9" s="101">
        <f t="shared" si="1"/>
        <v>13090450.56863502</v>
      </c>
      <c r="K9" s="101">
        <f t="shared" si="1"/>
        <v>0</v>
      </c>
      <c r="L9" s="101">
        <f t="shared" si="1"/>
        <v>174740138.78383228</v>
      </c>
      <c r="M9" s="101">
        <f t="shared" si="1"/>
        <v>12866976.262864035</v>
      </c>
      <c r="N9" s="101">
        <f t="shared" si="1"/>
        <v>127607756.37770075</v>
      </c>
      <c r="O9" s="101">
        <f t="shared" si="1"/>
        <v>279087400.51075125</v>
      </c>
      <c r="P9" s="101">
        <f t="shared" si="1"/>
        <v>97033143.330559343</v>
      </c>
      <c r="Q9" s="101">
        <f t="shared" si="1"/>
        <v>25347724.73680513</v>
      </c>
      <c r="R9" s="101">
        <f t="shared" si="1"/>
        <v>0</v>
      </c>
      <c r="S9" s="101">
        <f t="shared" si="1"/>
        <v>0</v>
      </c>
      <c r="T9" s="101">
        <f t="shared" si="1"/>
        <v>78225.019078803234</v>
      </c>
      <c r="U9" s="101"/>
      <c r="V9" s="101">
        <f t="shared" ref="V9:V14" si="4">SUM(G9:T9)</f>
        <v>1530006255.2164049</v>
      </c>
      <c r="W9" s="98" t="str">
        <f t="shared" si="2"/>
        <v>ok</v>
      </c>
      <c r="X9" s="102" t="str">
        <f t="shared" si="3"/>
        <v/>
      </c>
    </row>
    <row r="10" spans="1:25" ht="12" customHeight="1" x14ac:dyDescent="0.25">
      <c r="A10" s="107" t="s">
        <v>140</v>
      </c>
      <c r="C10" s="97" t="s">
        <v>188</v>
      </c>
      <c r="D10" s="97" t="s">
        <v>152</v>
      </c>
      <c r="E10" s="397" t="s">
        <v>2455</v>
      </c>
      <c r="F10" s="101">
        <f>VLOOKUP(C10,'Functional Assignment'!$C$1:$AU$771,8,)</f>
        <v>1257659982.5752206</v>
      </c>
      <c r="G10" s="101">
        <f t="shared" si="1"/>
        <v>514825762.76617694</v>
      </c>
      <c r="H10" s="101">
        <f t="shared" si="1"/>
        <v>142898488.46926007</v>
      </c>
      <c r="I10" s="101">
        <f t="shared" si="1"/>
        <v>0</v>
      </c>
      <c r="J10" s="101">
        <f t="shared" si="1"/>
        <v>10760306.226148546</v>
      </c>
      <c r="K10" s="101">
        <f t="shared" si="1"/>
        <v>0</v>
      </c>
      <c r="L10" s="101">
        <f t="shared" si="1"/>
        <v>143635804.85295638</v>
      </c>
      <c r="M10" s="101">
        <f t="shared" si="1"/>
        <v>10576611.100364765</v>
      </c>
      <c r="N10" s="101">
        <f t="shared" si="1"/>
        <v>104893145.4464823</v>
      </c>
      <c r="O10" s="101">
        <f t="shared" si="1"/>
        <v>229408902.13136402</v>
      </c>
      <c r="P10" s="101">
        <f t="shared" si="1"/>
        <v>79760916.619958177</v>
      </c>
      <c r="Q10" s="101">
        <f t="shared" si="1"/>
        <v>20835744.260602951</v>
      </c>
      <c r="R10" s="101">
        <f t="shared" si="1"/>
        <v>0</v>
      </c>
      <c r="S10" s="101">
        <f t="shared" si="1"/>
        <v>0</v>
      </c>
      <c r="T10" s="101">
        <f t="shared" si="1"/>
        <v>64300.701906397742</v>
      </c>
      <c r="U10" s="101"/>
      <c r="V10" s="101">
        <f t="shared" si="4"/>
        <v>1257659982.5752206</v>
      </c>
      <c r="W10" s="98" t="str">
        <f t="shared" si="2"/>
        <v>ok</v>
      </c>
      <c r="X10" s="102" t="str">
        <f t="shared" si="3"/>
        <v/>
      </c>
      <c r="Y10" s="102"/>
    </row>
    <row r="11" spans="1:25" ht="12" customHeight="1" x14ac:dyDescent="0.25">
      <c r="A11" s="107" t="s">
        <v>141</v>
      </c>
      <c r="C11" s="97" t="s">
        <v>188</v>
      </c>
      <c r="D11" s="97" t="s">
        <v>153</v>
      </c>
      <c r="E11" s="97" t="s">
        <v>410</v>
      </c>
      <c r="F11" s="101">
        <f>VLOOKUP(C11,'Functional Assignment'!$C$1:$AU$771,9,)</f>
        <v>0</v>
      </c>
      <c r="G11" s="101">
        <f t="shared" si="1"/>
        <v>0</v>
      </c>
      <c r="H11" s="101">
        <f t="shared" si="1"/>
        <v>0</v>
      </c>
      <c r="I11" s="101">
        <f t="shared" si="1"/>
        <v>0</v>
      </c>
      <c r="J11" s="101">
        <f t="shared" si="1"/>
        <v>0</v>
      </c>
      <c r="K11" s="101">
        <f t="shared" si="1"/>
        <v>0</v>
      </c>
      <c r="L11" s="101">
        <f t="shared" si="1"/>
        <v>0</v>
      </c>
      <c r="M11" s="101">
        <f t="shared" si="1"/>
        <v>0</v>
      </c>
      <c r="N11" s="101">
        <f t="shared" si="1"/>
        <v>0</v>
      </c>
      <c r="O11" s="101">
        <f t="shared" si="1"/>
        <v>0</v>
      </c>
      <c r="P11" s="101">
        <f t="shared" si="1"/>
        <v>0</v>
      </c>
      <c r="Q11" s="101">
        <f t="shared" si="1"/>
        <v>0</v>
      </c>
      <c r="R11" s="101">
        <f t="shared" si="1"/>
        <v>0</v>
      </c>
      <c r="S11" s="101">
        <f t="shared" si="1"/>
        <v>0</v>
      </c>
      <c r="T11" s="101">
        <f t="shared" si="1"/>
        <v>0</v>
      </c>
      <c r="U11" s="101"/>
      <c r="V11" s="101">
        <f t="shared" si="4"/>
        <v>0</v>
      </c>
      <c r="W11" s="98" t="str">
        <f t="shared" si="2"/>
        <v>ok</v>
      </c>
      <c r="X11" s="102" t="str">
        <f t="shared" si="3"/>
        <v/>
      </c>
    </row>
    <row r="12" spans="1:25" ht="12" customHeight="1" x14ac:dyDescent="0.25">
      <c r="A12" s="107" t="s">
        <v>144</v>
      </c>
      <c r="C12" s="97" t="s">
        <v>188</v>
      </c>
      <c r="D12" s="97" t="s">
        <v>154</v>
      </c>
      <c r="E12" s="97" t="s">
        <v>410</v>
      </c>
      <c r="F12" s="101">
        <f>VLOOKUP(C12,'Functional Assignment'!$C$1:$AU$771,10,)</f>
        <v>0</v>
      </c>
      <c r="G12" s="101">
        <f t="shared" si="1"/>
        <v>0</v>
      </c>
      <c r="H12" s="101">
        <f t="shared" si="1"/>
        <v>0</v>
      </c>
      <c r="I12" s="101">
        <f t="shared" si="1"/>
        <v>0</v>
      </c>
      <c r="J12" s="101">
        <f t="shared" si="1"/>
        <v>0</v>
      </c>
      <c r="K12" s="101">
        <f t="shared" si="1"/>
        <v>0</v>
      </c>
      <c r="L12" s="101">
        <f t="shared" si="1"/>
        <v>0</v>
      </c>
      <c r="M12" s="101">
        <f t="shared" si="1"/>
        <v>0</v>
      </c>
      <c r="N12" s="101">
        <f t="shared" si="1"/>
        <v>0</v>
      </c>
      <c r="O12" s="101">
        <f t="shared" si="1"/>
        <v>0</v>
      </c>
      <c r="P12" s="101">
        <f t="shared" si="1"/>
        <v>0</v>
      </c>
      <c r="Q12" s="101">
        <f t="shared" si="1"/>
        <v>0</v>
      </c>
      <c r="R12" s="101">
        <f t="shared" si="1"/>
        <v>0</v>
      </c>
      <c r="S12" s="101">
        <f t="shared" si="1"/>
        <v>0</v>
      </c>
      <c r="T12" s="101">
        <f t="shared" si="1"/>
        <v>0</v>
      </c>
      <c r="U12" s="101"/>
      <c r="V12" s="101">
        <f t="shared" si="4"/>
        <v>0</v>
      </c>
      <c r="W12" s="98" t="str">
        <f t="shared" si="2"/>
        <v>ok</v>
      </c>
      <c r="X12" s="102" t="str">
        <f t="shared" si="3"/>
        <v/>
      </c>
    </row>
    <row r="13" spans="1:25" ht="12" customHeight="1" x14ac:dyDescent="0.25">
      <c r="A13" s="107" t="s">
        <v>142</v>
      </c>
      <c r="C13" s="97" t="s">
        <v>188</v>
      </c>
      <c r="D13" s="97" t="s">
        <v>155</v>
      </c>
      <c r="E13" s="97" t="s">
        <v>410</v>
      </c>
      <c r="F13" s="101">
        <f>VLOOKUP(C13,'Functional Assignment'!$C$1:$AU$771,11,)</f>
        <v>0</v>
      </c>
      <c r="G13" s="101">
        <f t="shared" si="1"/>
        <v>0</v>
      </c>
      <c r="H13" s="101">
        <f t="shared" si="1"/>
        <v>0</v>
      </c>
      <c r="I13" s="101">
        <f t="shared" si="1"/>
        <v>0</v>
      </c>
      <c r="J13" s="101">
        <f t="shared" si="1"/>
        <v>0</v>
      </c>
      <c r="K13" s="101">
        <f t="shared" si="1"/>
        <v>0</v>
      </c>
      <c r="L13" s="101">
        <f t="shared" si="1"/>
        <v>0</v>
      </c>
      <c r="M13" s="101">
        <f t="shared" si="1"/>
        <v>0</v>
      </c>
      <c r="N13" s="101">
        <f t="shared" si="1"/>
        <v>0</v>
      </c>
      <c r="O13" s="101">
        <f t="shared" si="1"/>
        <v>0</v>
      </c>
      <c r="P13" s="101">
        <f t="shared" si="1"/>
        <v>0</v>
      </c>
      <c r="Q13" s="101">
        <f t="shared" si="1"/>
        <v>0</v>
      </c>
      <c r="R13" s="101">
        <f t="shared" si="1"/>
        <v>0</v>
      </c>
      <c r="S13" s="101">
        <f t="shared" si="1"/>
        <v>0</v>
      </c>
      <c r="T13" s="101">
        <f t="shared" si="1"/>
        <v>0</v>
      </c>
      <c r="U13" s="101"/>
      <c r="V13" s="101">
        <f t="shared" si="4"/>
        <v>0</v>
      </c>
      <c r="W13" s="98" t="str">
        <f t="shared" si="2"/>
        <v>ok</v>
      </c>
      <c r="X13" s="102" t="str">
        <f t="shared" si="3"/>
        <v/>
      </c>
    </row>
    <row r="14" spans="1:25" ht="12" customHeight="1" x14ac:dyDescent="0.25">
      <c r="A14" s="97" t="s">
        <v>172</v>
      </c>
      <c r="D14" s="97" t="s">
        <v>411</v>
      </c>
      <c r="F14" s="100">
        <f>SUM(F8:F13)</f>
        <v>4248204482.6006441</v>
      </c>
      <c r="G14" s="100">
        <f t="shared" ref="G14:O14" si="5">SUM(G8:G13)</f>
        <v>1739011452.5733979</v>
      </c>
      <c r="H14" s="100">
        <f t="shared" si="5"/>
        <v>482691671.58275127</v>
      </c>
      <c r="I14" s="100">
        <f>SUM(I8:I13)</f>
        <v>0</v>
      </c>
      <c r="J14" s="100">
        <f>SUM(J8:J13)</f>
        <v>36346851.913407236</v>
      </c>
      <c r="K14" s="100">
        <f>SUM(K8:K13)</f>
        <v>0</v>
      </c>
      <c r="L14" s="100">
        <f t="shared" si="5"/>
        <v>485182226.11236262</v>
      </c>
      <c r="M14" s="100">
        <f t="shared" si="5"/>
        <v>35726354.745970435</v>
      </c>
      <c r="N14" s="100">
        <f t="shared" si="5"/>
        <v>354314788.45926917</v>
      </c>
      <c r="O14" s="100">
        <f t="shared" si="5"/>
        <v>774912090.61719799</v>
      </c>
      <c r="P14" s="100">
        <f>SUM(P8:P13)</f>
        <v>269421535.40372866</v>
      </c>
      <c r="Q14" s="100">
        <f>SUM(Q8:Q13)</f>
        <v>70380312.161136955</v>
      </c>
      <c r="R14" s="100">
        <f>SUM(R8:R13)</f>
        <v>0</v>
      </c>
      <c r="S14" s="100">
        <f>SUM(S8:S13)</f>
        <v>0</v>
      </c>
      <c r="T14" s="100">
        <f>SUM(T8:T13)</f>
        <v>217199.03142166554</v>
      </c>
      <c r="U14" s="100"/>
      <c r="V14" s="102">
        <f t="shared" si="4"/>
        <v>4248204482.6006436</v>
      </c>
      <c r="W14" s="98" t="str">
        <f t="shared" si="2"/>
        <v>ok</v>
      </c>
      <c r="X14" s="243" t="str">
        <f t="shared" si="3"/>
        <v/>
      </c>
    </row>
    <row r="15" spans="1:25" ht="12" customHeight="1" x14ac:dyDescent="0.25">
      <c r="F15" s="101"/>
      <c r="G15" s="244">
        <f t="shared" ref="G15:N15" si="6">G14/$F$14</f>
        <v>0.40935210621236828</v>
      </c>
      <c r="H15" s="244">
        <f t="shared" si="6"/>
        <v>0.11362251359596974</v>
      </c>
      <c r="I15" s="244">
        <f>I14/$F$14</f>
        <v>0</v>
      </c>
      <c r="J15" s="244">
        <f t="shared" si="6"/>
        <v>8.5558150654642239E-3</v>
      </c>
      <c r="K15" s="244">
        <f>K14/$F$14</f>
        <v>0</v>
      </c>
      <c r="L15" s="244">
        <f t="shared" si="6"/>
        <v>0.11420877410668948</v>
      </c>
      <c r="M15" s="244">
        <f t="shared" si="6"/>
        <v>8.40975402485797E-3</v>
      </c>
      <c r="N15" s="244">
        <f t="shared" si="6"/>
        <v>8.3403421353758972E-2</v>
      </c>
    </row>
    <row r="16" spans="1:25" ht="12" customHeight="1" x14ac:dyDescent="0.25">
      <c r="A16" s="24" t="s">
        <v>461</v>
      </c>
      <c r="F16" s="101"/>
      <c r="G16" s="101"/>
    </row>
    <row r="17" spans="1:24" ht="12" customHeight="1" x14ac:dyDescent="0.25">
      <c r="A17" s="107" t="s">
        <v>2424</v>
      </c>
      <c r="C17" s="97" t="s">
        <v>188</v>
      </c>
      <c r="D17" s="97" t="s">
        <v>145</v>
      </c>
      <c r="E17" s="397" t="s">
        <v>2455</v>
      </c>
      <c r="F17" s="100">
        <f>VLOOKUP(C17,'Functional Assignment'!$C$1:$AU$771,13,)</f>
        <v>918203216.41785061</v>
      </c>
      <c r="G17" s="100">
        <f t="shared" ref="G17:T19" si="7">IF(VLOOKUP($E17,$D$5:$AJ$945,3,)=0,0,(VLOOKUP($E17,$D$5:$AJ$945,G$1,)/VLOOKUP($E17,$D$5:$AJ$945,3,))*$F17)</f>
        <v>375868420.57161814</v>
      </c>
      <c r="H17" s="100">
        <f t="shared" si="7"/>
        <v>104328557.44130038</v>
      </c>
      <c r="I17" s="100">
        <f t="shared" si="7"/>
        <v>0</v>
      </c>
      <c r="J17" s="100">
        <f t="shared" si="7"/>
        <v>7855976.9121855535</v>
      </c>
      <c r="K17" s="100">
        <f t="shared" si="7"/>
        <v>0</v>
      </c>
      <c r="L17" s="100">
        <f t="shared" si="7"/>
        <v>104866863.727902</v>
      </c>
      <c r="M17" s="100">
        <f t="shared" si="7"/>
        <v>7721863.1949075526</v>
      </c>
      <c r="N17" s="100">
        <f t="shared" si="7"/>
        <v>76581289.747274742</v>
      </c>
      <c r="O17" s="100">
        <f t="shared" si="7"/>
        <v>167488824.26916826</v>
      </c>
      <c r="P17" s="100">
        <f t="shared" si="7"/>
        <v>58232535.979176156</v>
      </c>
      <c r="Q17" s="100">
        <f t="shared" si="7"/>
        <v>15211939.364860207</v>
      </c>
      <c r="R17" s="100">
        <f t="shared" si="7"/>
        <v>0</v>
      </c>
      <c r="S17" s="100">
        <f t="shared" si="7"/>
        <v>0</v>
      </c>
      <c r="T17" s="100">
        <f t="shared" si="7"/>
        <v>46945.209457555895</v>
      </c>
      <c r="U17" s="100"/>
      <c r="V17" s="102">
        <f>SUM(G17:T17)</f>
        <v>918203216.41785049</v>
      </c>
      <c r="W17" s="98" t="str">
        <f>IF(ABS(F17-V17)&lt;0.01,"ok","err")</f>
        <v>ok</v>
      </c>
      <c r="X17" s="243" t="str">
        <f>IF(W17="err",V17-F17,"")</f>
        <v/>
      </c>
    </row>
    <row r="18" spans="1:24" ht="12" hidden="1" customHeight="1" x14ac:dyDescent="0.25">
      <c r="A18" s="107" t="s">
        <v>2423</v>
      </c>
      <c r="C18" s="97" t="s">
        <v>188</v>
      </c>
      <c r="D18" s="97" t="s">
        <v>146</v>
      </c>
      <c r="E18" s="97" t="s">
        <v>55</v>
      </c>
      <c r="F18" s="101">
        <f>VLOOKUP(C18,'Functional Assignment'!$C$1:$AU$771,14,)</f>
        <v>0</v>
      </c>
      <c r="G18" s="101">
        <f t="shared" si="7"/>
        <v>0</v>
      </c>
      <c r="H18" s="101">
        <f t="shared" si="7"/>
        <v>0</v>
      </c>
      <c r="I18" s="101">
        <f t="shared" si="7"/>
        <v>0</v>
      </c>
      <c r="J18" s="101">
        <f t="shared" si="7"/>
        <v>0</v>
      </c>
      <c r="K18" s="101">
        <f t="shared" si="7"/>
        <v>0</v>
      </c>
      <c r="L18" s="101">
        <f t="shared" si="7"/>
        <v>0</v>
      </c>
      <c r="M18" s="101">
        <f t="shared" si="7"/>
        <v>0</v>
      </c>
      <c r="N18" s="101">
        <f t="shared" si="7"/>
        <v>0</v>
      </c>
      <c r="O18" s="101">
        <f t="shared" si="7"/>
        <v>0</v>
      </c>
      <c r="P18" s="101">
        <f t="shared" si="7"/>
        <v>0</v>
      </c>
      <c r="Q18" s="101">
        <f t="shared" si="7"/>
        <v>0</v>
      </c>
      <c r="R18" s="101">
        <f t="shared" si="7"/>
        <v>0</v>
      </c>
      <c r="S18" s="101">
        <f t="shared" si="7"/>
        <v>0</v>
      </c>
      <c r="T18" s="101">
        <f t="shared" si="7"/>
        <v>0</v>
      </c>
      <c r="U18" s="101"/>
      <c r="V18" s="101">
        <f>SUM(G18:T18)</f>
        <v>0</v>
      </c>
      <c r="W18" s="98" t="str">
        <f>IF(ABS(F18-V18)&lt;0.01,"ok","err")</f>
        <v>ok</v>
      </c>
      <c r="X18" s="102" t="str">
        <f>IF(W18="err",V18-F18,"")</f>
        <v/>
      </c>
    </row>
    <row r="19" spans="1:24" ht="12" hidden="1" customHeight="1" x14ac:dyDescent="0.25">
      <c r="A19" s="107" t="s">
        <v>2423</v>
      </c>
      <c r="C19" s="97" t="s">
        <v>188</v>
      </c>
      <c r="D19" s="97" t="s">
        <v>147</v>
      </c>
      <c r="E19" s="97" t="s">
        <v>58</v>
      </c>
      <c r="F19" s="101">
        <f>VLOOKUP(C19,'Functional Assignment'!$C$1:$AU$771,15,)</f>
        <v>0</v>
      </c>
      <c r="G19" s="101">
        <f t="shared" si="7"/>
        <v>0</v>
      </c>
      <c r="H19" s="101">
        <f t="shared" si="7"/>
        <v>0</v>
      </c>
      <c r="I19" s="101">
        <f t="shared" si="7"/>
        <v>0</v>
      </c>
      <c r="J19" s="101">
        <f t="shared" si="7"/>
        <v>0</v>
      </c>
      <c r="K19" s="101">
        <f t="shared" si="7"/>
        <v>0</v>
      </c>
      <c r="L19" s="101">
        <f t="shared" si="7"/>
        <v>0</v>
      </c>
      <c r="M19" s="101">
        <f t="shared" si="7"/>
        <v>0</v>
      </c>
      <c r="N19" s="101">
        <f t="shared" si="7"/>
        <v>0</v>
      </c>
      <c r="O19" s="101">
        <f t="shared" si="7"/>
        <v>0</v>
      </c>
      <c r="P19" s="101">
        <f t="shared" si="7"/>
        <v>0</v>
      </c>
      <c r="Q19" s="101">
        <f t="shared" si="7"/>
        <v>0</v>
      </c>
      <c r="R19" s="101">
        <f t="shared" si="7"/>
        <v>0</v>
      </c>
      <c r="S19" s="101">
        <f t="shared" si="7"/>
        <v>0</v>
      </c>
      <c r="T19" s="101">
        <f t="shared" si="7"/>
        <v>0</v>
      </c>
      <c r="U19" s="101"/>
      <c r="V19" s="101">
        <f>SUM(G19:T19)</f>
        <v>0</v>
      </c>
      <c r="W19" s="98" t="str">
        <f>IF(ABS(F19-V19)&lt;0.01,"ok","err")</f>
        <v>ok</v>
      </c>
      <c r="X19" s="102" t="str">
        <f>IF(W19="err",V19-F19,"")</f>
        <v/>
      </c>
    </row>
    <row r="20" spans="1:24" ht="12" hidden="1" customHeight="1" x14ac:dyDescent="0.25">
      <c r="A20" s="97" t="s">
        <v>463</v>
      </c>
      <c r="D20" s="97" t="s">
        <v>148</v>
      </c>
      <c r="F20" s="100">
        <f t="shared" ref="F20:T20" si="8">SUM(F17:F19)</f>
        <v>918203216.41785061</v>
      </c>
      <c r="G20" s="100">
        <f t="shared" si="8"/>
        <v>375868420.57161814</v>
      </c>
      <c r="H20" s="100">
        <f t="shared" si="8"/>
        <v>104328557.44130038</v>
      </c>
      <c r="I20" s="100">
        <f>SUM(I17:I19)</f>
        <v>0</v>
      </c>
      <c r="J20" s="100">
        <f>SUM(J17:J19)</f>
        <v>7855976.9121855535</v>
      </c>
      <c r="K20" s="100">
        <f>SUM(K17:K19)</f>
        <v>0</v>
      </c>
      <c r="L20" s="100">
        <f t="shared" si="8"/>
        <v>104866863.727902</v>
      </c>
      <c r="M20" s="100">
        <f t="shared" si="8"/>
        <v>7721863.1949075526</v>
      </c>
      <c r="N20" s="100">
        <f t="shared" si="8"/>
        <v>76581289.747274742</v>
      </c>
      <c r="O20" s="100">
        <f t="shared" si="8"/>
        <v>167488824.26916826</v>
      </c>
      <c r="P20" s="100">
        <f>SUM(P17:P19)</f>
        <v>58232535.979176156</v>
      </c>
      <c r="Q20" s="100">
        <f t="shared" si="8"/>
        <v>15211939.364860207</v>
      </c>
      <c r="R20" s="100">
        <f t="shared" si="8"/>
        <v>0</v>
      </c>
      <c r="S20" s="100">
        <f t="shared" si="8"/>
        <v>0</v>
      </c>
      <c r="T20" s="100">
        <f t="shared" si="8"/>
        <v>46945.209457555895</v>
      </c>
      <c r="U20" s="100"/>
      <c r="V20" s="102">
        <f>SUM(G20:T20)</f>
        <v>918203216.41785049</v>
      </c>
      <c r="W20" s="98" t="str">
        <f>IF(ABS(F20-V20)&lt;0.01,"ok","err")</f>
        <v>ok</v>
      </c>
      <c r="X20" s="243" t="str">
        <f>IF(W20="err",V20-F20,"")</f>
        <v/>
      </c>
    </row>
    <row r="21" spans="1:24" ht="12" customHeight="1" x14ac:dyDescent="0.25">
      <c r="F21" s="101"/>
      <c r="G21" s="101"/>
    </row>
    <row r="22" spans="1:24" ht="12" customHeight="1" x14ac:dyDescent="0.25">
      <c r="A22" s="24" t="s">
        <v>1697</v>
      </c>
      <c r="F22" s="101"/>
      <c r="G22" s="101"/>
    </row>
    <row r="23" spans="1:24" ht="12" customHeight="1" x14ac:dyDescent="0.25">
      <c r="A23" s="107" t="s">
        <v>157</v>
      </c>
      <c r="C23" s="97" t="s">
        <v>188</v>
      </c>
      <c r="D23" s="97" t="s">
        <v>160</v>
      </c>
      <c r="E23" s="97" t="s">
        <v>2429</v>
      </c>
      <c r="F23" s="100">
        <f>VLOOKUP(C23,'Functional Assignment'!$C$1:$AU$771,17,)</f>
        <v>0</v>
      </c>
      <c r="G23" s="100">
        <f t="shared" ref="G23:T23" si="9">IF(VLOOKUP($E23,$D$5:$AJ$945,3,)=0,0,(VLOOKUP($E23,$D$5:$AJ$945,G$1,)/VLOOKUP($E23,$D$5:$AJ$945,3,))*$F23)</f>
        <v>0</v>
      </c>
      <c r="H23" s="100">
        <f t="shared" si="9"/>
        <v>0</v>
      </c>
      <c r="I23" s="100">
        <f t="shared" si="9"/>
        <v>0</v>
      </c>
      <c r="J23" s="100">
        <f t="shared" si="9"/>
        <v>0</v>
      </c>
      <c r="K23" s="100">
        <f t="shared" si="9"/>
        <v>0</v>
      </c>
      <c r="L23" s="100">
        <f t="shared" si="9"/>
        <v>0</v>
      </c>
      <c r="M23" s="100">
        <f t="shared" si="9"/>
        <v>0</v>
      </c>
      <c r="N23" s="100">
        <f t="shared" si="9"/>
        <v>0</v>
      </c>
      <c r="O23" s="100">
        <f t="shared" si="9"/>
        <v>0</v>
      </c>
      <c r="P23" s="100">
        <f t="shared" si="9"/>
        <v>0</v>
      </c>
      <c r="Q23" s="100">
        <f t="shared" si="9"/>
        <v>0</v>
      </c>
      <c r="R23" s="100">
        <f t="shared" si="9"/>
        <v>0</v>
      </c>
      <c r="S23" s="100">
        <f t="shared" si="9"/>
        <v>0</v>
      </c>
      <c r="T23" s="100">
        <f t="shared" si="9"/>
        <v>0</v>
      </c>
      <c r="U23" s="100"/>
      <c r="V23" s="102">
        <f>SUM(G23:T23)</f>
        <v>0</v>
      </c>
      <c r="W23" s="98" t="str">
        <f>IF(ABS(F23-V23)&lt;0.01,"ok","err")</f>
        <v>ok</v>
      </c>
      <c r="X23" s="102" t="str">
        <f>IF(W23="err",V23-F23,"")</f>
        <v/>
      </c>
    </row>
    <row r="24" spans="1:24" ht="12" customHeight="1" x14ac:dyDescent="0.25">
      <c r="F24" s="101"/>
    </row>
    <row r="25" spans="1:24" ht="12" customHeight="1" x14ac:dyDescent="0.25">
      <c r="A25" s="24" t="s">
        <v>1698</v>
      </c>
      <c r="F25" s="101"/>
      <c r="G25" s="101"/>
    </row>
    <row r="26" spans="1:24" ht="12" customHeight="1" x14ac:dyDescent="0.25">
      <c r="A26" s="107" t="s">
        <v>159</v>
      </c>
      <c r="C26" s="97" t="s">
        <v>188</v>
      </c>
      <c r="D26" s="97" t="s">
        <v>161</v>
      </c>
      <c r="E26" s="97" t="s">
        <v>2429</v>
      </c>
      <c r="F26" s="100">
        <f>VLOOKUP(C26,'Functional Assignment'!$C$1:$AU$771,18,)</f>
        <v>218458065.31363025</v>
      </c>
      <c r="G26" s="100">
        <f t="shared" ref="G26:T26" si="10">IF(VLOOKUP($E26,$D$5:$AJ$945,3,)=0,0,(VLOOKUP($E26,$D$5:$AJ$945,G$1,)/VLOOKUP($E26,$D$5:$AJ$945,3,))*$F26)</f>
        <v>106074400.98286465</v>
      </c>
      <c r="H26" s="100">
        <f t="shared" si="10"/>
        <v>25842692.27152836</v>
      </c>
      <c r="I26" s="100">
        <f t="shared" si="10"/>
        <v>0</v>
      </c>
      <c r="J26" s="100">
        <f t="shared" si="10"/>
        <v>2706435.7921514753</v>
      </c>
      <c r="K26" s="100">
        <f t="shared" si="10"/>
        <v>0</v>
      </c>
      <c r="L26" s="100">
        <f t="shared" si="10"/>
        <v>24150064.581833873</v>
      </c>
      <c r="M26" s="100">
        <f t="shared" si="10"/>
        <v>1866841.8111902743</v>
      </c>
      <c r="N26" s="100">
        <f t="shared" si="10"/>
        <v>16998693.350171283</v>
      </c>
      <c r="O26" s="100">
        <f t="shared" si="10"/>
        <v>38883107.129170202</v>
      </c>
      <c r="P26" s="100">
        <f t="shared" si="10"/>
        <v>0</v>
      </c>
      <c r="Q26" s="100">
        <f t="shared" si="10"/>
        <v>0</v>
      </c>
      <c r="R26" s="100">
        <f t="shared" si="10"/>
        <v>1915381.2349544291</v>
      </c>
      <c r="S26" s="100">
        <f t="shared" si="10"/>
        <v>8022.8629532447512</v>
      </c>
      <c r="T26" s="100">
        <f t="shared" si="10"/>
        <v>12425.296812447943</v>
      </c>
      <c r="U26" s="100"/>
      <c r="V26" s="102">
        <f>SUM(G26:T26)</f>
        <v>218458065.31363022</v>
      </c>
      <c r="W26" s="98" t="str">
        <f>IF(ABS(F26-V26)&lt;0.01,"ok","err")</f>
        <v>ok</v>
      </c>
      <c r="X26" s="102" t="str">
        <f>IF(W26="err",V26-F26,"")</f>
        <v/>
      </c>
    </row>
    <row r="27" spans="1:24" ht="12" customHeight="1" x14ac:dyDescent="0.25">
      <c r="F27" s="101"/>
    </row>
    <row r="28" spans="1:24" ht="12" customHeight="1" x14ac:dyDescent="0.25">
      <c r="A28" s="24" t="s">
        <v>158</v>
      </c>
      <c r="F28" s="101"/>
    </row>
    <row r="29" spans="1:24" ht="12" customHeight="1" x14ac:dyDescent="0.25">
      <c r="A29" s="107" t="s">
        <v>820</v>
      </c>
      <c r="C29" s="97" t="s">
        <v>188</v>
      </c>
      <c r="D29" s="97" t="s">
        <v>164</v>
      </c>
      <c r="E29" s="97" t="s">
        <v>2429</v>
      </c>
      <c r="F29" s="100">
        <f>VLOOKUP(C29,'Functional Assignment'!$C$1:$AU$771,19,)</f>
        <v>0</v>
      </c>
      <c r="G29" s="100">
        <f t="shared" ref="G29:T33" si="11">IF(VLOOKUP($E29,$D$5:$AJ$945,3,)=0,0,(VLOOKUP($E29,$D$5:$AJ$945,G$1,)/VLOOKUP($E29,$D$5:$AJ$945,3,))*$F29)</f>
        <v>0</v>
      </c>
      <c r="H29" s="100">
        <f t="shared" si="11"/>
        <v>0</v>
      </c>
      <c r="I29" s="100">
        <f t="shared" si="11"/>
        <v>0</v>
      </c>
      <c r="J29" s="100">
        <f t="shared" si="11"/>
        <v>0</v>
      </c>
      <c r="K29" s="100">
        <f t="shared" si="11"/>
        <v>0</v>
      </c>
      <c r="L29" s="100">
        <f t="shared" si="11"/>
        <v>0</v>
      </c>
      <c r="M29" s="100">
        <f t="shared" si="11"/>
        <v>0</v>
      </c>
      <c r="N29" s="100">
        <f t="shared" si="11"/>
        <v>0</v>
      </c>
      <c r="O29" s="100">
        <f t="shared" si="11"/>
        <v>0</v>
      </c>
      <c r="P29" s="100">
        <f t="shared" si="11"/>
        <v>0</v>
      </c>
      <c r="Q29" s="100">
        <f t="shared" si="11"/>
        <v>0</v>
      </c>
      <c r="R29" s="100">
        <f t="shared" si="11"/>
        <v>0</v>
      </c>
      <c r="S29" s="100">
        <f t="shared" si="11"/>
        <v>0</v>
      </c>
      <c r="T29" s="100">
        <f t="shared" si="11"/>
        <v>0</v>
      </c>
      <c r="U29" s="100"/>
      <c r="V29" s="102">
        <f t="shared" ref="V29:V34" si="12">SUM(G29:T29)</f>
        <v>0</v>
      </c>
      <c r="W29" s="98" t="str">
        <f t="shared" ref="W29:W34" si="13">IF(ABS(F29-V29)&lt;0.01,"ok","err")</f>
        <v>ok</v>
      </c>
      <c r="X29" s="102" t="str">
        <f t="shared" ref="X29:X34" si="14">IF(W29="err",V29-F29,"")</f>
        <v/>
      </c>
    </row>
    <row r="30" spans="1:24" ht="12" customHeight="1" x14ac:dyDescent="0.25">
      <c r="A30" s="107" t="s">
        <v>821</v>
      </c>
      <c r="C30" s="97" t="s">
        <v>188</v>
      </c>
      <c r="D30" s="97" t="s">
        <v>165</v>
      </c>
      <c r="E30" s="97" t="s">
        <v>2429</v>
      </c>
      <c r="F30" s="101">
        <f>VLOOKUP(C30,'Functional Assignment'!$C$1:$AU$771,20,)</f>
        <v>238051994.97158346</v>
      </c>
      <c r="G30" s="101">
        <f t="shared" si="11"/>
        <v>115588420.74855235</v>
      </c>
      <c r="H30" s="101">
        <f t="shared" si="11"/>
        <v>28160573.709384635</v>
      </c>
      <c r="I30" s="101">
        <f t="shared" si="11"/>
        <v>0</v>
      </c>
      <c r="J30" s="101">
        <f t="shared" si="11"/>
        <v>2949181.2932573766</v>
      </c>
      <c r="K30" s="101">
        <f t="shared" si="11"/>
        <v>0</v>
      </c>
      <c r="L30" s="101">
        <f t="shared" si="11"/>
        <v>26316130.943229761</v>
      </c>
      <c r="M30" s="101">
        <f t="shared" si="11"/>
        <v>2034282.4917550944</v>
      </c>
      <c r="N30" s="101">
        <f t="shared" si="11"/>
        <v>18523339.287606452</v>
      </c>
      <c r="O30" s="101">
        <f t="shared" si="11"/>
        <v>42370608.7916876</v>
      </c>
      <c r="P30" s="101">
        <f t="shared" si="11"/>
        <v>0</v>
      </c>
      <c r="Q30" s="101">
        <f t="shared" si="11"/>
        <v>0</v>
      </c>
      <c r="R30" s="101">
        <f t="shared" si="11"/>
        <v>2087175.5110411495</v>
      </c>
      <c r="S30" s="101">
        <f t="shared" si="11"/>
        <v>8742.4491682723001</v>
      </c>
      <c r="T30" s="101">
        <f t="shared" si="11"/>
        <v>13539.745900755899</v>
      </c>
      <c r="U30" s="101"/>
      <c r="V30" s="101">
        <f t="shared" si="12"/>
        <v>238051994.97158349</v>
      </c>
      <c r="W30" s="98" t="str">
        <f t="shared" si="13"/>
        <v>ok</v>
      </c>
      <c r="X30" s="102" t="str">
        <f t="shared" si="14"/>
        <v/>
      </c>
    </row>
    <row r="31" spans="1:24" ht="12" customHeight="1" x14ac:dyDescent="0.25">
      <c r="A31" s="107" t="s">
        <v>822</v>
      </c>
      <c r="C31" s="97" t="s">
        <v>188</v>
      </c>
      <c r="D31" s="97" t="s">
        <v>166</v>
      </c>
      <c r="E31" s="97" t="s">
        <v>941</v>
      </c>
      <c r="F31" s="101">
        <f>VLOOKUP(C31,'Functional Assignment'!$C$1:$AU$771,21,)</f>
        <v>441445990.99558365</v>
      </c>
      <c r="G31" s="101">
        <f t="shared" si="11"/>
        <v>352739644.96583778</v>
      </c>
      <c r="H31" s="101">
        <f t="shared" si="11"/>
        <v>68253033.468534604</v>
      </c>
      <c r="I31" s="101">
        <f t="shared" si="11"/>
        <v>0</v>
      </c>
      <c r="J31" s="101">
        <f t="shared" si="11"/>
        <v>485713.84328194289</v>
      </c>
      <c r="K31" s="101">
        <f t="shared" si="11"/>
        <v>0</v>
      </c>
      <c r="L31" s="101">
        <f t="shared" si="11"/>
        <v>3688312.7087665917</v>
      </c>
      <c r="M31" s="101">
        <f t="shared" si="11"/>
        <v>141700.66591530544</v>
      </c>
      <c r="N31" s="101">
        <f t="shared" si="11"/>
        <v>506190.8181251951</v>
      </c>
      <c r="O31" s="101">
        <f t="shared" si="11"/>
        <v>226884.88126323468</v>
      </c>
      <c r="P31" s="101">
        <f t="shared" si="11"/>
        <v>0</v>
      </c>
      <c r="Q31" s="101">
        <f t="shared" si="11"/>
        <v>0</v>
      </c>
      <c r="R31" s="101">
        <f t="shared" si="11"/>
        <v>15333522.797735594</v>
      </c>
      <c r="S31" s="101">
        <f t="shared" si="11"/>
        <v>364.03510832448404</v>
      </c>
      <c r="T31" s="101">
        <f t="shared" si="11"/>
        <v>70622.811014949912</v>
      </c>
      <c r="U31" s="101"/>
      <c r="V31" s="101">
        <f t="shared" si="12"/>
        <v>441445990.99558347</v>
      </c>
      <c r="W31" s="98" t="str">
        <f t="shared" si="13"/>
        <v>ok</v>
      </c>
      <c r="X31" s="102" t="str">
        <f t="shared" si="14"/>
        <v/>
      </c>
    </row>
    <row r="32" spans="1:24" ht="12" customHeight="1" x14ac:dyDescent="0.25">
      <c r="A32" s="107" t="s">
        <v>823</v>
      </c>
      <c r="C32" s="97" t="s">
        <v>188</v>
      </c>
      <c r="D32" s="97" t="s">
        <v>167</v>
      </c>
      <c r="E32" s="97" t="s">
        <v>760</v>
      </c>
      <c r="F32" s="101">
        <f>VLOOKUP(C32,'Functional Assignment'!$C$1:$AU$771,22,)</f>
        <v>109588733.72137173</v>
      </c>
      <c r="G32" s="101">
        <f t="shared" si="11"/>
        <v>91721462.034405142</v>
      </c>
      <c r="H32" s="101">
        <f t="shared" si="11"/>
        <v>15916265.179609101</v>
      </c>
      <c r="I32" s="101">
        <f t="shared" si="11"/>
        <v>0</v>
      </c>
      <c r="J32" s="101">
        <f t="shared" si="11"/>
        <v>1215099.2032422028</v>
      </c>
      <c r="K32" s="101">
        <f t="shared" si="11"/>
        <v>0</v>
      </c>
      <c r="L32" s="101">
        <f t="shared" si="11"/>
        <v>0</v>
      </c>
      <c r="M32" s="101">
        <f t="shared" si="11"/>
        <v>0</v>
      </c>
      <c r="N32" s="101">
        <f t="shared" si="11"/>
        <v>0</v>
      </c>
      <c r="O32" s="101">
        <f t="shared" si="11"/>
        <v>0</v>
      </c>
      <c r="P32" s="101">
        <f t="shared" si="11"/>
        <v>0</v>
      </c>
      <c r="Q32" s="101">
        <f t="shared" si="11"/>
        <v>0</v>
      </c>
      <c r="R32" s="101">
        <f t="shared" si="11"/>
        <v>728139.13384618436</v>
      </c>
      <c r="S32" s="101">
        <f t="shared" si="11"/>
        <v>3049.9204937033137</v>
      </c>
      <c r="T32" s="101">
        <f t="shared" si="11"/>
        <v>4718.2497753693578</v>
      </c>
      <c r="U32" s="101"/>
      <c r="V32" s="101">
        <f t="shared" si="12"/>
        <v>109588733.7213717</v>
      </c>
      <c r="W32" s="98" t="str">
        <f t="shared" si="13"/>
        <v>ok</v>
      </c>
      <c r="X32" s="102" t="str">
        <f t="shared" si="14"/>
        <v/>
      </c>
    </row>
    <row r="33" spans="1:24" ht="12" customHeight="1" x14ac:dyDescent="0.25">
      <c r="A33" s="107" t="s">
        <v>824</v>
      </c>
      <c r="C33" s="97" t="s">
        <v>188</v>
      </c>
      <c r="D33" s="97" t="s">
        <v>168</v>
      </c>
      <c r="E33" s="97" t="s">
        <v>940</v>
      </c>
      <c r="F33" s="101">
        <f>VLOOKUP(C33,'Functional Assignment'!$C$1:$AU$771,23,)</f>
        <v>167525133.16936862</v>
      </c>
      <c r="G33" s="101">
        <f t="shared" si="11"/>
        <v>135259942.05109426</v>
      </c>
      <c r="H33" s="101">
        <f t="shared" si="11"/>
        <v>26171998.196175195</v>
      </c>
      <c r="I33" s="101">
        <f t="shared" si="11"/>
        <v>0</v>
      </c>
      <c r="J33" s="101">
        <f t="shared" si="11"/>
        <v>186249.62414443819</v>
      </c>
      <c r="K33" s="101">
        <f t="shared" si="11"/>
        <v>0</v>
      </c>
      <c r="L33" s="101">
        <f t="shared" si="11"/>
        <v>0</v>
      </c>
      <c r="M33" s="101">
        <f t="shared" si="11"/>
        <v>0</v>
      </c>
      <c r="N33" s="101">
        <f t="shared" si="11"/>
        <v>0</v>
      </c>
      <c r="O33" s="101">
        <f t="shared" si="11"/>
        <v>0</v>
      </c>
      <c r="P33" s="101">
        <f t="shared" si="11"/>
        <v>0</v>
      </c>
      <c r="Q33" s="101">
        <f t="shared" si="11"/>
        <v>0</v>
      </c>
      <c r="R33" s="101">
        <f t="shared" si="11"/>
        <v>5879723.0043754028</v>
      </c>
      <c r="S33" s="101">
        <f t="shared" si="11"/>
        <v>139.59124912455553</v>
      </c>
      <c r="T33" s="101">
        <f t="shared" si="11"/>
        <v>27080.702330163775</v>
      </c>
      <c r="U33" s="101"/>
      <c r="V33" s="101">
        <f t="shared" si="12"/>
        <v>167525133.16936859</v>
      </c>
      <c r="W33" s="98" t="str">
        <f t="shared" si="13"/>
        <v>ok</v>
      </c>
      <c r="X33" s="102" t="str">
        <f t="shared" si="14"/>
        <v/>
      </c>
    </row>
    <row r="34" spans="1:24" ht="12" customHeight="1" x14ac:dyDescent="0.25">
      <c r="A34" s="97" t="s">
        <v>163</v>
      </c>
      <c r="D34" s="97" t="s">
        <v>169</v>
      </c>
      <c r="F34" s="100">
        <f>SUM(F29:F33)</f>
        <v>956611852.85790753</v>
      </c>
      <c r="G34" s="100">
        <f t="shared" ref="G34:T34" si="15">SUM(G29:G33)</f>
        <v>695309469.79988956</v>
      </c>
      <c r="H34" s="100">
        <f t="shared" si="15"/>
        <v>138501870.55370355</v>
      </c>
      <c r="I34" s="100">
        <f>SUM(I29:I33)</f>
        <v>0</v>
      </c>
      <c r="J34" s="100">
        <f>SUM(J29:J33)</f>
        <v>4836243.9639259614</v>
      </c>
      <c r="K34" s="100">
        <f>SUM(K29:K33)</f>
        <v>0</v>
      </c>
      <c r="L34" s="100">
        <f t="shared" si="15"/>
        <v>30004443.651996352</v>
      </c>
      <c r="M34" s="100">
        <f t="shared" si="15"/>
        <v>2175983.1576703996</v>
      </c>
      <c r="N34" s="100">
        <f t="shared" si="15"/>
        <v>19029530.105731647</v>
      </c>
      <c r="O34" s="100">
        <f t="shared" si="15"/>
        <v>42597493.672950834</v>
      </c>
      <c r="P34" s="100">
        <f>SUM(P29:P33)</f>
        <v>0</v>
      </c>
      <c r="Q34" s="100">
        <f t="shared" si="15"/>
        <v>0</v>
      </c>
      <c r="R34" s="100">
        <f t="shared" si="15"/>
        <v>24028560.446998332</v>
      </c>
      <c r="S34" s="100">
        <f t="shared" si="15"/>
        <v>12295.996019424654</v>
      </c>
      <c r="T34" s="100">
        <f t="shared" si="15"/>
        <v>115961.50902123895</v>
      </c>
      <c r="U34" s="100"/>
      <c r="V34" s="102">
        <f t="shared" si="12"/>
        <v>956611852.85790741</v>
      </c>
      <c r="W34" s="98" t="str">
        <f t="shared" si="13"/>
        <v>ok</v>
      </c>
      <c r="X34" s="102" t="str">
        <f t="shared" si="14"/>
        <v/>
      </c>
    </row>
    <row r="35" spans="1:24" ht="12" customHeight="1" x14ac:dyDescent="0.25">
      <c r="F35" s="101"/>
    </row>
    <row r="36" spans="1:24" ht="12" customHeight="1" x14ac:dyDescent="0.25">
      <c r="A36" s="24" t="s">
        <v>819</v>
      </c>
      <c r="F36" s="101"/>
    </row>
    <row r="37" spans="1:24" ht="12" customHeight="1" x14ac:dyDescent="0.25">
      <c r="A37" s="107" t="s">
        <v>409</v>
      </c>
      <c r="C37" s="97" t="s">
        <v>188</v>
      </c>
      <c r="D37" s="97" t="s">
        <v>170</v>
      </c>
      <c r="E37" s="97" t="s">
        <v>2332</v>
      </c>
      <c r="F37" s="100">
        <f>VLOOKUP(C37,'Functional Assignment'!$C$1:$AU$771,24,)</f>
        <v>170119798.90670514</v>
      </c>
      <c r="G37" s="100">
        <f t="shared" ref="G37:T38" si="16">IF(VLOOKUP($E37,$D$5:$AJ$945,3,)=0,0,(VLOOKUP($E37,$D$5:$AJ$945,G$1,)/VLOOKUP($E37,$D$5:$AJ$945,3,))*$F37)</f>
        <v>118871252.2779942</v>
      </c>
      <c r="H37" s="100">
        <f t="shared" si="16"/>
        <v>20627520.882507034</v>
      </c>
      <c r="I37" s="100">
        <f t="shared" si="16"/>
        <v>0</v>
      </c>
      <c r="J37" s="100">
        <f t="shared" si="16"/>
        <v>1574771.7134863527</v>
      </c>
      <c r="K37" s="100">
        <f t="shared" si="16"/>
        <v>0</v>
      </c>
      <c r="L37" s="100">
        <f t="shared" si="16"/>
        <v>17173182.613869417</v>
      </c>
      <c r="M37" s="100">
        <f t="shared" si="16"/>
        <v>0</v>
      </c>
      <c r="N37" s="100">
        <f t="shared" si="16"/>
        <v>10919333.647334088</v>
      </c>
      <c r="O37" s="100">
        <f t="shared" si="16"/>
        <v>0</v>
      </c>
      <c r="P37" s="100">
        <f t="shared" si="16"/>
        <v>0</v>
      </c>
      <c r="Q37" s="100">
        <f t="shared" si="16"/>
        <v>0</v>
      </c>
      <c r="R37" s="100">
        <f t="shared" si="16"/>
        <v>943670.20273229899</v>
      </c>
      <c r="S37" s="100">
        <f t="shared" si="16"/>
        <v>3952.7048565671339</v>
      </c>
      <c r="T37" s="100">
        <f t="shared" si="16"/>
        <v>6114.8639251753057</v>
      </c>
      <c r="U37" s="100"/>
      <c r="V37" s="102">
        <f>SUM(G37:T37)</f>
        <v>170119798.90670517</v>
      </c>
      <c r="W37" s="98" t="str">
        <f>IF(ABS(F37-V37)&lt;0.01,"ok","err")</f>
        <v>ok</v>
      </c>
      <c r="X37" s="102" t="str">
        <f>IF(W37="err",V37-F37,"")</f>
        <v/>
      </c>
    </row>
    <row r="38" spans="1:24" ht="12" customHeight="1" x14ac:dyDescent="0.25">
      <c r="A38" s="107" t="s">
        <v>412</v>
      </c>
      <c r="C38" s="97" t="s">
        <v>188</v>
      </c>
      <c r="D38" s="97" t="s">
        <v>171</v>
      </c>
      <c r="E38" s="97" t="s">
        <v>2331</v>
      </c>
      <c r="F38" s="101">
        <f>VLOOKUP(C38,'Functional Assignment'!$C$1:$AU$771,25,)</f>
        <v>151386107.93500358</v>
      </c>
      <c r="G38" s="101">
        <f t="shared" si="16"/>
        <v>121066917.74761425</v>
      </c>
      <c r="H38" s="101">
        <f t="shared" si="16"/>
        <v>23425732.000610579</v>
      </c>
      <c r="I38" s="101">
        <f t="shared" si="16"/>
        <v>0</v>
      </c>
      <c r="J38" s="101">
        <f t="shared" si="16"/>
        <v>166706.177637582</v>
      </c>
      <c r="K38" s="101">
        <f t="shared" si="16"/>
        <v>0</v>
      </c>
      <c r="L38" s="101">
        <f t="shared" si="16"/>
        <v>1265898.6811164112</v>
      </c>
      <c r="M38" s="101">
        <f t="shared" si="16"/>
        <v>0</v>
      </c>
      <c r="N38" s="101">
        <f t="shared" si="16"/>
        <v>173734.26269818834</v>
      </c>
      <c r="O38" s="101">
        <f t="shared" si="16"/>
        <v>0</v>
      </c>
      <c r="P38" s="101">
        <f t="shared" si="16"/>
        <v>0</v>
      </c>
      <c r="Q38" s="101">
        <f t="shared" si="16"/>
        <v>0</v>
      </c>
      <c r="R38" s="101">
        <f t="shared" si="16"/>
        <v>5262755.037116427</v>
      </c>
      <c r="S38" s="101">
        <f t="shared" si="16"/>
        <v>124.94373441077911</v>
      </c>
      <c r="T38" s="101">
        <f t="shared" si="16"/>
        <v>24239.084475691147</v>
      </c>
      <c r="U38" s="101"/>
      <c r="V38" s="101">
        <f>SUM(G38:T38)</f>
        <v>151386107.93500352</v>
      </c>
      <c r="W38" s="98" t="str">
        <f>IF(ABS(F38-V38)&lt;0.01,"ok","err")</f>
        <v>ok</v>
      </c>
      <c r="X38" s="102" t="str">
        <f>IF(W38="err",V38-F38,"")</f>
        <v/>
      </c>
    </row>
    <row r="39" spans="1:24" ht="12" customHeight="1" x14ac:dyDescent="0.25">
      <c r="A39" s="97" t="s">
        <v>1536</v>
      </c>
      <c r="D39" s="97" t="s">
        <v>174</v>
      </c>
      <c r="F39" s="100">
        <f t="shared" ref="F39:O39" si="17">F37+F38</f>
        <v>321505906.84170872</v>
      </c>
      <c r="G39" s="100">
        <f t="shared" si="17"/>
        <v>239938170.02560845</v>
      </c>
      <c r="H39" s="100">
        <f t="shared" si="17"/>
        <v>44053252.883117616</v>
      </c>
      <c r="I39" s="100">
        <f>I37+I38</f>
        <v>0</v>
      </c>
      <c r="J39" s="100">
        <f>J37+J38</f>
        <v>1741477.8911239346</v>
      </c>
      <c r="K39" s="100">
        <f>K37+K38</f>
        <v>0</v>
      </c>
      <c r="L39" s="100">
        <f t="shared" si="17"/>
        <v>18439081.294985827</v>
      </c>
      <c r="M39" s="100">
        <f t="shared" si="17"/>
        <v>0</v>
      </c>
      <c r="N39" s="100">
        <f t="shared" si="17"/>
        <v>11093067.910032276</v>
      </c>
      <c r="O39" s="100">
        <f t="shared" si="17"/>
        <v>0</v>
      </c>
      <c r="P39" s="100">
        <f>P37+P38</f>
        <v>0</v>
      </c>
      <c r="Q39" s="100">
        <f>Q37+Q38</f>
        <v>0</v>
      </c>
      <c r="R39" s="100">
        <f>R37+R38</f>
        <v>6206425.2398487255</v>
      </c>
      <c r="S39" s="100">
        <f>S37+S38</f>
        <v>4077.648590977913</v>
      </c>
      <c r="T39" s="100">
        <f>T37+T38</f>
        <v>30353.948400866451</v>
      </c>
      <c r="U39" s="100"/>
      <c r="V39" s="102">
        <f>SUM(G39:T39)</f>
        <v>321505906.84170872</v>
      </c>
      <c r="W39" s="98" t="str">
        <f>IF(ABS(F39-V39)&lt;0.01,"ok","err")</f>
        <v>ok</v>
      </c>
      <c r="X39" s="102" t="str">
        <f>IF(W39="err",V39-F39,"")</f>
        <v/>
      </c>
    </row>
    <row r="40" spans="1:24" ht="12" customHeight="1" x14ac:dyDescent="0.25">
      <c r="F40" s="101"/>
    </row>
    <row r="41" spans="1:24" ht="12" customHeight="1" x14ac:dyDescent="0.25">
      <c r="A41" s="24" t="s">
        <v>134</v>
      </c>
      <c r="F41" s="101"/>
    </row>
    <row r="42" spans="1:24" ht="12" customHeight="1" x14ac:dyDescent="0.25">
      <c r="A42" s="107" t="s">
        <v>412</v>
      </c>
      <c r="C42" s="97" t="s">
        <v>188</v>
      </c>
      <c r="D42" s="97" t="s">
        <v>162</v>
      </c>
      <c r="E42" s="97" t="s">
        <v>413</v>
      </c>
      <c r="F42" s="100">
        <f>VLOOKUP(C42,'Functional Assignment'!$C$1:$AU$771,26,)</f>
        <v>101348809.96222259</v>
      </c>
      <c r="G42" s="100">
        <f t="shared" ref="G42:T42" si="18">IF(VLOOKUP($E42,$D$5:$AJ$945,3,)=0,0,(VLOOKUP($E42,$D$5:$AJ$945,G$1,)/VLOOKUP($E42,$D$5:$AJ$945,3,))*$F42)</f>
        <v>71076369.967679739</v>
      </c>
      <c r="H42" s="100">
        <f t="shared" si="18"/>
        <v>27842294.490847833</v>
      </c>
      <c r="I42" s="100">
        <f t="shared" si="18"/>
        <v>0</v>
      </c>
      <c r="J42" s="100">
        <f t="shared" si="18"/>
        <v>263679.12883763068</v>
      </c>
      <c r="K42" s="100">
        <f t="shared" si="18"/>
        <v>0</v>
      </c>
      <c r="L42" s="100">
        <f t="shared" si="18"/>
        <v>1891637.0046906995</v>
      </c>
      <c r="M42" s="100">
        <f t="shared" si="18"/>
        <v>0</v>
      </c>
      <c r="N42" s="100">
        <f t="shared" si="18"/>
        <v>274829.3701666735</v>
      </c>
      <c r="O42" s="100">
        <f t="shared" si="18"/>
        <v>0</v>
      </c>
      <c r="P42" s="100">
        <f t="shared" si="18"/>
        <v>0</v>
      </c>
      <c r="Q42" s="100">
        <f t="shared" si="18"/>
        <v>0</v>
      </c>
      <c r="R42" s="100">
        <f t="shared" si="18"/>
        <v>0</v>
      </c>
      <c r="S42" s="100">
        <f t="shared" si="18"/>
        <v>0</v>
      </c>
      <c r="T42" s="100">
        <f t="shared" si="18"/>
        <v>0</v>
      </c>
      <c r="U42" s="100"/>
      <c r="V42" s="102">
        <f>SUM(G42:T42)</f>
        <v>101348809.96222258</v>
      </c>
      <c r="W42" s="98" t="str">
        <f>IF(ABS(F42-V42)&lt;0.01,"ok","err")</f>
        <v>ok</v>
      </c>
      <c r="X42" s="102" t="str">
        <f>IF(W42="err",V42-F42,"")</f>
        <v/>
      </c>
    </row>
    <row r="43" spans="1:24" ht="12" customHeight="1" x14ac:dyDescent="0.25">
      <c r="F43" s="101"/>
    </row>
    <row r="44" spans="1:24" ht="12" customHeight="1" x14ac:dyDescent="0.25">
      <c r="A44" s="24" t="s">
        <v>133</v>
      </c>
      <c r="F44" s="101"/>
    </row>
    <row r="45" spans="1:24" ht="12" customHeight="1" x14ac:dyDescent="0.25">
      <c r="A45" s="107" t="s">
        <v>412</v>
      </c>
      <c r="C45" s="97" t="s">
        <v>188</v>
      </c>
      <c r="D45" s="97" t="s">
        <v>173</v>
      </c>
      <c r="E45" s="97" t="s">
        <v>414</v>
      </c>
      <c r="F45" s="100">
        <f>VLOOKUP(C45,'Functional Assignment'!$C$1:$AU$771,27,)</f>
        <v>86474242.07543017</v>
      </c>
      <c r="G45" s="100">
        <f t="shared" ref="G45:T45" si="19">IF(VLOOKUP($E45,$D$5:$AJ$945,3,)=0,0,(VLOOKUP($E45,$D$5:$AJ$945,G$1,)/VLOOKUP($E45,$D$5:$AJ$945,3,))*$F45)</f>
        <v>53739362.864496239</v>
      </c>
      <c r="H45" s="100">
        <f t="shared" si="19"/>
        <v>20029661.847118277</v>
      </c>
      <c r="I45" s="100">
        <f t="shared" si="19"/>
        <v>0</v>
      </c>
      <c r="J45" s="100">
        <f t="shared" si="19"/>
        <v>424861.24940291728</v>
      </c>
      <c r="K45" s="100">
        <f t="shared" si="19"/>
        <v>0</v>
      </c>
      <c r="L45" s="100">
        <f t="shared" si="19"/>
        <v>5429031.7734457487</v>
      </c>
      <c r="M45" s="100">
        <f t="shared" si="19"/>
        <v>1196987.2789597081</v>
      </c>
      <c r="N45" s="100">
        <f t="shared" si="19"/>
        <v>1006829.2956591411</v>
      </c>
      <c r="O45" s="100">
        <f t="shared" si="19"/>
        <v>2659556.7570628724</v>
      </c>
      <c r="P45" s="100">
        <f t="shared" si="19"/>
        <v>1813848.3507521637</v>
      </c>
      <c r="Q45" s="100">
        <f t="shared" si="19"/>
        <v>76770.027668880139</v>
      </c>
      <c r="R45" s="100">
        <f t="shared" si="19"/>
        <v>0</v>
      </c>
      <c r="S45" s="100">
        <f t="shared" si="19"/>
        <v>499.14169673961499</v>
      </c>
      <c r="T45" s="100">
        <f t="shared" si="19"/>
        <v>96833.489167485313</v>
      </c>
      <c r="U45" s="100"/>
      <c r="V45" s="102">
        <f>SUM(G45:T45)</f>
        <v>86474242.075430155</v>
      </c>
      <c r="W45" s="98" t="str">
        <f>IF(ABS(F45-V45)&lt;0.01,"ok","err")</f>
        <v>ok</v>
      </c>
      <c r="X45" s="102" t="str">
        <f>IF(W45="err",V45-F45,"")</f>
        <v/>
      </c>
    </row>
    <row r="46" spans="1:24" ht="12" customHeight="1" x14ac:dyDescent="0.25">
      <c r="F46" s="101"/>
    </row>
    <row r="47" spans="1:24" ht="12" customHeight="1" x14ac:dyDescent="0.25">
      <c r="A47" s="24" t="s">
        <v>156</v>
      </c>
      <c r="F47" s="101"/>
    </row>
    <row r="48" spans="1:24" ht="12" customHeight="1" x14ac:dyDescent="0.25">
      <c r="A48" s="107" t="s">
        <v>412</v>
      </c>
      <c r="C48" s="97" t="s">
        <v>188</v>
      </c>
      <c r="D48" s="97" t="s">
        <v>175</v>
      </c>
      <c r="E48" s="97" t="s">
        <v>415</v>
      </c>
      <c r="F48" s="100">
        <f>VLOOKUP(C48,'Functional Assignment'!$C$1:$AU$771,28,)</f>
        <v>119946662.55380566</v>
      </c>
      <c r="G48" s="100">
        <f t="shared" ref="G48:T48" si="20">IF(VLOOKUP($E48,$D$5:$AJ$945,3,)=0,0,(VLOOKUP($E48,$D$5:$AJ$945,G$1,)/VLOOKUP($E48,$D$5:$AJ$945,3,))*$F48)</f>
        <v>0</v>
      </c>
      <c r="H48" s="100">
        <f t="shared" si="20"/>
        <v>0</v>
      </c>
      <c r="I48" s="100">
        <f t="shared" si="20"/>
        <v>0</v>
      </c>
      <c r="J48" s="100">
        <f t="shared" si="20"/>
        <v>0</v>
      </c>
      <c r="K48" s="100">
        <f t="shared" si="20"/>
        <v>0</v>
      </c>
      <c r="L48" s="100">
        <f t="shared" si="20"/>
        <v>0</v>
      </c>
      <c r="M48" s="100">
        <f t="shared" si="20"/>
        <v>0</v>
      </c>
      <c r="N48" s="100">
        <f t="shared" si="20"/>
        <v>0</v>
      </c>
      <c r="O48" s="100">
        <f t="shared" si="20"/>
        <v>0</v>
      </c>
      <c r="P48" s="100">
        <f t="shared" si="20"/>
        <v>0</v>
      </c>
      <c r="Q48" s="100">
        <f t="shared" si="20"/>
        <v>0</v>
      </c>
      <c r="R48" s="100">
        <f t="shared" si="20"/>
        <v>119946662.55380566</v>
      </c>
      <c r="S48" s="100">
        <f t="shared" si="20"/>
        <v>0</v>
      </c>
      <c r="T48" s="100">
        <f t="shared" si="20"/>
        <v>0</v>
      </c>
      <c r="U48" s="100"/>
      <c r="V48" s="102">
        <f>SUM(G48:T48)</f>
        <v>119946662.55380566</v>
      </c>
      <c r="W48" s="98" t="str">
        <f>IF(ABS(F48-V48)&lt;0.01,"ok","err")</f>
        <v>ok</v>
      </c>
      <c r="X48" s="102" t="str">
        <f>IF(W48="err",V48-F48,"")</f>
        <v/>
      </c>
    </row>
    <row r="49" spans="1:24" ht="12" customHeight="1" x14ac:dyDescent="0.25">
      <c r="F49" s="101"/>
    </row>
    <row r="50" spans="1:24" ht="12" customHeight="1" x14ac:dyDescent="0.25">
      <c r="A50" s="24" t="s">
        <v>309</v>
      </c>
      <c r="F50" s="101"/>
    </row>
    <row r="51" spans="1:24" ht="12" customHeight="1" x14ac:dyDescent="0.25">
      <c r="A51" s="107" t="s">
        <v>412</v>
      </c>
      <c r="C51" s="97" t="s">
        <v>188</v>
      </c>
      <c r="D51" s="97" t="s">
        <v>176</v>
      </c>
      <c r="E51" s="97" t="s">
        <v>416</v>
      </c>
      <c r="F51" s="100">
        <f>VLOOKUP(C51,'Functional Assignment'!$C$1:$AU$771,30,)</f>
        <v>0</v>
      </c>
      <c r="G51" s="100">
        <f t="shared" ref="G51:T51" si="21">IF(VLOOKUP($E51,$D$5:$AJ$945,3,)=0,0,(VLOOKUP($E51,$D$5:$AJ$945,G$1,)/VLOOKUP($E51,$D$5:$AJ$945,3,))*$F51)</f>
        <v>0</v>
      </c>
      <c r="H51" s="100">
        <f t="shared" si="21"/>
        <v>0</v>
      </c>
      <c r="I51" s="100">
        <f t="shared" si="21"/>
        <v>0</v>
      </c>
      <c r="J51" s="100">
        <f t="shared" si="21"/>
        <v>0</v>
      </c>
      <c r="K51" s="100">
        <f t="shared" si="21"/>
        <v>0</v>
      </c>
      <c r="L51" s="100">
        <f t="shared" si="21"/>
        <v>0</v>
      </c>
      <c r="M51" s="100">
        <f t="shared" si="21"/>
        <v>0</v>
      </c>
      <c r="N51" s="100">
        <f t="shared" si="21"/>
        <v>0</v>
      </c>
      <c r="O51" s="100">
        <f t="shared" si="21"/>
        <v>0</v>
      </c>
      <c r="P51" s="100">
        <f t="shared" si="21"/>
        <v>0</v>
      </c>
      <c r="Q51" s="100">
        <f t="shared" si="21"/>
        <v>0</v>
      </c>
      <c r="R51" s="100">
        <f t="shared" si="21"/>
        <v>0</v>
      </c>
      <c r="S51" s="100">
        <f t="shared" si="21"/>
        <v>0</v>
      </c>
      <c r="T51" s="100">
        <f t="shared" si="21"/>
        <v>0</v>
      </c>
      <c r="U51" s="100"/>
      <c r="V51" s="102">
        <f>SUM(G51:T51)</f>
        <v>0</v>
      </c>
      <c r="W51" s="98" t="str">
        <f>IF(ABS(F51-V51)&lt;0.01,"ok","err")</f>
        <v>ok</v>
      </c>
      <c r="X51" s="102" t="str">
        <f>IF(W51="err",V51-F51,"")</f>
        <v/>
      </c>
    </row>
    <row r="52" spans="1:24" ht="12" customHeight="1" x14ac:dyDescent="0.25">
      <c r="F52" s="101"/>
    </row>
    <row r="53" spans="1:24" ht="12" customHeight="1" x14ac:dyDescent="0.25">
      <c r="A53" s="24" t="s">
        <v>1700</v>
      </c>
      <c r="F53" s="101"/>
    </row>
    <row r="54" spans="1:24" ht="12" customHeight="1" x14ac:dyDescent="0.25">
      <c r="A54" s="107" t="s">
        <v>412</v>
      </c>
      <c r="C54" s="97" t="s">
        <v>188</v>
      </c>
      <c r="D54" s="97" t="s">
        <v>224</v>
      </c>
      <c r="E54" s="97" t="s">
        <v>416</v>
      </c>
      <c r="F54" s="100">
        <f>VLOOKUP(C54,'Functional Assignment'!$C$1:$AU$771,32,)</f>
        <v>0</v>
      </c>
      <c r="G54" s="100">
        <f t="shared" ref="G54:T54" si="22">IF(VLOOKUP($E54,$D$5:$AJ$945,3,)=0,0,(VLOOKUP($E54,$D$5:$AJ$945,G$1,)/VLOOKUP($E54,$D$5:$AJ$945,3,))*$F54)</f>
        <v>0</v>
      </c>
      <c r="H54" s="100">
        <f t="shared" si="22"/>
        <v>0</v>
      </c>
      <c r="I54" s="100">
        <f t="shared" si="22"/>
        <v>0</v>
      </c>
      <c r="J54" s="100">
        <f t="shared" si="22"/>
        <v>0</v>
      </c>
      <c r="K54" s="100">
        <f t="shared" si="22"/>
        <v>0</v>
      </c>
      <c r="L54" s="100">
        <f t="shared" si="22"/>
        <v>0</v>
      </c>
      <c r="M54" s="100">
        <f t="shared" si="22"/>
        <v>0</v>
      </c>
      <c r="N54" s="100">
        <f t="shared" si="22"/>
        <v>0</v>
      </c>
      <c r="O54" s="100">
        <f t="shared" si="22"/>
        <v>0</v>
      </c>
      <c r="P54" s="100">
        <f t="shared" si="22"/>
        <v>0</v>
      </c>
      <c r="Q54" s="100">
        <f t="shared" si="22"/>
        <v>0</v>
      </c>
      <c r="R54" s="100">
        <f t="shared" si="22"/>
        <v>0</v>
      </c>
      <c r="S54" s="100">
        <f t="shared" si="22"/>
        <v>0</v>
      </c>
      <c r="T54" s="100">
        <f t="shared" si="22"/>
        <v>0</v>
      </c>
      <c r="U54" s="100"/>
      <c r="V54" s="102">
        <f>SUM(G54:T54)</f>
        <v>0</v>
      </c>
      <c r="W54" s="98" t="str">
        <f>IF(ABS(F54-V54)&lt;0.01,"ok","err")</f>
        <v>ok</v>
      </c>
      <c r="X54" s="102" t="str">
        <f>IF(W54="err",V54-F54,"")</f>
        <v/>
      </c>
    </row>
    <row r="55" spans="1:24" ht="12" customHeight="1" x14ac:dyDescent="0.25">
      <c r="F55" s="101"/>
    </row>
    <row r="56" spans="1:24" ht="12" customHeight="1" x14ac:dyDescent="0.25">
      <c r="A56" s="24" t="s">
        <v>1699</v>
      </c>
      <c r="F56" s="101"/>
    </row>
    <row r="57" spans="1:24" ht="12" customHeight="1" x14ac:dyDescent="0.25">
      <c r="A57" s="107" t="s">
        <v>412</v>
      </c>
      <c r="C57" s="97" t="s">
        <v>188</v>
      </c>
      <c r="D57" s="97" t="s">
        <v>225</v>
      </c>
      <c r="E57" s="97" t="s">
        <v>417</v>
      </c>
      <c r="F57" s="100">
        <f>VLOOKUP(C57,'Functional Assignment'!$C$1:$AU$771,34,)</f>
        <v>0</v>
      </c>
      <c r="G57" s="100">
        <f t="shared" ref="G57:T57" si="23">IF(VLOOKUP($E57,$D$5:$AJ$945,3,)=0,0,(VLOOKUP($E57,$D$5:$AJ$945,G$1,)/VLOOKUP($E57,$D$5:$AJ$945,3,))*$F57)</f>
        <v>0</v>
      </c>
      <c r="H57" s="100">
        <f t="shared" si="23"/>
        <v>0</v>
      </c>
      <c r="I57" s="100">
        <f t="shared" si="23"/>
        <v>0</v>
      </c>
      <c r="J57" s="100">
        <f t="shared" si="23"/>
        <v>0</v>
      </c>
      <c r="K57" s="100">
        <f t="shared" si="23"/>
        <v>0</v>
      </c>
      <c r="L57" s="100">
        <f t="shared" si="23"/>
        <v>0</v>
      </c>
      <c r="M57" s="100">
        <f t="shared" si="23"/>
        <v>0</v>
      </c>
      <c r="N57" s="100">
        <f t="shared" si="23"/>
        <v>0</v>
      </c>
      <c r="O57" s="100">
        <f t="shared" si="23"/>
        <v>0</v>
      </c>
      <c r="P57" s="100">
        <f t="shared" si="23"/>
        <v>0</v>
      </c>
      <c r="Q57" s="100">
        <f t="shared" si="23"/>
        <v>0</v>
      </c>
      <c r="R57" s="100">
        <f t="shared" si="23"/>
        <v>0</v>
      </c>
      <c r="S57" s="100">
        <f t="shared" si="23"/>
        <v>0</v>
      </c>
      <c r="T57" s="100">
        <f t="shared" si="23"/>
        <v>0</v>
      </c>
      <c r="U57" s="100"/>
      <c r="V57" s="102">
        <f>SUM(G57:T57)</f>
        <v>0</v>
      </c>
      <c r="W57" s="98" t="str">
        <f>IF(ABS(F57-V57)&lt;0.01,"ok","err")</f>
        <v>ok</v>
      </c>
      <c r="X57" s="102" t="str">
        <f>IF(W57="err",V57-F57,"")</f>
        <v/>
      </c>
    </row>
    <row r="58" spans="1:24" ht="12" customHeight="1" x14ac:dyDescent="0.25">
      <c r="F58" s="101"/>
    </row>
    <row r="59" spans="1:24" ht="12" customHeight="1" x14ac:dyDescent="0.25">
      <c r="A59" s="97" t="s">
        <v>68</v>
      </c>
      <c r="D59" s="97" t="s">
        <v>418</v>
      </c>
      <c r="F59" s="100">
        <f>F14+F20+F23+F26+F34+F39+F42+F45+F48+F51+F54+F57</f>
        <v>6970753238.6231995</v>
      </c>
      <c r="G59" s="100">
        <f>G14+G20+G23+G26+G34+G39+G42+G45+G48+G51+G54+G57</f>
        <v>3281017646.7855549</v>
      </c>
      <c r="H59" s="100">
        <f t="shared" ref="H59:T59" si="24">H14+H20+H23+H26+H34+H39+H42+H45+H48+H51+H54+H57</f>
        <v>843290001.07036722</v>
      </c>
      <c r="I59" s="100">
        <f>I14+I20+I23+I26+I34+I39+I42+I45+I48+I51+I54+I57</f>
        <v>0</v>
      </c>
      <c r="J59" s="100">
        <f>J14+J20+J23+J26+J34+J39+J42+J45+J48+J51+J54+J57</f>
        <v>54175526.851034708</v>
      </c>
      <c r="K59" s="100">
        <f>K14+K20+K23+K26+K34+K39+K42+K45+K48+K51+K54+K57</f>
        <v>0</v>
      </c>
      <c r="L59" s="100">
        <f t="shared" si="24"/>
        <v>669963348.14721692</v>
      </c>
      <c r="M59" s="100">
        <f t="shared" si="24"/>
        <v>48688030.188698374</v>
      </c>
      <c r="N59" s="100">
        <f t="shared" si="24"/>
        <v>479299028.23830491</v>
      </c>
      <c r="O59" s="100">
        <f>O14+O20+O23+O26+O34+O39+O42+O45+O48+O51+O54+O57</f>
        <v>1026541072.4455502</v>
      </c>
      <c r="P59" s="100">
        <f>P14+P20+P23+P26+P34+P39+P42+P45+P48+P51+P54+P57</f>
        <v>329467919.733657</v>
      </c>
      <c r="Q59" s="100">
        <f t="shared" si="24"/>
        <v>85669021.55366604</v>
      </c>
      <c r="R59" s="100">
        <f t="shared" si="24"/>
        <v>152097029.47560716</v>
      </c>
      <c r="S59" s="100">
        <f t="shared" si="24"/>
        <v>24895.649260386934</v>
      </c>
      <c r="T59" s="100">
        <f t="shared" si="24"/>
        <v>519718.48428126011</v>
      </c>
      <c r="U59" s="100"/>
      <c r="V59" s="102">
        <f>SUM(G59:T59)</f>
        <v>6970753238.6231995</v>
      </c>
      <c r="W59" s="98" t="str">
        <f>IF(ABS(F59-V59)&lt;0.01,"ok","err")</f>
        <v>ok</v>
      </c>
      <c r="X59" s="243" t="str">
        <f>IF(W59="err",V59-F59,"")</f>
        <v/>
      </c>
    </row>
    <row r="63" spans="1:24" ht="12" customHeight="1" x14ac:dyDescent="0.25">
      <c r="A63" s="23" t="s">
        <v>202</v>
      </c>
    </row>
    <row r="65" spans="1:24" ht="12" customHeight="1" x14ac:dyDescent="0.25">
      <c r="A65" s="24" t="s">
        <v>149</v>
      </c>
    </row>
    <row r="66" spans="1:24" ht="12" customHeight="1" x14ac:dyDescent="0.25">
      <c r="A66" s="107" t="s">
        <v>139</v>
      </c>
      <c r="C66" s="97" t="s">
        <v>203</v>
      </c>
      <c r="D66" s="97" t="s">
        <v>226</v>
      </c>
      <c r="E66" s="397" t="s">
        <v>2455</v>
      </c>
      <c r="F66" s="100">
        <f>VLOOKUP(C66,'Functional Assignment'!$C$1:$AU$771,6,)</f>
        <v>887821775.68345618</v>
      </c>
      <c r="G66" s="100">
        <f t="shared" ref="G66:T71" si="25">IF(VLOOKUP($E66,$D$5:$AJ$945,3,)=0,0,(VLOOKUP($E66,$D$5:$AJ$945,G$1,)/VLOOKUP($E66,$D$5:$AJ$945,3,))*$F66)</f>
        <v>363431713.81722754</v>
      </c>
      <c r="H66" s="100">
        <f t="shared" si="25"/>
        <v>100876541.7783915</v>
      </c>
      <c r="I66" s="100">
        <f t="shared" si="25"/>
        <v>0</v>
      </c>
      <c r="J66" s="100">
        <f t="shared" si="25"/>
        <v>7596038.9238397134</v>
      </c>
      <c r="K66" s="100">
        <f t="shared" si="25"/>
        <v>0</v>
      </c>
      <c r="L66" s="100">
        <f t="shared" si="25"/>
        <v>101397036.62603177</v>
      </c>
      <c r="M66" s="100">
        <f t="shared" si="25"/>
        <v>7466362.7514104955</v>
      </c>
      <c r="N66" s="100">
        <f t="shared" si="25"/>
        <v>74047373.644369796</v>
      </c>
      <c r="O66" s="100">
        <f t="shared" si="25"/>
        <v>161946966.32615331</v>
      </c>
      <c r="P66" s="100">
        <f t="shared" si="25"/>
        <v>56305742.096263297</v>
      </c>
      <c r="Q66" s="100">
        <f t="shared" si="25"/>
        <v>14708607.829961309</v>
      </c>
      <c r="R66" s="100">
        <f t="shared" si="25"/>
        <v>0</v>
      </c>
      <c r="S66" s="100">
        <f t="shared" si="25"/>
        <v>0</v>
      </c>
      <c r="T66" s="100">
        <f t="shared" si="25"/>
        <v>45391.889807399697</v>
      </c>
      <c r="U66" s="100"/>
      <c r="V66" s="102">
        <f t="shared" ref="V66:V72" si="26">SUM(G66:T66)</f>
        <v>887821775.68345606</v>
      </c>
      <c r="W66" s="98" t="str">
        <f t="shared" ref="W66:W72" si="27">IF(ABS(F66-V66)&lt;0.01,"ok","err")</f>
        <v>ok</v>
      </c>
      <c r="X66" s="243" t="str">
        <f t="shared" ref="X66:X72" si="28">IF(W66="err",V66-F66,"")</f>
        <v/>
      </c>
    </row>
    <row r="67" spans="1:24" ht="12" customHeight="1" x14ac:dyDescent="0.25">
      <c r="A67" s="107" t="s">
        <v>143</v>
      </c>
      <c r="C67" s="97" t="s">
        <v>203</v>
      </c>
      <c r="D67" s="97" t="s">
        <v>227</v>
      </c>
      <c r="E67" s="397" t="s">
        <v>2455</v>
      </c>
      <c r="F67" s="101">
        <f>VLOOKUP(C67,'Functional Assignment'!$C$1:$AU$771,7,)</f>
        <v>930049504.10637581</v>
      </c>
      <c r="G67" s="101">
        <f t="shared" si="25"/>
        <v>380717723.38771361</v>
      </c>
      <c r="H67" s="101">
        <f t="shared" si="25"/>
        <v>105674562.4252516</v>
      </c>
      <c r="I67" s="101">
        <f t="shared" si="25"/>
        <v>0</v>
      </c>
      <c r="J67" s="101">
        <f t="shared" si="25"/>
        <v>7957331.5588608608</v>
      </c>
      <c r="K67" s="101">
        <f t="shared" si="25"/>
        <v>0</v>
      </c>
      <c r="L67" s="101">
        <f t="shared" si="25"/>
        <v>106219813.72252363</v>
      </c>
      <c r="M67" s="101">
        <f t="shared" si="25"/>
        <v>7821487.5604757527</v>
      </c>
      <c r="N67" s="101">
        <f t="shared" si="25"/>
        <v>77569310.670838654</v>
      </c>
      <c r="O67" s="101">
        <f t="shared" si="25"/>
        <v>169649697.55018985</v>
      </c>
      <c r="P67" s="101">
        <f t="shared" si="25"/>
        <v>58983828.679644972</v>
      </c>
      <c r="Q67" s="101">
        <f t="shared" si="25"/>
        <v>15408197.673254684</v>
      </c>
      <c r="R67" s="101">
        <f t="shared" si="25"/>
        <v>0</v>
      </c>
      <c r="S67" s="101">
        <f t="shared" si="25"/>
        <v>0</v>
      </c>
      <c r="T67" s="101">
        <f t="shared" si="25"/>
        <v>47550.877622171865</v>
      </c>
      <c r="U67" s="101"/>
      <c r="V67" s="101">
        <f t="shared" si="26"/>
        <v>930049504.10637569</v>
      </c>
      <c r="W67" s="98" t="str">
        <f t="shared" si="27"/>
        <v>ok</v>
      </c>
      <c r="X67" s="102" t="str">
        <f t="shared" si="28"/>
        <v/>
      </c>
    </row>
    <row r="68" spans="1:24" ht="12" customHeight="1" x14ac:dyDescent="0.25">
      <c r="A68" s="107" t="s">
        <v>140</v>
      </c>
      <c r="C68" s="97" t="s">
        <v>203</v>
      </c>
      <c r="D68" s="97" t="s">
        <v>228</v>
      </c>
      <c r="E68" s="397" t="s">
        <v>2455</v>
      </c>
      <c r="F68" s="101">
        <f>VLOOKUP(C68,'Functional Assignment'!$C$1:$AU$771,8,)</f>
        <v>764497556.22932148</v>
      </c>
      <c r="G68" s="101">
        <f t="shared" si="25"/>
        <v>312948684.83668119</v>
      </c>
      <c r="H68" s="101">
        <f t="shared" si="25"/>
        <v>86864133.976751715</v>
      </c>
      <c r="I68" s="101">
        <f t="shared" si="25"/>
        <v>0</v>
      </c>
      <c r="J68" s="101">
        <f t="shared" si="25"/>
        <v>6540899.7090974115</v>
      </c>
      <c r="K68" s="101">
        <f t="shared" si="25"/>
        <v>0</v>
      </c>
      <c r="L68" s="101">
        <f t="shared" si="25"/>
        <v>87312328.704510704</v>
      </c>
      <c r="M68" s="101">
        <f t="shared" si="25"/>
        <v>6429236.400493619</v>
      </c>
      <c r="N68" s="101">
        <f t="shared" si="25"/>
        <v>63761711.806113154</v>
      </c>
      <c r="O68" s="101">
        <f t="shared" si="25"/>
        <v>139451479.32397518</v>
      </c>
      <c r="P68" s="101">
        <f t="shared" si="25"/>
        <v>48484508.279980727</v>
      </c>
      <c r="Q68" s="101">
        <f t="shared" si="25"/>
        <v>12665486.530654848</v>
      </c>
      <c r="R68" s="101">
        <f t="shared" si="25"/>
        <v>0</v>
      </c>
      <c r="S68" s="101">
        <f t="shared" si="25"/>
        <v>0</v>
      </c>
      <c r="T68" s="101">
        <f t="shared" si="25"/>
        <v>39086.661062884719</v>
      </c>
      <c r="U68" s="101"/>
      <c r="V68" s="101">
        <f t="shared" si="26"/>
        <v>764497556.22932136</v>
      </c>
      <c r="W68" s="98" t="str">
        <f t="shared" si="27"/>
        <v>ok</v>
      </c>
      <c r="X68" s="102" t="str">
        <f t="shared" si="28"/>
        <v/>
      </c>
    </row>
    <row r="69" spans="1:24" ht="12" customHeight="1" x14ac:dyDescent="0.25">
      <c r="A69" s="107" t="s">
        <v>141</v>
      </c>
      <c r="C69" s="97" t="s">
        <v>203</v>
      </c>
      <c r="D69" s="97" t="s">
        <v>229</v>
      </c>
      <c r="E69" s="97" t="s">
        <v>410</v>
      </c>
      <c r="F69" s="101">
        <f>VLOOKUP(C69,'Functional Assignment'!$C$1:$AU$771,9,)</f>
        <v>0</v>
      </c>
      <c r="G69" s="101">
        <f t="shared" si="25"/>
        <v>0</v>
      </c>
      <c r="H69" s="101">
        <f t="shared" si="25"/>
        <v>0</v>
      </c>
      <c r="I69" s="101">
        <f t="shared" si="25"/>
        <v>0</v>
      </c>
      <c r="J69" s="101">
        <f t="shared" si="25"/>
        <v>0</v>
      </c>
      <c r="K69" s="101">
        <f t="shared" si="25"/>
        <v>0</v>
      </c>
      <c r="L69" s="101">
        <f t="shared" si="25"/>
        <v>0</v>
      </c>
      <c r="M69" s="101">
        <f t="shared" si="25"/>
        <v>0</v>
      </c>
      <c r="N69" s="101">
        <f t="shared" si="25"/>
        <v>0</v>
      </c>
      <c r="O69" s="101">
        <f t="shared" si="25"/>
        <v>0</v>
      </c>
      <c r="P69" s="101">
        <f t="shared" si="25"/>
        <v>0</v>
      </c>
      <c r="Q69" s="101">
        <f t="shared" si="25"/>
        <v>0</v>
      </c>
      <c r="R69" s="101">
        <f t="shared" si="25"/>
        <v>0</v>
      </c>
      <c r="S69" s="101">
        <f t="shared" si="25"/>
        <v>0</v>
      </c>
      <c r="T69" s="101">
        <f t="shared" si="25"/>
        <v>0</v>
      </c>
      <c r="U69" s="101"/>
      <c r="V69" s="101">
        <f t="shared" si="26"/>
        <v>0</v>
      </c>
      <c r="W69" s="98" t="str">
        <f t="shared" si="27"/>
        <v>ok</v>
      </c>
      <c r="X69" s="102" t="str">
        <f t="shared" si="28"/>
        <v/>
      </c>
    </row>
    <row r="70" spans="1:24" ht="12" customHeight="1" x14ac:dyDescent="0.25">
      <c r="A70" s="107" t="s">
        <v>144</v>
      </c>
      <c r="C70" s="97" t="s">
        <v>203</v>
      </c>
      <c r="D70" s="97" t="s">
        <v>230</v>
      </c>
      <c r="E70" s="97" t="s">
        <v>410</v>
      </c>
      <c r="F70" s="101">
        <f>VLOOKUP(C70,'Functional Assignment'!$C$1:$AU$771,10,)</f>
        <v>0</v>
      </c>
      <c r="G70" s="101">
        <f t="shared" si="25"/>
        <v>0</v>
      </c>
      <c r="H70" s="101">
        <f t="shared" si="25"/>
        <v>0</v>
      </c>
      <c r="I70" s="101">
        <f t="shared" si="25"/>
        <v>0</v>
      </c>
      <c r="J70" s="101">
        <f t="shared" si="25"/>
        <v>0</v>
      </c>
      <c r="K70" s="101">
        <f t="shared" si="25"/>
        <v>0</v>
      </c>
      <c r="L70" s="101">
        <f t="shared" si="25"/>
        <v>0</v>
      </c>
      <c r="M70" s="101">
        <f t="shared" si="25"/>
        <v>0</v>
      </c>
      <c r="N70" s="101">
        <f t="shared" si="25"/>
        <v>0</v>
      </c>
      <c r="O70" s="101">
        <f t="shared" si="25"/>
        <v>0</v>
      </c>
      <c r="P70" s="101">
        <f t="shared" si="25"/>
        <v>0</v>
      </c>
      <c r="Q70" s="101">
        <f t="shared" si="25"/>
        <v>0</v>
      </c>
      <c r="R70" s="101">
        <f t="shared" si="25"/>
        <v>0</v>
      </c>
      <c r="S70" s="101">
        <f t="shared" si="25"/>
        <v>0</v>
      </c>
      <c r="T70" s="101">
        <f t="shared" si="25"/>
        <v>0</v>
      </c>
      <c r="U70" s="101"/>
      <c r="V70" s="101">
        <f t="shared" si="26"/>
        <v>0</v>
      </c>
      <c r="W70" s="98" t="str">
        <f t="shared" si="27"/>
        <v>ok</v>
      </c>
      <c r="X70" s="102" t="str">
        <f t="shared" si="28"/>
        <v/>
      </c>
    </row>
    <row r="71" spans="1:24" ht="12" customHeight="1" x14ac:dyDescent="0.25">
      <c r="A71" s="107" t="s">
        <v>142</v>
      </c>
      <c r="C71" s="97" t="s">
        <v>203</v>
      </c>
      <c r="D71" s="97" t="s">
        <v>231</v>
      </c>
      <c r="E71" s="97" t="s">
        <v>410</v>
      </c>
      <c r="F71" s="101">
        <f>VLOOKUP(C71,'Functional Assignment'!$C$1:$AU$771,11,)</f>
        <v>0</v>
      </c>
      <c r="G71" s="101">
        <f t="shared" si="25"/>
        <v>0</v>
      </c>
      <c r="H71" s="101">
        <f t="shared" si="25"/>
        <v>0</v>
      </c>
      <c r="I71" s="101">
        <f t="shared" si="25"/>
        <v>0</v>
      </c>
      <c r="J71" s="101">
        <f t="shared" si="25"/>
        <v>0</v>
      </c>
      <c r="K71" s="101">
        <f t="shared" si="25"/>
        <v>0</v>
      </c>
      <c r="L71" s="101">
        <f t="shared" si="25"/>
        <v>0</v>
      </c>
      <c r="M71" s="101">
        <f t="shared" si="25"/>
        <v>0</v>
      </c>
      <c r="N71" s="101">
        <f t="shared" si="25"/>
        <v>0</v>
      </c>
      <c r="O71" s="101">
        <f t="shared" si="25"/>
        <v>0</v>
      </c>
      <c r="P71" s="101">
        <f t="shared" si="25"/>
        <v>0</v>
      </c>
      <c r="Q71" s="101">
        <f t="shared" si="25"/>
        <v>0</v>
      </c>
      <c r="R71" s="101">
        <f t="shared" si="25"/>
        <v>0</v>
      </c>
      <c r="S71" s="101">
        <f t="shared" si="25"/>
        <v>0</v>
      </c>
      <c r="T71" s="101">
        <f t="shared" si="25"/>
        <v>0</v>
      </c>
      <c r="U71" s="101"/>
      <c r="V71" s="101">
        <f t="shared" si="26"/>
        <v>0</v>
      </c>
      <c r="W71" s="98" t="str">
        <f t="shared" si="27"/>
        <v>ok</v>
      </c>
      <c r="X71" s="102" t="str">
        <f t="shared" si="28"/>
        <v/>
      </c>
    </row>
    <row r="72" spans="1:24" ht="12" customHeight="1" x14ac:dyDescent="0.25">
      <c r="A72" s="97" t="s">
        <v>172</v>
      </c>
      <c r="D72" s="97" t="s">
        <v>232</v>
      </c>
      <c r="F72" s="100">
        <f t="shared" ref="F72:T72" si="29">SUM(F66:F71)</f>
        <v>2582368836.0191536</v>
      </c>
      <c r="G72" s="100">
        <f t="shared" si="29"/>
        <v>1057098122.0416224</v>
      </c>
      <c r="H72" s="100">
        <f t="shared" si="29"/>
        <v>293415238.18039477</v>
      </c>
      <c r="I72" s="100">
        <f>SUM(I66:I71)</f>
        <v>0</v>
      </c>
      <c r="J72" s="100">
        <f>SUM(J66:J71)</f>
        <v>22094270.191797987</v>
      </c>
      <c r="K72" s="100">
        <f>SUM(K66:K71)</f>
        <v>0</v>
      </c>
      <c r="L72" s="100">
        <f t="shared" si="29"/>
        <v>294929179.05306607</v>
      </c>
      <c r="M72" s="100">
        <f t="shared" si="29"/>
        <v>21717086.712379865</v>
      </c>
      <c r="N72" s="100">
        <f t="shared" si="29"/>
        <v>215378396.12132159</v>
      </c>
      <c r="O72" s="100">
        <f t="shared" si="29"/>
        <v>471048143.20031834</v>
      </c>
      <c r="P72" s="100">
        <f>SUM(P66:P71)</f>
        <v>163774079.05588898</v>
      </c>
      <c r="Q72" s="100">
        <f t="shared" si="29"/>
        <v>42782292.033870839</v>
      </c>
      <c r="R72" s="100">
        <f t="shared" si="29"/>
        <v>0</v>
      </c>
      <c r="S72" s="100">
        <f t="shared" si="29"/>
        <v>0</v>
      </c>
      <c r="T72" s="100">
        <f t="shared" si="29"/>
        <v>132029.4284924563</v>
      </c>
      <c r="U72" s="100"/>
      <c r="V72" s="102">
        <f t="shared" si="26"/>
        <v>2582368836.0191536</v>
      </c>
      <c r="W72" s="98" t="str">
        <f t="shared" si="27"/>
        <v>ok</v>
      </c>
      <c r="X72" s="243" t="str">
        <f t="shared" si="28"/>
        <v/>
      </c>
    </row>
    <row r="73" spans="1:24" ht="12" customHeight="1" x14ac:dyDescent="0.25">
      <c r="F73" s="101"/>
      <c r="G73" s="101"/>
    </row>
    <row r="74" spans="1:24" ht="12" customHeight="1" x14ac:dyDescent="0.25">
      <c r="A74" s="24" t="s">
        <v>461</v>
      </c>
      <c r="F74" s="101"/>
      <c r="G74" s="101"/>
    </row>
    <row r="75" spans="1:24" ht="12" customHeight="1" x14ac:dyDescent="0.25">
      <c r="A75" s="107" t="s">
        <v>2424</v>
      </c>
      <c r="C75" s="97" t="s">
        <v>203</v>
      </c>
      <c r="D75" s="97" t="s">
        <v>233</v>
      </c>
      <c r="E75" s="397" t="s">
        <v>2455</v>
      </c>
      <c r="F75" s="100">
        <f>VLOOKUP(C75,'Functional Assignment'!$C$1:$AU$771,13,)</f>
        <v>629437870.45678926</v>
      </c>
      <c r="G75" s="100">
        <f t="shared" ref="G75:T77" si="30">IF(VLOOKUP($E75,$D$5:$AJ$945,3,)=0,0,(VLOOKUP($E75,$D$5:$AJ$945,G$1,)/VLOOKUP($E75,$D$5:$AJ$945,3,))*$F75)</f>
        <v>257661718.00131449</v>
      </c>
      <c r="H75" s="100">
        <f t="shared" si="30"/>
        <v>71518312.993794784</v>
      </c>
      <c r="I75" s="100">
        <f t="shared" si="30"/>
        <v>0</v>
      </c>
      <c r="J75" s="100">
        <f t="shared" si="30"/>
        <v>5385354.0148279164</v>
      </c>
      <c r="K75" s="100">
        <f t="shared" si="30"/>
        <v>0</v>
      </c>
      <c r="L75" s="100">
        <f t="shared" si="30"/>
        <v>71887327.561195105</v>
      </c>
      <c r="M75" s="100">
        <f t="shared" si="30"/>
        <v>5293417.6644720128</v>
      </c>
      <c r="N75" s="100">
        <f t="shared" si="30"/>
        <v>52497271.925720356</v>
      </c>
      <c r="O75" s="100">
        <f t="shared" si="30"/>
        <v>114815333.89153476</v>
      </c>
      <c r="P75" s="100">
        <f t="shared" si="30"/>
        <v>39919010.065143161</v>
      </c>
      <c r="Q75" s="100">
        <f t="shared" si="30"/>
        <v>10427942.908640487</v>
      </c>
      <c r="R75" s="100">
        <f t="shared" si="30"/>
        <v>0</v>
      </c>
      <c r="S75" s="100">
        <f t="shared" si="30"/>
        <v>0</v>
      </c>
      <c r="T75" s="100">
        <f t="shared" si="30"/>
        <v>32181.430146139755</v>
      </c>
      <c r="U75" s="100"/>
      <c r="V75" s="102">
        <f>SUM(G75:T75)</f>
        <v>629437870.45678914</v>
      </c>
      <c r="W75" s="98" t="str">
        <f>IF(ABS(F75-V75)&lt;0.01,"ok","err")</f>
        <v>ok</v>
      </c>
      <c r="X75" s="243" t="str">
        <f>IF(W75="err",V75-F75,"")</f>
        <v/>
      </c>
    </row>
    <row r="76" spans="1:24" ht="12" hidden="1" customHeight="1" x14ac:dyDescent="0.25">
      <c r="A76" s="107" t="s">
        <v>2423</v>
      </c>
      <c r="C76" s="97" t="s">
        <v>203</v>
      </c>
      <c r="D76" s="97" t="s">
        <v>234</v>
      </c>
      <c r="E76" s="97" t="s">
        <v>55</v>
      </c>
      <c r="F76" s="101">
        <f>VLOOKUP(C76,'Functional Assignment'!$C$1:$AU$771,14,)</f>
        <v>0</v>
      </c>
      <c r="G76" s="101">
        <f t="shared" si="30"/>
        <v>0</v>
      </c>
      <c r="H76" s="101">
        <f t="shared" si="30"/>
        <v>0</v>
      </c>
      <c r="I76" s="101">
        <f t="shared" si="30"/>
        <v>0</v>
      </c>
      <c r="J76" s="101">
        <f t="shared" si="30"/>
        <v>0</v>
      </c>
      <c r="K76" s="101">
        <f t="shared" si="30"/>
        <v>0</v>
      </c>
      <c r="L76" s="101">
        <f t="shared" si="30"/>
        <v>0</v>
      </c>
      <c r="M76" s="101">
        <f t="shared" si="30"/>
        <v>0</v>
      </c>
      <c r="N76" s="101">
        <f t="shared" si="30"/>
        <v>0</v>
      </c>
      <c r="O76" s="101">
        <f t="shared" si="30"/>
        <v>0</v>
      </c>
      <c r="P76" s="101">
        <f t="shared" si="30"/>
        <v>0</v>
      </c>
      <c r="Q76" s="101">
        <f t="shared" si="30"/>
        <v>0</v>
      </c>
      <c r="R76" s="101">
        <f t="shared" si="30"/>
        <v>0</v>
      </c>
      <c r="S76" s="101">
        <f t="shared" si="30"/>
        <v>0</v>
      </c>
      <c r="T76" s="101">
        <f t="shared" si="30"/>
        <v>0</v>
      </c>
      <c r="U76" s="101"/>
      <c r="V76" s="101">
        <f>SUM(G76:T76)</f>
        <v>0</v>
      </c>
      <c r="W76" s="98" t="str">
        <f>IF(ABS(F76-V76)&lt;0.01,"ok","err")</f>
        <v>ok</v>
      </c>
      <c r="X76" s="102" t="str">
        <f>IF(W76="err",V76-F76,"")</f>
        <v/>
      </c>
    </row>
    <row r="77" spans="1:24" ht="12" hidden="1" customHeight="1" x14ac:dyDescent="0.25">
      <c r="A77" s="107" t="s">
        <v>2423</v>
      </c>
      <c r="C77" s="97" t="s">
        <v>203</v>
      </c>
      <c r="D77" s="97" t="s">
        <v>235</v>
      </c>
      <c r="E77" s="97" t="s">
        <v>58</v>
      </c>
      <c r="F77" s="101">
        <f>VLOOKUP(C77,'Functional Assignment'!$C$1:$AU$771,15,)</f>
        <v>0</v>
      </c>
      <c r="G77" s="101">
        <f t="shared" si="30"/>
        <v>0</v>
      </c>
      <c r="H77" s="101">
        <f t="shared" si="30"/>
        <v>0</v>
      </c>
      <c r="I77" s="101">
        <f t="shared" si="30"/>
        <v>0</v>
      </c>
      <c r="J77" s="101">
        <f t="shared" si="30"/>
        <v>0</v>
      </c>
      <c r="K77" s="101">
        <f t="shared" si="30"/>
        <v>0</v>
      </c>
      <c r="L77" s="101">
        <f t="shared" si="30"/>
        <v>0</v>
      </c>
      <c r="M77" s="101">
        <f t="shared" si="30"/>
        <v>0</v>
      </c>
      <c r="N77" s="101">
        <f t="shared" si="30"/>
        <v>0</v>
      </c>
      <c r="O77" s="101">
        <f t="shared" si="30"/>
        <v>0</v>
      </c>
      <c r="P77" s="101">
        <f t="shared" si="30"/>
        <v>0</v>
      </c>
      <c r="Q77" s="101">
        <f t="shared" si="30"/>
        <v>0</v>
      </c>
      <c r="R77" s="101">
        <f t="shared" si="30"/>
        <v>0</v>
      </c>
      <c r="S77" s="101">
        <f t="shared" si="30"/>
        <v>0</v>
      </c>
      <c r="T77" s="101">
        <f t="shared" si="30"/>
        <v>0</v>
      </c>
      <c r="U77" s="101"/>
      <c r="V77" s="101">
        <f>SUM(G77:T77)</f>
        <v>0</v>
      </c>
      <c r="W77" s="98" t="str">
        <f>IF(ABS(F77-V77)&lt;0.01,"ok","err")</f>
        <v>ok</v>
      </c>
      <c r="X77" s="102" t="str">
        <f>IF(W77="err",V77-F77,"")</f>
        <v/>
      </c>
    </row>
    <row r="78" spans="1:24" ht="12" hidden="1" customHeight="1" x14ac:dyDescent="0.25">
      <c r="A78" s="97" t="s">
        <v>463</v>
      </c>
      <c r="D78" s="97" t="s">
        <v>236</v>
      </c>
      <c r="F78" s="100">
        <f t="shared" ref="F78:T78" si="31">SUM(F75:F77)</f>
        <v>629437870.45678926</v>
      </c>
      <c r="G78" s="100">
        <f t="shared" si="31"/>
        <v>257661718.00131449</v>
      </c>
      <c r="H78" s="100">
        <f t="shared" si="31"/>
        <v>71518312.993794784</v>
      </c>
      <c r="I78" s="100">
        <f>SUM(I75:I77)</f>
        <v>0</v>
      </c>
      <c r="J78" s="100">
        <f>SUM(J75:J77)</f>
        <v>5385354.0148279164</v>
      </c>
      <c r="K78" s="100">
        <f>SUM(K75:K77)</f>
        <v>0</v>
      </c>
      <c r="L78" s="100">
        <f t="shared" si="31"/>
        <v>71887327.561195105</v>
      </c>
      <c r="M78" s="100">
        <f t="shared" si="31"/>
        <v>5293417.6644720128</v>
      </c>
      <c r="N78" s="100">
        <f t="shared" si="31"/>
        <v>52497271.925720356</v>
      </c>
      <c r="O78" s="100">
        <f t="shared" si="31"/>
        <v>114815333.89153476</v>
      </c>
      <c r="P78" s="100">
        <f>SUM(P75:P77)</f>
        <v>39919010.065143161</v>
      </c>
      <c r="Q78" s="100">
        <f t="shared" si="31"/>
        <v>10427942.908640487</v>
      </c>
      <c r="R78" s="100">
        <f t="shared" si="31"/>
        <v>0</v>
      </c>
      <c r="S78" s="100">
        <f t="shared" si="31"/>
        <v>0</v>
      </c>
      <c r="T78" s="100">
        <f t="shared" si="31"/>
        <v>32181.430146139755</v>
      </c>
      <c r="U78" s="100"/>
      <c r="V78" s="102">
        <f>SUM(G78:T78)</f>
        <v>629437870.45678914</v>
      </c>
      <c r="W78" s="98" t="str">
        <f>IF(ABS(F78-V78)&lt;0.01,"ok","err")</f>
        <v>ok</v>
      </c>
      <c r="X78" s="243" t="str">
        <f>IF(W78="err",V78-F78,"")</f>
        <v/>
      </c>
    </row>
    <row r="79" spans="1:24" ht="12" customHeight="1" x14ac:dyDescent="0.25">
      <c r="F79" s="101"/>
      <c r="G79" s="101"/>
    </row>
    <row r="80" spans="1:24" ht="12" customHeight="1" x14ac:dyDescent="0.25">
      <c r="A80" s="24" t="s">
        <v>1697</v>
      </c>
      <c r="F80" s="101"/>
      <c r="G80" s="101"/>
    </row>
    <row r="81" spans="1:24" ht="12" customHeight="1" x14ac:dyDescent="0.25">
      <c r="A81" s="107" t="s">
        <v>157</v>
      </c>
      <c r="C81" s="97" t="s">
        <v>203</v>
      </c>
      <c r="D81" s="97" t="s">
        <v>237</v>
      </c>
      <c r="E81" s="97" t="s">
        <v>2429</v>
      </c>
      <c r="F81" s="100">
        <f>VLOOKUP(C81,'Functional Assignment'!$C$1:$AU$771,17,)</f>
        <v>0</v>
      </c>
      <c r="G81" s="100">
        <f t="shared" ref="G81:T81" si="32">IF(VLOOKUP($E81,$D$5:$AJ$945,3,)=0,0,(VLOOKUP($E81,$D$5:$AJ$945,G$1,)/VLOOKUP($E81,$D$5:$AJ$945,3,))*$F81)</f>
        <v>0</v>
      </c>
      <c r="H81" s="100">
        <f t="shared" si="32"/>
        <v>0</v>
      </c>
      <c r="I81" s="100">
        <f t="shared" si="32"/>
        <v>0</v>
      </c>
      <c r="J81" s="100">
        <f t="shared" si="32"/>
        <v>0</v>
      </c>
      <c r="K81" s="100">
        <f t="shared" si="32"/>
        <v>0</v>
      </c>
      <c r="L81" s="100">
        <f t="shared" si="32"/>
        <v>0</v>
      </c>
      <c r="M81" s="100">
        <f t="shared" si="32"/>
        <v>0</v>
      </c>
      <c r="N81" s="100">
        <f t="shared" si="32"/>
        <v>0</v>
      </c>
      <c r="O81" s="100">
        <f t="shared" si="32"/>
        <v>0</v>
      </c>
      <c r="P81" s="100">
        <f t="shared" si="32"/>
        <v>0</v>
      </c>
      <c r="Q81" s="100">
        <f t="shared" si="32"/>
        <v>0</v>
      </c>
      <c r="R81" s="100">
        <f t="shared" si="32"/>
        <v>0</v>
      </c>
      <c r="S81" s="100">
        <f t="shared" si="32"/>
        <v>0</v>
      </c>
      <c r="T81" s="100">
        <f t="shared" si="32"/>
        <v>0</v>
      </c>
      <c r="U81" s="100"/>
      <c r="V81" s="102">
        <f>SUM(G81:T81)</f>
        <v>0</v>
      </c>
      <c r="W81" s="98" t="str">
        <f>IF(ABS(F81-V81)&lt;0.01,"ok","err")</f>
        <v>ok</v>
      </c>
      <c r="X81" s="102" t="str">
        <f>IF(W81="err",V81-F81,"")</f>
        <v/>
      </c>
    </row>
    <row r="82" spans="1:24" ht="12" customHeight="1" x14ac:dyDescent="0.25">
      <c r="F82" s="101"/>
    </row>
    <row r="83" spans="1:24" ht="12" customHeight="1" x14ac:dyDescent="0.25">
      <c r="A83" s="24" t="s">
        <v>1698</v>
      </c>
      <c r="F83" s="101"/>
      <c r="G83" s="101"/>
    </row>
    <row r="84" spans="1:24" ht="12" customHeight="1" x14ac:dyDescent="0.25">
      <c r="A84" s="107" t="s">
        <v>159</v>
      </c>
      <c r="C84" s="97" t="s">
        <v>203</v>
      </c>
      <c r="D84" s="97" t="s">
        <v>238</v>
      </c>
      <c r="E84" s="97" t="s">
        <v>2429</v>
      </c>
      <c r="F84" s="100">
        <f>VLOOKUP(C84,'Functional Assignment'!$C$1:$AU$771,18,)</f>
        <v>142637385.73320541</v>
      </c>
      <c r="G84" s="100">
        <f t="shared" ref="G84:T84" si="33">IF(VLOOKUP($E84,$D$5:$AJ$945,3,)=0,0,(VLOOKUP($E84,$D$5:$AJ$945,G$1,)/VLOOKUP($E84,$D$5:$AJ$945,3,))*$F84)</f>
        <v>69258945.544948712</v>
      </c>
      <c r="H84" s="100">
        <f t="shared" si="33"/>
        <v>16873417.150456324</v>
      </c>
      <c r="I84" s="100">
        <f t="shared" si="33"/>
        <v>0</v>
      </c>
      <c r="J84" s="100">
        <f t="shared" si="33"/>
        <v>1767107.6849144704</v>
      </c>
      <c r="K84" s="100">
        <f t="shared" si="33"/>
        <v>0</v>
      </c>
      <c r="L84" s="100">
        <f t="shared" si="33"/>
        <v>15768253.15327891</v>
      </c>
      <c r="M84" s="100">
        <f t="shared" si="33"/>
        <v>1218913.2735535989</v>
      </c>
      <c r="N84" s="100">
        <f t="shared" si="33"/>
        <v>11098922.70110466</v>
      </c>
      <c r="O84" s="100">
        <f t="shared" si="33"/>
        <v>25387869.027067482</v>
      </c>
      <c r="P84" s="100">
        <f t="shared" si="33"/>
        <v>0</v>
      </c>
      <c r="Q84" s="100">
        <f t="shared" si="33"/>
        <v>0</v>
      </c>
      <c r="R84" s="100">
        <f t="shared" si="33"/>
        <v>1250606.0220029429</v>
      </c>
      <c r="S84" s="100">
        <f t="shared" si="33"/>
        <v>5238.3517912406187</v>
      </c>
      <c r="T84" s="100">
        <f t="shared" si="33"/>
        <v>8112.8240870497402</v>
      </c>
      <c r="U84" s="100"/>
      <c r="V84" s="102">
        <f>SUM(G84:T84)</f>
        <v>142637385.73320538</v>
      </c>
      <c r="W84" s="98" t="str">
        <f>IF(ABS(F84-V84)&lt;0.01,"ok","err")</f>
        <v>ok</v>
      </c>
      <c r="X84" s="102" t="str">
        <f>IF(W84="err",V84-F84,"")</f>
        <v/>
      </c>
    </row>
    <row r="85" spans="1:24" ht="12" customHeight="1" x14ac:dyDescent="0.25">
      <c r="F85" s="101"/>
    </row>
    <row r="86" spans="1:24" ht="12" customHeight="1" x14ac:dyDescent="0.25">
      <c r="A86" s="24" t="s">
        <v>158</v>
      </c>
      <c r="F86" s="101"/>
    </row>
    <row r="87" spans="1:24" ht="12" customHeight="1" x14ac:dyDescent="0.25">
      <c r="A87" s="107" t="s">
        <v>820</v>
      </c>
      <c r="C87" s="97" t="s">
        <v>203</v>
      </c>
      <c r="D87" s="97" t="s">
        <v>239</v>
      </c>
      <c r="E87" s="97" t="s">
        <v>2429</v>
      </c>
      <c r="F87" s="100">
        <f>VLOOKUP(C87,'Functional Assignment'!$C$1:$AU$771,19,)</f>
        <v>0</v>
      </c>
      <c r="G87" s="100">
        <f t="shared" ref="G87:T91" si="34">IF(VLOOKUP($E87,$D$5:$AJ$945,3,)=0,0,(VLOOKUP($E87,$D$5:$AJ$945,G$1,)/VLOOKUP($E87,$D$5:$AJ$945,3,))*$F87)</f>
        <v>0</v>
      </c>
      <c r="H87" s="100">
        <f t="shared" si="34"/>
        <v>0</v>
      </c>
      <c r="I87" s="100">
        <f t="shared" si="34"/>
        <v>0</v>
      </c>
      <c r="J87" s="100">
        <f t="shared" si="34"/>
        <v>0</v>
      </c>
      <c r="K87" s="100">
        <f t="shared" si="34"/>
        <v>0</v>
      </c>
      <c r="L87" s="100">
        <f t="shared" si="34"/>
        <v>0</v>
      </c>
      <c r="M87" s="100">
        <f t="shared" si="34"/>
        <v>0</v>
      </c>
      <c r="N87" s="100">
        <f t="shared" si="34"/>
        <v>0</v>
      </c>
      <c r="O87" s="100">
        <f t="shared" si="34"/>
        <v>0</v>
      </c>
      <c r="P87" s="100">
        <f t="shared" si="34"/>
        <v>0</v>
      </c>
      <c r="Q87" s="100">
        <f t="shared" si="34"/>
        <v>0</v>
      </c>
      <c r="R87" s="100">
        <f t="shared" si="34"/>
        <v>0</v>
      </c>
      <c r="S87" s="100">
        <f t="shared" si="34"/>
        <v>0</v>
      </c>
      <c r="T87" s="100">
        <f t="shared" si="34"/>
        <v>0</v>
      </c>
      <c r="U87" s="100"/>
      <c r="V87" s="102">
        <f t="shared" ref="V87:V92" si="35">SUM(G87:T87)</f>
        <v>0</v>
      </c>
      <c r="W87" s="98" t="str">
        <f t="shared" ref="W87:W92" si="36">IF(ABS(F87-V87)&lt;0.01,"ok","err")</f>
        <v>ok</v>
      </c>
      <c r="X87" s="102" t="str">
        <f t="shared" ref="X87:X92" si="37">IF(W87="err",V87-F87,"")</f>
        <v/>
      </c>
    </row>
    <row r="88" spans="1:24" ht="12" customHeight="1" x14ac:dyDescent="0.25">
      <c r="A88" s="107" t="s">
        <v>821</v>
      </c>
      <c r="C88" s="97" t="s">
        <v>203</v>
      </c>
      <c r="D88" s="97" t="s">
        <v>240</v>
      </c>
      <c r="E88" s="97" t="s">
        <v>2429</v>
      </c>
      <c r="F88" s="101">
        <f>VLOOKUP(C88,'Functional Assignment'!$C$1:$AU$771,20,)</f>
        <v>155430810.86327949</v>
      </c>
      <c r="G88" s="101">
        <f t="shared" si="34"/>
        <v>75470915.358210012</v>
      </c>
      <c r="H88" s="101">
        <f t="shared" si="34"/>
        <v>18386826.821372759</v>
      </c>
      <c r="I88" s="101">
        <f t="shared" si="34"/>
        <v>0</v>
      </c>
      <c r="J88" s="101">
        <f t="shared" si="34"/>
        <v>1925603.0173094256</v>
      </c>
      <c r="K88" s="101">
        <f t="shared" si="34"/>
        <v>0</v>
      </c>
      <c r="L88" s="101">
        <f t="shared" si="34"/>
        <v>17182538.511297543</v>
      </c>
      <c r="M88" s="101">
        <f t="shared" si="34"/>
        <v>1328239.9807496299</v>
      </c>
      <c r="N88" s="101">
        <f t="shared" si="34"/>
        <v>12094406.710231494</v>
      </c>
      <c r="O88" s="101">
        <f t="shared" si="34"/>
        <v>27664956.481666725</v>
      </c>
      <c r="P88" s="101">
        <f t="shared" si="34"/>
        <v>0</v>
      </c>
      <c r="Q88" s="101">
        <f t="shared" si="34"/>
        <v>0</v>
      </c>
      <c r="R88" s="101">
        <f t="shared" si="34"/>
        <v>1362775.3135773174</v>
      </c>
      <c r="S88" s="101">
        <f t="shared" si="34"/>
        <v>5708.1897730694263</v>
      </c>
      <c r="T88" s="101">
        <f t="shared" si="34"/>
        <v>8840.4790915046506</v>
      </c>
      <c r="U88" s="101"/>
      <c r="V88" s="101">
        <f t="shared" si="35"/>
        <v>155430810.86327949</v>
      </c>
      <c r="W88" s="98" t="str">
        <f t="shared" si="36"/>
        <v>ok</v>
      </c>
      <c r="X88" s="102" t="str">
        <f t="shared" si="37"/>
        <v/>
      </c>
    </row>
    <row r="89" spans="1:24" ht="12" customHeight="1" x14ac:dyDescent="0.25">
      <c r="A89" s="107" t="s">
        <v>822</v>
      </c>
      <c r="C89" s="97" t="s">
        <v>203</v>
      </c>
      <c r="D89" s="97" t="s">
        <v>241</v>
      </c>
      <c r="E89" s="97" t="s">
        <v>941</v>
      </c>
      <c r="F89" s="101">
        <f>VLOOKUP(C89,'Functional Assignment'!$C$1:$AU$771,21,)</f>
        <v>288232444.0968374</v>
      </c>
      <c r="G89" s="101">
        <f t="shared" si="34"/>
        <v>230313587.78240952</v>
      </c>
      <c r="H89" s="101">
        <f t="shared" si="34"/>
        <v>44564316.031710848</v>
      </c>
      <c r="I89" s="101">
        <f t="shared" si="34"/>
        <v>0</v>
      </c>
      <c r="J89" s="101">
        <f t="shared" si="34"/>
        <v>317136.16396218044</v>
      </c>
      <c r="K89" s="101">
        <f t="shared" si="34"/>
        <v>0</v>
      </c>
      <c r="L89" s="101">
        <f t="shared" si="34"/>
        <v>2408202.607625124</v>
      </c>
      <c r="M89" s="101">
        <f t="shared" si="34"/>
        <v>92520.331139050948</v>
      </c>
      <c r="N89" s="101">
        <f t="shared" si="34"/>
        <v>330506.1540111762</v>
      </c>
      <c r="O89" s="101">
        <f t="shared" si="34"/>
        <v>148139.48974287347</v>
      </c>
      <c r="P89" s="101">
        <f t="shared" si="34"/>
        <v>0</v>
      </c>
      <c r="Q89" s="101">
        <f t="shared" si="34"/>
        <v>0</v>
      </c>
      <c r="R89" s="101">
        <f t="shared" si="34"/>
        <v>10011686.23740004</v>
      </c>
      <c r="S89" s="101">
        <f t="shared" si="34"/>
        <v>237.68871198214757</v>
      </c>
      <c r="T89" s="101">
        <f t="shared" si="34"/>
        <v>46111.610124536637</v>
      </c>
      <c r="U89" s="101"/>
      <c r="V89" s="101">
        <f t="shared" si="35"/>
        <v>288232444.09683734</v>
      </c>
      <c r="W89" s="98" t="str">
        <f t="shared" si="36"/>
        <v>ok</v>
      </c>
      <c r="X89" s="102" t="str">
        <f t="shared" si="37"/>
        <v/>
      </c>
    </row>
    <row r="90" spans="1:24" ht="12" customHeight="1" x14ac:dyDescent="0.25">
      <c r="A90" s="107" t="s">
        <v>823</v>
      </c>
      <c r="C90" s="97" t="s">
        <v>203</v>
      </c>
      <c r="D90" s="97" t="s">
        <v>242</v>
      </c>
      <c r="E90" s="97" t="s">
        <v>760</v>
      </c>
      <c r="F90" s="101">
        <f>VLOOKUP(C90,'Functional Assignment'!$C$1:$AU$771,22,)</f>
        <v>71553551.760093957</v>
      </c>
      <c r="G90" s="101">
        <f t="shared" si="34"/>
        <v>59887509.950399227</v>
      </c>
      <c r="H90" s="101">
        <f t="shared" si="34"/>
        <v>10392175.0501479</v>
      </c>
      <c r="I90" s="101">
        <f t="shared" si="34"/>
        <v>0</v>
      </c>
      <c r="J90" s="101">
        <f t="shared" si="34"/>
        <v>793372.28180677618</v>
      </c>
      <c r="K90" s="101">
        <f t="shared" si="34"/>
        <v>0</v>
      </c>
      <c r="L90" s="101">
        <f t="shared" si="34"/>
        <v>0</v>
      </c>
      <c r="M90" s="101">
        <f t="shared" si="34"/>
        <v>0</v>
      </c>
      <c r="N90" s="101">
        <f t="shared" si="34"/>
        <v>0</v>
      </c>
      <c r="O90" s="101">
        <f t="shared" si="34"/>
        <v>0</v>
      </c>
      <c r="P90" s="101">
        <f t="shared" si="34"/>
        <v>0</v>
      </c>
      <c r="Q90" s="101">
        <f t="shared" si="34"/>
        <v>0</v>
      </c>
      <c r="R90" s="101">
        <f t="shared" si="34"/>
        <v>475422.42193142831</v>
      </c>
      <c r="S90" s="101">
        <f t="shared" si="34"/>
        <v>1991.3784610854771</v>
      </c>
      <c r="T90" s="101">
        <f t="shared" si="34"/>
        <v>3080.6773475210221</v>
      </c>
      <c r="U90" s="101"/>
      <c r="V90" s="101">
        <f t="shared" si="35"/>
        <v>71553551.760093957</v>
      </c>
      <c r="W90" s="98" t="str">
        <f t="shared" si="36"/>
        <v>ok</v>
      </c>
      <c r="X90" s="102" t="str">
        <f t="shared" si="37"/>
        <v/>
      </c>
    </row>
    <row r="91" spans="1:24" ht="12" customHeight="1" x14ac:dyDescent="0.25">
      <c r="A91" s="107" t="s">
        <v>824</v>
      </c>
      <c r="C91" s="97" t="s">
        <v>203</v>
      </c>
      <c r="D91" s="97" t="s">
        <v>243</v>
      </c>
      <c r="E91" s="97" t="s">
        <v>940</v>
      </c>
      <c r="F91" s="101">
        <f>VLOOKUP(C91,'Functional Assignment'!$C$1:$AU$771,23,)</f>
        <v>109381848.66546527</v>
      </c>
      <c r="G91" s="101">
        <f t="shared" si="34"/>
        <v>88315002.244914517</v>
      </c>
      <c r="H91" s="101">
        <f t="shared" si="34"/>
        <v>17088430.206305947</v>
      </c>
      <c r="I91" s="101">
        <f t="shared" si="34"/>
        <v>0</v>
      </c>
      <c r="J91" s="101">
        <f t="shared" si="34"/>
        <v>121607.59294290615</v>
      </c>
      <c r="K91" s="101">
        <f t="shared" si="34"/>
        <v>0</v>
      </c>
      <c r="L91" s="101">
        <f t="shared" si="34"/>
        <v>0</v>
      </c>
      <c r="M91" s="101">
        <f t="shared" si="34"/>
        <v>0</v>
      </c>
      <c r="N91" s="101">
        <f t="shared" si="34"/>
        <v>0</v>
      </c>
      <c r="O91" s="101">
        <f t="shared" si="34"/>
        <v>0</v>
      </c>
      <c r="P91" s="101">
        <f t="shared" si="34"/>
        <v>0</v>
      </c>
      <c r="Q91" s="101">
        <f t="shared" si="34"/>
        <v>0</v>
      </c>
      <c r="R91" s="101">
        <f t="shared" si="34"/>
        <v>3839035.7296969458</v>
      </c>
      <c r="S91" s="101">
        <f t="shared" si="34"/>
        <v>91.14303387139303</v>
      </c>
      <c r="T91" s="101">
        <f t="shared" si="34"/>
        <v>17681.748571050251</v>
      </c>
      <c r="U91" s="101"/>
      <c r="V91" s="101">
        <f t="shared" si="35"/>
        <v>109381848.66546525</v>
      </c>
      <c r="W91" s="98" t="str">
        <f t="shared" si="36"/>
        <v>ok</v>
      </c>
      <c r="X91" s="102" t="str">
        <f t="shared" si="37"/>
        <v/>
      </c>
    </row>
    <row r="92" spans="1:24" ht="12" customHeight="1" x14ac:dyDescent="0.25">
      <c r="A92" s="97" t="s">
        <v>163</v>
      </c>
      <c r="D92" s="97" t="s">
        <v>244</v>
      </c>
      <c r="F92" s="100">
        <f>SUM(F87:F91)</f>
        <v>624598655.38567603</v>
      </c>
      <c r="G92" s="100">
        <f t="shared" ref="G92:T92" si="38">SUM(G87:G91)</f>
        <v>453987015.33593327</v>
      </c>
      <c r="H92" s="100">
        <f t="shared" si="38"/>
        <v>90431748.109537467</v>
      </c>
      <c r="I92" s="100">
        <f>SUM(I87:I91)</f>
        <v>0</v>
      </c>
      <c r="J92" s="100">
        <f>SUM(J87:J91)</f>
        <v>3157719.0560212885</v>
      </c>
      <c r="K92" s="100">
        <f>SUM(K87:K91)</f>
        <v>0</v>
      </c>
      <c r="L92" s="100">
        <f t="shared" si="38"/>
        <v>19590741.118922666</v>
      </c>
      <c r="M92" s="100">
        <f t="shared" si="38"/>
        <v>1420760.3118886808</v>
      </c>
      <c r="N92" s="100">
        <f t="shared" si="38"/>
        <v>12424912.864242671</v>
      </c>
      <c r="O92" s="100">
        <f t="shared" si="38"/>
        <v>27813095.9714096</v>
      </c>
      <c r="P92" s="100">
        <f>SUM(P87:P91)</f>
        <v>0</v>
      </c>
      <c r="Q92" s="100">
        <f t="shared" si="38"/>
        <v>0</v>
      </c>
      <c r="R92" s="100">
        <f t="shared" si="38"/>
        <v>15688919.702605732</v>
      </c>
      <c r="S92" s="100">
        <f t="shared" si="38"/>
        <v>8028.3999800084439</v>
      </c>
      <c r="T92" s="100">
        <f t="shared" si="38"/>
        <v>75714.515134612564</v>
      </c>
      <c r="U92" s="100"/>
      <c r="V92" s="102">
        <f t="shared" si="35"/>
        <v>624598655.38567591</v>
      </c>
      <c r="W92" s="98" t="str">
        <f t="shared" si="36"/>
        <v>ok</v>
      </c>
      <c r="X92" s="102" t="str">
        <f t="shared" si="37"/>
        <v/>
      </c>
    </row>
    <row r="93" spans="1:24" ht="12" customHeight="1" x14ac:dyDescent="0.25">
      <c r="F93" s="101"/>
    </row>
    <row r="94" spans="1:24" ht="12" customHeight="1" x14ac:dyDescent="0.25">
      <c r="A94" s="24" t="s">
        <v>819</v>
      </c>
      <c r="F94" s="101"/>
    </row>
    <row r="95" spans="1:24" ht="12" customHeight="1" x14ac:dyDescent="0.25">
      <c r="A95" s="107" t="s">
        <v>409</v>
      </c>
      <c r="C95" s="97" t="s">
        <v>203</v>
      </c>
      <c r="D95" s="97" t="s">
        <v>245</v>
      </c>
      <c r="E95" s="97" t="s">
        <v>2332</v>
      </c>
      <c r="F95" s="100">
        <f>VLOOKUP(C95,'Functional Assignment'!$C$1:$AU$771,24,)</f>
        <v>111075978.55302</v>
      </c>
      <c r="G95" s="100">
        <f t="shared" ref="G95:T96" si="39">IF(VLOOKUP($E95,$D$5:$AJ$945,3,)=0,0,(VLOOKUP($E95,$D$5:$AJ$945,G$1,)/VLOOKUP($E95,$D$5:$AJ$945,3,))*$F95)</f>
        <v>77614367.953974217</v>
      </c>
      <c r="H95" s="100">
        <f t="shared" si="39"/>
        <v>13468285.771980282</v>
      </c>
      <c r="I95" s="100">
        <f t="shared" si="39"/>
        <v>0</v>
      </c>
      <c r="J95" s="100">
        <f t="shared" si="39"/>
        <v>1028212.5313881873</v>
      </c>
      <c r="K95" s="100">
        <f t="shared" si="39"/>
        <v>0</v>
      </c>
      <c r="L95" s="100">
        <f t="shared" si="39"/>
        <v>11212851.625526296</v>
      </c>
      <c r="M95" s="100">
        <f t="shared" si="39"/>
        <v>0</v>
      </c>
      <c r="N95" s="100">
        <f t="shared" si="39"/>
        <v>7129538.5829235548</v>
      </c>
      <c r="O95" s="100">
        <f t="shared" si="39"/>
        <v>0</v>
      </c>
      <c r="P95" s="100">
        <f t="shared" si="39"/>
        <v>0</v>
      </c>
      <c r="Q95" s="100">
        <f t="shared" si="39"/>
        <v>0</v>
      </c>
      <c r="R95" s="100">
        <f t="shared" si="39"/>
        <v>616148.68976714683</v>
      </c>
      <c r="S95" s="100">
        <f t="shared" si="39"/>
        <v>2580.8316415612935</v>
      </c>
      <c r="T95" s="100">
        <f t="shared" si="39"/>
        <v>3992.5658187492554</v>
      </c>
      <c r="U95" s="100"/>
      <c r="V95" s="102">
        <f>SUM(G95:T95)</f>
        <v>111075978.55302</v>
      </c>
      <c r="W95" s="98" t="str">
        <f>IF(ABS(F95-V95)&lt;0.01,"ok","err")</f>
        <v>ok</v>
      </c>
      <c r="X95" s="102" t="str">
        <f>IF(W95="err",V95-F95,"")</f>
        <v/>
      </c>
    </row>
    <row r="96" spans="1:24" ht="12" customHeight="1" x14ac:dyDescent="0.25">
      <c r="A96" s="107" t="s">
        <v>412</v>
      </c>
      <c r="C96" s="97" t="s">
        <v>203</v>
      </c>
      <c r="D96" s="97" t="s">
        <v>246</v>
      </c>
      <c r="E96" s="97" t="s">
        <v>2331</v>
      </c>
      <c r="F96" s="101">
        <f>VLOOKUP(C96,'Functional Assignment'!$C$1:$AU$771,25,)</f>
        <v>98844227.340259716</v>
      </c>
      <c r="G96" s="101">
        <f t="shared" si="39"/>
        <v>79047979.398265153</v>
      </c>
      <c r="H96" s="101">
        <f t="shared" si="39"/>
        <v>15295316.136104709</v>
      </c>
      <c r="I96" s="101">
        <f t="shared" si="39"/>
        <v>0</v>
      </c>
      <c r="J96" s="101">
        <f t="shared" si="39"/>
        <v>108847.12967526419</v>
      </c>
      <c r="K96" s="101">
        <f t="shared" si="39"/>
        <v>0</v>
      </c>
      <c r="L96" s="101">
        <f t="shared" si="39"/>
        <v>826540.68284606189</v>
      </c>
      <c r="M96" s="101">
        <f t="shared" si="39"/>
        <v>0</v>
      </c>
      <c r="N96" s="101">
        <f t="shared" si="39"/>
        <v>113435.96313543554</v>
      </c>
      <c r="O96" s="101">
        <f t="shared" si="39"/>
        <v>0</v>
      </c>
      <c r="P96" s="101">
        <f t="shared" si="39"/>
        <v>0</v>
      </c>
      <c r="Q96" s="101">
        <f t="shared" si="39"/>
        <v>0</v>
      </c>
      <c r="R96" s="101">
        <f t="shared" si="39"/>
        <v>3436200.0742378142</v>
      </c>
      <c r="S96" s="101">
        <f t="shared" si="39"/>
        <v>81.579261514157182</v>
      </c>
      <c r="T96" s="101">
        <f t="shared" si="39"/>
        <v>15826.376733746492</v>
      </c>
      <c r="U96" s="101"/>
      <c r="V96" s="101">
        <f>SUM(G96:T96)</f>
        <v>98844227.340259701</v>
      </c>
      <c r="W96" s="98" t="str">
        <f>IF(ABS(F96-V96)&lt;0.01,"ok","err")</f>
        <v>ok</v>
      </c>
      <c r="X96" s="102" t="str">
        <f>IF(W96="err",V96-F96,"")</f>
        <v/>
      </c>
    </row>
    <row r="97" spans="1:24" ht="12" customHeight="1" x14ac:dyDescent="0.25">
      <c r="A97" s="97" t="s">
        <v>1536</v>
      </c>
      <c r="D97" s="97" t="s">
        <v>247</v>
      </c>
      <c r="F97" s="100">
        <f t="shared" ref="F97:T97" si="40">F95+F96</f>
        <v>209920205.89327973</v>
      </c>
      <c r="G97" s="100">
        <f t="shared" si="40"/>
        <v>156662347.35223937</v>
      </c>
      <c r="H97" s="100">
        <f t="shared" si="40"/>
        <v>28763601.908084989</v>
      </c>
      <c r="I97" s="100">
        <f>I95+I96</f>
        <v>0</v>
      </c>
      <c r="J97" s="100">
        <f>J95+J96</f>
        <v>1137059.6610634516</v>
      </c>
      <c r="K97" s="100">
        <f>K95+K96</f>
        <v>0</v>
      </c>
      <c r="L97" s="100">
        <f t="shared" si="40"/>
        <v>12039392.308372358</v>
      </c>
      <c r="M97" s="100">
        <f t="shared" si="40"/>
        <v>0</v>
      </c>
      <c r="N97" s="100">
        <f t="shared" si="40"/>
        <v>7242974.5460589901</v>
      </c>
      <c r="O97" s="100">
        <f t="shared" si="40"/>
        <v>0</v>
      </c>
      <c r="P97" s="100">
        <f>P95+P96</f>
        <v>0</v>
      </c>
      <c r="Q97" s="100">
        <f t="shared" si="40"/>
        <v>0</v>
      </c>
      <c r="R97" s="100">
        <f t="shared" si="40"/>
        <v>4052348.7640049611</v>
      </c>
      <c r="S97" s="100">
        <f t="shared" si="40"/>
        <v>2662.4109030754507</v>
      </c>
      <c r="T97" s="100">
        <f t="shared" si="40"/>
        <v>19818.942552495748</v>
      </c>
      <c r="U97" s="100"/>
      <c r="V97" s="102">
        <f>SUM(G97:T97)</f>
        <v>209920205.8932797</v>
      </c>
      <c r="W97" s="98" t="str">
        <f>IF(ABS(F97-V97)&lt;0.01,"ok","err")</f>
        <v>ok</v>
      </c>
      <c r="X97" s="102" t="str">
        <f>IF(W97="err",V97-F97,"")</f>
        <v/>
      </c>
    </row>
    <row r="98" spans="1:24" ht="12" customHeight="1" x14ac:dyDescent="0.25">
      <c r="F98" s="101"/>
    </row>
    <row r="99" spans="1:24" ht="12" customHeight="1" x14ac:dyDescent="0.25">
      <c r="A99" s="24" t="s">
        <v>134</v>
      </c>
      <c r="F99" s="101"/>
    </row>
    <row r="100" spans="1:24" ht="12" customHeight="1" x14ac:dyDescent="0.25">
      <c r="A100" s="107" t="s">
        <v>412</v>
      </c>
      <c r="C100" s="97" t="s">
        <v>203</v>
      </c>
      <c r="D100" s="97" t="s">
        <v>248</v>
      </c>
      <c r="E100" s="97" t="s">
        <v>413</v>
      </c>
      <c r="F100" s="100">
        <f>VLOOKUP(C100,'Functional Assignment'!$C$1:$AU$771,26,)</f>
        <v>66173474.892899327</v>
      </c>
      <c r="G100" s="100">
        <f t="shared" ref="G100:T100" si="41">IF(VLOOKUP($E100,$D$5:$AJ$945,3,)=0,0,(VLOOKUP($E100,$D$5:$AJ$945,G$1,)/VLOOKUP($E100,$D$5:$AJ$945,3,))*$F100)</f>
        <v>46407751.46040535</v>
      </c>
      <c r="H100" s="100">
        <f t="shared" si="41"/>
        <v>18179013.410592433</v>
      </c>
      <c r="I100" s="100">
        <f t="shared" si="41"/>
        <v>0</v>
      </c>
      <c r="J100" s="100">
        <f t="shared" si="41"/>
        <v>172163.483897072</v>
      </c>
      <c r="K100" s="100">
        <f t="shared" si="41"/>
        <v>0</v>
      </c>
      <c r="L100" s="100">
        <f t="shared" si="41"/>
        <v>1235102.7494357189</v>
      </c>
      <c r="M100" s="100">
        <f t="shared" si="41"/>
        <v>0</v>
      </c>
      <c r="N100" s="100">
        <f t="shared" si="41"/>
        <v>179443.78856875206</v>
      </c>
      <c r="O100" s="100">
        <f t="shared" si="41"/>
        <v>0</v>
      </c>
      <c r="P100" s="100">
        <f t="shared" si="41"/>
        <v>0</v>
      </c>
      <c r="Q100" s="100">
        <f t="shared" si="41"/>
        <v>0</v>
      </c>
      <c r="R100" s="100">
        <f t="shared" si="41"/>
        <v>0</v>
      </c>
      <c r="S100" s="100">
        <f t="shared" si="41"/>
        <v>0</v>
      </c>
      <c r="T100" s="100">
        <f t="shared" si="41"/>
        <v>0</v>
      </c>
      <c r="U100" s="100"/>
      <c r="V100" s="102">
        <f>SUM(G100:T100)</f>
        <v>66173474.892899327</v>
      </c>
      <c r="W100" s="98" t="str">
        <f>IF(ABS(F100-V100)&lt;0.01,"ok","err")</f>
        <v>ok</v>
      </c>
      <c r="X100" s="102" t="str">
        <f>IF(W100="err",V100-F100,"")</f>
        <v/>
      </c>
    </row>
    <row r="101" spans="1:24" ht="12" customHeight="1" x14ac:dyDescent="0.25">
      <c r="F101" s="101"/>
    </row>
    <row r="102" spans="1:24" ht="12" customHeight="1" x14ac:dyDescent="0.25">
      <c r="A102" s="24" t="s">
        <v>133</v>
      </c>
      <c r="F102" s="101"/>
    </row>
    <row r="103" spans="1:24" ht="12" customHeight="1" x14ac:dyDescent="0.25">
      <c r="A103" s="107" t="s">
        <v>412</v>
      </c>
      <c r="C103" s="97" t="s">
        <v>203</v>
      </c>
      <c r="D103" s="97" t="s">
        <v>249</v>
      </c>
      <c r="E103" s="97" t="s">
        <v>414</v>
      </c>
      <c r="F103" s="100">
        <f>VLOOKUP(C103,'Functional Assignment'!$C$1:$AU$771,27,)</f>
        <v>56461453.163524508</v>
      </c>
      <c r="G103" s="100">
        <f t="shared" ref="G103:T103" si="42">IF(VLOOKUP($E103,$D$5:$AJ$945,3,)=0,0,(VLOOKUP($E103,$D$5:$AJ$945,G$1,)/VLOOKUP($E103,$D$5:$AJ$945,3,))*$F103)</f>
        <v>35087934.240171932</v>
      </c>
      <c r="H103" s="100">
        <f t="shared" si="42"/>
        <v>13077926.873019969</v>
      </c>
      <c r="I103" s="100">
        <f t="shared" si="42"/>
        <v>0</v>
      </c>
      <c r="J103" s="100">
        <f t="shared" si="42"/>
        <v>277403.80208518857</v>
      </c>
      <c r="K103" s="100">
        <f t="shared" si="42"/>
        <v>0</v>
      </c>
      <c r="L103" s="100">
        <f t="shared" si="42"/>
        <v>3544766.809662364</v>
      </c>
      <c r="M103" s="100">
        <f t="shared" si="42"/>
        <v>781546.49946935661</v>
      </c>
      <c r="N103" s="100">
        <f t="shared" si="42"/>
        <v>657387.02943399199</v>
      </c>
      <c r="O103" s="100">
        <f t="shared" si="42"/>
        <v>1736499.0507075631</v>
      </c>
      <c r="P103" s="100">
        <f t="shared" si="42"/>
        <v>1184312.3598862721</v>
      </c>
      <c r="Q103" s="100">
        <f t="shared" si="42"/>
        <v>50125.299945479681</v>
      </c>
      <c r="R103" s="100">
        <f t="shared" si="42"/>
        <v>0</v>
      </c>
      <c r="S103" s="100">
        <f t="shared" si="42"/>
        <v>325.9035853455988</v>
      </c>
      <c r="T103" s="100">
        <f t="shared" si="42"/>
        <v>63225.295557046164</v>
      </c>
      <c r="U103" s="100"/>
      <c r="V103" s="102">
        <f>SUM(G103:T103)</f>
        <v>56461453.163524516</v>
      </c>
      <c r="W103" s="98" t="str">
        <f>IF(ABS(F103-V103)&lt;0.01,"ok","err")</f>
        <v>ok</v>
      </c>
      <c r="X103" s="102" t="str">
        <f>IF(W103="err",V103-F103,"")</f>
        <v/>
      </c>
    </row>
    <row r="104" spans="1:24" ht="12" customHeight="1" x14ac:dyDescent="0.25">
      <c r="F104" s="101"/>
    </row>
    <row r="105" spans="1:24" ht="12" customHeight="1" x14ac:dyDescent="0.25">
      <c r="A105" s="24" t="s">
        <v>156</v>
      </c>
      <c r="F105" s="101"/>
    </row>
    <row r="106" spans="1:24" ht="12" customHeight="1" x14ac:dyDescent="0.25">
      <c r="A106" s="107" t="s">
        <v>412</v>
      </c>
      <c r="C106" s="97" t="s">
        <v>203</v>
      </c>
      <c r="D106" s="97" t="s">
        <v>250</v>
      </c>
      <c r="E106" s="97" t="s">
        <v>415</v>
      </c>
      <c r="F106" s="100">
        <f>VLOOKUP(C106,'Functional Assignment'!$C$1:$AU$771,28,)</f>
        <v>78316533.42500937</v>
      </c>
      <c r="G106" s="100">
        <f t="shared" ref="G106:T106" si="43">IF(VLOOKUP($E106,$D$5:$AJ$945,3,)=0,0,(VLOOKUP($E106,$D$5:$AJ$945,G$1,)/VLOOKUP($E106,$D$5:$AJ$945,3,))*$F106)</f>
        <v>0</v>
      </c>
      <c r="H106" s="100">
        <f t="shared" si="43"/>
        <v>0</v>
      </c>
      <c r="I106" s="100">
        <f t="shared" si="43"/>
        <v>0</v>
      </c>
      <c r="J106" s="100">
        <f t="shared" si="43"/>
        <v>0</v>
      </c>
      <c r="K106" s="100">
        <f t="shared" si="43"/>
        <v>0</v>
      </c>
      <c r="L106" s="100">
        <f t="shared" si="43"/>
        <v>0</v>
      </c>
      <c r="M106" s="100">
        <f t="shared" si="43"/>
        <v>0</v>
      </c>
      <c r="N106" s="100">
        <f t="shared" si="43"/>
        <v>0</v>
      </c>
      <c r="O106" s="100">
        <f t="shared" si="43"/>
        <v>0</v>
      </c>
      <c r="P106" s="100">
        <f t="shared" si="43"/>
        <v>0</v>
      </c>
      <c r="Q106" s="100">
        <f t="shared" si="43"/>
        <v>0</v>
      </c>
      <c r="R106" s="100">
        <f t="shared" si="43"/>
        <v>78316533.42500937</v>
      </c>
      <c r="S106" s="100">
        <f t="shared" si="43"/>
        <v>0</v>
      </c>
      <c r="T106" s="100">
        <f t="shared" si="43"/>
        <v>0</v>
      </c>
      <c r="U106" s="100"/>
      <c r="V106" s="102">
        <f>SUM(G106:T106)</f>
        <v>78316533.42500937</v>
      </c>
      <c r="W106" s="98" t="str">
        <f>IF(ABS(F106-V106)&lt;0.01,"ok","err")</f>
        <v>ok</v>
      </c>
      <c r="X106" s="102" t="str">
        <f>IF(W106="err",V106-F106,"")</f>
        <v/>
      </c>
    </row>
    <row r="107" spans="1:24" ht="12" customHeight="1" x14ac:dyDescent="0.25">
      <c r="F107" s="101"/>
    </row>
    <row r="108" spans="1:24" ht="12" customHeight="1" x14ac:dyDescent="0.25">
      <c r="A108" s="24" t="s">
        <v>309</v>
      </c>
      <c r="F108" s="101"/>
    </row>
    <row r="109" spans="1:24" ht="12" customHeight="1" x14ac:dyDescent="0.25">
      <c r="A109" s="107" t="s">
        <v>412</v>
      </c>
      <c r="C109" s="97" t="s">
        <v>203</v>
      </c>
      <c r="D109" s="97" t="s">
        <v>251</v>
      </c>
      <c r="E109" s="97" t="s">
        <v>416</v>
      </c>
      <c r="F109" s="100">
        <f>VLOOKUP(C109,'Functional Assignment'!$C$1:$AU$771,30,)</f>
        <v>0</v>
      </c>
      <c r="G109" s="100">
        <f t="shared" ref="G109:T109" si="44">IF(VLOOKUP($E109,$D$5:$AJ$945,3,)=0,0,(VLOOKUP($E109,$D$5:$AJ$945,G$1,)/VLOOKUP($E109,$D$5:$AJ$945,3,))*$F109)</f>
        <v>0</v>
      </c>
      <c r="H109" s="100">
        <f t="shared" si="44"/>
        <v>0</v>
      </c>
      <c r="I109" s="100">
        <f t="shared" si="44"/>
        <v>0</v>
      </c>
      <c r="J109" s="100">
        <f t="shared" si="44"/>
        <v>0</v>
      </c>
      <c r="K109" s="100">
        <f t="shared" si="44"/>
        <v>0</v>
      </c>
      <c r="L109" s="100">
        <f t="shared" si="44"/>
        <v>0</v>
      </c>
      <c r="M109" s="100">
        <f t="shared" si="44"/>
        <v>0</v>
      </c>
      <c r="N109" s="100">
        <f t="shared" si="44"/>
        <v>0</v>
      </c>
      <c r="O109" s="100">
        <f t="shared" si="44"/>
        <v>0</v>
      </c>
      <c r="P109" s="100">
        <f t="shared" si="44"/>
        <v>0</v>
      </c>
      <c r="Q109" s="100">
        <f t="shared" si="44"/>
        <v>0</v>
      </c>
      <c r="R109" s="100">
        <f t="shared" si="44"/>
        <v>0</v>
      </c>
      <c r="S109" s="100">
        <f t="shared" si="44"/>
        <v>0</v>
      </c>
      <c r="T109" s="100">
        <f t="shared" si="44"/>
        <v>0</v>
      </c>
      <c r="U109" s="100"/>
      <c r="V109" s="102">
        <f>SUM(G109:T109)</f>
        <v>0</v>
      </c>
      <c r="W109" s="98" t="str">
        <f>IF(ABS(F109-V109)&lt;0.01,"ok","err")</f>
        <v>ok</v>
      </c>
      <c r="X109" s="102" t="str">
        <f>IF(W109="err",V109-F109,"")</f>
        <v/>
      </c>
    </row>
    <row r="110" spans="1:24" ht="12" customHeight="1" x14ac:dyDescent="0.25">
      <c r="F110" s="101"/>
    </row>
    <row r="111" spans="1:24" ht="12" customHeight="1" x14ac:dyDescent="0.25">
      <c r="A111" s="24" t="s">
        <v>1700</v>
      </c>
      <c r="F111" s="101"/>
    </row>
    <row r="112" spans="1:24" ht="12" customHeight="1" x14ac:dyDescent="0.25">
      <c r="A112" s="107" t="s">
        <v>412</v>
      </c>
      <c r="C112" s="97" t="s">
        <v>203</v>
      </c>
      <c r="D112" s="97" t="s">
        <v>252</v>
      </c>
      <c r="E112" s="97" t="s">
        <v>416</v>
      </c>
      <c r="F112" s="100">
        <f>VLOOKUP(C112,'Functional Assignment'!$C$1:$AU$771,32,)</f>
        <v>0</v>
      </c>
      <c r="G112" s="100">
        <f t="shared" ref="G112:T112" si="45">IF(VLOOKUP($E112,$D$5:$AJ$945,3,)=0,0,(VLOOKUP($E112,$D$5:$AJ$945,G$1,)/VLOOKUP($E112,$D$5:$AJ$945,3,))*$F112)</f>
        <v>0</v>
      </c>
      <c r="H112" s="100">
        <f t="shared" si="45"/>
        <v>0</v>
      </c>
      <c r="I112" s="100">
        <f t="shared" si="45"/>
        <v>0</v>
      </c>
      <c r="J112" s="100">
        <f t="shared" si="45"/>
        <v>0</v>
      </c>
      <c r="K112" s="100">
        <f t="shared" si="45"/>
        <v>0</v>
      </c>
      <c r="L112" s="100">
        <f t="shared" si="45"/>
        <v>0</v>
      </c>
      <c r="M112" s="100">
        <f t="shared" si="45"/>
        <v>0</v>
      </c>
      <c r="N112" s="100">
        <f t="shared" si="45"/>
        <v>0</v>
      </c>
      <c r="O112" s="100">
        <f t="shared" si="45"/>
        <v>0</v>
      </c>
      <c r="P112" s="100">
        <f t="shared" si="45"/>
        <v>0</v>
      </c>
      <c r="Q112" s="100">
        <f t="shared" si="45"/>
        <v>0</v>
      </c>
      <c r="R112" s="100">
        <f t="shared" si="45"/>
        <v>0</v>
      </c>
      <c r="S112" s="100">
        <f t="shared" si="45"/>
        <v>0</v>
      </c>
      <c r="T112" s="100">
        <f t="shared" si="45"/>
        <v>0</v>
      </c>
      <c r="U112" s="100"/>
      <c r="V112" s="102">
        <f>SUM(G112:T112)</f>
        <v>0</v>
      </c>
      <c r="W112" s="98" t="str">
        <f>IF(ABS(F112-V112)&lt;0.01,"ok","err")</f>
        <v>ok</v>
      </c>
      <c r="X112" s="102" t="str">
        <f>IF(W112="err",V112-F112,"")</f>
        <v/>
      </c>
    </row>
    <row r="113" spans="1:24" ht="12" customHeight="1" x14ac:dyDescent="0.25">
      <c r="F113" s="101"/>
    </row>
    <row r="114" spans="1:24" ht="12" customHeight="1" x14ac:dyDescent="0.25">
      <c r="A114" s="24" t="s">
        <v>1699</v>
      </c>
      <c r="F114" s="101"/>
    </row>
    <row r="115" spans="1:24" ht="12" customHeight="1" x14ac:dyDescent="0.25">
      <c r="A115" s="107" t="s">
        <v>412</v>
      </c>
      <c r="C115" s="97" t="s">
        <v>203</v>
      </c>
      <c r="D115" s="97" t="s">
        <v>253</v>
      </c>
      <c r="E115" s="97" t="s">
        <v>417</v>
      </c>
      <c r="F115" s="100">
        <f>VLOOKUP(C115,'Functional Assignment'!$C$1:$AU$771,34,)</f>
        <v>0</v>
      </c>
      <c r="G115" s="100">
        <f t="shared" ref="G115:T115" si="46">IF(VLOOKUP($E115,$D$5:$AJ$945,3,)=0,0,(VLOOKUP($E115,$D$5:$AJ$945,G$1,)/VLOOKUP($E115,$D$5:$AJ$945,3,))*$F115)</f>
        <v>0</v>
      </c>
      <c r="H115" s="100">
        <f t="shared" si="46"/>
        <v>0</v>
      </c>
      <c r="I115" s="100">
        <f t="shared" si="46"/>
        <v>0</v>
      </c>
      <c r="J115" s="100">
        <f t="shared" si="46"/>
        <v>0</v>
      </c>
      <c r="K115" s="100">
        <f t="shared" si="46"/>
        <v>0</v>
      </c>
      <c r="L115" s="100">
        <f t="shared" si="46"/>
        <v>0</v>
      </c>
      <c r="M115" s="100">
        <f t="shared" si="46"/>
        <v>0</v>
      </c>
      <c r="N115" s="100">
        <f t="shared" si="46"/>
        <v>0</v>
      </c>
      <c r="O115" s="100">
        <f t="shared" si="46"/>
        <v>0</v>
      </c>
      <c r="P115" s="100">
        <f t="shared" si="46"/>
        <v>0</v>
      </c>
      <c r="Q115" s="100">
        <f t="shared" si="46"/>
        <v>0</v>
      </c>
      <c r="R115" s="100">
        <f t="shared" si="46"/>
        <v>0</v>
      </c>
      <c r="S115" s="100">
        <f t="shared" si="46"/>
        <v>0</v>
      </c>
      <c r="T115" s="100">
        <f t="shared" si="46"/>
        <v>0</v>
      </c>
      <c r="U115" s="100"/>
      <c r="V115" s="102">
        <f>SUM(G115:T115)</f>
        <v>0</v>
      </c>
      <c r="W115" s="98" t="str">
        <f>IF(ABS(F115-V115)&lt;0.01,"ok","err")</f>
        <v>ok</v>
      </c>
      <c r="X115" s="102" t="str">
        <f>IF(W115="err",V115-F115,"")</f>
        <v/>
      </c>
    </row>
    <row r="116" spans="1:24" ht="12" customHeight="1" x14ac:dyDescent="0.25">
      <c r="F116" s="101"/>
    </row>
    <row r="117" spans="1:24" ht="12" customHeight="1" x14ac:dyDescent="0.25">
      <c r="A117" s="97" t="s">
        <v>68</v>
      </c>
      <c r="D117" s="97" t="s">
        <v>254</v>
      </c>
      <c r="F117" s="100">
        <f>F72+F78+F81+F84+F92+F97+F100+F103+F106+F109+F112+F115</f>
        <v>4389914414.9695368</v>
      </c>
      <c r="G117" s="100">
        <f t="shared" ref="G117:T117" si="47">G72+G78+G81+G84+G92+G97+G100+G103+G106+G109+G112+G115</f>
        <v>2076163833.9766355</v>
      </c>
      <c r="H117" s="100">
        <f t="shared" si="47"/>
        <v>532259258.62588078</v>
      </c>
      <c r="I117" s="100">
        <f>I72+I78+I81+I84+I92+I97+I100+I103+I106+I109+I112+I115</f>
        <v>0</v>
      </c>
      <c r="J117" s="100">
        <f>J72+J78+J81+J84+J92+J97+J100+J103+J106+J109+J112+J115</f>
        <v>33991077.894607373</v>
      </c>
      <c r="K117" s="100">
        <f>K72+K78+K81+K84+K92+K97+K100+K103+K106+K109+K112+K115</f>
        <v>0</v>
      </c>
      <c r="L117" s="100">
        <f t="shared" si="47"/>
        <v>418994762.75393313</v>
      </c>
      <c r="M117" s="100">
        <f t="shared" si="47"/>
        <v>30431724.461763516</v>
      </c>
      <c r="N117" s="100">
        <f t="shared" si="47"/>
        <v>299479308.97645098</v>
      </c>
      <c r="O117" s="100">
        <f>O72+O78+O81+O84+O92+O97+O100+O103+O106+O109+O112+O115</f>
        <v>640800941.1410377</v>
      </c>
      <c r="P117" s="100">
        <f>P72+P78+P81+P84+P92+P97+P100+P103+P106+P109+P112+P115</f>
        <v>204877401.48091841</v>
      </c>
      <c r="Q117" s="100">
        <f t="shared" si="47"/>
        <v>53260360.242456809</v>
      </c>
      <c r="R117" s="100">
        <f t="shared" si="47"/>
        <v>99308407.913623005</v>
      </c>
      <c r="S117" s="100">
        <f t="shared" si="47"/>
        <v>16255.066259670113</v>
      </c>
      <c r="T117" s="100">
        <f t="shared" si="47"/>
        <v>331082.43596980034</v>
      </c>
      <c r="U117" s="100"/>
      <c r="V117" s="102">
        <f>SUM(G117:T117)</f>
        <v>4389914414.9695358</v>
      </c>
      <c r="W117" s="98" t="str">
        <f>IF(ABS(F117-V117)&lt;0.01,"ok","err")</f>
        <v>ok</v>
      </c>
      <c r="X117" s="243" t="str">
        <f>IF(W117="err",V117-F117,"")</f>
        <v/>
      </c>
    </row>
    <row r="118" spans="1:24" ht="12" customHeight="1" x14ac:dyDescent="0.25">
      <c r="X118" s="243"/>
    </row>
    <row r="120" spans="1:24" ht="12" customHeight="1" x14ac:dyDescent="0.25">
      <c r="A120" s="23" t="s">
        <v>420</v>
      </c>
    </row>
    <row r="122" spans="1:24" ht="12" customHeight="1" x14ac:dyDescent="0.25">
      <c r="A122" s="24" t="s">
        <v>149</v>
      </c>
    </row>
    <row r="123" spans="1:24" ht="12" customHeight="1" x14ac:dyDescent="0.25">
      <c r="A123" s="107" t="s">
        <v>139</v>
      </c>
      <c r="C123" s="97" t="s">
        <v>804</v>
      </c>
      <c r="D123" s="97" t="s">
        <v>255</v>
      </c>
      <c r="E123" s="397" t="s">
        <v>2455</v>
      </c>
      <c r="F123" s="100">
        <f>VLOOKUP(C123,'Functional Assignment'!$C$1:$AU$771,6,)</f>
        <v>711137998.01659751</v>
      </c>
      <c r="G123" s="100">
        <f t="shared" ref="G123:T128" si="48">IF(VLOOKUP($E123,$D$5:$AJ$945,3,)=0,0,(VLOOKUP($E123,$D$5:$AJ$945,G$1,)/VLOOKUP($E123,$D$5:$AJ$945,3,))*$F123)</f>
        <v>291105837.29574114</v>
      </c>
      <c r="H123" s="100">
        <f t="shared" si="48"/>
        <v>80801286.848251551</v>
      </c>
      <c r="I123" s="100">
        <f t="shared" si="48"/>
        <v>0</v>
      </c>
      <c r="J123" s="100">
        <f t="shared" si="48"/>
        <v>6084365.1970544728</v>
      </c>
      <c r="K123" s="100">
        <f t="shared" si="48"/>
        <v>0</v>
      </c>
      <c r="L123" s="100">
        <f t="shared" si="48"/>
        <v>81218198.974160969</v>
      </c>
      <c r="M123" s="100">
        <f t="shared" si="48"/>
        <v>5980495.6410495201</v>
      </c>
      <c r="N123" s="100">
        <f t="shared" si="48"/>
        <v>59311342.089246906</v>
      </c>
      <c r="O123" s="100">
        <f t="shared" si="48"/>
        <v>129718198.59834515</v>
      </c>
      <c r="P123" s="100">
        <f t="shared" si="48"/>
        <v>45100439.984535597</v>
      </c>
      <c r="Q123" s="100">
        <f t="shared" si="48"/>
        <v>11781474.854857907</v>
      </c>
      <c r="R123" s="100">
        <f t="shared" si="48"/>
        <v>0</v>
      </c>
      <c r="S123" s="100">
        <f t="shared" si="48"/>
        <v>0</v>
      </c>
      <c r="T123" s="100">
        <f t="shared" si="48"/>
        <v>36358.533354258805</v>
      </c>
      <c r="U123" s="100"/>
      <c r="V123" s="102">
        <f t="shared" ref="V123:V129" si="49">SUM(G123:T123)</f>
        <v>711137998.01659739</v>
      </c>
      <c r="W123" s="98" t="str">
        <f t="shared" ref="W123:W129" si="50">IF(ABS(F123-V123)&lt;0.01,"ok","err")</f>
        <v>ok</v>
      </c>
      <c r="X123" s="243" t="str">
        <f t="shared" ref="X123:X129" si="51">IF(W123="err",V123-F123,"")</f>
        <v/>
      </c>
    </row>
    <row r="124" spans="1:24" ht="12" customHeight="1" x14ac:dyDescent="0.25">
      <c r="A124" s="107" t="s">
        <v>143</v>
      </c>
      <c r="C124" s="97" t="s">
        <v>804</v>
      </c>
      <c r="D124" s="97" t="s">
        <v>256</v>
      </c>
      <c r="E124" s="397" t="s">
        <v>2455</v>
      </c>
      <c r="F124" s="101">
        <f>VLOOKUP(C124,'Functional Assignment'!$C$1:$AU$771,7,)</f>
        <v>744544986.77898896</v>
      </c>
      <c r="G124" s="101">
        <f t="shared" si="48"/>
        <v>304781058.50783902</v>
      </c>
      <c r="H124" s="101">
        <f t="shared" si="48"/>
        <v>84597072.883106783</v>
      </c>
      <c r="I124" s="101">
        <f t="shared" si="48"/>
        <v>0</v>
      </c>
      <c r="J124" s="101">
        <f t="shared" si="48"/>
        <v>6370189.2147995355</v>
      </c>
      <c r="K124" s="101">
        <f t="shared" si="48"/>
        <v>0</v>
      </c>
      <c r="L124" s="101">
        <f t="shared" si="48"/>
        <v>85033570.207309648</v>
      </c>
      <c r="M124" s="101">
        <f t="shared" si="48"/>
        <v>6261440.1992524266</v>
      </c>
      <c r="N124" s="101">
        <f t="shared" si="48"/>
        <v>62097599.24915693</v>
      </c>
      <c r="O124" s="101">
        <f t="shared" si="48"/>
        <v>135811944.69957855</v>
      </c>
      <c r="P124" s="101">
        <f t="shared" si="48"/>
        <v>47219114.413330674</v>
      </c>
      <c r="Q124" s="101">
        <f t="shared" si="48"/>
        <v>12334930.863647144</v>
      </c>
      <c r="R124" s="101">
        <f t="shared" si="48"/>
        <v>0</v>
      </c>
      <c r="S124" s="101">
        <f t="shared" si="48"/>
        <v>0</v>
      </c>
      <c r="T124" s="101">
        <f t="shared" si="48"/>
        <v>38066.54096821056</v>
      </c>
      <c r="U124" s="101"/>
      <c r="V124" s="101">
        <f t="shared" si="49"/>
        <v>744544986.77898884</v>
      </c>
      <c r="W124" s="98" t="str">
        <f t="shared" si="50"/>
        <v>ok</v>
      </c>
      <c r="X124" s="102" t="str">
        <f t="shared" si="51"/>
        <v/>
      </c>
    </row>
    <row r="125" spans="1:24" ht="12" customHeight="1" x14ac:dyDescent="0.25">
      <c r="A125" s="107" t="s">
        <v>140</v>
      </c>
      <c r="C125" s="97" t="s">
        <v>804</v>
      </c>
      <c r="D125" s="97" t="s">
        <v>257</v>
      </c>
      <c r="E125" s="397" t="s">
        <v>2455</v>
      </c>
      <c r="F125" s="101">
        <f>VLOOKUP(C125,'Functional Assignment'!$C$1:$AU$771,8,)</f>
        <v>612781961.00732768</v>
      </c>
      <c r="G125" s="101">
        <f t="shared" si="48"/>
        <v>250843586.38729492</v>
      </c>
      <c r="H125" s="101">
        <f t="shared" si="48"/>
        <v>69625826.695920095</v>
      </c>
      <c r="I125" s="101">
        <f t="shared" si="48"/>
        <v>0</v>
      </c>
      <c r="J125" s="101">
        <f t="shared" si="48"/>
        <v>5242849.1338312048</v>
      </c>
      <c r="K125" s="101">
        <f t="shared" si="48"/>
        <v>0</v>
      </c>
      <c r="L125" s="101">
        <f t="shared" si="48"/>
        <v>69985076.561340079</v>
      </c>
      <c r="M125" s="101">
        <f t="shared" si="48"/>
        <v>5153345.5629417337</v>
      </c>
      <c r="N125" s="101">
        <f t="shared" si="48"/>
        <v>51108112.091876857</v>
      </c>
      <c r="O125" s="101">
        <f t="shared" si="48"/>
        <v>111777140.77595484</v>
      </c>
      <c r="P125" s="101">
        <f t="shared" si="48"/>
        <v>38862690.691676401</v>
      </c>
      <c r="Q125" s="101">
        <f t="shared" si="48"/>
        <v>10152003.247265451</v>
      </c>
      <c r="R125" s="101">
        <f t="shared" si="48"/>
        <v>0</v>
      </c>
      <c r="S125" s="101">
        <f t="shared" si="48"/>
        <v>0</v>
      </c>
      <c r="T125" s="101">
        <f t="shared" si="48"/>
        <v>31329.859226075336</v>
      </c>
      <c r="U125" s="101"/>
      <c r="V125" s="101">
        <f t="shared" si="49"/>
        <v>612781961.00732768</v>
      </c>
      <c r="W125" s="98" t="str">
        <f t="shared" si="50"/>
        <v>ok</v>
      </c>
      <c r="X125" s="102" t="str">
        <f t="shared" si="51"/>
        <v/>
      </c>
    </row>
    <row r="126" spans="1:24" ht="12" customHeight="1" x14ac:dyDescent="0.25">
      <c r="A126" s="107" t="s">
        <v>141</v>
      </c>
      <c r="C126" s="97" t="s">
        <v>804</v>
      </c>
      <c r="D126" s="97" t="s">
        <v>258</v>
      </c>
      <c r="E126" s="97" t="s">
        <v>410</v>
      </c>
      <c r="F126" s="101">
        <f>VLOOKUP(C126,'Functional Assignment'!$C$1:$AU$771,9,)</f>
        <v>71897457.403322741</v>
      </c>
      <c r="G126" s="101">
        <f t="shared" si="48"/>
        <v>24153447.932479028</v>
      </c>
      <c r="H126" s="101">
        <f t="shared" si="48"/>
        <v>7155603.2069275761</v>
      </c>
      <c r="I126" s="101">
        <f t="shared" si="48"/>
        <v>0</v>
      </c>
      <c r="J126" s="101">
        <f t="shared" si="48"/>
        <v>602132.08770131995</v>
      </c>
      <c r="K126" s="101">
        <f t="shared" si="48"/>
        <v>0</v>
      </c>
      <c r="L126" s="101">
        <f t="shared" si="48"/>
        <v>8511291.2882750928</v>
      </c>
      <c r="M126" s="101">
        <f t="shared" si="48"/>
        <v>656812.91705090401</v>
      </c>
      <c r="N126" s="101">
        <f t="shared" si="48"/>
        <v>6626069.5399611192</v>
      </c>
      <c r="O126" s="101">
        <f t="shared" si="48"/>
        <v>15927713.238484414</v>
      </c>
      <c r="P126" s="101">
        <f t="shared" si="48"/>
        <v>5672395.0788841015</v>
      </c>
      <c r="Q126" s="101">
        <f t="shared" si="48"/>
        <v>2094102.3950426062</v>
      </c>
      <c r="R126" s="101">
        <f t="shared" si="48"/>
        <v>490214.02262106125</v>
      </c>
      <c r="S126" s="101">
        <f t="shared" si="48"/>
        <v>1771.2582450400123</v>
      </c>
      <c r="T126" s="101">
        <f t="shared" si="48"/>
        <v>5904.437650463693</v>
      </c>
      <c r="U126" s="101"/>
      <c r="V126" s="101">
        <f t="shared" si="49"/>
        <v>71897457.403322726</v>
      </c>
      <c r="W126" s="98" t="str">
        <f t="shared" si="50"/>
        <v>ok</v>
      </c>
      <c r="X126" s="102" t="str">
        <f t="shared" si="51"/>
        <v/>
      </c>
    </row>
    <row r="127" spans="1:24" ht="12" customHeight="1" x14ac:dyDescent="0.25">
      <c r="A127" s="107" t="s">
        <v>144</v>
      </c>
      <c r="C127" s="97" t="s">
        <v>804</v>
      </c>
      <c r="D127" s="97" t="s">
        <v>259</v>
      </c>
      <c r="E127" s="97" t="s">
        <v>410</v>
      </c>
      <c r="F127" s="101">
        <f>VLOOKUP(C127,'Functional Assignment'!$C$1:$AU$771,10,)</f>
        <v>0</v>
      </c>
      <c r="G127" s="101">
        <f t="shared" si="48"/>
        <v>0</v>
      </c>
      <c r="H127" s="101">
        <f t="shared" si="48"/>
        <v>0</v>
      </c>
      <c r="I127" s="101">
        <f t="shared" si="48"/>
        <v>0</v>
      </c>
      <c r="J127" s="101">
        <f t="shared" si="48"/>
        <v>0</v>
      </c>
      <c r="K127" s="101">
        <f t="shared" si="48"/>
        <v>0</v>
      </c>
      <c r="L127" s="101">
        <f t="shared" si="48"/>
        <v>0</v>
      </c>
      <c r="M127" s="101">
        <f t="shared" si="48"/>
        <v>0</v>
      </c>
      <c r="N127" s="101">
        <f t="shared" si="48"/>
        <v>0</v>
      </c>
      <c r="O127" s="101">
        <f t="shared" si="48"/>
        <v>0</v>
      </c>
      <c r="P127" s="101">
        <f t="shared" si="48"/>
        <v>0</v>
      </c>
      <c r="Q127" s="101">
        <f t="shared" si="48"/>
        <v>0</v>
      </c>
      <c r="R127" s="101">
        <f t="shared" si="48"/>
        <v>0</v>
      </c>
      <c r="S127" s="101">
        <f t="shared" si="48"/>
        <v>0</v>
      </c>
      <c r="T127" s="101">
        <f t="shared" si="48"/>
        <v>0</v>
      </c>
      <c r="U127" s="101"/>
      <c r="V127" s="101">
        <f t="shared" si="49"/>
        <v>0</v>
      </c>
      <c r="W127" s="98" t="str">
        <f t="shared" si="50"/>
        <v>ok</v>
      </c>
      <c r="X127" s="102" t="str">
        <f t="shared" si="51"/>
        <v/>
      </c>
    </row>
    <row r="128" spans="1:24" ht="12" customHeight="1" x14ac:dyDescent="0.25">
      <c r="A128" s="107" t="s">
        <v>142</v>
      </c>
      <c r="C128" s="97" t="s">
        <v>804</v>
      </c>
      <c r="D128" s="97" t="s">
        <v>260</v>
      </c>
      <c r="E128" s="97" t="s">
        <v>410</v>
      </c>
      <c r="F128" s="101">
        <f>VLOOKUP(C128,'Functional Assignment'!$C$1:$AU$771,11,)</f>
        <v>0</v>
      </c>
      <c r="G128" s="101">
        <f t="shared" si="48"/>
        <v>0</v>
      </c>
      <c r="H128" s="101">
        <f t="shared" si="48"/>
        <v>0</v>
      </c>
      <c r="I128" s="101">
        <f t="shared" si="48"/>
        <v>0</v>
      </c>
      <c r="J128" s="101">
        <f t="shared" si="48"/>
        <v>0</v>
      </c>
      <c r="K128" s="101">
        <f t="shared" si="48"/>
        <v>0</v>
      </c>
      <c r="L128" s="101">
        <f t="shared" si="48"/>
        <v>0</v>
      </c>
      <c r="M128" s="101">
        <f t="shared" si="48"/>
        <v>0</v>
      </c>
      <c r="N128" s="101">
        <f t="shared" si="48"/>
        <v>0</v>
      </c>
      <c r="O128" s="101">
        <f t="shared" si="48"/>
        <v>0</v>
      </c>
      <c r="P128" s="101">
        <f t="shared" si="48"/>
        <v>0</v>
      </c>
      <c r="Q128" s="101">
        <f t="shared" si="48"/>
        <v>0</v>
      </c>
      <c r="R128" s="101">
        <f t="shared" si="48"/>
        <v>0</v>
      </c>
      <c r="S128" s="101">
        <f t="shared" si="48"/>
        <v>0</v>
      </c>
      <c r="T128" s="101">
        <f t="shared" si="48"/>
        <v>0</v>
      </c>
      <c r="U128" s="101"/>
      <c r="V128" s="101">
        <f t="shared" si="49"/>
        <v>0</v>
      </c>
      <c r="W128" s="98" t="str">
        <f t="shared" si="50"/>
        <v>ok</v>
      </c>
      <c r="X128" s="102" t="str">
        <f t="shared" si="51"/>
        <v/>
      </c>
    </row>
    <row r="129" spans="1:25" ht="12" customHeight="1" x14ac:dyDescent="0.25">
      <c r="A129" s="97" t="s">
        <v>172</v>
      </c>
      <c r="D129" s="97" t="s">
        <v>421</v>
      </c>
      <c r="F129" s="100">
        <f t="shared" ref="F129:T129" si="52">SUM(F123:F128)</f>
        <v>2140362403.2062368</v>
      </c>
      <c r="G129" s="100">
        <f t="shared" si="52"/>
        <v>870883930.12335408</v>
      </c>
      <c r="H129" s="100">
        <f t="shared" si="52"/>
        <v>242179789.63420603</v>
      </c>
      <c r="I129" s="100">
        <f>SUM(I123:I128)</f>
        <v>0</v>
      </c>
      <c r="J129" s="100">
        <f>SUM(J123:J128)</f>
        <v>18299535.633386534</v>
      </c>
      <c r="K129" s="100">
        <f>SUM(K123:K128)</f>
        <v>0</v>
      </c>
      <c r="L129" s="100">
        <f t="shared" si="52"/>
        <v>244748137.03108582</v>
      </c>
      <c r="M129" s="100">
        <f t="shared" si="52"/>
        <v>18052094.320294585</v>
      </c>
      <c r="N129" s="100">
        <f t="shared" si="52"/>
        <v>179143122.97024181</v>
      </c>
      <c r="O129" s="100">
        <f t="shared" si="52"/>
        <v>393234997.31236297</v>
      </c>
      <c r="P129" s="100">
        <f>SUM(P123:P128)</f>
        <v>136854640.16842678</v>
      </c>
      <c r="Q129" s="100">
        <f t="shared" si="52"/>
        <v>36362511.360813104</v>
      </c>
      <c r="R129" s="100">
        <f t="shared" si="52"/>
        <v>490214.02262106125</v>
      </c>
      <c r="S129" s="100">
        <f t="shared" si="52"/>
        <v>1771.2582450400123</v>
      </c>
      <c r="T129" s="100">
        <f t="shared" si="52"/>
        <v>111659.37119900838</v>
      </c>
      <c r="U129" s="100"/>
      <c r="V129" s="102">
        <f t="shared" si="49"/>
        <v>2140362403.2062366</v>
      </c>
      <c r="W129" s="98" t="str">
        <f t="shared" si="50"/>
        <v>ok</v>
      </c>
      <c r="X129" s="243" t="str">
        <f t="shared" si="51"/>
        <v/>
      </c>
    </row>
    <row r="130" spans="1:25" ht="12" customHeight="1" x14ac:dyDescent="0.25">
      <c r="F130" s="101"/>
      <c r="G130" s="101"/>
    </row>
    <row r="131" spans="1:25" ht="12" customHeight="1" x14ac:dyDescent="0.25">
      <c r="A131" s="24" t="s">
        <v>461</v>
      </c>
      <c r="F131" s="101"/>
      <c r="G131" s="101"/>
    </row>
    <row r="132" spans="1:25" ht="12" customHeight="1" x14ac:dyDescent="0.25">
      <c r="A132" s="107" t="s">
        <v>2424</v>
      </c>
      <c r="C132" s="97" t="s">
        <v>804</v>
      </c>
      <c r="D132" s="97" t="s">
        <v>261</v>
      </c>
      <c r="E132" s="397" t="s">
        <v>2455</v>
      </c>
      <c r="F132" s="100">
        <f>VLOOKUP(C132,'Functional Assignment'!$C$1:$AU$771,13,)</f>
        <v>519102553.3642441</v>
      </c>
      <c r="G132" s="100">
        <f t="shared" ref="G132:T134" si="53">IF(VLOOKUP($E132,$D$5:$AJ$945,3,)=0,0,(VLOOKUP($E132,$D$5:$AJ$945,G$1,)/VLOOKUP($E132,$D$5:$AJ$945,3,))*$F132)</f>
        <v>212495723.55987161</v>
      </c>
      <c r="H132" s="100">
        <f t="shared" si="53"/>
        <v>58981736.927331433</v>
      </c>
      <c r="I132" s="100">
        <f t="shared" si="53"/>
        <v>0</v>
      </c>
      <c r="J132" s="100">
        <f t="shared" si="53"/>
        <v>4441345.4465947459</v>
      </c>
      <c r="K132" s="100">
        <f t="shared" si="53"/>
        <v>0</v>
      </c>
      <c r="L132" s="100">
        <f t="shared" si="53"/>
        <v>59286066.255382665</v>
      </c>
      <c r="M132" s="100">
        <f t="shared" si="53"/>
        <v>4365524.7874690015</v>
      </c>
      <c r="N132" s="100">
        <f t="shared" si="53"/>
        <v>43294928.984050207</v>
      </c>
      <c r="O132" s="100">
        <f t="shared" si="53"/>
        <v>94689143.735839963</v>
      </c>
      <c r="P132" s="100">
        <f t="shared" si="53"/>
        <v>32921533.681395072</v>
      </c>
      <c r="Q132" s="100">
        <f t="shared" si="53"/>
        <v>8600009.6979920305</v>
      </c>
      <c r="R132" s="100">
        <f t="shared" si="53"/>
        <v>0</v>
      </c>
      <c r="S132" s="100">
        <f t="shared" si="53"/>
        <v>0</v>
      </c>
      <c r="T132" s="100">
        <f t="shared" si="53"/>
        <v>26540.288317337639</v>
      </c>
      <c r="U132" s="100"/>
      <c r="V132" s="102">
        <f>SUM(G132:T132)</f>
        <v>519102553.3642441</v>
      </c>
      <c r="W132" s="98" t="str">
        <f>IF(ABS(F132-V132)&lt;0.01,"ok","err")</f>
        <v>ok</v>
      </c>
      <c r="X132" s="243" t="str">
        <f>IF(W132="err",V132-F132,"")</f>
        <v/>
      </c>
    </row>
    <row r="133" spans="1:25" ht="12" hidden="1" customHeight="1" x14ac:dyDescent="0.25">
      <c r="A133" s="107" t="s">
        <v>2423</v>
      </c>
      <c r="C133" s="97" t="s">
        <v>804</v>
      </c>
      <c r="D133" s="97" t="s">
        <v>262</v>
      </c>
      <c r="E133" s="97" t="s">
        <v>55</v>
      </c>
      <c r="F133" s="101">
        <f>VLOOKUP(C133,'Functional Assignment'!$C$1:$AU$771,14,)</f>
        <v>0</v>
      </c>
      <c r="G133" s="101">
        <f t="shared" si="53"/>
        <v>0</v>
      </c>
      <c r="H133" s="101">
        <f t="shared" si="53"/>
        <v>0</v>
      </c>
      <c r="I133" s="101">
        <f t="shared" si="53"/>
        <v>0</v>
      </c>
      <c r="J133" s="101">
        <f t="shared" si="53"/>
        <v>0</v>
      </c>
      <c r="K133" s="101">
        <f t="shared" si="53"/>
        <v>0</v>
      </c>
      <c r="L133" s="101">
        <f t="shared" si="53"/>
        <v>0</v>
      </c>
      <c r="M133" s="101">
        <f t="shared" si="53"/>
        <v>0</v>
      </c>
      <c r="N133" s="101">
        <f t="shared" si="53"/>
        <v>0</v>
      </c>
      <c r="O133" s="101">
        <f t="shared" si="53"/>
        <v>0</v>
      </c>
      <c r="P133" s="101">
        <f t="shared" si="53"/>
        <v>0</v>
      </c>
      <c r="Q133" s="101">
        <f t="shared" si="53"/>
        <v>0</v>
      </c>
      <c r="R133" s="101">
        <f t="shared" si="53"/>
        <v>0</v>
      </c>
      <c r="S133" s="101">
        <f t="shared" si="53"/>
        <v>0</v>
      </c>
      <c r="T133" s="101">
        <f t="shared" si="53"/>
        <v>0</v>
      </c>
      <c r="U133" s="101"/>
      <c r="V133" s="101">
        <f>SUM(G133:T133)</f>
        <v>0</v>
      </c>
      <c r="W133" s="98" t="str">
        <f>IF(ABS(F133-V133)&lt;0.01,"ok","err")</f>
        <v>ok</v>
      </c>
      <c r="X133" s="102" t="str">
        <f>IF(W133="err",V133-F133,"")</f>
        <v/>
      </c>
    </row>
    <row r="134" spans="1:25" ht="12" hidden="1" customHeight="1" x14ac:dyDescent="0.25">
      <c r="A134" s="107" t="s">
        <v>2423</v>
      </c>
      <c r="C134" s="97" t="s">
        <v>804</v>
      </c>
      <c r="D134" s="97" t="s">
        <v>263</v>
      </c>
      <c r="E134" s="97" t="s">
        <v>58</v>
      </c>
      <c r="F134" s="101">
        <f>VLOOKUP(C134,'Functional Assignment'!$C$1:$AU$771,15,)</f>
        <v>0</v>
      </c>
      <c r="G134" s="101">
        <f t="shared" si="53"/>
        <v>0</v>
      </c>
      <c r="H134" s="101">
        <f t="shared" si="53"/>
        <v>0</v>
      </c>
      <c r="I134" s="101">
        <f t="shared" si="53"/>
        <v>0</v>
      </c>
      <c r="J134" s="101">
        <f t="shared" si="53"/>
        <v>0</v>
      </c>
      <c r="K134" s="101">
        <f t="shared" si="53"/>
        <v>0</v>
      </c>
      <c r="L134" s="101">
        <f t="shared" si="53"/>
        <v>0</v>
      </c>
      <c r="M134" s="101">
        <f t="shared" si="53"/>
        <v>0</v>
      </c>
      <c r="N134" s="101">
        <f t="shared" si="53"/>
        <v>0</v>
      </c>
      <c r="O134" s="101">
        <f t="shared" si="53"/>
        <v>0</v>
      </c>
      <c r="P134" s="101">
        <f t="shared" si="53"/>
        <v>0</v>
      </c>
      <c r="Q134" s="101">
        <f t="shared" si="53"/>
        <v>0</v>
      </c>
      <c r="R134" s="101">
        <f t="shared" si="53"/>
        <v>0</v>
      </c>
      <c r="S134" s="101">
        <f t="shared" si="53"/>
        <v>0</v>
      </c>
      <c r="T134" s="101">
        <f t="shared" si="53"/>
        <v>0</v>
      </c>
      <c r="U134" s="101"/>
      <c r="V134" s="101">
        <f>SUM(G134:T134)</f>
        <v>0</v>
      </c>
      <c r="W134" s="98" t="str">
        <f>IF(ABS(F134-V134)&lt;0.01,"ok","err")</f>
        <v>ok</v>
      </c>
      <c r="X134" s="102" t="str">
        <f>IF(W134="err",V134-F134,"")</f>
        <v/>
      </c>
    </row>
    <row r="135" spans="1:25" ht="12" hidden="1" customHeight="1" x14ac:dyDescent="0.25">
      <c r="A135" s="97" t="s">
        <v>463</v>
      </c>
      <c r="D135" s="97" t="s">
        <v>650</v>
      </c>
      <c r="F135" s="100">
        <f>SUM(F132:F134)</f>
        <v>519102553.3642441</v>
      </c>
      <c r="G135" s="100">
        <f t="shared" ref="G135:T135" si="54">SUM(G132:G134)</f>
        <v>212495723.55987161</v>
      </c>
      <c r="H135" s="100">
        <f t="shared" si="54"/>
        <v>58981736.927331433</v>
      </c>
      <c r="I135" s="100">
        <f>SUM(I132:I134)</f>
        <v>0</v>
      </c>
      <c r="J135" s="100">
        <f>SUM(J132:J134)</f>
        <v>4441345.4465947459</v>
      </c>
      <c r="K135" s="100">
        <f>SUM(K132:K134)</f>
        <v>0</v>
      </c>
      <c r="L135" s="100">
        <f t="shared" si="54"/>
        <v>59286066.255382665</v>
      </c>
      <c r="M135" s="100">
        <f t="shared" si="54"/>
        <v>4365524.7874690015</v>
      </c>
      <c r="N135" s="100">
        <f t="shared" si="54"/>
        <v>43294928.984050207</v>
      </c>
      <c r="O135" s="100">
        <f t="shared" si="54"/>
        <v>94689143.735839963</v>
      </c>
      <c r="P135" s="100">
        <f>SUM(P132:P134)</f>
        <v>32921533.681395072</v>
      </c>
      <c r="Q135" s="100">
        <f t="shared" si="54"/>
        <v>8600009.6979920305</v>
      </c>
      <c r="R135" s="100">
        <f t="shared" si="54"/>
        <v>0</v>
      </c>
      <c r="S135" s="100">
        <f t="shared" si="54"/>
        <v>0</v>
      </c>
      <c r="T135" s="100">
        <f t="shared" si="54"/>
        <v>26540.288317337639</v>
      </c>
      <c r="U135" s="100"/>
      <c r="V135" s="102">
        <f>SUM(G135:T135)</f>
        <v>519102553.3642441</v>
      </c>
      <c r="W135" s="98" t="str">
        <f>IF(ABS(F135-V135)&lt;0.01,"ok","err")</f>
        <v>ok</v>
      </c>
      <c r="X135" s="243" t="str">
        <f>IF(W135="err",V135-F135,"")</f>
        <v/>
      </c>
    </row>
    <row r="136" spans="1:25" ht="12" customHeight="1" x14ac:dyDescent="0.25">
      <c r="F136" s="101"/>
      <c r="G136" s="101"/>
    </row>
    <row r="137" spans="1:25" ht="12" customHeight="1" x14ac:dyDescent="0.25">
      <c r="A137" s="24" t="s">
        <v>1697</v>
      </c>
      <c r="F137" s="101"/>
      <c r="G137" s="101"/>
    </row>
    <row r="138" spans="1:25" ht="12" customHeight="1" x14ac:dyDescent="0.25">
      <c r="A138" s="107" t="s">
        <v>157</v>
      </c>
      <c r="C138" s="97" t="s">
        <v>804</v>
      </c>
      <c r="D138" s="97" t="s">
        <v>651</v>
      </c>
      <c r="E138" s="97" t="s">
        <v>2429</v>
      </c>
      <c r="F138" s="100">
        <f>VLOOKUP(C138,'Functional Assignment'!$C$1:$AU$771,17,)</f>
        <v>0</v>
      </c>
      <c r="G138" s="100">
        <f t="shared" ref="G138:T138" si="55">IF(VLOOKUP($E138,$D$5:$AJ$945,3,)=0,0,(VLOOKUP($E138,$D$5:$AJ$945,G$1,)/VLOOKUP($E138,$D$5:$AJ$945,3,))*$F138)</f>
        <v>0</v>
      </c>
      <c r="H138" s="100">
        <f t="shared" si="55"/>
        <v>0</v>
      </c>
      <c r="I138" s="100">
        <f t="shared" si="55"/>
        <v>0</v>
      </c>
      <c r="J138" s="100">
        <f t="shared" si="55"/>
        <v>0</v>
      </c>
      <c r="K138" s="100">
        <f t="shared" si="55"/>
        <v>0</v>
      </c>
      <c r="L138" s="100">
        <f t="shared" si="55"/>
        <v>0</v>
      </c>
      <c r="M138" s="100">
        <f t="shared" si="55"/>
        <v>0</v>
      </c>
      <c r="N138" s="100">
        <f t="shared" si="55"/>
        <v>0</v>
      </c>
      <c r="O138" s="100">
        <f t="shared" si="55"/>
        <v>0</v>
      </c>
      <c r="P138" s="100">
        <f t="shared" si="55"/>
        <v>0</v>
      </c>
      <c r="Q138" s="100">
        <f t="shared" si="55"/>
        <v>0</v>
      </c>
      <c r="R138" s="100">
        <f t="shared" si="55"/>
        <v>0</v>
      </c>
      <c r="S138" s="100">
        <f t="shared" si="55"/>
        <v>0</v>
      </c>
      <c r="T138" s="100">
        <f t="shared" si="55"/>
        <v>0</v>
      </c>
      <c r="U138" s="100"/>
      <c r="V138" s="102">
        <f>SUM(G138:T138)</f>
        <v>0</v>
      </c>
      <c r="W138" s="98" t="str">
        <f>IF(ABS(F138-V138)&lt;0.01,"ok","err")</f>
        <v>ok</v>
      </c>
      <c r="X138" s="102" t="str">
        <f>IF(W138="err",V138-F138,"")</f>
        <v/>
      </c>
    </row>
    <row r="139" spans="1:25" ht="12" customHeight="1" x14ac:dyDescent="0.25">
      <c r="F139" s="101"/>
    </row>
    <row r="140" spans="1:25" ht="12" customHeight="1" x14ac:dyDescent="0.25">
      <c r="A140" s="24" t="s">
        <v>1698</v>
      </c>
      <c r="F140" s="101"/>
      <c r="G140" s="101"/>
    </row>
    <row r="141" spans="1:25" ht="12" customHeight="1" x14ac:dyDescent="0.25">
      <c r="A141" s="107" t="s">
        <v>159</v>
      </c>
      <c r="C141" s="97" t="s">
        <v>804</v>
      </c>
      <c r="D141" s="97" t="s">
        <v>652</v>
      </c>
      <c r="E141" s="97" t="s">
        <v>2429</v>
      </c>
      <c r="F141" s="100">
        <f>VLOOKUP(C141,'Functional Assignment'!$C$1:$AU$771,18,)</f>
        <v>117629774.59232309</v>
      </c>
      <c r="G141" s="100">
        <f t="shared" ref="G141:T141" si="56">IF(VLOOKUP($E141,$D$5:$AJ$945,3,)=0,0,(VLOOKUP($E141,$D$5:$AJ$945,G$1,)/VLOOKUP($E141,$D$5:$AJ$945,3,))*$F141)</f>
        <v>57116261.007423446</v>
      </c>
      <c r="H141" s="100">
        <f t="shared" si="56"/>
        <v>13915119.418431398</v>
      </c>
      <c r="I141" s="100">
        <f t="shared" si="56"/>
        <v>0</v>
      </c>
      <c r="J141" s="100">
        <f t="shared" si="56"/>
        <v>1457293.1043874358</v>
      </c>
      <c r="K141" s="100">
        <f t="shared" si="56"/>
        <v>0</v>
      </c>
      <c r="L141" s="100">
        <f t="shared" si="56"/>
        <v>13003716.06364272</v>
      </c>
      <c r="M141" s="100">
        <f t="shared" si="56"/>
        <v>1005209.7693649898</v>
      </c>
      <c r="N141" s="100">
        <f t="shared" si="56"/>
        <v>9153026.5283362456</v>
      </c>
      <c r="O141" s="100">
        <f t="shared" si="56"/>
        <v>20936792.241966579</v>
      </c>
      <c r="P141" s="100">
        <f t="shared" si="56"/>
        <v>0</v>
      </c>
      <c r="Q141" s="100">
        <f t="shared" si="56"/>
        <v>0</v>
      </c>
      <c r="R141" s="100">
        <f t="shared" si="56"/>
        <v>1031346.0507974087</v>
      </c>
      <c r="S141" s="100">
        <f t="shared" si="56"/>
        <v>4319.9483590611007</v>
      </c>
      <c r="T141" s="100">
        <f t="shared" si="56"/>
        <v>6690.4596138056595</v>
      </c>
      <c r="U141" s="100"/>
      <c r="V141" s="102">
        <f>SUM(G141:T141)</f>
        <v>117629774.59232306</v>
      </c>
      <c r="W141" s="98" t="str">
        <f>IF(ABS(F141-V141)&lt;0.01,"ok","err")</f>
        <v>ok</v>
      </c>
      <c r="X141" s="102" t="str">
        <f>IF(W141="err",V141-F141,"")</f>
        <v/>
      </c>
      <c r="Y141" s="102"/>
    </row>
    <row r="142" spans="1:25" ht="12" customHeight="1" x14ac:dyDescent="0.25">
      <c r="F142" s="101"/>
    </row>
    <row r="143" spans="1:25" ht="12" customHeight="1" x14ac:dyDescent="0.25">
      <c r="A143" s="24" t="s">
        <v>158</v>
      </c>
      <c r="F143" s="101"/>
    </row>
    <row r="144" spans="1:25" ht="12" customHeight="1" x14ac:dyDescent="0.25">
      <c r="A144" s="107" t="s">
        <v>820</v>
      </c>
      <c r="C144" s="97" t="s">
        <v>804</v>
      </c>
      <c r="D144" s="97" t="s">
        <v>653</v>
      </c>
      <c r="E144" s="97" t="s">
        <v>2429</v>
      </c>
      <c r="F144" s="100">
        <f>VLOOKUP(C144,'Functional Assignment'!$C$1:$AU$771,19,)</f>
        <v>0</v>
      </c>
      <c r="G144" s="100">
        <f t="shared" ref="G144:T148" si="57">IF(VLOOKUP($E144,$D$5:$AJ$945,3,)=0,0,(VLOOKUP($E144,$D$5:$AJ$945,G$1,)/VLOOKUP($E144,$D$5:$AJ$945,3,))*$F144)</f>
        <v>0</v>
      </c>
      <c r="H144" s="100">
        <f t="shared" si="57"/>
        <v>0</v>
      </c>
      <c r="I144" s="100">
        <f t="shared" si="57"/>
        <v>0</v>
      </c>
      <c r="J144" s="100">
        <f t="shared" si="57"/>
        <v>0</v>
      </c>
      <c r="K144" s="100">
        <f t="shared" si="57"/>
        <v>0</v>
      </c>
      <c r="L144" s="100">
        <f t="shared" si="57"/>
        <v>0</v>
      </c>
      <c r="M144" s="100">
        <f t="shared" si="57"/>
        <v>0</v>
      </c>
      <c r="N144" s="100">
        <f t="shared" si="57"/>
        <v>0</v>
      </c>
      <c r="O144" s="100">
        <f t="shared" si="57"/>
        <v>0</v>
      </c>
      <c r="P144" s="100">
        <f t="shared" si="57"/>
        <v>0</v>
      </c>
      <c r="Q144" s="100">
        <f t="shared" si="57"/>
        <v>0</v>
      </c>
      <c r="R144" s="100">
        <f t="shared" si="57"/>
        <v>0</v>
      </c>
      <c r="S144" s="100">
        <f t="shared" si="57"/>
        <v>0</v>
      </c>
      <c r="T144" s="100">
        <f t="shared" si="57"/>
        <v>0</v>
      </c>
      <c r="U144" s="100"/>
      <c r="V144" s="102">
        <f t="shared" ref="V144:V149" si="58">SUM(G144:T144)</f>
        <v>0</v>
      </c>
      <c r="W144" s="98" t="str">
        <f t="shared" ref="W144:W149" si="59">IF(ABS(F144-V144)&lt;0.01,"ok","err")</f>
        <v>ok</v>
      </c>
      <c r="X144" s="102" t="str">
        <f t="shared" ref="X144:X149" si="60">IF(W144="err",V144-F144,"")</f>
        <v/>
      </c>
    </row>
    <row r="145" spans="1:24" ht="12" customHeight="1" x14ac:dyDescent="0.25">
      <c r="A145" s="107" t="s">
        <v>821</v>
      </c>
      <c r="C145" s="97" t="s">
        <v>804</v>
      </c>
      <c r="D145" s="97" t="s">
        <v>654</v>
      </c>
      <c r="E145" s="97" t="s">
        <v>2429</v>
      </c>
      <c r="F145" s="101">
        <f>VLOOKUP(C145,'Functional Assignment'!$C$1:$AU$771,20,)</f>
        <v>128503614.63788348</v>
      </c>
      <c r="G145" s="101">
        <f t="shared" si="57"/>
        <v>62396157.941237122</v>
      </c>
      <c r="H145" s="101">
        <f t="shared" si="57"/>
        <v>15201450.054491032</v>
      </c>
      <c r="I145" s="101">
        <f t="shared" si="57"/>
        <v>0</v>
      </c>
      <c r="J145" s="101">
        <f t="shared" si="57"/>
        <v>1592007.0590092728</v>
      </c>
      <c r="K145" s="101">
        <f t="shared" si="57"/>
        <v>0</v>
      </c>
      <c r="L145" s="101">
        <f t="shared" si="57"/>
        <v>14205795.460326042</v>
      </c>
      <c r="M145" s="101">
        <f t="shared" si="57"/>
        <v>1098132.5882872571</v>
      </c>
      <c r="N145" s="101">
        <f t="shared" si="57"/>
        <v>9999143.480841184</v>
      </c>
      <c r="O145" s="101">
        <f t="shared" si="57"/>
        <v>22872214.890656516</v>
      </c>
      <c r="P145" s="101">
        <f t="shared" si="57"/>
        <v>0</v>
      </c>
      <c r="Q145" s="101">
        <f t="shared" si="57"/>
        <v>0</v>
      </c>
      <c r="R145" s="101">
        <f t="shared" si="57"/>
        <v>1126684.9395001957</v>
      </c>
      <c r="S145" s="101">
        <f t="shared" si="57"/>
        <v>4719.2896620969495</v>
      </c>
      <c r="T145" s="101">
        <f t="shared" si="57"/>
        <v>7308.9338727587356</v>
      </c>
      <c r="U145" s="101"/>
      <c r="V145" s="101">
        <f t="shared" si="58"/>
        <v>128503614.63788348</v>
      </c>
      <c r="W145" s="98" t="str">
        <f t="shared" si="59"/>
        <v>ok</v>
      </c>
      <c r="X145" s="102" t="str">
        <f t="shared" si="60"/>
        <v/>
      </c>
    </row>
    <row r="146" spans="1:24" ht="12" customHeight="1" x14ac:dyDescent="0.25">
      <c r="A146" s="107" t="s">
        <v>822</v>
      </c>
      <c r="C146" s="97" t="s">
        <v>804</v>
      </c>
      <c r="D146" s="97" t="s">
        <v>655</v>
      </c>
      <c r="E146" s="97" t="s">
        <v>941</v>
      </c>
      <c r="F146" s="101">
        <f>VLOOKUP(C146,'Functional Assignment'!$C$1:$AU$771,21,)</f>
        <v>237784208.72506231</v>
      </c>
      <c r="G146" s="101">
        <f t="shared" si="57"/>
        <v>190002670.93828985</v>
      </c>
      <c r="H146" s="101">
        <f t="shared" si="57"/>
        <v>36764392.2188503</v>
      </c>
      <c r="I146" s="101">
        <f t="shared" si="57"/>
        <v>0</v>
      </c>
      <c r="J146" s="101">
        <f t="shared" si="57"/>
        <v>261629.01973836514</v>
      </c>
      <c r="K146" s="101">
        <f t="shared" si="57"/>
        <v>0</v>
      </c>
      <c r="L146" s="101">
        <f t="shared" si="57"/>
        <v>1986704.0065461353</v>
      </c>
      <c r="M146" s="101">
        <f t="shared" si="57"/>
        <v>76326.847242389835</v>
      </c>
      <c r="N146" s="101">
        <f t="shared" si="57"/>
        <v>272658.91095836362</v>
      </c>
      <c r="O146" s="101">
        <f t="shared" si="57"/>
        <v>122211.1947175837</v>
      </c>
      <c r="P146" s="101">
        <f t="shared" si="57"/>
        <v>0</v>
      </c>
      <c r="Q146" s="101">
        <f t="shared" si="57"/>
        <v>0</v>
      </c>
      <c r="R146" s="101">
        <f t="shared" si="57"/>
        <v>8259378.6324899215</v>
      </c>
      <c r="S146" s="101">
        <f t="shared" si="57"/>
        <v>196.08695502219607</v>
      </c>
      <c r="T146" s="101">
        <f t="shared" si="57"/>
        <v>38040.869274306046</v>
      </c>
      <c r="U146" s="101"/>
      <c r="V146" s="101">
        <f t="shared" si="58"/>
        <v>237784208.72506222</v>
      </c>
      <c r="W146" s="98" t="str">
        <f t="shared" si="59"/>
        <v>ok</v>
      </c>
      <c r="X146" s="102" t="str">
        <f t="shared" si="60"/>
        <v/>
      </c>
    </row>
    <row r="147" spans="1:24" ht="12" customHeight="1" x14ac:dyDescent="0.25">
      <c r="A147" s="107" t="s">
        <v>823</v>
      </c>
      <c r="C147" s="97" t="s">
        <v>804</v>
      </c>
      <c r="D147" s="97" t="s">
        <v>656</v>
      </c>
      <c r="E147" s="97" t="s">
        <v>760</v>
      </c>
      <c r="F147" s="101">
        <f>VLOOKUP(C147,'Functional Assignment'!$C$1:$AU$771,22,)</f>
        <v>59250540.333276063</v>
      </c>
      <c r="G147" s="101">
        <f t="shared" si="57"/>
        <v>49590373.035186723</v>
      </c>
      <c r="H147" s="101">
        <f t="shared" si="57"/>
        <v>8605330.8579806667</v>
      </c>
      <c r="I147" s="101">
        <f t="shared" si="57"/>
        <v>0</v>
      </c>
      <c r="J147" s="101">
        <f t="shared" si="57"/>
        <v>656958.81233267148</v>
      </c>
      <c r="K147" s="101">
        <f t="shared" si="57"/>
        <v>0</v>
      </c>
      <c r="L147" s="101">
        <f t="shared" si="57"/>
        <v>0</v>
      </c>
      <c r="M147" s="101">
        <f t="shared" si="57"/>
        <v>0</v>
      </c>
      <c r="N147" s="101">
        <f t="shared" si="57"/>
        <v>0</v>
      </c>
      <c r="O147" s="101">
        <f t="shared" si="57"/>
        <v>0</v>
      </c>
      <c r="P147" s="101">
        <f t="shared" si="57"/>
        <v>0</v>
      </c>
      <c r="Q147" s="101">
        <f t="shared" si="57"/>
        <v>0</v>
      </c>
      <c r="R147" s="101">
        <f t="shared" si="57"/>
        <v>393677.66788764775</v>
      </c>
      <c r="S147" s="101">
        <f t="shared" si="57"/>
        <v>1648.9782397240338</v>
      </c>
      <c r="T147" s="101">
        <f t="shared" si="57"/>
        <v>2550.9816486133373</v>
      </c>
      <c r="U147" s="101"/>
      <c r="V147" s="101">
        <f t="shared" si="58"/>
        <v>59250540.333276056</v>
      </c>
      <c r="W147" s="98" t="str">
        <f t="shared" si="59"/>
        <v>ok</v>
      </c>
      <c r="X147" s="102" t="str">
        <f t="shared" si="60"/>
        <v/>
      </c>
    </row>
    <row r="148" spans="1:24" ht="12" customHeight="1" x14ac:dyDescent="0.25">
      <c r="A148" s="107" t="s">
        <v>824</v>
      </c>
      <c r="C148" s="97" t="s">
        <v>804</v>
      </c>
      <c r="D148" s="97" t="s">
        <v>657</v>
      </c>
      <c r="E148" s="97" t="s">
        <v>940</v>
      </c>
      <c r="F148" s="101">
        <f>VLOOKUP(C148,'Functional Assignment'!$C$1:$AU$771,23,)</f>
        <v>90521434.52698794</v>
      </c>
      <c r="G148" s="101">
        <f t="shared" si="57"/>
        <v>73087087.035016119</v>
      </c>
      <c r="H148" s="101">
        <f t="shared" si="57"/>
        <v>14141918.745770058</v>
      </c>
      <c r="I148" s="101">
        <f t="shared" si="57"/>
        <v>0</v>
      </c>
      <c r="J148" s="101">
        <f t="shared" si="57"/>
        <v>100639.12702950527</v>
      </c>
      <c r="K148" s="101">
        <f t="shared" si="57"/>
        <v>0</v>
      </c>
      <c r="L148" s="101">
        <f t="shared" si="57"/>
        <v>0</v>
      </c>
      <c r="M148" s="101">
        <f t="shared" si="57"/>
        <v>0</v>
      </c>
      <c r="N148" s="101">
        <f t="shared" si="57"/>
        <v>0</v>
      </c>
      <c r="O148" s="101">
        <f t="shared" si="57"/>
        <v>0</v>
      </c>
      <c r="P148" s="101">
        <f t="shared" si="57"/>
        <v>0</v>
      </c>
      <c r="Q148" s="101">
        <f t="shared" si="57"/>
        <v>0</v>
      </c>
      <c r="R148" s="101">
        <f t="shared" si="57"/>
        <v>3177081.2588418899</v>
      </c>
      <c r="S148" s="101">
        <f t="shared" si="57"/>
        <v>75.427488873528404</v>
      </c>
      <c r="T148" s="101">
        <f t="shared" si="57"/>
        <v>14632.932841464512</v>
      </c>
      <c r="U148" s="101"/>
      <c r="V148" s="101">
        <f t="shared" si="58"/>
        <v>90521434.52698791</v>
      </c>
      <c r="W148" s="98" t="str">
        <f t="shared" si="59"/>
        <v>ok</v>
      </c>
      <c r="X148" s="102" t="str">
        <f t="shared" si="60"/>
        <v/>
      </c>
    </row>
    <row r="149" spans="1:24" ht="12" customHeight="1" x14ac:dyDescent="0.25">
      <c r="A149" s="97" t="s">
        <v>163</v>
      </c>
      <c r="D149" s="97" t="s">
        <v>658</v>
      </c>
      <c r="F149" s="100">
        <f>SUM(F144:F148)</f>
        <v>516059798.22320974</v>
      </c>
      <c r="G149" s="100">
        <f t="shared" ref="G149:T149" si="61">SUM(G144:G148)</f>
        <v>375076288.9497298</v>
      </c>
      <c r="H149" s="100">
        <f t="shared" si="61"/>
        <v>74713091.877092049</v>
      </c>
      <c r="I149" s="100">
        <f>SUM(I144:I148)</f>
        <v>0</v>
      </c>
      <c r="J149" s="100">
        <f>SUM(J144:J148)</f>
        <v>2611234.0181098147</v>
      </c>
      <c r="K149" s="100">
        <f>SUM(K144:K148)</f>
        <v>0</v>
      </c>
      <c r="L149" s="100">
        <f t="shared" si="61"/>
        <v>16192499.466872178</v>
      </c>
      <c r="M149" s="100">
        <f t="shared" si="61"/>
        <v>1174459.4355296469</v>
      </c>
      <c r="N149" s="100">
        <f t="shared" si="61"/>
        <v>10271802.391799547</v>
      </c>
      <c r="O149" s="100">
        <f t="shared" si="61"/>
        <v>22994426.085374098</v>
      </c>
      <c r="P149" s="100">
        <f>SUM(P144:P148)</f>
        <v>0</v>
      </c>
      <c r="Q149" s="100">
        <f t="shared" si="61"/>
        <v>0</v>
      </c>
      <c r="R149" s="100">
        <f t="shared" si="61"/>
        <v>12956822.498719655</v>
      </c>
      <c r="S149" s="100">
        <f t="shared" si="61"/>
        <v>6639.7823457167078</v>
      </c>
      <c r="T149" s="100">
        <f t="shared" si="61"/>
        <v>62533.717637142632</v>
      </c>
      <c r="U149" s="100"/>
      <c r="V149" s="102">
        <f t="shared" si="58"/>
        <v>516059798.22320962</v>
      </c>
      <c r="W149" s="98" t="str">
        <f t="shared" si="59"/>
        <v>ok</v>
      </c>
      <c r="X149" s="102" t="str">
        <f t="shared" si="60"/>
        <v/>
      </c>
    </row>
    <row r="150" spans="1:24" ht="12" customHeight="1" x14ac:dyDescent="0.25">
      <c r="F150" s="101"/>
    </row>
    <row r="151" spans="1:24" ht="12" customHeight="1" x14ac:dyDescent="0.25">
      <c r="A151" s="24" t="s">
        <v>819</v>
      </c>
      <c r="F151" s="101"/>
    </row>
    <row r="152" spans="1:24" ht="12" customHeight="1" x14ac:dyDescent="0.25">
      <c r="A152" s="107" t="s">
        <v>409</v>
      </c>
      <c r="C152" s="97" t="s">
        <v>804</v>
      </c>
      <c r="D152" s="97" t="s">
        <v>659</v>
      </c>
      <c r="E152" s="97" t="s">
        <v>2332</v>
      </c>
      <c r="F152" s="100">
        <f>VLOOKUP(C152,'Functional Assignment'!$C$1:$AU$771,24,)</f>
        <v>91089035.518814862</v>
      </c>
      <c r="G152" s="100">
        <f t="shared" ref="G152:T153" si="62">IF(VLOOKUP($E152,$D$5:$AJ$945,3,)=0,0,(VLOOKUP($E152,$D$5:$AJ$945,G$1,)/VLOOKUP($E152,$D$5:$AJ$945,3,))*$F152)</f>
        <v>63648486.481307752</v>
      </c>
      <c r="H152" s="100">
        <f t="shared" si="62"/>
        <v>11044810.741648024</v>
      </c>
      <c r="I152" s="100">
        <f t="shared" si="62"/>
        <v>0</v>
      </c>
      <c r="J152" s="100">
        <f t="shared" si="62"/>
        <v>843196.60301532119</v>
      </c>
      <c r="K152" s="100">
        <f t="shared" si="62"/>
        <v>0</v>
      </c>
      <c r="L152" s="100">
        <f t="shared" si="62"/>
        <v>9195218.0236452762</v>
      </c>
      <c r="M152" s="100">
        <f t="shared" si="62"/>
        <v>0</v>
      </c>
      <c r="N152" s="100">
        <f t="shared" si="62"/>
        <v>5846653.8100557458</v>
      </c>
      <c r="O152" s="100">
        <f t="shared" si="62"/>
        <v>0</v>
      </c>
      <c r="P152" s="100">
        <f t="shared" si="62"/>
        <v>0</v>
      </c>
      <c r="Q152" s="100">
        <f t="shared" si="62"/>
        <v>0</v>
      </c>
      <c r="R152" s="100">
        <f t="shared" si="62"/>
        <v>505279.2747648941</v>
      </c>
      <c r="S152" s="100">
        <f t="shared" si="62"/>
        <v>2116.43838864804</v>
      </c>
      <c r="T152" s="100">
        <f t="shared" si="62"/>
        <v>3274.1459891947911</v>
      </c>
      <c r="U152" s="100"/>
      <c r="V152" s="102">
        <f>SUM(G152:T152)</f>
        <v>91089035.518814862</v>
      </c>
      <c r="W152" s="98" t="str">
        <f>IF(ABS(F152-V152)&lt;0.01,"ok","err")</f>
        <v>ok</v>
      </c>
      <c r="X152" s="102" t="str">
        <f>IF(W152="err",V152-F152,"")</f>
        <v/>
      </c>
    </row>
    <row r="153" spans="1:24" ht="12" customHeight="1" x14ac:dyDescent="0.25">
      <c r="A153" s="107" t="s">
        <v>412</v>
      </c>
      <c r="C153" s="97" t="s">
        <v>804</v>
      </c>
      <c r="D153" s="97" t="s">
        <v>660</v>
      </c>
      <c r="E153" s="97" t="s">
        <v>2331</v>
      </c>
      <c r="F153" s="101">
        <f>VLOOKUP(C153,'Functional Assignment'!$C$1:$AU$771,25,)</f>
        <v>81058258.070884496</v>
      </c>
      <c r="G153" s="101">
        <f t="shared" si="62"/>
        <v>64824134.76701574</v>
      </c>
      <c r="H153" s="101">
        <f t="shared" si="62"/>
        <v>12543086.389539292</v>
      </c>
      <c r="I153" s="101">
        <f t="shared" si="62"/>
        <v>0</v>
      </c>
      <c r="J153" s="101">
        <f t="shared" si="62"/>
        <v>89261.244332666902</v>
      </c>
      <c r="K153" s="101">
        <f t="shared" si="62"/>
        <v>0</v>
      </c>
      <c r="L153" s="101">
        <f t="shared" si="62"/>
        <v>677813.46244519227</v>
      </c>
      <c r="M153" s="101">
        <f t="shared" si="62"/>
        <v>0</v>
      </c>
      <c r="N153" s="101">
        <f t="shared" si="62"/>
        <v>93024.365931851848</v>
      </c>
      <c r="O153" s="101">
        <f t="shared" si="62"/>
        <v>0</v>
      </c>
      <c r="P153" s="101">
        <f t="shared" si="62"/>
        <v>0</v>
      </c>
      <c r="Q153" s="101">
        <f t="shared" si="62"/>
        <v>0</v>
      </c>
      <c r="R153" s="101">
        <f t="shared" si="62"/>
        <v>2817892.3534092284</v>
      </c>
      <c r="S153" s="101">
        <f t="shared" si="62"/>
        <v>66.899939541065692</v>
      </c>
      <c r="T153" s="101">
        <f t="shared" si="62"/>
        <v>12978.588270966744</v>
      </c>
      <c r="U153" s="101"/>
      <c r="V153" s="101">
        <f>SUM(G153:T153)</f>
        <v>81058258.070884481</v>
      </c>
      <c r="W153" s="98" t="str">
        <f>IF(ABS(F153-V153)&lt;0.01,"ok","err")</f>
        <v>ok</v>
      </c>
      <c r="X153" s="102" t="str">
        <f>IF(W153="err",V153-F153,"")</f>
        <v/>
      </c>
    </row>
    <row r="154" spans="1:24" ht="12" customHeight="1" x14ac:dyDescent="0.25">
      <c r="A154" s="97" t="s">
        <v>1536</v>
      </c>
      <c r="D154" s="97" t="s">
        <v>661</v>
      </c>
      <c r="F154" s="100">
        <f t="shared" ref="F154:T154" si="63">F152+F153</f>
        <v>172147293.58969936</v>
      </c>
      <c r="G154" s="100">
        <f t="shared" si="63"/>
        <v>128472621.2483235</v>
      </c>
      <c r="H154" s="100">
        <f t="shared" si="63"/>
        <v>23587897.131187316</v>
      </c>
      <c r="I154" s="100">
        <f>I152+I153</f>
        <v>0</v>
      </c>
      <c r="J154" s="100">
        <f>J152+J153</f>
        <v>932457.84734798805</v>
      </c>
      <c r="K154" s="100">
        <f>K152+K153</f>
        <v>0</v>
      </c>
      <c r="L154" s="100">
        <f t="shared" si="63"/>
        <v>9873031.4860904682</v>
      </c>
      <c r="M154" s="100">
        <f t="shared" si="63"/>
        <v>0</v>
      </c>
      <c r="N154" s="100">
        <f t="shared" si="63"/>
        <v>5939678.1759875976</v>
      </c>
      <c r="O154" s="100">
        <f t="shared" si="63"/>
        <v>0</v>
      </c>
      <c r="P154" s="100">
        <f>P152+P153</f>
        <v>0</v>
      </c>
      <c r="Q154" s="100">
        <f t="shared" si="63"/>
        <v>0</v>
      </c>
      <c r="R154" s="100">
        <f t="shared" si="63"/>
        <v>3323171.6281741224</v>
      </c>
      <c r="S154" s="100">
        <f t="shared" si="63"/>
        <v>2183.3383281891056</v>
      </c>
      <c r="T154" s="100">
        <f t="shared" si="63"/>
        <v>16252.734260161535</v>
      </c>
      <c r="U154" s="100"/>
      <c r="V154" s="102">
        <f>SUM(G154:T154)</f>
        <v>172147293.58969936</v>
      </c>
      <c r="W154" s="98" t="str">
        <f>IF(ABS(F154-V154)&lt;0.01,"ok","err")</f>
        <v>ok</v>
      </c>
      <c r="X154" s="102" t="str">
        <f>IF(W154="err",V154-F154,"")</f>
        <v/>
      </c>
    </row>
    <row r="155" spans="1:24" ht="12" customHeight="1" x14ac:dyDescent="0.25">
      <c r="F155" s="101"/>
    </row>
    <row r="156" spans="1:24" ht="12" customHeight="1" x14ac:dyDescent="0.25">
      <c r="A156" s="24" t="s">
        <v>134</v>
      </c>
      <c r="F156" s="101"/>
    </row>
    <row r="157" spans="1:24" ht="12" customHeight="1" x14ac:dyDescent="0.25">
      <c r="A157" s="107" t="s">
        <v>412</v>
      </c>
      <c r="C157" s="97" t="s">
        <v>804</v>
      </c>
      <c r="D157" s="97" t="s">
        <v>662</v>
      </c>
      <c r="E157" s="97" t="s">
        <v>413</v>
      </c>
      <c r="F157" s="100">
        <f>VLOOKUP(C157,'Functional Assignment'!$C$1:$AU$771,26,)</f>
        <v>54260568.084280506</v>
      </c>
      <c r="G157" s="100">
        <f t="shared" ref="G157:T157" si="64">IF(VLOOKUP($E157,$D$5:$AJ$945,3,)=0,0,(VLOOKUP($E157,$D$5:$AJ$945,G$1,)/VLOOKUP($E157,$D$5:$AJ$945,3,))*$F157)</f>
        <v>38053177.074820586</v>
      </c>
      <c r="H157" s="100">
        <f t="shared" si="64"/>
        <v>14906329.10644298</v>
      </c>
      <c r="I157" s="100">
        <f t="shared" si="64"/>
        <v>0</v>
      </c>
      <c r="J157" s="100">
        <f t="shared" si="64"/>
        <v>141169.68248597151</v>
      </c>
      <c r="K157" s="100">
        <f t="shared" si="64"/>
        <v>0</v>
      </c>
      <c r="L157" s="100">
        <f t="shared" si="64"/>
        <v>1012752.8731913411</v>
      </c>
      <c r="M157" s="100">
        <f t="shared" si="64"/>
        <v>0</v>
      </c>
      <c r="N157" s="100">
        <f t="shared" si="64"/>
        <v>147139.34733962108</v>
      </c>
      <c r="O157" s="100">
        <f t="shared" si="64"/>
        <v>0</v>
      </c>
      <c r="P157" s="100">
        <f t="shared" si="64"/>
        <v>0</v>
      </c>
      <c r="Q157" s="100">
        <f t="shared" si="64"/>
        <v>0</v>
      </c>
      <c r="R157" s="100">
        <f t="shared" si="64"/>
        <v>0</v>
      </c>
      <c r="S157" s="100">
        <f t="shared" si="64"/>
        <v>0</v>
      </c>
      <c r="T157" s="100">
        <f t="shared" si="64"/>
        <v>0</v>
      </c>
      <c r="U157" s="100"/>
      <c r="V157" s="102">
        <f>SUM(G157:T157)</f>
        <v>54260568.084280498</v>
      </c>
      <c r="W157" s="98" t="str">
        <f>IF(ABS(F157-V157)&lt;0.01,"ok","err")</f>
        <v>ok</v>
      </c>
      <c r="X157" s="102" t="str">
        <f>IF(W157="err",V157-F157,"")</f>
        <v/>
      </c>
    </row>
    <row r="158" spans="1:24" ht="12" customHeight="1" x14ac:dyDescent="0.25">
      <c r="F158" s="101"/>
    </row>
    <row r="159" spans="1:24" ht="12" customHeight="1" x14ac:dyDescent="0.25">
      <c r="A159" s="24" t="s">
        <v>133</v>
      </c>
      <c r="F159" s="101"/>
    </row>
    <row r="160" spans="1:24" ht="12" customHeight="1" x14ac:dyDescent="0.25">
      <c r="A160" s="107" t="s">
        <v>412</v>
      </c>
      <c r="C160" s="97" t="s">
        <v>804</v>
      </c>
      <c r="D160" s="97" t="s">
        <v>663</v>
      </c>
      <c r="E160" s="97" t="s">
        <v>414</v>
      </c>
      <c r="F160" s="100">
        <f>VLOOKUP(C160,'Functional Assignment'!$C$1:$AU$771,27,)</f>
        <v>48373891.661168471</v>
      </c>
      <c r="G160" s="100">
        <f t="shared" ref="G160:T160" si="65">IF(VLOOKUP($E160,$D$5:$AJ$945,3,)=0,0,(VLOOKUP($E160,$D$5:$AJ$945,G$1,)/VLOOKUP($E160,$D$5:$AJ$945,3,))*$F160)</f>
        <v>30061924.276593085</v>
      </c>
      <c r="H160" s="100">
        <f t="shared" si="65"/>
        <v>11204639.311636535</v>
      </c>
      <c r="I160" s="100">
        <f t="shared" si="65"/>
        <v>0</v>
      </c>
      <c r="J160" s="100">
        <f t="shared" si="65"/>
        <v>237668.3687116683</v>
      </c>
      <c r="K160" s="100">
        <f t="shared" si="65"/>
        <v>0</v>
      </c>
      <c r="L160" s="100">
        <f t="shared" si="65"/>
        <v>3037012.9709217176</v>
      </c>
      <c r="M160" s="100">
        <f t="shared" si="65"/>
        <v>669597.46119180683</v>
      </c>
      <c r="N160" s="100">
        <f t="shared" si="65"/>
        <v>563222.64411432331</v>
      </c>
      <c r="O160" s="100">
        <f t="shared" si="65"/>
        <v>1487762.2208086634</v>
      </c>
      <c r="P160" s="100">
        <f t="shared" si="65"/>
        <v>1014670.9760409056</v>
      </c>
      <c r="Q160" s="100">
        <f t="shared" si="65"/>
        <v>42945.331605681378</v>
      </c>
      <c r="R160" s="100">
        <f t="shared" si="65"/>
        <v>0</v>
      </c>
      <c r="S160" s="100">
        <f t="shared" si="65"/>
        <v>279.22102330301146</v>
      </c>
      <c r="T160" s="100">
        <f t="shared" si="65"/>
        <v>54168.87852078423</v>
      </c>
      <c r="U160" s="100"/>
      <c r="V160" s="102">
        <f>SUM(G160:T160)</f>
        <v>48373891.661168471</v>
      </c>
      <c r="W160" s="98" t="str">
        <f>IF(ABS(F160-V160)&lt;0.01,"ok","err")</f>
        <v>ok</v>
      </c>
      <c r="X160" s="102" t="str">
        <f>IF(W160="err",V160-F160,"")</f>
        <v/>
      </c>
    </row>
    <row r="161" spans="1:26" ht="12" customHeight="1" x14ac:dyDescent="0.25">
      <c r="F161" s="101"/>
    </row>
    <row r="162" spans="1:26" ht="12" customHeight="1" x14ac:dyDescent="0.25">
      <c r="A162" s="24" t="s">
        <v>156</v>
      </c>
      <c r="F162" s="101"/>
    </row>
    <row r="163" spans="1:26" ht="12" customHeight="1" x14ac:dyDescent="0.25">
      <c r="A163" s="107" t="s">
        <v>412</v>
      </c>
      <c r="C163" s="97" t="s">
        <v>804</v>
      </c>
      <c r="D163" s="97" t="s">
        <v>664</v>
      </c>
      <c r="E163" s="97" t="s">
        <v>415</v>
      </c>
      <c r="F163" s="100">
        <f>VLOOKUP(C163,'Functional Assignment'!$C$1:$AU$771,28,)</f>
        <v>64200371.729934186</v>
      </c>
      <c r="G163" s="100">
        <f t="shared" ref="G163:T163" si="66">IF(VLOOKUP($E163,$D$5:$AJ$945,3,)=0,0,(VLOOKUP($E163,$D$5:$AJ$945,G$1,)/VLOOKUP($E163,$D$5:$AJ$945,3,))*$F163)</f>
        <v>0</v>
      </c>
      <c r="H163" s="100">
        <f t="shared" si="66"/>
        <v>0</v>
      </c>
      <c r="I163" s="100">
        <f t="shared" si="66"/>
        <v>0</v>
      </c>
      <c r="J163" s="100">
        <f t="shared" si="66"/>
        <v>0</v>
      </c>
      <c r="K163" s="100">
        <f t="shared" si="66"/>
        <v>0</v>
      </c>
      <c r="L163" s="100">
        <f t="shared" si="66"/>
        <v>0</v>
      </c>
      <c r="M163" s="100">
        <f t="shared" si="66"/>
        <v>0</v>
      </c>
      <c r="N163" s="100">
        <f t="shared" si="66"/>
        <v>0</v>
      </c>
      <c r="O163" s="100">
        <f t="shared" si="66"/>
        <v>0</v>
      </c>
      <c r="P163" s="100">
        <f t="shared" si="66"/>
        <v>0</v>
      </c>
      <c r="Q163" s="100">
        <f t="shared" si="66"/>
        <v>0</v>
      </c>
      <c r="R163" s="100">
        <f t="shared" si="66"/>
        <v>64200371.729934186</v>
      </c>
      <c r="S163" s="100">
        <f t="shared" si="66"/>
        <v>0</v>
      </c>
      <c r="T163" s="100">
        <f t="shared" si="66"/>
        <v>0</v>
      </c>
      <c r="U163" s="100"/>
      <c r="V163" s="102">
        <f>SUM(G163:T163)</f>
        <v>64200371.729934186</v>
      </c>
      <c r="W163" s="98" t="str">
        <f>IF(ABS(F163-V163)&lt;0.01,"ok","err")</f>
        <v>ok</v>
      </c>
      <c r="X163" s="102" t="str">
        <f>IF(W163="err",V163-F163,"")</f>
        <v/>
      </c>
      <c r="Z163" s="235"/>
    </row>
    <row r="164" spans="1:26" ht="12" customHeight="1" x14ac:dyDescent="0.25">
      <c r="F164" s="101"/>
    </row>
    <row r="165" spans="1:26" ht="12" customHeight="1" x14ac:dyDescent="0.25">
      <c r="A165" s="24" t="s">
        <v>309</v>
      </c>
      <c r="F165" s="101"/>
    </row>
    <row r="166" spans="1:26" ht="12" customHeight="1" x14ac:dyDescent="0.25">
      <c r="A166" s="107" t="s">
        <v>412</v>
      </c>
      <c r="C166" s="97" t="s">
        <v>804</v>
      </c>
      <c r="D166" s="97" t="s">
        <v>665</v>
      </c>
      <c r="E166" s="97" t="s">
        <v>416</v>
      </c>
      <c r="F166" s="100">
        <f>VLOOKUP(C166,'Functional Assignment'!$C$1:$AU$771,30,)</f>
        <v>6169535.4203289226</v>
      </c>
      <c r="G166" s="100">
        <f t="shared" ref="G166:T166" si="67">IF(VLOOKUP($E166,$D$5:$AJ$945,3,)=0,0,(VLOOKUP($E166,$D$5:$AJ$945,G$1,)/VLOOKUP($E166,$D$5:$AJ$945,3,))*$F166)</f>
        <v>3974752.3115407242</v>
      </c>
      <c r="H166" s="100">
        <f t="shared" si="67"/>
        <v>1538182.0922057012</v>
      </c>
      <c r="I166" s="100">
        <f t="shared" si="67"/>
        <v>0</v>
      </c>
      <c r="J166" s="100">
        <f t="shared" si="67"/>
        <v>54731.364871652178</v>
      </c>
      <c r="K166" s="100">
        <f t="shared" si="67"/>
        <v>0</v>
      </c>
      <c r="L166" s="100">
        <f t="shared" si="67"/>
        <v>207803.82463494918</v>
      </c>
      <c r="M166" s="100">
        <f t="shared" si="67"/>
        <v>7983.5802047182342</v>
      </c>
      <c r="N166" s="100">
        <f t="shared" si="67"/>
        <v>142596.89498600777</v>
      </c>
      <c r="O166" s="100">
        <f t="shared" si="67"/>
        <v>63914.789500200895</v>
      </c>
      <c r="P166" s="100">
        <f t="shared" si="67"/>
        <v>5537.743494602244</v>
      </c>
      <c r="Q166" s="100">
        <f t="shared" si="67"/>
        <v>461.47862455018691</v>
      </c>
      <c r="R166" s="100">
        <f t="shared" si="67"/>
        <v>172777.59703159</v>
      </c>
      <c r="S166" s="100">
        <f t="shared" si="67"/>
        <v>0</v>
      </c>
      <c r="T166" s="100">
        <f t="shared" si="67"/>
        <v>793.74323422632165</v>
      </c>
      <c r="U166" s="100"/>
      <c r="V166" s="102">
        <f>SUM(G166:T166)</f>
        <v>6169535.4203289207</v>
      </c>
      <c r="W166" s="98" t="str">
        <f>IF(ABS(F166-V166)&lt;0.01,"ok","err")</f>
        <v>ok</v>
      </c>
      <c r="X166" s="102" t="str">
        <f>IF(W166="err",V166-F166,"")</f>
        <v/>
      </c>
    </row>
    <row r="167" spans="1:26" ht="12" customHeight="1" x14ac:dyDescent="0.25">
      <c r="F167" s="101"/>
    </row>
    <row r="168" spans="1:26" ht="12" customHeight="1" x14ac:dyDescent="0.25">
      <c r="A168" s="24" t="s">
        <v>1700</v>
      </c>
      <c r="F168" s="101"/>
    </row>
    <row r="169" spans="1:26" ht="12" customHeight="1" x14ac:dyDescent="0.25">
      <c r="A169" s="107" t="s">
        <v>412</v>
      </c>
      <c r="C169" s="97" t="s">
        <v>804</v>
      </c>
      <c r="D169" s="97" t="s">
        <v>666</v>
      </c>
      <c r="E169" s="97" t="s">
        <v>416</v>
      </c>
      <c r="F169" s="100">
        <f>VLOOKUP(C169,'Functional Assignment'!$C$1:$AU$771,32,)</f>
        <v>773569.48959236697</v>
      </c>
      <c r="G169" s="100">
        <f t="shared" ref="G169:T169" si="68">IF(VLOOKUP($E169,$D$5:$AJ$945,3,)=0,0,(VLOOKUP($E169,$D$5:$AJ$945,G$1,)/VLOOKUP($E169,$D$5:$AJ$945,3,))*$F169)</f>
        <v>498375.79451496393</v>
      </c>
      <c r="H169" s="100">
        <f t="shared" si="68"/>
        <v>192865.53279959052</v>
      </c>
      <c r="I169" s="100">
        <f t="shared" si="68"/>
        <v>0</v>
      </c>
      <c r="J169" s="100">
        <f t="shared" si="68"/>
        <v>6862.5125076598306</v>
      </c>
      <c r="K169" s="100">
        <f t="shared" si="68"/>
        <v>0</v>
      </c>
      <c r="L169" s="100">
        <f t="shared" si="68"/>
        <v>26055.559715001866</v>
      </c>
      <c r="M169" s="100">
        <f t="shared" si="68"/>
        <v>1001.0241684866362</v>
      </c>
      <c r="N169" s="100">
        <f t="shared" si="68"/>
        <v>17879.564627882693</v>
      </c>
      <c r="O169" s="100">
        <f t="shared" si="68"/>
        <v>8013.979614762955</v>
      </c>
      <c r="P169" s="100">
        <f t="shared" si="68"/>
        <v>694.35202438379395</v>
      </c>
      <c r="Q169" s="100">
        <f t="shared" si="68"/>
        <v>57.862668698649486</v>
      </c>
      <c r="R169" s="100">
        <f t="shared" si="68"/>
        <v>21663.783160774368</v>
      </c>
      <c r="S169" s="100">
        <f t="shared" si="68"/>
        <v>0</v>
      </c>
      <c r="T169" s="100">
        <f t="shared" si="68"/>
        <v>99.523790161677127</v>
      </c>
      <c r="U169" s="100"/>
      <c r="V169" s="102">
        <f>SUM(G169:T169)</f>
        <v>773569.48959236697</v>
      </c>
      <c r="W169" s="98" t="str">
        <f>IF(ABS(F169-V169)&lt;0.01,"ok","err")</f>
        <v>ok</v>
      </c>
      <c r="X169" s="102" t="str">
        <f>IF(W169="err",V169-F169,"")</f>
        <v/>
      </c>
    </row>
    <row r="170" spans="1:26" ht="12" customHeight="1" x14ac:dyDescent="0.25">
      <c r="F170" s="101"/>
    </row>
    <row r="171" spans="1:26" ht="12" customHeight="1" x14ac:dyDescent="0.25">
      <c r="A171" s="24" t="s">
        <v>1699</v>
      </c>
      <c r="F171" s="101"/>
    </row>
    <row r="172" spans="1:26" ht="12" customHeight="1" x14ac:dyDescent="0.25">
      <c r="A172" s="107" t="s">
        <v>412</v>
      </c>
      <c r="C172" s="97" t="s">
        <v>804</v>
      </c>
      <c r="D172" s="97" t="s">
        <v>667</v>
      </c>
      <c r="E172" s="97" t="s">
        <v>417</v>
      </c>
      <c r="F172" s="100">
        <f>VLOOKUP(C172,'Functional Assignment'!$C$1:$AU$771,34,)</f>
        <v>0</v>
      </c>
      <c r="G172" s="100">
        <f t="shared" ref="G172:T172" si="69">IF(VLOOKUP($E172,$D$5:$AJ$945,3,)=0,0,(VLOOKUP($E172,$D$5:$AJ$945,G$1,)/VLOOKUP($E172,$D$5:$AJ$945,3,))*$F172)</f>
        <v>0</v>
      </c>
      <c r="H172" s="100">
        <f t="shared" si="69"/>
        <v>0</v>
      </c>
      <c r="I172" s="100">
        <f t="shared" si="69"/>
        <v>0</v>
      </c>
      <c r="J172" s="100">
        <f t="shared" si="69"/>
        <v>0</v>
      </c>
      <c r="K172" s="100">
        <f t="shared" si="69"/>
        <v>0</v>
      </c>
      <c r="L172" s="100">
        <f t="shared" si="69"/>
        <v>0</v>
      </c>
      <c r="M172" s="100">
        <f t="shared" si="69"/>
        <v>0</v>
      </c>
      <c r="N172" s="100">
        <f t="shared" si="69"/>
        <v>0</v>
      </c>
      <c r="O172" s="100">
        <f t="shared" si="69"/>
        <v>0</v>
      </c>
      <c r="P172" s="100">
        <f t="shared" si="69"/>
        <v>0</v>
      </c>
      <c r="Q172" s="100">
        <f t="shared" si="69"/>
        <v>0</v>
      </c>
      <c r="R172" s="100">
        <f t="shared" si="69"/>
        <v>0</v>
      </c>
      <c r="S172" s="100">
        <f t="shared" si="69"/>
        <v>0</v>
      </c>
      <c r="T172" s="100">
        <f t="shared" si="69"/>
        <v>0</v>
      </c>
      <c r="U172" s="100"/>
      <c r="V172" s="102">
        <f>SUM(G172:T172)</f>
        <v>0</v>
      </c>
      <c r="W172" s="98" t="str">
        <f>IF(ABS(F172-V172)&lt;0.01,"ok","err")</f>
        <v>ok</v>
      </c>
      <c r="X172" s="102" t="str">
        <f>IF(W172="err",V172-F172,"")</f>
        <v/>
      </c>
    </row>
    <row r="173" spans="1:26" ht="12" customHeight="1" x14ac:dyDescent="0.25">
      <c r="F173" s="101"/>
    </row>
    <row r="174" spans="1:26" ht="12" customHeight="1" x14ac:dyDescent="0.25">
      <c r="A174" s="97" t="s">
        <v>68</v>
      </c>
      <c r="D174" s="97" t="s">
        <v>422</v>
      </c>
      <c r="F174" s="100">
        <f>F129+F135+F138+F141+F149+F154+F157+F160+F163+F166+F169+F172</f>
        <v>3639079759.3610182</v>
      </c>
      <c r="G174" s="100">
        <f t="shared" ref="G174:T174" si="70">G129+G135+G138+G141+G149+G154+G157+G160+G163+G166+G169+G172</f>
        <v>1716633054.3461716</v>
      </c>
      <c r="H174" s="100">
        <f t="shared" si="70"/>
        <v>441219651.03133303</v>
      </c>
      <c r="I174" s="100">
        <f>I129+I135+I138+I141+I149+I154+I157+I160+I163+I166+I169+I172</f>
        <v>0</v>
      </c>
      <c r="J174" s="100">
        <f>J129+J135+J138+J141+J149+J154+J157+J160+J163+J166+J169+J172</f>
        <v>28182297.978403468</v>
      </c>
      <c r="K174" s="100">
        <f>K129+K135+K138+K141+K149+K154+K157+K160+K163+K166+K169+K172</f>
        <v>0</v>
      </c>
      <c r="L174" s="100">
        <f t="shared" si="70"/>
        <v>347387075.53153688</v>
      </c>
      <c r="M174" s="100">
        <f t="shared" si="70"/>
        <v>25275870.378223237</v>
      </c>
      <c r="N174" s="100">
        <f t="shared" si="70"/>
        <v>248673397.50148326</v>
      </c>
      <c r="O174" s="100">
        <f>O129+O135+O138+O141+O149+O154+O157+O160+O163+O166+O169+O172</f>
        <v>533415050.36546725</v>
      </c>
      <c r="P174" s="100">
        <f>P129+P135+P138+P141+P149+P154+P157+P160+P163+P166+P169+P172</f>
        <v>170797076.92138174</v>
      </c>
      <c r="Q174" s="100">
        <f t="shared" si="70"/>
        <v>45005985.731704071</v>
      </c>
      <c r="R174" s="100">
        <f t="shared" si="70"/>
        <v>82196367.310438812</v>
      </c>
      <c r="S174" s="100">
        <f t="shared" si="70"/>
        <v>15193.548301309937</v>
      </c>
      <c r="T174" s="100">
        <f t="shared" si="70"/>
        <v>278738.71657262801</v>
      </c>
      <c r="U174" s="100"/>
      <c r="V174" s="102">
        <f>SUM(G174:T174)</f>
        <v>3639079759.3610182</v>
      </c>
      <c r="W174" s="98" t="str">
        <f>IF(ABS(F174-V174)&lt;0.01,"ok","err")</f>
        <v>ok</v>
      </c>
      <c r="X174" s="243" t="str">
        <f>IF(W174="err",V174-F174,"")</f>
        <v/>
      </c>
    </row>
    <row r="176" spans="1:26" ht="12" customHeight="1" x14ac:dyDescent="0.25">
      <c r="L176" s="102"/>
      <c r="M176" s="102"/>
      <c r="N176" s="102"/>
      <c r="O176" s="102"/>
    </row>
    <row r="177" spans="1:24" ht="12" customHeight="1" x14ac:dyDescent="0.25">
      <c r="A177" s="23" t="s">
        <v>795</v>
      </c>
    </row>
    <row r="179" spans="1:24" ht="12" customHeight="1" x14ac:dyDescent="0.25">
      <c r="A179" s="24" t="s">
        <v>149</v>
      </c>
    </row>
    <row r="180" spans="1:24" ht="12" customHeight="1" x14ac:dyDescent="0.25">
      <c r="A180" s="107" t="s">
        <v>139</v>
      </c>
      <c r="C180" s="97" t="s">
        <v>840</v>
      </c>
      <c r="D180" s="97" t="s">
        <v>668</v>
      </c>
      <c r="E180" s="397" t="s">
        <v>2455</v>
      </c>
      <c r="F180" s="100">
        <f>VLOOKUP(C180,'Functional Assignment'!$C$1:$AU$771,6,)</f>
        <v>37625250.163491994</v>
      </c>
      <c r="G180" s="100">
        <f t="shared" ref="G180:T185" si="71">IF(VLOOKUP($E180,$D$5:$AJ$945,3,)=0,0,(VLOOKUP($E180,$D$5:$AJ$945,G$1,)/VLOOKUP($E180,$D$5:$AJ$945,3,))*$F180)</f>
        <v>15401975.401192702</v>
      </c>
      <c r="H180" s="100">
        <f t="shared" si="71"/>
        <v>4275075.4982531322</v>
      </c>
      <c r="I180" s="100">
        <f t="shared" si="71"/>
        <v>0</v>
      </c>
      <c r="J180" s="100">
        <f t="shared" si="71"/>
        <v>321914.68219066504</v>
      </c>
      <c r="K180" s="100">
        <f t="shared" si="71"/>
        <v>0</v>
      </c>
      <c r="L180" s="100">
        <f t="shared" si="71"/>
        <v>4297133.6966299377</v>
      </c>
      <c r="M180" s="100">
        <f t="shared" si="71"/>
        <v>316419.09899871482</v>
      </c>
      <c r="N180" s="100">
        <f t="shared" si="71"/>
        <v>3138074.5929263118</v>
      </c>
      <c r="O180" s="100">
        <f t="shared" si="71"/>
        <v>6863196.2947174152</v>
      </c>
      <c r="P180" s="100">
        <f t="shared" si="71"/>
        <v>2386196.9711005427</v>
      </c>
      <c r="Q180" s="100">
        <f t="shared" si="71"/>
        <v>623340.25174474414</v>
      </c>
      <c r="R180" s="100">
        <f t="shared" si="71"/>
        <v>0</v>
      </c>
      <c r="S180" s="100">
        <f t="shared" si="71"/>
        <v>0</v>
      </c>
      <c r="T180" s="100">
        <f t="shared" si="71"/>
        <v>1923.6757378273674</v>
      </c>
      <c r="U180" s="100"/>
      <c r="V180" s="102">
        <f t="shared" ref="V180:V186" si="72">SUM(G180:T180)</f>
        <v>37625250.163491994</v>
      </c>
      <c r="W180" s="98" t="str">
        <f t="shared" ref="W180:W186" si="73">IF(ABS(F180-V180)&lt;0.01,"ok","err")</f>
        <v>ok</v>
      </c>
      <c r="X180" s="243" t="str">
        <f t="shared" ref="X180:X186" si="74">IF(W180="err",V180-F180,"")</f>
        <v/>
      </c>
    </row>
    <row r="181" spans="1:24" ht="12" customHeight="1" x14ac:dyDescent="0.25">
      <c r="A181" s="107" t="s">
        <v>143</v>
      </c>
      <c r="C181" s="97" t="s">
        <v>840</v>
      </c>
      <c r="D181" s="97" t="s">
        <v>669</v>
      </c>
      <c r="E181" s="397" t="s">
        <v>2455</v>
      </c>
      <c r="F181" s="101">
        <f>VLOOKUP(C181,'Functional Assignment'!$C$1:$AU$771,7,)</f>
        <v>35951279.322969064</v>
      </c>
      <c r="G181" s="101">
        <f t="shared" si="71"/>
        <v>14716731.911886552</v>
      </c>
      <c r="H181" s="101">
        <f t="shared" si="71"/>
        <v>4084874.7236665585</v>
      </c>
      <c r="I181" s="101">
        <f t="shared" si="71"/>
        <v>0</v>
      </c>
      <c r="J181" s="101">
        <f t="shared" si="71"/>
        <v>307592.49725417118</v>
      </c>
      <c r="K181" s="101">
        <f t="shared" si="71"/>
        <v>0</v>
      </c>
      <c r="L181" s="101">
        <f t="shared" si="71"/>
        <v>4105951.5390434694</v>
      </c>
      <c r="M181" s="101">
        <f t="shared" si="71"/>
        <v>302341.41598513222</v>
      </c>
      <c r="N181" s="101">
        <f t="shared" si="71"/>
        <v>2998459.6975802719</v>
      </c>
      <c r="O181" s="101">
        <f t="shared" si="71"/>
        <v>6557848.4121061359</v>
      </c>
      <c r="P181" s="101">
        <f t="shared" si="71"/>
        <v>2280033.5799733186</v>
      </c>
      <c r="Q181" s="101">
        <f t="shared" si="71"/>
        <v>595607.45526868524</v>
      </c>
      <c r="R181" s="101">
        <f t="shared" si="71"/>
        <v>0</v>
      </c>
      <c r="S181" s="101">
        <f t="shared" si="71"/>
        <v>0</v>
      </c>
      <c r="T181" s="101">
        <f t="shared" si="71"/>
        <v>1838.0902047677359</v>
      </c>
      <c r="U181" s="101"/>
      <c r="V181" s="101">
        <f t="shared" si="72"/>
        <v>35951279.322969064</v>
      </c>
      <c r="W181" s="98" t="str">
        <f t="shared" si="73"/>
        <v>ok</v>
      </c>
      <c r="X181" s="102" t="str">
        <f t="shared" si="74"/>
        <v/>
      </c>
    </row>
    <row r="182" spans="1:24" ht="12" customHeight="1" x14ac:dyDescent="0.25">
      <c r="A182" s="107" t="s">
        <v>140</v>
      </c>
      <c r="C182" s="97" t="s">
        <v>840</v>
      </c>
      <c r="D182" s="97" t="s">
        <v>670</v>
      </c>
      <c r="E182" s="397" t="s">
        <v>2455</v>
      </c>
      <c r="F182" s="101">
        <f>VLOOKUP(C182,'Functional Assignment'!$C$1:$AU$771,8,)</f>
        <v>35933655.745627098</v>
      </c>
      <c r="G182" s="101">
        <f t="shared" si="71"/>
        <v>14709517.663382621</v>
      </c>
      <c r="H182" s="101">
        <f t="shared" si="71"/>
        <v>4082872.288510411</v>
      </c>
      <c r="I182" s="101">
        <f t="shared" si="71"/>
        <v>0</v>
      </c>
      <c r="J182" s="101">
        <f t="shared" si="71"/>
        <v>307441.71318564139</v>
      </c>
      <c r="K182" s="101">
        <f t="shared" si="71"/>
        <v>0</v>
      </c>
      <c r="L182" s="101">
        <f t="shared" si="71"/>
        <v>4103938.771879869</v>
      </c>
      <c r="M182" s="101">
        <f t="shared" si="71"/>
        <v>302193.20603464823</v>
      </c>
      <c r="N182" s="101">
        <f t="shared" si="71"/>
        <v>2996989.8309334596</v>
      </c>
      <c r="O182" s="101">
        <f t="shared" si="71"/>
        <v>6554633.7073483607</v>
      </c>
      <c r="P182" s="101">
        <f t="shared" si="71"/>
        <v>2278915.891009375</v>
      </c>
      <c r="Q182" s="101">
        <f t="shared" si="71"/>
        <v>595315.48418306466</v>
      </c>
      <c r="R182" s="101">
        <f t="shared" si="71"/>
        <v>0</v>
      </c>
      <c r="S182" s="101">
        <f t="shared" si="71"/>
        <v>0</v>
      </c>
      <c r="T182" s="101">
        <f t="shared" si="71"/>
        <v>1837.1891596451349</v>
      </c>
      <c r="U182" s="101"/>
      <c r="V182" s="101">
        <f t="shared" si="72"/>
        <v>35933655.745627098</v>
      </c>
      <c r="W182" s="98" t="str">
        <f t="shared" si="73"/>
        <v>ok</v>
      </c>
      <c r="X182" s="102" t="str">
        <f t="shared" si="74"/>
        <v/>
      </c>
    </row>
    <row r="183" spans="1:24" ht="12" customHeight="1" x14ac:dyDescent="0.25">
      <c r="A183" s="107" t="s">
        <v>141</v>
      </c>
      <c r="C183" s="97" t="s">
        <v>840</v>
      </c>
      <c r="D183" s="97" t="s">
        <v>671</v>
      </c>
      <c r="E183" s="97" t="s">
        <v>410</v>
      </c>
      <c r="F183" s="101">
        <f>VLOOKUP(C183,'Functional Assignment'!$C$1:$AU$771,9,)</f>
        <v>640387546.76813221</v>
      </c>
      <c r="G183" s="101">
        <f t="shared" si="71"/>
        <v>215133717.18701735</v>
      </c>
      <c r="H183" s="101">
        <f t="shared" si="71"/>
        <v>63734648.606902696</v>
      </c>
      <c r="I183" s="101">
        <f t="shared" si="71"/>
        <v>0</v>
      </c>
      <c r="J183" s="101">
        <f t="shared" si="71"/>
        <v>5363164.4900922701</v>
      </c>
      <c r="K183" s="101">
        <f t="shared" si="71"/>
        <v>0</v>
      </c>
      <c r="L183" s="101">
        <f t="shared" si="71"/>
        <v>75809703.775081843</v>
      </c>
      <c r="M183" s="101">
        <f t="shared" si="71"/>
        <v>5850204.2746286383</v>
      </c>
      <c r="N183" s="101">
        <f t="shared" si="71"/>
        <v>59018115.113687538</v>
      </c>
      <c r="O183" s="101">
        <f t="shared" si="71"/>
        <v>141867453.65974441</v>
      </c>
      <c r="P183" s="101">
        <f t="shared" si="71"/>
        <v>50523777.892294951</v>
      </c>
      <c r="Q183" s="101">
        <f t="shared" si="71"/>
        <v>18652079.557136446</v>
      </c>
      <c r="R183" s="101">
        <f t="shared" si="71"/>
        <v>4366315.119832471</v>
      </c>
      <c r="S183" s="101">
        <f t="shared" si="71"/>
        <v>15776.520661516181</v>
      </c>
      <c r="T183" s="101">
        <f t="shared" si="71"/>
        <v>52590.571051975669</v>
      </c>
      <c r="U183" s="101"/>
      <c r="V183" s="101">
        <f t="shared" si="72"/>
        <v>640387546.76813209</v>
      </c>
      <c r="W183" s="98" t="str">
        <f t="shared" si="73"/>
        <v>ok</v>
      </c>
      <c r="X183" s="102" t="str">
        <f t="shared" si="74"/>
        <v/>
      </c>
    </row>
    <row r="184" spans="1:24" ht="12" customHeight="1" x14ac:dyDescent="0.25">
      <c r="A184" s="107" t="s">
        <v>144</v>
      </c>
      <c r="C184" s="97" t="s">
        <v>840</v>
      </c>
      <c r="D184" s="97" t="s">
        <v>682</v>
      </c>
      <c r="E184" s="97" t="s">
        <v>410</v>
      </c>
      <c r="F184" s="101">
        <f>VLOOKUP(C184,'Functional Assignment'!$C$1:$AU$771,10,)</f>
        <v>0</v>
      </c>
      <c r="G184" s="101">
        <f t="shared" si="71"/>
        <v>0</v>
      </c>
      <c r="H184" s="101">
        <f t="shared" si="71"/>
        <v>0</v>
      </c>
      <c r="I184" s="101">
        <f t="shared" si="71"/>
        <v>0</v>
      </c>
      <c r="J184" s="101">
        <f t="shared" si="71"/>
        <v>0</v>
      </c>
      <c r="K184" s="101">
        <f t="shared" si="71"/>
        <v>0</v>
      </c>
      <c r="L184" s="101">
        <f t="shared" si="71"/>
        <v>0</v>
      </c>
      <c r="M184" s="101">
        <f t="shared" si="71"/>
        <v>0</v>
      </c>
      <c r="N184" s="101">
        <f t="shared" si="71"/>
        <v>0</v>
      </c>
      <c r="O184" s="101">
        <f t="shared" si="71"/>
        <v>0</v>
      </c>
      <c r="P184" s="101">
        <f t="shared" si="71"/>
        <v>0</v>
      </c>
      <c r="Q184" s="101">
        <f t="shared" si="71"/>
        <v>0</v>
      </c>
      <c r="R184" s="101">
        <f t="shared" si="71"/>
        <v>0</v>
      </c>
      <c r="S184" s="101">
        <f t="shared" si="71"/>
        <v>0</v>
      </c>
      <c r="T184" s="101">
        <f t="shared" si="71"/>
        <v>0</v>
      </c>
      <c r="U184" s="101"/>
      <c r="V184" s="101">
        <f t="shared" si="72"/>
        <v>0</v>
      </c>
      <c r="W184" s="98" t="str">
        <f t="shared" si="73"/>
        <v>ok</v>
      </c>
      <c r="X184" s="102" t="str">
        <f t="shared" si="74"/>
        <v/>
      </c>
    </row>
    <row r="185" spans="1:24" ht="12" customHeight="1" x14ac:dyDescent="0.25">
      <c r="A185" s="107" t="s">
        <v>142</v>
      </c>
      <c r="C185" s="97" t="s">
        <v>840</v>
      </c>
      <c r="D185" s="97" t="s">
        <v>683</v>
      </c>
      <c r="E185" s="97" t="s">
        <v>410</v>
      </c>
      <c r="F185" s="101">
        <f>VLOOKUP(C185,'Functional Assignment'!$C$1:$AU$771,11,)</f>
        <v>0</v>
      </c>
      <c r="G185" s="101">
        <f t="shared" si="71"/>
        <v>0</v>
      </c>
      <c r="H185" s="101">
        <f t="shared" si="71"/>
        <v>0</v>
      </c>
      <c r="I185" s="101">
        <f t="shared" si="71"/>
        <v>0</v>
      </c>
      <c r="J185" s="101">
        <f t="shared" si="71"/>
        <v>0</v>
      </c>
      <c r="K185" s="101">
        <f t="shared" si="71"/>
        <v>0</v>
      </c>
      <c r="L185" s="101">
        <f t="shared" si="71"/>
        <v>0</v>
      </c>
      <c r="M185" s="101">
        <f t="shared" si="71"/>
        <v>0</v>
      </c>
      <c r="N185" s="101">
        <f t="shared" si="71"/>
        <v>0</v>
      </c>
      <c r="O185" s="101">
        <f t="shared" si="71"/>
        <v>0</v>
      </c>
      <c r="P185" s="101">
        <f t="shared" si="71"/>
        <v>0</v>
      </c>
      <c r="Q185" s="101">
        <f t="shared" si="71"/>
        <v>0</v>
      </c>
      <c r="R185" s="101">
        <f t="shared" si="71"/>
        <v>0</v>
      </c>
      <c r="S185" s="101">
        <f t="shared" si="71"/>
        <v>0</v>
      </c>
      <c r="T185" s="101">
        <f t="shared" si="71"/>
        <v>0</v>
      </c>
      <c r="U185" s="101"/>
      <c r="V185" s="101">
        <f t="shared" si="72"/>
        <v>0</v>
      </c>
      <c r="W185" s="98" t="str">
        <f t="shared" si="73"/>
        <v>ok</v>
      </c>
      <c r="X185" s="102" t="str">
        <f t="shared" si="74"/>
        <v/>
      </c>
    </row>
    <row r="186" spans="1:24" ht="12" customHeight="1" x14ac:dyDescent="0.25">
      <c r="A186" s="97" t="s">
        <v>172</v>
      </c>
      <c r="D186" s="97" t="s">
        <v>423</v>
      </c>
      <c r="F186" s="100">
        <f t="shared" ref="F186:T186" si="75">SUM(F180:F185)</f>
        <v>749897732.0002203</v>
      </c>
      <c r="G186" s="100">
        <f t="shared" si="75"/>
        <v>259961942.16347921</v>
      </c>
      <c r="H186" s="100">
        <f t="shared" si="75"/>
        <v>76177471.117332801</v>
      </c>
      <c r="I186" s="100">
        <f>SUM(I180:I185)</f>
        <v>0</v>
      </c>
      <c r="J186" s="100">
        <f>SUM(J180:J185)</f>
        <v>6300113.3827227475</v>
      </c>
      <c r="K186" s="100">
        <f>SUM(K180:K185)</f>
        <v>0</v>
      </c>
      <c r="L186" s="100">
        <f t="shared" si="75"/>
        <v>88316727.782635123</v>
      </c>
      <c r="M186" s="100">
        <f t="shared" si="75"/>
        <v>6771157.9956471333</v>
      </c>
      <c r="N186" s="100">
        <f t="shared" si="75"/>
        <v>68151639.235127583</v>
      </c>
      <c r="O186" s="100">
        <f t="shared" si="75"/>
        <v>161843132.07391632</v>
      </c>
      <c r="P186" s="100">
        <f>SUM(P180:P185)</f>
        <v>57468924.334378183</v>
      </c>
      <c r="Q186" s="100">
        <f t="shared" si="75"/>
        <v>20466342.74833294</v>
      </c>
      <c r="R186" s="100">
        <f t="shared" si="75"/>
        <v>4366315.119832471</v>
      </c>
      <c r="S186" s="100">
        <f t="shared" si="75"/>
        <v>15776.520661516181</v>
      </c>
      <c r="T186" s="100">
        <f t="shared" si="75"/>
        <v>58189.526154215906</v>
      </c>
      <c r="U186" s="100"/>
      <c r="V186" s="102">
        <f t="shared" si="72"/>
        <v>749897732.0002203</v>
      </c>
      <c r="W186" s="98" t="str">
        <f t="shared" si="73"/>
        <v>ok</v>
      </c>
      <c r="X186" s="243" t="str">
        <f t="shared" si="74"/>
        <v/>
      </c>
    </row>
    <row r="187" spans="1:24" ht="12" customHeight="1" x14ac:dyDescent="0.25">
      <c r="F187" s="101"/>
      <c r="G187" s="244">
        <f>G186/$F$186</f>
        <v>0.346663192953093</v>
      </c>
      <c r="H187" s="244">
        <f t="shared" ref="H187:Q187" si="76">H186/$F$186</f>
        <v>0.10158381318762333</v>
      </c>
      <c r="I187" s="244">
        <f>I186/$F$186</f>
        <v>0</v>
      </c>
      <c r="J187" s="244">
        <f t="shared" si="76"/>
        <v>8.4012967553833019E-3</v>
      </c>
      <c r="K187" s="244">
        <f>K186/$F$186</f>
        <v>0</v>
      </c>
      <c r="L187" s="244">
        <f t="shared" si="76"/>
        <v>0.11777169607789822</v>
      </c>
      <c r="M187" s="244">
        <f t="shared" si="76"/>
        <v>9.0294418914780017E-3</v>
      </c>
      <c r="N187" s="244">
        <f t="shared" si="76"/>
        <v>9.0881244637645547E-2</v>
      </c>
      <c r="O187" s="244">
        <f t="shared" si="76"/>
        <v>0.21582027144185145</v>
      </c>
      <c r="P187" s="244">
        <f t="shared" si="76"/>
        <v>7.6635682283089368E-2</v>
      </c>
      <c r="Q187" s="244">
        <f t="shared" si="76"/>
        <v>2.7292178486448507E-2</v>
      </c>
    </row>
    <row r="188" spans="1:24" ht="12" customHeight="1" x14ac:dyDescent="0.25">
      <c r="A188" s="24" t="s">
        <v>461</v>
      </c>
      <c r="F188" s="101"/>
      <c r="G188" s="101"/>
    </row>
    <row r="189" spans="1:24" ht="12" customHeight="1" x14ac:dyDescent="0.25">
      <c r="A189" s="107" t="s">
        <v>2424</v>
      </c>
      <c r="C189" s="97" t="s">
        <v>840</v>
      </c>
      <c r="D189" s="97" t="s">
        <v>684</v>
      </c>
      <c r="E189" s="397" t="s">
        <v>2455</v>
      </c>
      <c r="F189" s="100">
        <f>VLOOKUP(C189,'Functional Assignment'!$C$1:$AU$771,13,)</f>
        <v>44026929.480304562</v>
      </c>
      <c r="G189" s="100">
        <f t="shared" ref="G189:T191" si="77">IF(VLOOKUP($E189,$D$5:$AJ$945,3,)=0,0,(VLOOKUP($E189,$D$5:$AJ$945,G$1,)/VLOOKUP($E189,$D$5:$AJ$945,3,))*$F189)</f>
        <v>18022516.312826082</v>
      </c>
      <c r="H189" s="100">
        <f t="shared" si="77"/>
        <v>5002450.3934647059</v>
      </c>
      <c r="I189" s="100">
        <f t="shared" si="77"/>
        <v>0</v>
      </c>
      <c r="J189" s="100">
        <f t="shared" si="77"/>
        <v>376686.26653372071</v>
      </c>
      <c r="K189" s="100">
        <f t="shared" si="77"/>
        <v>0</v>
      </c>
      <c r="L189" s="100">
        <f t="shared" si="77"/>
        <v>5028261.6436272506</v>
      </c>
      <c r="M189" s="100">
        <f t="shared" si="77"/>
        <v>370255.64739912929</v>
      </c>
      <c r="N189" s="100">
        <f t="shared" si="77"/>
        <v>3671996.5503580743</v>
      </c>
      <c r="O189" s="100">
        <f t="shared" si="77"/>
        <v>8030922.2653409531</v>
      </c>
      <c r="P189" s="100">
        <f t="shared" si="77"/>
        <v>2792192.0868634465</v>
      </c>
      <c r="Q189" s="100">
        <f t="shared" si="77"/>
        <v>729397.33786620735</v>
      </c>
      <c r="R189" s="100">
        <f t="shared" si="77"/>
        <v>0</v>
      </c>
      <c r="S189" s="100">
        <f t="shared" si="77"/>
        <v>0</v>
      </c>
      <c r="T189" s="100">
        <f t="shared" si="77"/>
        <v>2250.9760249907122</v>
      </c>
      <c r="U189" s="100"/>
      <c r="V189" s="102">
        <f>SUM(G189:T189)</f>
        <v>44026929.480304562</v>
      </c>
      <c r="W189" s="98" t="str">
        <f>IF(ABS(F189-V189)&lt;0.01,"ok","err")</f>
        <v>ok</v>
      </c>
      <c r="X189" s="102" t="str">
        <f>IF(W189="err",V189-F189,"")</f>
        <v/>
      </c>
    </row>
    <row r="190" spans="1:24" ht="12" hidden="1" customHeight="1" x14ac:dyDescent="0.25">
      <c r="A190" s="107" t="s">
        <v>2423</v>
      </c>
      <c r="C190" s="97" t="s">
        <v>840</v>
      </c>
      <c r="D190" s="97" t="s">
        <v>685</v>
      </c>
      <c r="E190" s="97" t="s">
        <v>55</v>
      </c>
      <c r="F190" s="101">
        <f>VLOOKUP(C190,'Functional Assignment'!$C$1:$AU$771,14,)</f>
        <v>0</v>
      </c>
      <c r="G190" s="101">
        <f t="shared" si="77"/>
        <v>0</v>
      </c>
      <c r="H190" s="101">
        <f t="shared" si="77"/>
        <v>0</v>
      </c>
      <c r="I190" s="101">
        <f t="shared" si="77"/>
        <v>0</v>
      </c>
      <c r="J190" s="101">
        <f t="shared" si="77"/>
        <v>0</v>
      </c>
      <c r="K190" s="101">
        <f t="shared" si="77"/>
        <v>0</v>
      </c>
      <c r="L190" s="101">
        <f t="shared" si="77"/>
        <v>0</v>
      </c>
      <c r="M190" s="101">
        <f t="shared" si="77"/>
        <v>0</v>
      </c>
      <c r="N190" s="101">
        <f t="shared" si="77"/>
        <v>0</v>
      </c>
      <c r="O190" s="101">
        <f t="shared" si="77"/>
        <v>0</v>
      </c>
      <c r="P190" s="101">
        <f t="shared" si="77"/>
        <v>0</v>
      </c>
      <c r="Q190" s="101">
        <f t="shared" si="77"/>
        <v>0</v>
      </c>
      <c r="R190" s="101">
        <f t="shared" si="77"/>
        <v>0</v>
      </c>
      <c r="S190" s="101">
        <f t="shared" si="77"/>
        <v>0</v>
      </c>
      <c r="T190" s="101">
        <f t="shared" si="77"/>
        <v>0</v>
      </c>
      <c r="U190" s="101"/>
      <c r="V190" s="101">
        <f>SUM(G190:T190)</f>
        <v>0</v>
      </c>
      <c r="W190" s="98" t="str">
        <f>IF(ABS(F190-V190)&lt;0.01,"ok","err")</f>
        <v>ok</v>
      </c>
      <c r="X190" s="102" t="str">
        <f>IF(W190="err",V190-F190,"")</f>
        <v/>
      </c>
    </row>
    <row r="191" spans="1:24" ht="12" hidden="1" customHeight="1" x14ac:dyDescent="0.25">
      <c r="A191" s="107" t="s">
        <v>2423</v>
      </c>
      <c r="C191" s="97" t="s">
        <v>840</v>
      </c>
      <c r="D191" s="97" t="s">
        <v>686</v>
      </c>
      <c r="E191" s="97" t="s">
        <v>58</v>
      </c>
      <c r="F191" s="101">
        <f>VLOOKUP(C191,'Functional Assignment'!$C$1:$AU$771,15,)</f>
        <v>0</v>
      </c>
      <c r="G191" s="101">
        <f t="shared" si="77"/>
        <v>0</v>
      </c>
      <c r="H191" s="101">
        <f t="shared" si="77"/>
        <v>0</v>
      </c>
      <c r="I191" s="101">
        <f t="shared" si="77"/>
        <v>0</v>
      </c>
      <c r="J191" s="101">
        <f t="shared" si="77"/>
        <v>0</v>
      </c>
      <c r="K191" s="101">
        <f t="shared" si="77"/>
        <v>0</v>
      </c>
      <c r="L191" s="101">
        <f t="shared" si="77"/>
        <v>0</v>
      </c>
      <c r="M191" s="101">
        <f t="shared" si="77"/>
        <v>0</v>
      </c>
      <c r="N191" s="101">
        <f t="shared" si="77"/>
        <v>0</v>
      </c>
      <c r="O191" s="101">
        <f t="shared" si="77"/>
        <v>0</v>
      </c>
      <c r="P191" s="101">
        <f t="shared" si="77"/>
        <v>0</v>
      </c>
      <c r="Q191" s="101">
        <f t="shared" si="77"/>
        <v>0</v>
      </c>
      <c r="R191" s="101">
        <f t="shared" si="77"/>
        <v>0</v>
      </c>
      <c r="S191" s="101">
        <f t="shared" si="77"/>
        <v>0</v>
      </c>
      <c r="T191" s="101">
        <f t="shared" si="77"/>
        <v>0</v>
      </c>
      <c r="U191" s="101"/>
      <c r="V191" s="101">
        <f>SUM(G191:T191)</f>
        <v>0</v>
      </c>
      <c r="W191" s="98" t="str">
        <f>IF(ABS(F191-V191)&lt;0.01,"ok","err")</f>
        <v>ok</v>
      </c>
      <c r="X191" s="102" t="str">
        <f>IF(W191="err",V191-F191,"")</f>
        <v/>
      </c>
    </row>
    <row r="192" spans="1:24" ht="12" hidden="1" customHeight="1" x14ac:dyDescent="0.25">
      <c r="A192" s="97" t="s">
        <v>463</v>
      </c>
      <c r="D192" s="97" t="s">
        <v>687</v>
      </c>
      <c r="F192" s="100">
        <f t="shared" ref="F192:T192" si="78">SUM(F189:F191)</f>
        <v>44026929.480304562</v>
      </c>
      <c r="G192" s="100">
        <f t="shared" si="78"/>
        <v>18022516.312826082</v>
      </c>
      <c r="H192" s="100">
        <f t="shared" si="78"/>
        <v>5002450.3934647059</v>
      </c>
      <c r="I192" s="100">
        <f>SUM(I189:I191)</f>
        <v>0</v>
      </c>
      <c r="J192" s="100">
        <f>SUM(J189:J191)</f>
        <v>376686.26653372071</v>
      </c>
      <c r="K192" s="100">
        <f>SUM(K189:K191)</f>
        <v>0</v>
      </c>
      <c r="L192" s="100">
        <f t="shared" si="78"/>
        <v>5028261.6436272506</v>
      </c>
      <c r="M192" s="100">
        <f t="shared" si="78"/>
        <v>370255.64739912929</v>
      </c>
      <c r="N192" s="100">
        <f t="shared" si="78"/>
        <v>3671996.5503580743</v>
      </c>
      <c r="O192" s="100">
        <f t="shared" si="78"/>
        <v>8030922.2653409531</v>
      </c>
      <c r="P192" s="100">
        <f>SUM(P189:P191)</f>
        <v>2792192.0868634465</v>
      </c>
      <c r="Q192" s="100">
        <f t="shared" si="78"/>
        <v>729397.33786620735</v>
      </c>
      <c r="R192" s="100">
        <f t="shared" si="78"/>
        <v>0</v>
      </c>
      <c r="S192" s="100">
        <f t="shared" si="78"/>
        <v>0</v>
      </c>
      <c r="T192" s="100">
        <f t="shared" si="78"/>
        <v>2250.9760249907122</v>
      </c>
      <c r="U192" s="100"/>
      <c r="V192" s="102">
        <f>SUM(G192:T192)</f>
        <v>44026929.480304562</v>
      </c>
      <c r="W192" s="98" t="str">
        <f>IF(ABS(F192-V192)&lt;0.01,"ok","err")</f>
        <v>ok</v>
      </c>
      <c r="X192" s="102" t="str">
        <f>IF(W192="err",V192-F192,"")</f>
        <v/>
      </c>
    </row>
    <row r="193" spans="1:24" ht="12" customHeight="1" x14ac:dyDescent="0.25">
      <c r="F193" s="101"/>
      <c r="G193" s="101"/>
    </row>
    <row r="194" spans="1:24" ht="12" customHeight="1" x14ac:dyDescent="0.25">
      <c r="A194" s="24" t="s">
        <v>1697</v>
      </c>
      <c r="F194" s="101"/>
      <c r="G194" s="101"/>
    </row>
    <row r="195" spans="1:24" ht="12" customHeight="1" x14ac:dyDescent="0.25">
      <c r="A195" s="107" t="s">
        <v>157</v>
      </c>
      <c r="C195" s="97" t="s">
        <v>840</v>
      </c>
      <c r="D195" s="97" t="s">
        <v>688</v>
      </c>
      <c r="E195" s="97" t="s">
        <v>2429</v>
      </c>
      <c r="F195" s="100">
        <f>VLOOKUP(C195,'Functional Assignment'!$C$1:$AU$771,17,)</f>
        <v>0</v>
      </c>
      <c r="G195" s="100">
        <f t="shared" ref="G195:T195" si="79">IF(VLOOKUP($E195,$D$5:$AJ$945,3,)=0,0,(VLOOKUP($E195,$D$5:$AJ$945,G$1,)/VLOOKUP($E195,$D$5:$AJ$945,3,))*$F195)</f>
        <v>0</v>
      </c>
      <c r="H195" s="100">
        <f t="shared" si="79"/>
        <v>0</v>
      </c>
      <c r="I195" s="100">
        <f t="shared" si="79"/>
        <v>0</v>
      </c>
      <c r="J195" s="100">
        <f t="shared" si="79"/>
        <v>0</v>
      </c>
      <c r="K195" s="100">
        <f t="shared" si="79"/>
        <v>0</v>
      </c>
      <c r="L195" s="100">
        <f t="shared" si="79"/>
        <v>0</v>
      </c>
      <c r="M195" s="100">
        <f t="shared" si="79"/>
        <v>0</v>
      </c>
      <c r="N195" s="100">
        <f t="shared" si="79"/>
        <v>0</v>
      </c>
      <c r="O195" s="100">
        <f t="shared" si="79"/>
        <v>0</v>
      </c>
      <c r="P195" s="100">
        <f t="shared" si="79"/>
        <v>0</v>
      </c>
      <c r="Q195" s="100">
        <f t="shared" si="79"/>
        <v>0</v>
      </c>
      <c r="R195" s="100">
        <f t="shared" si="79"/>
        <v>0</v>
      </c>
      <c r="S195" s="100">
        <f t="shared" si="79"/>
        <v>0</v>
      </c>
      <c r="T195" s="100">
        <f t="shared" si="79"/>
        <v>0</v>
      </c>
      <c r="U195" s="100"/>
      <c r="V195" s="102">
        <f>SUM(G195:T195)</f>
        <v>0</v>
      </c>
      <c r="W195" s="98" t="str">
        <f>IF(ABS(F195-V195)&lt;0.01,"ok","err")</f>
        <v>ok</v>
      </c>
      <c r="X195" s="102" t="str">
        <f>IF(W195="err",V195-F195,"")</f>
        <v/>
      </c>
    </row>
    <row r="196" spans="1:24" ht="12" customHeight="1" x14ac:dyDescent="0.25">
      <c r="F196" s="101"/>
    </row>
    <row r="197" spans="1:24" ht="12" customHeight="1" x14ac:dyDescent="0.25">
      <c r="A197" s="24" t="s">
        <v>1698</v>
      </c>
      <c r="F197" s="101"/>
      <c r="G197" s="101"/>
    </row>
    <row r="198" spans="1:24" ht="12" customHeight="1" x14ac:dyDescent="0.25">
      <c r="A198" s="107" t="s">
        <v>159</v>
      </c>
      <c r="C198" s="97" t="s">
        <v>840</v>
      </c>
      <c r="D198" s="97" t="s">
        <v>689</v>
      </c>
      <c r="E198" s="97" t="s">
        <v>2429</v>
      </c>
      <c r="F198" s="100">
        <f>VLOOKUP(C198,'Functional Assignment'!$C$1:$AU$771,18,)</f>
        <v>7273698.7604337949</v>
      </c>
      <c r="G198" s="100">
        <f t="shared" ref="G198:T198" si="80">IF(VLOOKUP($E198,$D$5:$AJ$945,3,)=0,0,(VLOOKUP($E198,$D$5:$AJ$945,G$1,)/VLOOKUP($E198,$D$5:$AJ$945,3,))*$F198)</f>
        <v>3531813.9334207517</v>
      </c>
      <c r="H198" s="100">
        <f t="shared" si="80"/>
        <v>860448.7020052342</v>
      </c>
      <c r="I198" s="100">
        <f t="shared" si="80"/>
        <v>0</v>
      </c>
      <c r="J198" s="100">
        <f t="shared" si="80"/>
        <v>90112.482861659708</v>
      </c>
      <c r="K198" s="100">
        <f t="shared" si="80"/>
        <v>0</v>
      </c>
      <c r="L198" s="100">
        <f t="shared" si="80"/>
        <v>804091.5979050427</v>
      </c>
      <c r="M198" s="100">
        <f t="shared" si="80"/>
        <v>62157.672908464847</v>
      </c>
      <c r="N198" s="100">
        <f t="shared" si="80"/>
        <v>565982.19238381484</v>
      </c>
      <c r="O198" s="100">
        <f t="shared" si="80"/>
        <v>1294637.5210327997</v>
      </c>
      <c r="P198" s="100">
        <f t="shared" si="80"/>
        <v>0</v>
      </c>
      <c r="Q198" s="100">
        <f t="shared" si="80"/>
        <v>0</v>
      </c>
      <c r="R198" s="100">
        <f t="shared" si="80"/>
        <v>63773.823568586406</v>
      </c>
      <c r="S198" s="100">
        <f t="shared" si="80"/>
        <v>267.12627082166858</v>
      </c>
      <c r="T198" s="100">
        <f t="shared" si="80"/>
        <v>413.70807661860971</v>
      </c>
      <c r="U198" s="100"/>
      <c r="V198" s="102">
        <f>SUM(G198:T198)</f>
        <v>7273698.7604337931</v>
      </c>
      <c r="W198" s="98" t="str">
        <f>IF(ABS(F198-V198)&lt;0.01,"ok","err")</f>
        <v>ok</v>
      </c>
      <c r="X198" s="102" t="str">
        <f>IF(W198="err",V198-F198,"")</f>
        <v/>
      </c>
    </row>
    <row r="199" spans="1:24" ht="12" customHeight="1" x14ac:dyDescent="0.25">
      <c r="F199" s="101"/>
    </row>
    <row r="200" spans="1:24" ht="12" customHeight="1" x14ac:dyDescent="0.25">
      <c r="A200" s="24" t="s">
        <v>158</v>
      </c>
      <c r="F200" s="101"/>
    </row>
    <row r="201" spans="1:24" ht="12" customHeight="1" x14ac:dyDescent="0.25">
      <c r="A201" s="107" t="s">
        <v>820</v>
      </c>
      <c r="C201" s="97" t="s">
        <v>840</v>
      </c>
      <c r="D201" s="97" t="s">
        <v>690</v>
      </c>
      <c r="E201" s="97" t="s">
        <v>2429</v>
      </c>
      <c r="F201" s="100">
        <f>VLOOKUP(C201,'Functional Assignment'!$C$1:$AU$771,19,)</f>
        <v>0</v>
      </c>
      <c r="G201" s="100">
        <f t="shared" ref="G201:T205" si="81">IF(VLOOKUP($E201,$D$5:$AJ$945,3,)=0,0,(VLOOKUP($E201,$D$5:$AJ$945,G$1,)/VLOOKUP($E201,$D$5:$AJ$945,3,))*$F201)</f>
        <v>0</v>
      </c>
      <c r="H201" s="100">
        <f t="shared" si="81"/>
        <v>0</v>
      </c>
      <c r="I201" s="100">
        <f t="shared" si="81"/>
        <v>0</v>
      </c>
      <c r="J201" s="100">
        <f t="shared" si="81"/>
        <v>0</v>
      </c>
      <c r="K201" s="100">
        <f t="shared" si="81"/>
        <v>0</v>
      </c>
      <c r="L201" s="100">
        <f t="shared" si="81"/>
        <v>0</v>
      </c>
      <c r="M201" s="100">
        <f t="shared" si="81"/>
        <v>0</v>
      </c>
      <c r="N201" s="100">
        <f t="shared" si="81"/>
        <v>0</v>
      </c>
      <c r="O201" s="100">
        <f t="shared" si="81"/>
        <v>0</v>
      </c>
      <c r="P201" s="100">
        <f t="shared" si="81"/>
        <v>0</v>
      </c>
      <c r="Q201" s="100">
        <f t="shared" si="81"/>
        <v>0</v>
      </c>
      <c r="R201" s="100">
        <f t="shared" si="81"/>
        <v>0</v>
      </c>
      <c r="S201" s="100">
        <f t="shared" si="81"/>
        <v>0</v>
      </c>
      <c r="T201" s="100">
        <f t="shared" si="81"/>
        <v>0</v>
      </c>
      <c r="U201" s="100"/>
      <c r="V201" s="102">
        <f t="shared" ref="V201:V206" si="82">SUM(G201:T201)</f>
        <v>0</v>
      </c>
      <c r="W201" s="98" t="str">
        <f t="shared" ref="W201:W206" si="83">IF(ABS(F201-V201)&lt;0.01,"ok","err")</f>
        <v>ok</v>
      </c>
      <c r="X201" s="102" t="str">
        <f t="shared" ref="X201:X206" si="84">IF(W201="err",V201-F201,"")</f>
        <v/>
      </c>
    </row>
    <row r="202" spans="1:24" ht="12" customHeight="1" x14ac:dyDescent="0.25">
      <c r="A202" s="107" t="s">
        <v>821</v>
      </c>
      <c r="C202" s="97" t="s">
        <v>840</v>
      </c>
      <c r="D202" s="97" t="s">
        <v>691</v>
      </c>
      <c r="E202" s="97" t="s">
        <v>2429</v>
      </c>
      <c r="F202" s="101">
        <f>VLOOKUP(C202,'Functional Assignment'!$C$1:$AU$771,20,)</f>
        <v>13814191.157278344</v>
      </c>
      <c r="G202" s="101">
        <f t="shared" si="81"/>
        <v>6707612.5112038134</v>
      </c>
      <c r="H202" s="101">
        <f t="shared" si="81"/>
        <v>1634162.1012943138</v>
      </c>
      <c r="I202" s="101">
        <f t="shared" si="81"/>
        <v>0</v>
      </c>
      <c r="J202" s="101">
        <f t="shared" si="81"/>
        <v>171141.41029311687</v>
      </c>
      <c r="K202" s="101">
        <f t="shared" si="81"/>
        <v>0</v>
      </c>
      <c r="L202" s="101">
        <f t="shared" si="81"/>
        <v>1527128.8249995101</v>
      </c>
      <c r="M202" s="101">
        <f t="shared" si="81"/>
        <v>118049.70259696394</v>
      </c>
      <c r="N202" s="101">
        <f t="shared" si="81"/>
        <v>1074912.0158420217</v>
      </c>
      <c r="O202" s="101">
        <f t="shared" si="81"/>
        <v>2458772.4600606714</v>
      </c>
      <c r="P202" s="101">
        <f t="shared" si="81"/>
        <v>0</v>
      </c>
      <c r="Q202" s="101">
        <f t="shared" si="81"/>
        <v>0</v>
      </c>
      <c r="R202" s="101">
        <f t="shared" si="81"/>
        <v>121119.0920359829</v>
      </c>
      <c r="S202" s="101">
        <f t="shared" si="81"/>
        <v>507.32556980973453</v>
      </c>
      <c r="T202" s="101">
        <f t="shared" si="81"/>
        <v>785.71338213882689</v>
      </c>
      <c r="U202" s="101"/>
      <c r="V202" s="101">
        <f t="shared" si="82"/>
        <v>13814191.157278342</v>
      </c>
      <c r="W202" s="98" t="str">
        <f t="shared" si="83"/>
        <v>ok</v>
      </c>
      <c r="X202" s="102" t="str">
        <f t="shared" si="84"/>
        <v/>
      </c>
    </row>
    <row r="203" spans="1:24" ht="12" customHeight="1" x14ac:dyDescent="0.25">
      <c r="A203" s="107" t="s">
        <v>822</v>
      </c>
      <c r="C203" s="97" t="s">
        <v>840</v>
      </c>
      <c r="D203" s="97" t="s">
        <v>692</v>
      </c>
      <c r="E203" s="97" t="s">
        <v>941</v>
      </c>
      <c r="F203" s="101">
        <f>VLOOKUP(C203,'Functional Assignment'!$C$1:$AU$771,21,)</f>
        <v>21347292.750939507</v>
      </c>
      <c r="G203" s="101">
        <f t="shared" si="81"/>
        <v>17057661.910046741</v>
      </c>
      <c r="H203" s="101">
        <f t="shared" si="81"/>
        <v>3300556.6169181871</v>
      </c>
      <c r="I203" s="101">
        <f t="shared" si="81"/>
        <v>0</v>
      </c>
      <c r="J203" s="101">
        <f t="shared" si="81"/>
        <v>23487.982261067398</v>
      </c>
      <c r="K203" s="101">
        <f t="shared" si="81"/>
        <v>0</v>
      </c>
      <c r="L203" s="101">
        <f t="shared" si="81"/>
        <v>178358.15197569391</v>
      </c>
      <c r="M203" s="101">
        <f t="shared" si="81"/>
        <v>6852.3118569387179</v>
      </c>
      <c r="N203" s="101">
        <f t="shared" si="81"/>
        <v>24478.200737503626</v>
      </c>
      <c r="O203" s="101">
        <f t="shared" si="81"/>
        <v>10971.620718913438</v>
      </c>
      <c r="P203" s="101">
        <f t="shared" si="81"/>
        <v>0</v>
      </c>
      <c r="Q203" s="101">
        <f t="shared" si="81"/>
        <v>0</v>
      </c>
      <c r="R203" s="101">
        <f t="shared" si="81"/>
        <v>741493.19903947529</v>
      </c>
      <c r="S203" s="101">
        <f t="shared" si="81"/>
        <v>17.603884025532992</v>
      </c>
      <c r="T203" s="101">
        <f t="shared" si="81"/>
        <v>3415.1535009534009</v>
      </c>
      <c r="U203" s="101"/>
      <c r="V203" s="101">
        <f t="shared" si="82"/>
        <v>21347292.750939503</v>
      </c>
      <c r="W203" s="98" t="str">
        <f t="shared" si="83"/>
        <v>ok</v>
      </c>
      <c r="X203" s="102" t="str">
        <f t="shared" si="84"/>
        <v/>
      </c>
    </row>
    <row r="204" spans="1:24" ht="12" customHeight="1" x14ac:dyDescent="0.25">
      <c r="A204" s="107" t="s">
        <v>823</v>
      </c>
      <c r="C204" s="97" t="s">
        <v>840</v>
      </c>
      <c r="D204" s="97" t="s">
        <v>693</v>
      </c>
      <c r="E204" s="97" t="s">
        <v>760</v>
      </c>
      <c r="F204" s="101">
        <f>VLOOKUP(C204,'Functional Assignment'!$C$1:$AU$771,22,)</f>
        <v>7132524.2301955046</v>
      </c>
      <c r="G204" s="101">
        <f t="shared" si="81"/>
        <v>5969642.3909109384</v>
      </c>
      <c r="H204" s="101">
        <f t="shared" si="81"/>
        <v>1035901.6223000661</v>
      </c>
      <c r="I204" s="101">
        <f t="shared" si="81"/>
        <v>0</v>
      </c>
      <c r="J204" s="101">
        <f t="shared" si="81"/>
        <v>79084.082961039821</v>
      </c>
      <c r="K204" s="101">
        <f t="shared" si="81"/>
        <v>0</v>
      </c>
      <c r="L204" s="101">
        <f t="shared" si="81"/>
        <v>0</v>
      </c>
      <c r="M204" s="101">
        <f t="shared" si="81"/>
        <v>0</v>
      </c>
      <c r="N204" s="101">
        <f t="shared" si="81"/>
        <v>0</v>
      </c>
      <c r="O204" s="101">
        <f t="shared" si="81"/>
        <v>0</v>
      </c>
      <c r="P204" s="101">
        <f t="shared" si="81"/>
        <v>0</v>
      </c>
      <c r="Q204" s="101">
        <f t="shared" si="81"/>
        <v>0</v>
      </c>
      <c r="R204" s="101">
        <f t="shared" si="81"/>
        <v>47390.546808541687</v>
      </c>
      <c r="S204" s="101">
        <f t="shared" si="81"/>
        <v>198.50244712943862</v>
      </c>
      <c r="T204" s="101">
        <f t="shared" si="81"/>
        <v>307.08476778734337</v>
      </c>
      <c r="U204" s="101"/>
      <c r="V204" s="101">
        <f t="shared" si="82"/>
        <v>7132524.2301955028</v>
      </c>
      <c r="W204" s="98" t="str">
        <f t="shared" si="83"/>
        <v>ok</v>
      </c>
      <c r="X204" s="102" t="str">
        <f t="shared" si="84"/>
        <v/>
      </c>
    </row>
    <row r="205" spans="1:24" ht="12" customHeight="1" x14ac:dyDescent="0.25">
      <c r="A205" s="107" t="s">
        <v>824</v>
      </c>
      <c r="C205" s="97" t="s">
        <v>840</v>
      </c>
      <c r="D205" s="97" t="s">
        <v>694</v>
      </c>
      <c r="E205" s="97" t="s">
        <v>940</v>
      </c>
      <c r="F205" s="101">
        <f>VLOOKUP(C205,'Functional Assignment'!$C$1:$AU$771,23,)</f>
        <v>10461859.976506073</v>
      </c>
      <c r="G205" s="101">
        <f t="shared" si="81"/>
        <v>8446915.083113119</v>
      </c>
      <c r="H205" s="101">
        <f t="shared" si="81"/>
        <v>1634428.0720967019</v>
      </c>
      <c r="I205" s="101">
        <f t="shared" si="81"/>
        <v>0</v>
      </c>
      <c r="J205" s="101">
        <f t="shared" si="81"/>
        <v>11631.194983179255</v>
      </c>
      <c r="K205" s="101">
        <f t="shared" si="81"/>
        <v>0</v>
      </c>
      <c r="L205" s="101">
        <f t="shared" si="81"/>
        <v>0</v>
      </c>
      <c r="M205" s="101">
        <f t="shared" si="81"/>
        <v>0</v>
      </c>
      <c r="N205" s="101">
        <f t="shared" si="81"/>
        <v>0</v>
      </c>
      <c r="O205" s="101">
        <f t="shared" si="81"/>
        <v>0</v>
      </c>
      <c r="P205" s="101">
        <f t="shared" si="81"/>
        <v>0</v>
      </c>
      <c r="Q205" s="101">
        <f t="shared" si="81"/>
        <v>0</v>
      </c>
      <c r="R205" s="101">
        <f t="shared" si="81"/>
        <v>367185.73272362258</v>
      </c>
      <c r="S205" s="101">
        <f t="shared" si="81"/>
        <v>8.7174030228062627</v>
      </c>
      <c r="T205" s="101">
        <f t="shared" si="81"/>
        <v>1691.1761864244154</v>
      </c>
      <c r="U205" s="101"/>
      <c r="V205" s="101">
        <f t="shared" si="82"/>
        <v>10461859.976506067</v>
      </c>
      <c r="W205" s="98" t="str">
        <f t="shared" si="83"/>
        <v>ok</v>
      </c>
      <c r="X205" s="102" t="str">
        <f t="shared" si="84"/>
        <v/>
      </c>
    </row>
    <row r="206" spans="1:24" ht="12" customHeight="1" x14ac:dyDescent="0.25">
      <c r="A206" s="97" t="s">
        <v>163</v>
      </c>
      <c r="D206" s="97" t="s">
        <v>695</v>
      </c>
      <c r="F206" s="100">
        <f>SUM(F201:F205)</f>
        <v>52755868.114919424</v>
      </c>
      <c r="G206" s="100">
        <f t="shared" ref="G206:T206" si="85">SUM(G201:G205)</f>
        <v>38181831.895274609</v>
      </c>
      <c r="H206" s="100">
        <f t="shared" si="85"/>
        <v>7605048.4126092689</v>
      </c>
      <c r="I206" s="100">
        <f>SUM(I201:I205)</f>
        <v>0</v>
      </c>
      <c r="J206" s="100">
        <f>SUM(J201:J205)</f>
        <v>285344.67049840337</v>
      </c>
      <c r="K206" s="100">
        <f>SUM(K201:K205)</f>
        <v>0</v>
      </c>
      <c r="L206" s="100">
        <f t="shared" si="85"/>
        <v>1705486.976975204</v>
      </c>
      <c r="M206" s="100">
        <f t="shared" si="85"/>
        <v>124902.01445390265</v>
      </c>
      <c r="N206" s="100">
        <f t="shared" si="85"/>
        <v>1099390.2165795253</v>
      </c>
      <c r="O206" s="100">
        <f t="shared" si="85"/>
        <v>2469744.0807795851</v>
      </c>
      <c r="P206" s="100">
        <f>SUM(P201:P205)</f>
        <v>0</v>
      </c>
      <c r="Q206" s="100">
        <f t="shared" si="85"/>
        <v>0</v>
      </c>
      <c r="R206" s="100">
        <f t="shared" si="85"/>
        <v>1277188.5706076224</v>
      </c>
      <c r="S206" s="100">
        <f t="shared" si="85"/>
        <v>732.14930398751233</v>
      </c>
      <c r="T206" s="100">
        <f t="shared" si="85"/>
        <v>6199.1278373039868</v>
      </c>
      <c r="U206" s="100"/>
      <c r="V206" s="102">
        <f t="shared" si="82"/>
        <v>52755868.114919409</v>
      </c>
      <c r="W206" s="98" t="str">
        <f t="shared" si="83"/>
        <v>ok</v>
      </c>
      <c r="X206" s="102" t="str">
        <f t="shared" si="84"/>
        <v/>
      </c>
    </row>
    <row r="207" spans="1:24" ht="12" customHeight="1" x14ac:dyDescent="0.25">
      <c r="F207" s="101"/>
    </row>
    <row r="208" spans="1:24" ht="12" customHeight="1" x14ac:dyDescent="0.25">
      <c r="A208" s="24" t="s">
        <v>819</v>
      </c>
      <c r="F208" s="101"/>
    </row>
    <row r="209" spans="1:24" ht="12" customHeight="1" x14ac:dyDescent="0.25">
      <c r="A209" s="107" t="s">
        <v>409</v>
      </c>
      <c r="C209" s="97" t="s">
        <v>840</v>
      </c>
      <c r="D209" s="97" t="s">
        <v>696</v>
      </c>
      <c r="E209" s="97" t="s">
        <v>2332</v>
      </c>
      <c r="F209" s="100">
        <f>VLOOKUP(C209,'Functional Assignment'!$C$1:$AU$771,24,)</f>
        <v>1406013.0594503474</v>
      </c>
      <c r="G209" s="100">
        <f t="shared" ref="G209:T210" si="86">IF(VLOOKUP($E209,$D$5:$AJ$945,3,)=0,0,(VLOOKUP($E209,$D$5:$AJ$945,G$1,)/VLOOKUP($E209,$D$5:$AJ$945,3,))*$F209)</f>
        <v>982451.97895945329</v>
      </c>
      <c r="H209" s="100">
        <f t="shared" si="86"/>
        <v>170483.17674531729</v>
      </c>
      <c r="I209" s="100">
        <f t="shared" si="86"/>
        <v>0</v>
      </c>
      <c r="J209" s="100">
        <f t="shared" si="86"/>
        <v>13015.237550504438</v>
      </c>
      <c r="K209" s="100">
        <f t="shared" si="86"/>
        <v>0</v>
      </c>
      <c r="L209" s="100">
        <f t="shared" si="86"/>
        <v>141933.62079311963</v>
      </c>
      <c r="M209" s="100">
        <f t="shared" si="86"/>
        <v>0</v>
      </c>
      <c r="N209" s="100">
        <f t="shared" si="86"/>
        <v>90246.554529886678</v>
      </c>
      <c r="O209" s="100">
        <f t="shared" si="86"/>
        <v>0</v>
      </c>
      <c r="P209" s="100">
        <f t="shared" si="86"/>
        <v>0</v>
      </c>
      <c r="Q209" s="100">
        <f t="shared" si="86"/>
        <v>0</v>
      </c>
      <c r="R209" s="100">
        <f t="shared" si="86"/>
        <v>7799.2840185721261</v>
      </c>
      <c r="S209" s="100">
        <f t="shared" si="86"/>
        <v>32.668476474828211</v>
      </c>
      <c r="T209" s="100">
        <f t="shared" si="86"/>
        <v>50.538377019086781</v>
      </c>
      <c r="U209" s="100"/>
      <c r="V209" s="102">
        <f>SUM(G209:T209)</f>
        <v>1406013.0594503477</v>
      </c>
      <c r="W209" s="98" t="str">
        <f>IF(ABS(F209-V209)&lt;0.01,"ok","err")</f>
        <v>ok</v>
      </c>
      <c r="X209" s="102" t="str">
        <f>IF(W209="err",V209-F209,"")</f>
        <v/>
      </c>
    </row>
    <row r="210" spans="1:24" ht="12" customHeight="1" x14ac:dyDescent="0.25">
      <c r="A210" s="107" t="s">
        <v>412</v>
      </c>
      <c r="C210" s="97" t="s">
        <v>840</v>
      </c>
      <c r="D210" s="97" t="s">
        <v>697</v>
      </c>
      <c r="E210" s="97" t="s">
        <v>2331</v>
      </c>
      <c r="F210" s="101">
        <f>VLOOKUP(C210,'Functional Assignment'!$C$1:$AU$771,25,)</f>
        <v>1251182.0854708615</v>
      </c>
      <c r="G210" s="101">
        <f t="shared" si="86"/>
        <v>1000598.804574754</v>
      </c>
      <c r="H210" s="101">
        <f t="shared" si="86"/>
        <v>193609.94623621207</v>
      </c>
      <c r="I210" s="101">
        <f t="shared" si="86"/>
        <v>0</v>
      </c>
      <c r="J210" s="101">
        <f t="shared" si="86"/>
        <v>1377.8000230180819</v>
      </c>
      <c r="K210" s="101">
        <f t="shared" si="86"/>
        <v>0</v>
      </c>
      <c r="L210" s="101">
        <f t="shared" si="86"/>
        <v>10462.451102277273</v>
      </c>
      <c r="M210" s="101">
        <f t="shared" si="86"/>
        <v>0</v>
      </c>
      <c r="N210" s="101">
        <f t="shared" si="86"/>
        <v>1435.8860273611715</v>
      </c>
      <c r="O210" s="101">
        <f t="shared" si="86"/>
        <v>0</v>
      </c>
      <c r="P210" s="101">
        <f t="shared" si="86"/>
        <v>0</v>
      </c>
      <c r="Q210" s="101">
        <f t="shared" si="86"/>
        <v>0</v>
      </c>
      <c r="R210" s="101">
        <f t="shared" si="86"/>
        <v>43495.832692182601</v>
      </c>
      <c r="S210" s="101">
        <f t="shared" si="86"/>
        <v>1.0326400772104793</v>
      </c>
      <c r="T210" s="101">
        <f t="shared" si="86"/>
        <v>200.332174978833</v>
      </c>
      <c r="U210" s="101"/>
      <c r="V210" s="101">
        <f>SUM(G210:T210)</f>
        <v>1251182.0854708615</v>
      </c>
      <c r="W210" s="98" t="str">
        <f>IF(ABS(F210-V210)&lt;0.01,"ok","err")</f>
        <v>ok</v>
      </c>
      <c r="X210" s="102" t="str">
        <f>IF(W210="err",V210-F210,"")</f>
        <v/>
      </c>
    </row>
    <row r="211" spans="1:24" ht="12" customHeight="1" x14ac:dyDescent="0.25">
      <c r="A211" s="97" t="s">
        <v>1536</v>
      </c>
      <c r="D211" s="97" t="s">
        <v>698</v>
      </c>
      <c r="F211" s="100">
        <f t="shared" ref="F211:T211" si="87">F209+F210</f>
        <v>2657195.1449212087</v>
      </c>
      <c r="G211" s="100">
        <f t="shared" si="87"/>
        <v>1983050.7835342074</v>
      </c>
      <c r="H211" s="100">
        <f t="shared" si="87"/>
        <v>364093.12298152933</v>
      </c>
      <c r="I211" s="100">
        <f>I209+I210</f>
        <v>0</v>
      </c>
      <c r="J211" s="100">
        <f>J209+J210</f>
        <v>14393.037573522521</v>
      </c>
      <c r="K211" s="100">
        <f>K209+K210</f>
        <v>0</v>
      </c>
      <c r="L211" s="100">
        <f t="shared" si="87"/>
        <v>152396.07189539689</v>
      </c>
      <c r="M211" s="100">
        <f t="shared" si="87"/>
        <v>0</v>
      </c>
      <c r="N211" s="100">
        <f t="shared" si="87"/>
        <v>91682.440557247843</v>
      </c>
      <c r="O211" s="100">
        <f t="shared" si="87"/>
        <v>0</v>
      </c>
      <c r="P211" s="100">
        <f>P209+P210</f>
        <v>0</v>
      </c>
      <c r="Q211" s="100">
        <f t="shared" si="87"/>
        <v>0</v>
      </c>
      <c r="R211" s="100">
        <f t="shared" si="87"/>
        <v>51295.11671075473</v>
      </c>
      <c r="S211" s="100">
        <f t="shared" si="87"/>
        <v>33.701116552038691</v>
      </c>
      <c r="T211" s="100">
        <f t="shared" si="87"/>
        <v>250.87055199791979</v>
      </c>
      <c r="U211" s="100"/>
      <c r="V211" s="102">
        <f>SUM(G211:T211)</f>
        <v>2657195.1449212083</v>
      </c>
      <c r="W211" s="98" t="str">
        <f>IF(ABS(F211-V211)&lt;0.01,"ok","err")</f>
        <v>ok</v>
      </c>
      <c r="X211" s="102" t="str">
        <f>IF(W211="err",V211-F211,"")</f>
        <v/>
      </c>
    </row>
    <row r="212" spans="1:24" ht="12" customHeight="1" x14ac:dyDescent="0.25">
      <c r="F212" s="101"/>
    </row>
    <row r="213" spans="1:24" ht="12" customHeight="1" x14ac:dyDescent="0.25">
      <c r="A213" s="24" t="s">
        <v>134</v>
      </c>
      <c r="F213" s="101"/>
    </row>
    <row r="214" spans="1:24" ht="12" customHeight="1" x14ac:dyDescent="0.25">
      <c r="A214" s="107" t="s">
        <v>412</v>
      </c>
      <c r="C214" s="97" t="s">
        <v>840</v>
      </c>
      <c r="D214" s="97" t="s">
        <v>699</v>
      </c>
      <c r="E214" s="97" t="s">
        <v>413</v>
      </c>
      <c r="F214" s="100">
        <f>VLOOKUP(C214,'Functional Assignment'!$C$1:$AU$771,26,)</f>
        <v>790358.70275707357</v>
      </c>
      <c r="G214" s="100">
        <f t="shared" ref="G214:T214" si="88">IF(VLOOKUP($E214,$D$5:$AJ$945,3,)=0,0,(VLOOKUP($E214,$D$5:$AJ$945,G$1,)/VLOOKUP($E214,$D$5:$AJ$945,3,))*$F214)</f>
        <v>554282.06394605455</v>
      </c>
      <c r="H214" s="100">
        <f t="shared" si="88"/>
        <v>217125.3886826036</v>
      </c>
      <c r="I214" s="100">
        <f t="shared" si="88"/>
        <v>0</v>
      </c>
      <c r="J214" s="100">
        <f t="shared" si="88"/>
        <v>2056.2756907545909</v>
      </c>
      <c r="K214" s="100">
        <f t="shared" si="88"/>
        <v>0</v>
      </c>
      <c r="L214" s="100">
        <f t="shared" si="88"/>
        <v>14751.744689176916</v>
      </c>
      <c r="M214" s="100">
        <f t="shared" si="88"/>
        <v>0</v>
      </c>
      <c r="N214" s="100">
        <f t="shared" si="88"/>
        <v>2143.2297484838878</v>
      </c>
      <c r="O214" s="100">
        <f t="shared" si="88"/>
        <v>0</v>
      </c>
      <c r="P214" s="100">
        <f t="shared" si="88"/>
        <v>0</v>
      </c>
      <c r="Q214" s="100">
        <f t="shared" si="88"/>
        <v>0</v>
      </c>
      <c r="R214" s="100">
        <f t="shared" si="88"/>
        <v>0</v>
      </c>
      <c r="S214" s="100">
        <f t="shared" si="88"/>
        <v>0</v>
      </c>
      <c r="T214" s="100">
        <f t="shared" si="88"/>
        <v>0</v>
      </c>
      <c r="U214" s="100"/>
      <c r="V214" s="102">
        <f>SUM(G214:T214)</f>
        <v>790358.70275707357</v>
      </c>
      <c r="W214" s="98" t="str">
        <f>IF(ABS(F214-V214)&lt;0.01,"ok","err")</f>
        <v>ok</v>
      </c>
      <c r="X214" s="102" t="str">
        <f>IF(W214="err",V214-F214,"")</f>
        <v/>
      </c>
    </row>
    <row r="215" spans="1:24" ht="12" customHeight="1" x14ac:dyDescent="0.25">
      <c r="F215" s="101"/>
    </row>
    <row r="216" spans="1:24" ht="12" customHeight="1" x14ac:dyDescent="0.25">
      <c r="A216" s="24" t="s">
        <v>133</v>
      </c>
      <c r="F216" s="101"/>
    </row>
    <row r="217" spans="1:24" ht="12" customHeight="1" x14ac:dyDescent="0.25">
      <c r="A217" s="107" t="s">
        <v>412</v>
      </c>
      <c r="C217" s="97" t="s">
        <v>840</v>
      </c>
      <c r="D217" s="97" t="s">
        <v>700</v>
      </c>
      <c r="E217" s="97" t="s">
        <v>414</v>
      </c>
      <c r="F217" s="100">
        <f>VLOOKUP(C217,'Functional Assignment'!$C$1:$AU$771,27,)</f>
        <v>17921938.677439213</v>
      </c>
      <c r="G217" s="100">
        <f t="shared" ref="G217:T217" si="89">IF(VLOOKUP($E217,$D$5:$AJ$945,3,)=0,0,(VLOOKUP($E217,$D$5:$AJ$945,G$1,)/VLOOKUP($E217,$D$5:$AJ$945,3,))*$F217)</f>
        <v>11137577.418510895</v>
      </c>
      <c r="H217" s="100">
        <f t="shared" si="89"/>
        <v>4151182.6266227714</v>
      </c>
      <c r="I217" s="100">
        <f t="shared" si="89"/>
        <v>0</v>
      </c>
      <c r="J217" s="100">
        <f t="shared" si="89"/>
        <v>88053.24077402633</v>
      </c>
      <c r="K217" s="100">
        <f t="shared" si="89"/>
        <v>0</v>
      </c>
      <c r="L217" s="100">
        <f t="shared" si="89"/>
        <v>1125176.3783797205</v>
      </c>
      <c r="M217" s="100">
        <f t="shared" si="89"/>
        <v>248077.71766855347</v>
      </c>
      <c r="N217" s="100">
        <f t="shared" si="89"/>
        <v>208667.14136346686</v>
      </c>
      <c r="O217" s="100">
        <f t="shared" si="89"/>
        <v>551197.81295883411</v>
      </c>
      <c r="P217" s="100">
        <f t="shared" si="89"/>
        <v>375923.25913650187</v>
      </c>
      <c r="Q217" s="100">
        <f t="shared" si="89"/>
        <v>15910.723183290036</v>
      </c>
      <c r="R217" s="100">
        <f t="shared" si="89"/>
        <v>0</v>
      </c>
      <c r="S217" s="100">
        <f t="shared" si="89"/>
        <v>103.44799405720423</v>
      </c>
      <c r="T217" s="100">
        <f t="shared" si="89"/>
        <v>20068.910847097621</v>
      </c>
      <c r="U217" s="100"/>
      <c r="V217" s="102">
        <f>SUM(G217:T217)</f>
        <v>17921938.677439213</v>
      </c>
      <c r="W217" s="98" t="str">
        <f>IF(ABS(F217-V217)&lt;0.01,"ok","err")</f>
        <v>ok</v>
      </c>
      <c r="X217" s="102" t="str">
        <f>IF(W217="err",V217-F217,"")</f>
        <v/>
      </c>
    </row>
    <row r="218" spans="1:24" ht="12" customHeight="1" x14ac:dyDescent="0.25">
      <c r="F218" s="101"/>
    </row>
    <row r="219" spans="1:24" ht="12" customHeight="1" x14ac:dyDescent="0.25">
      <c r="A219" s="24" t="s">
        <v>156</v>
      </c>
      <c r="F219" s="101"/>
    </row>
    <row r="220" spans="1:24" ht="12" customHeight="1" x14ac:dyDescent="0.25">
      <c r="A220" s="107" t="s">
        <v>412</v>
      </c>
      <c r="C220" s="97" t="s">
        <v>840</v>
      </c>
      <c r="D220" s="97" t="s">
        <v>701</v>
      </c>
      <c r="E220" s="97" t="s">
        <v>415</v>
      </c>
      <c r="F220" s="100">
        <f>VLOOKUP(C220,'Functional Assignment'!$C$1:$AU$771,28,)</f>
        <v>792592.22267536237</v>
      </c>
      <c r="G220" s="100">
        <f t="shared" ref="G220:T220" si="90">IF(VLOOKUP($E220,$D$5:$AJ$945,3,)=0,0,(VLOOKUP($E220,$D$5:$AJ$945,G$1,)/VLOOKUP($E220,$D$5:$AJ$945,3,))*$F220)</f>
        <v>0</v>
      </c>
      <c r="H220" s="100">
        <f t="shared" si="90"/>
        <v>0</v>
      </c>
      <c r="I220" s="100">
        <f t="shared" si="90"/>
        <v>0</v>
      </c>
      <c r="J220" s="100">
        <f t="shared" si="90"/>
        <v>0</v>
      </c>
      <c r="K220" s="100">
        <f t="shared" si="90"/>
        <v>0</v>
      </c>
      <c r="L220" s="100">
        <f t="shared" si="90"/>
        <v>0</v>
      </c>
      <c r="M220" s="100">
        <f t="shared" si="90"/>
        <v>0</v>
      </c>
      <c r="N220" s="100">
        <f t="shared" si="90"/>
        <v>0</v>
      </c>
      <c r="O220" s="100">
        <f t="shared" si="90"/>
        <v>0</v>
      </c>
      <c r="P220" s="100">
        <f t="shared" si="90"/>
        <v>0</v>
      </c>
      <c r="Q220" s="100">
        <f t="shared" si="90"/>
        <v>0</v>
      </c>
      <c r="R220" s="100">
        <f t="shared" si="90"/>
        <v>792592.22267536237</v>
      </c>
      <c r="S220" s="100">
        <f t="shared" si="90"/>
        <v>0</v>
      </c>
      <c r="T220" s="100">
        <f t="shared" si="90"/>
        <v>0</v>
      </c>
      <c r="U220" s="100"/>
      <c r="V220" s="102">
        <f>SUM(G220:T220)</f>
        <v>792592.22267536237</v>
      </c>
      <c r="W220" s="98" t="str">
        <f>IF(ABS(F220-V220)&lt;0.01,"ok","err")</f>
        <v>ok</v>
      </c>
      <c r="X220" s="102" t="str">
        <f>IF(W220="err",V220-F220,"")</f>
        <v/>
      </c>
    </row>
    <row r="221" spans="1:24" ht="12" customHeight="1" x14ac:dyDescent="0.25">
      <c r="F221" s="101"/>
    </row>
    <row r="222" spans="1:24" ht="12" customHeight="1" x14ac:dyDescent="0.25">
      <c r="A222" s="24" t="s">
        <v>309</v>
      </c>
      <c r="F222" s="101"/>
    </row>
    <row r="223" spans="1:24" ht="12" customHeight="1" x14ac:dyDescent="0.25">
      <c r="A223" s="107" t="s">
        <v>412</v>
      </c>
      <c r="C223" s="97" t="s">
        <v>840</v>
      </c>
      <c r="D223" s="97" t="s">
        <v>702</v>
      </c>
      <c r="E223" s="97" t="s">
        <v>416</v>
      </c>
      <c r="F223" s="100">
        <f>VLOOKUP(C223,'Functional Assignment'!$C$1:$AU$771,30,)</f>
        <v>51233939.006895855</v>
      </c>
      <c r="G223" s="100">
        <f t="shared" ref="G223:T223" si="91">IF(VLOOKUP($E223,$D$5:$AJ$945,3,)=0,0,(VLOOKUP($E223,$D$5:$AJ$945,G$1,)/VLOOKUP($E223,$D$5:$AJ$945,3,))*$F223)</f>
        <v>33007707.002699856</v>
      </c>
      <c r="H223" s="100">
        <f t="shared" si="91"/>
        <v>12773591.871098267</v>
      </c>
      <c r="I223" s="100">
        <f t="shared" si="91"/>
        <v>0</v>
      </c>
      <c r="J223" s="100">
        <f t="shared" si="91"/>
        <v>454508.03319140233</v>
      </c>
      <c r="K223" s="100">
        <f t="shared" si="91"/>
        <v>0</v>
      </c>
      <c r="L223" s="100">
        <f t="shared" si="91"/>
        <v>1725674.2609282332</v>
      </c>
      <c r="M223" s="100">
        <f t="shared" si="91"/>
        <v>66298.389327245022</v>
      </c>
      <c r="N223" s="100">
        <f t="shared" si="91"/>
        <v>1184173.54347507</v>
      </c>
      <c r="O223" s="100">
        <f t="shared" si="91"/>
        <v>530770.34230193263</v>
      </c>
      <c r="P223" s="100">
        <f t="shared" si="91"/>
        <v>45987.322076701748</v>
      </c>
      <c r="Q223" s="100">
        <f t="shared" si="91"/>
        <v>3832.2768397251452</v>
      </c>
      <c r="R223" s="100">
        <f t="shared" si="91"/>
        <v>1434804.4487930946</v>
      </c>
      <c r="S223" s="100">
        <f t="shared" si="91"/>
        <v>0</v>
      </c>
      <c r="T223" s="100">
        <f t="shared" si="91"/>
        <v>6591.5161643272504</v>
      </c>
      <c r="U223" s="100"/>
      <c r="V223" s="102">
        <f>SUM(G223:T223)</f>
        <v>51233939.006895863</v>
      </c>
      <c r="W223" s="98" t="str">
        <f>IF(ABS(F223-V223)&lt;0.01,"ok","err")</f>
        <v>ok</v>
      </c>
      <c r="X223" s="102" t="str">
        <f>IF(W223="err",V223-F223,"")</f>
        <v/>
      </c>
    </row>
    <row r="224" spans="1:24" ht="12" customHeight="1" x14ac:dyDescent="0.25">
      <c r="F224" s="101"/>
    </row>
    <row r="225" spans="1:24" ht="12" customHeight="1" x14ac:dyDescent="0.25">
      <c r="A225" s="24" t="s">
        <v>1700</v>
      </c>
      <c r="F225" s="101"/>
    </row>
    <row r="226" spans="1:24" ht="12" customHeight="1" x14ac:dyDescent="0.25">
      <c r="A226" s="107" t="s">
        <v>412</v>
      </c>
      <c r="C226" s="97" t="s">
        <v>840</v>
      </c>
      <c r="D226" s="97" t="s">
        <v>703</v>
      </c>
      <c r="E226" s="97" t="s">
        <v>416</v>
      </c>
      <c r="F226" s="100">
        <f>VLOOKUP(C226,'Functional Assignment'!$C$1:$AU$771,32,)</f>
        <v>6423986.4669190757</v>
      </c>
      <c r="G226" s="100">
        <f t="shared" ref="G226:T226" si="92">IF(VLOOKUP($E226,$D$5:$AJ$945,3,)=0,0,(VLOOKUP($E226,$D$5:$AJ$945,G$1,)/VLOOKUP($E226,$D$5:$AJ$945,3,))*$F226)</f>
        <v>4138683.5991828409</v>
      </c>
      <c r="H226" s="100">
        <f t="shared" si="92"/>
        <v>1601621.5599358508</v>
      </c>
      <c r="I226" s="100">
        <f t="shared" si="92"/>
        <v>0</v>
      </c>
      <c r="J226" s="100">
        <f t="shared" si="92"/>
        <v>56988.658512760245</v>
      </c>
      <c r="K226" s="100">
        <f t="shared" si="92"/>
        <v>0</v>
      </c>
      <c r="L226" s="100">
        <f t="shared" si="92"/>
        <v>216374.30799574987</v>
      </c>
      <c r="M226" s="100">
        <f t="shared" si="92"/>
        <v>8312.8481641716025</v>
      </c>
      <c r="N226" s="100">
        <f t="shared" si="92"/>
        <v>148478.0394641055</v>
      </c>
      <c r="O226" s="100">
        <f t="shared" si="92"/>
        <v>66550.836458830468</v>
      </c>
      <c r="P226" s="100">
        <f t="shared" si="92"/>
        <v>5766.1374549167194</v>
      </c>
      <c r="Q226" s="100">
        <f t="shared" si="92"/>
        <v>480.51145457639319</v>
      </c>
      <c r="R226" s="100">
        <f t="shared" si="92"/>
        <v>179903.48859340162</v>
      </c>
      <c r="S226" s="100">
        <f t="shared" si="92"/>
        <v>0</v>
      </c>
      <c r="T226" s="100">
        <f t="shared" si="92"/>
        <v>826.4797018713964</v>
      </c>
      <c r="U226" s="100"/>
      <c r="V226" s="102">
        <f>SUM(G226:T226)</f>
        <v>6423986.4669190748</v>
      </c>
      <c r="W226" s="98" t="str">
        <f>IF(ABS(F226-V226)&lt;0.01,"ok","err")</f>
        <v>ok</v>
      </c>
      <c r="X226" s="243" t="str">
        <f>IF(W226="err",V226-F226,"")</f>
        <v/>
      </c>
    </row>
    <row r="227" spans="1:24" ht="12" customHeight="1" x14ac:dyDescent="0.25">
      <c r="F227" s="101"/>
    </row>
    <row r="228" spans="1:24" ht="12" customHeight="1" x14ac:dyDescent="0.25">
      <c r="A228" s="24" t="s">
        <v>1699</v>
      </c>
      <c r="F228" s="101"/>
    </row>
    <row r="229" spans="1:24" ht="12" customHeight="1" x14ac:dyDescent="0.25">
      <c r="A229" s="107" t="s">
        <v>412</v>
      </c>
      <c r="C229" s="97" t="s">
        <v>840</v>
      </c>
      <c r="D229" s="97" t="s">
        <v>704</v>
      </c>
      <c r="E229" s="97" t="s">
        <v>417</v>
      </c>
      <c r="F229" s="100">
        <f>VLOOKUP(C229,'Functional Assignment'!$C$1:$AU$771,34,)</f>
        <v>0</v>
      </c>
      <c r="G229" s="100">
        <f t="shared" ref="G229:T229" si="93">IF(VLOOKUP($E229,$D$5:$AJ$945,3,)=0,0,(VLOOKUP($E229,$D$5:$AJ$945,G$1,)/VLOOKUP($E229,$D$5:$AJ$945,3,))*$F229)</f>
        <v>0</v>
      </c>
      <c r="H229" s="100">
        <f t="shared" si="93"/>
        <v>0</v>
      </c>
      <c r="I229" s="100">
        <f t="shared" si="93"/>
        <v>0</v>
      </c>
      <c r="J229" s="100">
        <f t="shared" si="93"/>
        <v>0</v>
      </c>
      <c r="K229" s="100">
        <f t="shared" si="93"/>
        <v>0</v>
      </c>
      <c r="L229" s="100">
        <f t="shared" si="93"/>
        <v>0</v>
      </c>
      <c r="M229" s="100">
        <f t="shared" si="93"/>
        <v>0</v>
      </c>
      <c r="N229" s="100">
        <f t="shared" si="93"/>
        <v>0</v>
      </c>
      <c r="O229" s="100">
        <f t="shared" si="93"/>
        <v>0</v>
      </c>
      <c r="P229" s="100">
        <f t="shared" si="93"/>
        <v>0</v>
      </c>
      <c r="Q229" s="100">
        <f t="shared" si="93"/>
        <v>0</v>
      </c>
      <c r="R229" s="100">
        <f t="shared" si="93"/>
        <v>0</v>
      </c>
      <c r="S229" s="100">
        <f t="shared" si="93"/>
        <v>0</v>
      </c>
      <c r="T229" s="100">
        <f t="shared" si="93"/>
        <v>0</v>
      </c>
      <c r="U229" s="100"/>
      <c r="V229" s="102">
        <f>SUM(G229:T229)</f>
        <v>0</v>
      </c>
      <c r="W229" s="98" t="str">
        <f>IF(ABS(F229-V229)&lt;0.01,"ok","err")</f>
        <v>ok</v>
      </c>
      <c r="X229" s="102" t="str">
        <f>IF(W229="err",V229-F229,"")</f>
        <v/>
      </c>
    </row>
    <row r="230" spans="1:24" ht="12" customHeight="1" x14ac:dyDescent="0.25">
      <c r="F230" s="101"/>
    </row>
    <row r="231" spans="1:24" ht="12" customHeight="1" x14ac:dyDescent="0.25">
      <c r="A231" s="97" t="s">
        <v>68</v>
      </c>
      <c r="D231" s="97" t="s">
        <v>424</v>
      </c>
      <c r="F231" s="100">
        <f>F186+F192+F195+F198+F206+F211+F214+F217+F220+F223+F226+F229</f>
        <v>933774238.57748592</v>
      </c>
      <c r="G231" s="100">
        <f>G186+G192+G195+G198+G206+G211+G214+G217+G220+G223+G226+G229</f>
        <v>370519405.17287457</v>
      </c>
      <c r="H231" s="100">
        <f t="shared" ref="H231:T231" si="94">H186+H192+H195+H198+H206+H211+H214+H217+H220+H223+H226+H229</f>
        <v>108753033.19473302</v>
      </c>
      <c r="I231" s="100">
        <f>I186+I192+I195+I198+I206+I211+I214+I217+I220+I223+I226+I229</f>
        <v>0</v>
      </c>
      <c r="J231" s="100">
        <f>J186+J192+J195+J198+J206+J211+J214+J217+J220+J223+J226+J229</f>
        <v>7668256.0483589973</v>
      </c>
      <c r="K231" s="100">
        <f>K186+K192+K195+K198+K206+K211+K214+K217+K220+K223+K226+K229</f>
        <v>0</v>
      </c>
      <c r="L231" s="100">
        <f t="shared" si="94"/>
        <v>99088940.765030891</v>
      </c>
      <c r="M231" s="100">
        <f t="shared" si="94"/>
        <v>7651162.2855686005</v>
      </c>
      <c r="N231" s="100">
        <f t="shared" si="94"/>
        <v>75124152.589057371</v>
      </c>
      <c r="O231" s="100">
        <f>O186+O192+O195+O198+O206+O211+O214+O217+O220+O223+O226+O229</f>
        <v>174786954.93278927</v>
      </c>
      <c r="P231" s="100">
        <f>P186+P192+P195+P198+P206+P211+P214+P217+P220+P223+P226+P229</f>
        <v>60688793.139909752</v>
      </c>
      <c r="Q231" s="100">
        <f t="shared" si="94"/>
        <v>21215963.597676735</v>
      </c>
      <c r="R231" s="100">
        <f t="shared" si="94"/>
        <v>8165872.7907812931</v>
      </c>
      <c r="S231" s="100">
        <f t="shared" si="94"/>
        <v>16912.945346934604</v>
      </c>
      <c r="T231" s="100">
        <f t="shared" si="94"/>
        <v>94791.115358423413</v>
      </c>
      <c r="U231" s="100"/>
      <c r="V231" s="102">
        <f>SUM(G231:T231)</f>
        <v>933774238.5774858</v>
      </c>
      <c r="W231" s="98" t="str">
        <f>IF(ABS(F231-V231)&lt;0.01,"ok","err")</f>
        <v>ok</v>
      </c>
      <c r="X231" s="243" t="str">
        <f>IF(W231="err",V231-F231,"")</f>
        <v/>
      </c>
    </row>
    <row r="234" spans="1:24" ht="12" customHeight="1" x14ac:dyDescent="0.25">
      <c r="A234" s="23" t="s">
        <v>841</v>
      </c>
    </row>
    <row r="236" spans="1:24" ht="12" customHeight="1" x14ac:dyDescent="0.25">
      <c r="A236" s="24" t="s">
        <v>149</v>
      </c>
    </row>
    <row r="237" spans="1:24" ht="12" customHeight="1" x14ac:dyDescent="0.25">
      <c r="A237" s="107" t="s">
        <v>139</v>
      </c>
      <c r="C237" s="97" t="s">
        <v>1054</v>
      </c>
      <c r="D237" s="97" t="s">
        <v>705</v>
      </c>
      <c r="E237" s="397" t="s">
        <v>2455</v>
      </c>
      <c r="F237" s="100">
        <f>VLOOKUP(C237,'Functional Assignment'!$C$1:$AU$771,6,)</f>
        <v>18742668.338841524</v>
      </c>
      <c r="G237" s="100">
        <f t="shared" ref="G237:T242" si="95">IF(VLOOKUP($E237,$D$5:$AJ$945,3,)=0,0,(VLOOKUP($E237,$D$5:$AJ$945,G$1,)/VLOOKUP($E237,$D$5:$AJ$945,3,))*$F237)</f>
        <v>7672350.7605446475</v>
      </c>
      <c r="H237" s="100">
        <f t="shared" si="95"/>
        <v>2129589.0881547728</v>
      </c>
      <c r="I237" s="100">
        <f t="shared" si="95"/>
        <v>0</v>
      </c>
      <c r="J237" s="100">
        <f t="shared" si="95"/>
        <v>160358.80414045963</v>
      </c>
      <c r="K237" s="100">
        <f t="shared" si="95"/>
        <v>0</v>
      </c>
      <c r="L237" s="100">
        <f t="shared" si="95"/>
        <v>2140577.1744673522</v>
      </c>
      <c r="M237" s="100">
        <f t="shared" si="95"/>
        <v>157621.23049915055</v>
      </c>
      <c r="N237" s="100">
        <f t="shared" si="95"/>
        <v>1563202.6647581577</v>
      </c>
      <c r="O237" s="100">
        <f t="shared" si="95"/>
        <v>3418837.3854606152</v>
      </c>
      <c r="P237" s="100">
        <f t="shared" si="95"/>
        <v>1188661.8222111214</v>
      </c>
      <c r="Q237" s="100">
        <f t="shared" si="95"/>
        <v>310511.14743252564</v>
      </c>
      <c r="R237" s="100">
        <f t="shared" si="95"/>
        <v>0</v>
      </c>
      <c r="S237" s="100">
        <f t="shared" si="95"/>
        <v>0</v>
      </c>
      <c r="T237" s="100">
        <f t="shared" si="95"/>
        <v>958.26117272062186</v>
      </c>
      <c r="U237" s="100"/>
      <c r="V237" s="102">
        <f t="shared" ref="V237:V243" si="96">SUM(G237:T237)</f>
        <v>18742668.33884152</v>
      </c>
      <c r="W237" s="98" t="str">
        <f t="shared" ref="W237:W243" si="97">IF(ABS(F237-V237)&lt;0.01,"ok","err")</f>
        <v>ok</v>
      </c>
      <c r="X237" s="102" t="str">
        <f t="shared" ref="X237:X243" si="98">IF(W237="err",V237-F237,"")</f>
        <v/>
      </c>
    </row>
    <row r="238" spans="1:24" ht="12" customHeight="1" x14ac:dyDescent="0.25">
      <c r="A238" s="107" t="s">
        <v>143</v>
      </c>
      <c r="C238" s="97" t="s">
        <v>1054</v>
      </c>
      <c r="D238" s="97" t="s">
        <v>706</v>
      </c>
      <c r="E238" s="397" t="s">
        <v>2455</v>
      </c>
      <c r="F238" s="101">
        <f>VLOOKUP(C238,'Functional Assignment'!$C$1:$AU$771,7,)</f>
        <v>17681329.098344762</v>
      </c>
      <c r="G238" s="101">
        <f t="shared" si="95"/>
        <v>7237889.3070414625</v>
      </c>
      <c r="H238" s="101">
        <f t="shared" si="95"/>
        <v>2008997.0558714932</v>
      </c>
      <c r="I238" s="101">
        <f t="shared" si="95"/>
        <v>0</v>
      </c>
      <c r="J238" s="101">
        <f t="shared" si="95"/>
        <v>151278.18187704906</v>
      </c>
      <c r="K238" s="101">
        <f t="shared" si="95"/>
        <v>0</v>
      </c>
      <c r="L238" s="101">
        <f t="shared" si="95"/>
        <v>2019362.9208988922</v>
      </c>
      <c r="M238" s="101">
        <f t="shared" si="95"/>
        <v>148695.62854964321</v>
      </c>
      <c r="N238" s="101">
        <f t="shared" si="95"/>
        <v>1474683.3408837277</v>
      </c>
      <c r="O238" s="101">
        <f t="shared" si="95"/>
        <v>3225239.2163809724</v>
      </c>
      <c r="P238" s="101">
        <f t="shared" si="95"/>
        <v>1121351.5858677393</v>
      </c>
      <c r="Q238" s="101">
        <f t="shared" si="95"/>
        <v>292927.86316243833</v>
      </c>
      <c r="R238" s="101">
        <f t="shared" si="95"/>
        <v>0</v>
      </c>
      <c r="S238" s="101">
        <f t="shared" si="95"/>
        <v>0</v>
      </c>
      <c r="T238" s="101">
        <f t="shared" si="95"/>
        <v>903.99781134292675</v>
      </c>
      <c r="U238" s="101"/>
      <c r="V238" s="101">
        <f t="shared" si="96"/>
        <v>17681329.098344762</v>
      </c>
      <c r="W238" s="98" t="str">
        <f t="shared" si="97"/>
        <v>ok</v>
      </c>
      <c r="X238" s="102" t="str">
        <f t="shared" si="98"/>
        <v/>
      </c>
    </row>
    <row r="239" spans="1:24" ht="12" customHeight="1" x14ac:dyDescent="0.25">
      <c r="A239" s="107" t="s">
        <v>140</v>
      </c>
      <c r="C239" s="97" t="s">
        <v>1054</v>
      </c>
      <c r="D239" s="97" t="s">
        <v>707</v>
      </c>
      <c r="E239" s="397" t="s">
        <v>2455</v>
      </c>
      <c r="F239" s="101">
        <f>VLOOKUP(C239,'Functional Assignment'!$C$1:$AU$771,8,)</f>
        <v>18132161.576938502</v>
      </c>
      <c r="G239" s="101">
        <f t="shared" si="95"/>
        <v>7422438.5317027532</v>
      </c>
      <c r="H239" s="101">
        <f t="shared" si="95"/>
        <v>2060221.7753000152</v>
      </c>
      <c r="I239" s="101">
        <f t="shared" si="95"/>
        <v>0</v>
      </c>
      <c r="J239" s="101">
        <f t="shared" si="95"/>
        <v>155135.42118940197</v>
      </c>
      <c r="K239" s="101">
        <f t="shared" si="95"/>
        <v>0</v>
      </c>
      <c r="L239" s="101">
        <f t="shared" si="95"/>
        <v>2070851.9456065637</v>
      </c>
      <c r="M239" s="101">
        <f t="shared" si="95"/>
        <v>152487.01880103361</v>
      </c>
      <c r="N239" s="101">
        <f t="shared" si="95"/>
        <v>1512284.3120558409</v>
      </c>
      <c r="O239" s="101">
        <f t="shared" si="95"/>
        <v>3307475.2622059942</v>
      </c>
      <c r="P239" s="101">
        <f t="shared" si="95"/>
        <v>1149943.4248646786</v>
      </c>
      <c r="Q239" s="101">
        <f t="shared" si="95"/>
        <v>300396.83757404255</v>
      </c>
      <c r="R239" s="101">
        <f t="shared" si="95"/>
        <v>0</v>
      </c>
      <c r="S239" s="101">
        <f t="shared" si="95"/>
        <v>0</v>
      </c>
      <c r="T239" s="101">
        <f t="shared" si="95"/>
        <v>927.04763817801472</v>
      </c>
      <c r="U239" s="101"/>
      <c r="V239" s="101">
        <f t="shared" si="96"/>
        <v>18132161.576938499</v>
      </c>
      <c r="W239" s="98" t="str">
        <f t="shared" si="97"/>
        <v>ok</v>
      </c>
      <c r="X239" s="102" t="str">
        <f t="shared" si="98"/>
        <v/>
      </c>
    </row>
    <row r="240" spans="1:24" ht="12" customHeight="1" x14ac:dyDescent="0.25">
      <c r="A240" s="107" t="s">
        <v>141</v>
      </c>
      <c r="C240" s="97" t="s">
        <v>1054</v>
      </c>
      <c r="D240" s="97" t="s">
        <v>1702</v>
      </c>
      <c r="E240" s="97" t="s">
        <v>410</v>
      </c>
      <c r="F240" s="101">
        <f>VLOOKUP(C240,'Functional Assignment'!$C$1:$AU$771,9,)</f>
        <v>38818636.930293135</v>
      </c>
      <c r="G240" s="101">
        <f t="shared" si="95"/>
        <v>13040849.56225881</v>
      </c>
      <c r="H240" s="101">
        <f t="shared" si="95"/>
        <v>3863429.5695431032</v>
      </c>
      <c r="I240" s="101">
        <f t="shared" si="95"/>
        <v>0</v>
      </c>
      <c r="J240" s="101">
        <f t="shared" si="95"/>
        <v>325101.16130305233</v>
      </c>
      <c r="K240" s="101">
        <f t="shared" si="95"/>
        <v>0</v>
      </c>
      <c r="L240" s="101">
        <f t="shared" si="95"/>
        <v>4595388.185622382</v>
      </c>
      <c r="M240" s="101">
        <f t="shared" si="95"/>
        <v>354624.2534711312</v>
      </c>
      <c r="N240" s="101">
        <f t="shared" si="95"/>
        <v>3577525.5069692903</v>
      </c>
      <c r="O240" s="101">
        <f t="shared" si="95"/>
        <v>8599638.1466749273</v>
      </c>
      <c r="P240" s="101">
        <f t="shared" si="95"/>
        <v>3062620.7524580299</v>
      </c>
      <c r="Q240" s="101">
        <f t="shared" si="95"/>
        <v>1130640.8251964052</v>
      </c>
      <c r="R240" s="101">
        <f t="shared" si="95"/>
        <v>264674.73050564423</v>
      </c>
      <c r="S240" s="101">
        <f t="shared" si="95"/>
        <v>956.33188164479918</v>
      </c>
      <c r="T240" s="101">
        <f t="shared" si="95"/>
        <v>3187.904408707373</v>
      </c>
      <c r="U240" s="101"/>
      <c r="V240" s="101">
        <f t="shared" si="96"/>
        <v>38818636.930293128</v>
      </c>
      <c r="W240" s="98" t="str">
        <f t="shared" si="97"/>
        <v>ok</v>
      </c>
      <c r="X240" s="102" t="str">
        <f t="shared" si="98"/>
        <v/>
      </c>
    </row>
    <row r="241" spans="1:24" ht="12" customHeight="1" x14ac:dyDescent="0.25">
      <c r="A241" s="107" t="s">
        <v>144</v>
      </c>
      <c r="C241" s="97" t="s">
        <v>1054</v>
      </c>
      <c r="D241" s="97" t="s">
        <v>1703</v>
      </c>
      <c r="E241" s="97" t="s">
        <v>410</v>
      </c>
      <c r="F241" s="101">
        <f>VLOOKUP(C241,'Functional Assignment'!$C$1:$AU$771,10,)</f>
        <v>0</v>
      </c>
      <c r="G241" s="101">
        <f t="shared" si="95"/>
        <v>0</v>
      </c>
      <c r="H241" s="101">
        <f t="shared" si="95"/>
        <v>0</v>
      </c>
      <c r="I241" s="101">
        <f t="shared" si="95"/>
        <v>0</v>
      </c>
      <c r="J241" s="101">
        <f t="shared" si="95"/>
        <v>0</v>
      </c>
      <c r="K241" s="101">
        <f t="shared" si="95"/>
        <v>0</v>
      </c>
      <c r="L241" s="101">
        <f t="shared" si="95"/>
        <v>0</v>
      </c>
      <c r="M241" s="101">
        <f t="shared" si="95"/>
        <v>0</v>
      </c>
      <c r="N241" s="101">
        <f t="shared" si="95"/>
        <v>0</v>
      </c>
      <c r="O241" s="101">
        <f t="shared" si="95"/>
        <v>0</v>
      </c>
      <c r="P241" s="101">
        <f t="shared" si="95"/>
        <v>0</v>
      </c>
      <c r="Q241" s="101">
        <f t="shared" si="95"/>
        <v>0</v>
      </c>
      <c r="R241" s="101">
        <f t="shared" si="95"/>
        <v>0</v>
      </c>
      <c r="S241" s="101">
        <f t="shared" si="95"/>
        <v>0</v>
      </c>
      <c r="T241" s="101">
        <f t="shared" si="95"/>
        <v>0</v>
      </c>
      <c r="U241" s="101"/>
      <c r="V241" s="101">
        <f t="shared" si="96"/>
        <v>0</v>
      </c>
      <c r="W241" s="98" t="str">
        <f t="shared" si="97"/>
        <v>ok</v>
      </c>
      <c r="X241" s="102" t="str">
        <f t="shared" si="98"/>
        <v/>
      </c>
    </row>
    <row r="242" spans="1:24" ht="12" customHeight="1" x14ac:dyDescent="0.25">
      <c r="A242" s="107" t="s">
        <v>142</v>
      </c>
      <c r="C242" s="97" t="s">
        <v>1054</v>
      </c>
      <c r="D242" s="97" t="s">
        <v>1704</v>
      </c>
      <c r="E242" s="97" t="s">
        <v>410</v>
      </c>
      <c r="F242" s="101">
        <f>VLOOKUP(C242,'Functional Assignment'!$C$1:$AU$771,11,)</f>
        <v>0</v>
      </c>
      <c r="G242" s="101">
        <f t="shared" si="95"/>
        <v>0</v>
      </c>
      <c r="H242" s="101">
        <f t="shared" si="95"/>
        <v>0</v>
      </c>
      <c r="I242" s="101">
        <f t="shared" si="95"/>
        <v>0</v>
      </c>
      <c r="J242" s="101">
        <f t="shared" si="95"/>
        <v>0</v>
      </c>
      <c r="K242" s="101">
        <f t="shared" si="95"/>
        <v>0</v>
      </c>
      <c r="L242" s="101">
        <f t="shared" si="95"/>
        <v>0</v>
      </c>
      <c r="M242" s="101">
        <f t="shared" si="95"/>
        <v>0</v>
      </c>
      <c r="N242" s="101">
        <f t="shared" si="95"/>
        <v>0</v>
      </c>
      <c r="O242" s="101">
        <f t="shared" si="95"/>
        <v>0</v>
      </c>
      <c r="P242" s="101">
        <f t="shared" si="95"/>
        <v>0</v>
      </c>
      <c r="Q242" s="101">
        <f t="shared" si="95"/>
        <v>0</v>
      </c>
      <c r="R242" s="101">
        <f t="shared" si="95"/>
        <v>0</v>
      </c>
      <c r="S242" s="101">
        <f t="shared" si="95"/>
        <v>0</v>
      </c>
      <c r="T242" s="101">
        <f t="shared" si="95"/>
        <v>0</v>
      </c>
      <c r="U242" s="101"/>
      <c r="V242" s="101">
        <f t="shared" si="96"/>
        <v>0</v>
      </c>
      <c r="W242" s="98" t="str">
        <f t="shared" si="97"/>
        <v>ok</v>
      </c>
      <c r="X242" s="102" t="str">
        <f t="shared" si="98"/>
        <v/>
      </c>
    </row>
    <row r="243" spans="1:24" ht="12" customHeight="1" x14ac:dyDescent="0.25">
      <c r="A243" s="97" t="s">
        <v>172</v>
      </c>
      <c r="D243" s="97" t="s">
        <v>425</v>
      </c>
      <c r="F243" s="100">
        <f t="shared" ref="F243:T243" si="99">SUM(F237:F242)</f>
        <v>93374795.944417924</v>
      </c>
      <c r="G243" s="100">
        <f t="shared" si="99"/>
        <v>35373528.161547676</v>
      </c>
      <c r="H243" s="100">
        <f t="shared" si="99"/>
        <v>10062237.488869384</v>
      </c>
      <c r="I243" s="100">
        <f>SUM(I237:I242)</f>
        <v>0</v>
      </c>
      <c r="J243" s="100">
        <f>SUM(J237:J242)</f>
        <v>791873.56850996299</v>
      </c>
      <c r="K243" s="100">
        <f>SUM(K237:K242)</f>
        <v>0</v>
      </c>
      <c r="L243" s="100">
        <f t="shared" si="99"/>
        <v>10826180.226595189</v>
      </c>
      <c r="M243" s="100">
        <f t="shared" si="99"/>
        <v>813428.13132095861</v>
      </c>
      <c r="N243" s="100">
        <f t="shared" si="99"/>
        <v>8127695.824667016</v>
      </c>
      <c r="O243" s="100">
        <f t="shared" si="99"/>
        <v>18551190.010722511</v>
      </c>
      <c r="P243" s="100">
        <f>SUM(P237:P242)</f>
        <v>6522577.5854015686</v>
      </c>
      <c r="Q243" s="100">
        <f t="shared" si="99"/>
        <v>2034476.6733654118</v>
      </c>
      <c r="R243" s="100">
        <f t="shared" si="99"/>
        <v>264674.73050564423</v>
      </c>
      <c r="S243" s="100">
        <f t="shared" si="99"/>
        <v>956.33188164479918</v>
      </c>
      <c r="T243" s="100">
        <f t="shared" si="99"/>
        <v>5977.2110309489362</v>
      </c>
      <c r="U243" s="100"/>
      <c r="V243" s="102">
        <f t="shared" si="96"/>
        <v>93374795.944417909</v>
      </c>
      <c r="W243" s="98" t="str">
        <f t="shared" si="97"/>
        <v>ok</v>
      </c>
      <c r="X243" s="102" t="str">
        <f t="shared" si="98"/>
        <v/>
      </c>
    </row>
    <row r="244" spans="1:24" ht="12" customHeight="1" x14ac:dyDescent="0.25">
      <c r="F244" s="101"/>
      <c r="G244" s="101"/>
    </row>
    <row r="245" spans="1:24" ht="12" customHeight="1" x14ac:dyDescent="0.25">
      <c r="A245" s="24" t="s">
        <v>461</v>
      </c>
      <c r="F245" s="101"/>
      <c r="G245" s="101"/>
    </row>
    <row r="246" spans="1:24" ht="12" customHeight="1" x14ac:dyDescent="0.25">
      <c r="A246" s="107" t="s">
        <v>2424</v>
      </c>
      <c r="C246" s="97" t="s">
        <v>1054</v>
      </c>
      <c r="D246" s="97" t="s">
        <v>1705</v>
      </c>
      <c r="E246" s="397" t="s">
        <v>2455</v>
      </c>
      <c r="F246" s="100">
        <f>VLOOKUP(C246,'Functional Assignment'!$C$1:$AU$771,13,)</f>
        <v>11565291.387347333</v>
      </c>
      <c r="G246" s="100">
        <f t="shared" ref="G246:T248" si="100">IF(VLOOKUP($E246,$D$5:$AJ$945,3,)=0,0,(VLOOKUP($E246,$D$5:$AJ$945,G$1,)/VLOOKUP($E246,$D$5:$AJ$945,3,))*$F246)</f>
        <v>4734276.3883703938</v>
      </c>
      <c r="H246" s="100">
        <f t="shared" si="100"/>
        <v>1314077.477900224</v>
      </c>
      <c r="I246" s="100">
        <f t="shared" si="100"/>
        <v>0</v>
      </c>
      <c r="J246" s="100">
        <f t="shared" si="100"/>
        <v>98950.494288349946</v>
      </c>
      <c r="K246" s="100">
        <f t="shared" si="100"/>
        <v>0</v>
      </c>
      <c r="L246" s="100">
        <f t="shared" si="100"/>
        <v>1320857.7515355928</v>
      </c>
      <c r="M246" s="100">
        <f t="shared" si="100"/>
        <v>97261.255793399454</v>
      </c>
      <c r="N246" s="100">
        <f t="shared" si="100"/>
        <v>964584.87065792945</v>
      </c>
      <c r="O246" s="100">
        <f t="shared" si="100"/>
        <v>2109616.9368193955</v>
      </c>
      <c r="P246" s="100">
        <f t="shared" si="100"/>
        <v>733471.88811945752</v>
      </c>
      <c r="Q246" s="100">
        <f t="shared" si="100"/>
        <v>191603.02226735631</v>
      </c>
      <c r="R246" s="100">
        <f t="shared" si="100"/>
        <v>0</v>
      </c>
      <c r="S246" s="100">
        <f t="shared" si="100"/>
        <v>0</v>
      </c>
      <c r="T246" s="100">
        <f t="shared" si="100"/>
        <v>591.30159523380712</v>
      </c>
      <c r="U246" s="100"/>
      <c r="V246" s="102">
        <f>SUM(G246:T246)</f>
        <v>11565291.387347331</v>
      </c>
      <c r="W246" s="98" t="str">
        <f>IF(ABS(F246-V246)&lt;0.01,"ok","err")</f>
        <v>ok</v>
      </c>
      <c r="X246" s="102" t="str">
        <f>IF(W246="err",V246-F246,"")</f>
        <v/>
      </c>
    </row>
    <row r="247" spans="1:24" ht="12" hidden="1" customHeight="1" x14ac:dyDescent="0.25">
      <c r="A247" s="107" t="s">
        <v>2423</v>
      </c>
      <c r="C247" s="97" t="s">
        <v>1054</v>
      </c>
      <c r="D247" s="97" t="s">
        <v>1706</v>
      </c>
      <c r="E247" s="97" t="s">
        <v>55</v>
      </c>
      <c r="F247" s="101">
        <f>VLOOKUP(C247,'Functional Assignment'!$C$1:$AU$771,14,)</f>
        <v>0</v>
      </c>
      <c r="G247" s="101">
        <f t="shared" si="100"/>
        <v>0</v>
      </c>
      <c r="H247" s="101">
        <f t="shared" si="100"/>
        <v>0</v>
      </c>
      <c r="I247" s="101">
        <f t="shared" si="100"/>
        <v>0</v>
      </c>
      <c r="J247" s="101">
        <f t="shared" si="100"/>
        <v>0</v>
      </c>
      <c r="K247" s="101">
        <f t="shared" si="100"/>
        <v>0</v>
      </c>
      <c r="L247" s="101">
        <f t="shared" si="100"/>
        <v>0</v>
      </c>
      <c r="M247" s="101">
        <f t="shared" si="100"/>
        <v>0</v>
      </c>
      <c r="N247" s="101">
        <f t="shared" si="100"/>
        <v>0</v>
      </c>
      <c r="O247" s="101">
        <f t="shared" si="100"/>
        <v>0</v>
      </c>
      <c r="P247" s="101">
        <f t="shared" si="100"/>
        <v>0</v>
      </c>
      <c r="Q247" s="101">
        <f t="shared" si="100"/>
        <v>0</v>
      </c>
      <c r="R247" s="101">
        <f t="shared" si="100"/>
        <v>0</v>
      </c>
      <c r="S247" s="101">
        <f t="shared" si="100"/>
        <v>0</v>
      </c>
      <c r="T247" s="101">
        <f t="shared" si="100"/>
        <v>0</v>
      </c>
      <c r="U247" s="101"/>
      <c r="V247" s="101">
        <f>SUM(G247:T247)</f>
        <v>0</v>
      </c>
      <c r="W247" s="98" t="str">
        <f>IF(ABS(F247-V247)&lt;0.01,"ok","err")</f>
        <v>ok</v>
      </c>
      <c r="X247" s="102" t="str">
        <f>IF(W247="err",V247-F247,"")</f>
        <v/>
      </c>
    </row>
    <row r="248" spans="1:24" ht="12" hidden="1" customHeight="1" x14ac:dyDescent="0.25">
      <c r="A248" s="107" t="s">
        <v>2423</v>
      </c>
      <c r="C248" s="97" t="s">
        <v>1054</v>
      </c>
      <c r="D248" s="97" t="s">
        <v>1707</v>
      </c>
      <c r="E248" s="97" t="s">
        <v>58</v>
      </c>
      <c r="F248" s="101">
        <f>VLOOKUP(C248,'Functional Assignment'!$C$1:$AU$771,15,)</f>
        <v>0</v>
      </c>
      <c r="G248" s="101">
        <f t="shared" si="100"/>
        <v>0</v>
      </c>
      <c r="H248" s="101">
        <f t="shared" si="100"/>
        <v>0</v>
      </c>
      <c r="I248" s="101">
        <f t="shared" si="100"/>
        <v>0</v>
      </c>
      <c r="J248" s="101">
        <f t="shared" si="100"/>
        <v>0</v>
      </c>
      <c r="K248" s="101">
        <f t="shared" si="100"/>
        <v>0</v>
      </c>
      <c r="L248" s="101">
        <f t="shared" si="100"/>
        <v>0</v>
      </c>
      <c r="M248" s="101">
        <f t="shared" si="100"/>
        <v>0</v>
      </c>
      <c r="N248" s="101">
        <f t="shared" si="100"/>
        <v>0</v>
      </c>
      <c r="O248" s="101">
        <f t="shared" si="100"/>
        <v>0</v>
      </c>
      <c r="P248" s="101">
        <f t="shared" si="100"/>
        <v>0</v>
      </c>
      <c r="Q248" s="101">
        <f t="shared" si="100"/>
        <v>0</v>
      </c>
      <c r="R248" s="101">
        <f t="shared" si="100"/>
        <v>0</v>
      </c>
      <c r="S248" s="101">
        <f t="shared" si="100"/>
        <v>0</v>
      </c>
      <c r="T248" s="101">
        <f t="shared" si="100"/>
        <v>0</v>
      </c>
      <c r="U248" s="101"/>
      <c r="V248" s="101">
        <f>SUM(G248:T248)</f>
        <v>0</v>
      </c>
      <c r="W248" s="98" t="str">
        <f>IF(ABS(F248-V248)&lt;0.01,"ok","err")</f>
        <v>ok</v>
      </c>
      <c r="X248" s="102" t="str">
        <f>IF(W248="err",V248-F248,"")</f>
        <v/>
      </c>
    </row>
    <row r="249" spans="1:24" ht="12" hidden="1" customHeight="1" x14ac:dyDescent="0.25">
      <c r="A249" s="97" t="s">
        <v>463</v>
      </c>
      <c r="D249" s="97" t="s">
        <v>1708</v>
      </c>
      <c r="F249" s="100">
        <f t="shared" ref="F249:T249" si="101">SUM(F246:F248)</f>
        <v>11565291.387347333</v>
      </c>
      <c r="G249" s="100">
        <f t="shared" si="101"/>
        <v>4734276.3883703938</v>
      </c>
      <c r="H249" s="100">
        <f t="shared" si="101"/>
        <v>1314077.477900224</v>
      </c>
      <c r="I249" s="100">
        <f>SUM(I246:I248)</f>
        <v>0</v>
      </c>
      <c r="J249" s="100">
        <f>SUM(J246:J248)</f>
        <v>98950.494288349946</v>
      </c>
      <c r="K249" s="100">
        <f>SUM(K246:K248)</f>
        <v>0</v>
      </c>
      <c r="L249" s="100">
        <f t="shared" si="101"/>
        <v>1320857.7515355928</v>
      </c>
      <c r="M249" s="100">
        <f t="shared" si="101"/>
        <v>97261.255793399454</v>
      </c>
      <c r="N249" s="100">
        <f t="shared" si="101"/>
        <v>964584.87065792945</v>
      </c>
      <c r="O249" s="100">
        <f t="shared" si="101"/>
        <v>2109616.9368193955</v>
      </c>
      <c r="P249" s="100">
        <f>SUM(P246:P248)</f>
        <v>733471.88811945752</v>
      </c>
      <c r="Q249" s="100">
        <f t="shared" si="101"/>
        <v>191603.02226735631</v>
      </c>
      <c r="R249" s="100">
        <f t="shared" si="101"/>
        <v>0</v>
      </c>
      <c r="S249" s="100">
        <f t="shared" si="101"/>
        <v>0</v>
      </c>
      <c r="T249" s="100">
        <f t="shared" si="101"/>
        <v>591.30159523380712</v>
      </c>
      <c r="U249" s="100"/>
      <c r="V249" s="102">
        <f>SUM(G249:T249)</f>
        <v>11565291.387347331</v>
      </c>
      <c r="W249" s="98" t="str">
        <f>IF(ABS(F249-V249)&lt;0.01,"ok","err")</f>
        <v>ok</v>
      </c>
      <c r="X249" s="102" t="str">
        <f>IF(W249="err",V249-F249,"")</f>
        <v/>
      </c>
    </row>
    <row r="250" spans="1:24" ht="12" customHeight="1" x14ac:dyDescent="0.25">
      <c r="F250" s="101"/>
      <c r="G250" s="101"/>
    </row>
    <row r="251" spans="1:24" ht="12" customHeight="1" x14ac:dyDescent="0.25">
      <c r="A251" s="24" t="s">
        <v>1697</v>
      </c>
      <c r="F251" s="101"/>
      <c r="G251" s="101"/>
    </row>
    <row r="252" spans="1:24" ht="12" customHeight="1" x14ac:dyDescent="0.25">
      <c r="A252" s="107" t="s">
        <v>157</v>
      </c>
      <c r="C252" s="97" t="s">
        <v>1054</v>
      </c>
      <c r="D252" s="97" t="s">
        <v>1709</v>
      </c>
      <c r="E252" s="97" t="s">
        <v>2429</v>
      </c>
      <c r="F252" s="100">
        <f>VLOOKUP(C252,'Functional Assignment'!$C$1:$AU$771,17,)</f>
        <v>0</v>
      </c>
      <c r="G252" s="100">
        <f t="shared" ref="G252:T252" si="102">IF(VLOOKUP($E252,$D$5:$AJ$945,3,)=0,0,(VLOOKUP($E252,$D$5:$AJ$945,G$1,)/VLOOKUP($E252,$D$5:$AJ$945,3,))*$F252)</f>
        <v>0</v>
      </c>
      <c r="H252" s="100">
        <f t="shared" si="102"/>
        <v>0</v>
      </c>
      <c r="I252" s="100">
        <f t="shared" si="102"/>
        <v>0</v>
      </c>
      <c r="J252" s="100">
        <f t="shared" si="102"/>
        <v>0</v>
      </c>
      <c r="K252" s="100">
        <f t="shared" si="102"/>
        <v>0</v>
      </c>
      <c r="L252" s="100">
        <f t="shared" si="102"/>
        <v>0</v>
      </c>
      <c r="M252" s="100">
        <f t="shared" si="102"/>
        <v>0</v>
      </c>
      <c r="N252" s="100">
        <f t="shared" si="102"/>
        <v>0</v>
      </c>
      <c r="O252" s="100">
        <f t="shared" si="102"/>
        <v>0</v>
      </c>
      <c r="P252" s="100">
        <f t="shared" si="102"/>
        <v>0</v>
      </c>
      <c r="Q252" s="100">
        <f t="shared" si="102"/>
        <v>0</v>
      </c>
      <c r="R252" s="100">
        <f t="shared" si="102"/>
        <v>0</v>
      </c>
      <c r="S252" s="100">
        <f t="shared" si="102"/>
        <v>0</v>
      </c>
      <c r="T252" s="100">
        <f t="shared" si="102"/>
        <v>0</v>
      </c>
      <c r="U252" s="100"/>
      <c r="V252" s="102">
        <f>SUM(G252:T252)</f>
        <v>0</v>
      </c>
      <c r="W252" s="98" t="str">
        <f>IF(ABS(F252-V252)&lt;0.01,"ok","err")</f>
        <v>ok</v>
      </c>
      <c r="X252" s="102" t="str">
        <f>IF(W252="err",V252-F252,"")</f>
        <v/>
      </c>
    </row>
    <row r="253" spans="1:24" ht="12" customHeight="1" x14ac:dyDescent="0.25">
      <c r="F253" s="101"/>
    </row>
    <row r="254" spans="1:24" ht="12" customHeight="1" x14ac:dyDescent="0.25">
      <c r="A254" s="24" t="s">
        <v>1698</v>
      </c>
      <c r="F254" s="101"/>
      <c r="G254" s="101"/>
    </row>
    <row r="255" spans="1:24" ht="12" customHeight="1" x14ac:dyDescent="0.25">
      <c r="A255" s="107" t="s">
        <v>159</v>
      </c>
      <c r="C255" s="97" t="s">
        <v>1054</v>
      </c>
      <c r="D255" s="97" t="s">
        <v>1710</v>
      </c>
      <c r="E255" s="97" t="s">
        <v>2429</v>
      </c>
      <c r="F255" s="100">
        <f>VLOOKUP(C255,'Functional Assignment'!$C$1:$AU$771,18,)</f>
        <v>4046690.3513230029</v>
      </c>
      <c r="G255" s="100">
        <f t="shared" ref="G255:T255" si="103">IF(VLOOKUP($E255,$D$5:$AJ$945,3,)=0,0,(VLOOKUP($E255,$D$5:$AJ$945,G$1,)/VLOOKUP($E255,$D$5:$AJ$945,3,))*$F255)</f>
        <v>1964909.1662670851</v>
      </c>
      <c r="H255" s="100">
        <f t="shared" si="103"/>
        <v>478706.8553283505</v>
      </c>
      <c r="I255" s="100">
        <f t="shared" si="103"/>
        <v>0</v>
      </c>
      <c r="J255" s="100">
        <f t="shared" si="103"/>
        <v>50133.683967452351</v>
      </c>
      <c r="K255" s="100">
        <f t="shared" si="103"/>
        <v>0</v>
      </c>
      <c r="L255" s="100">
        <f t="shared" si="103"/>
        <v>447352.82804428</v>
      </c>
      <c r="M255" s="100">
        <f t="shared" si="103"/>
        <v>34581.148258107787</v>
      </c>
      <c r="N255" s="100">
        <f t="shared" si="103"/>
        <v>314881.70631960966</v>
      </c>
      <c r="O255" s="100">
        <f t="shared" si="103"/>
        <v>720265.89736192406</v>
      </c>
      <c r="P255" s="100">
        <f t="shared" si="103"/>
        <v>0</v>
      </c>
      <c r="Q255" s="100">
        <f t="shared" si="103"/>
        <v>0</v>
      </c>
      <c r="R255" s="100">
        <f t="shared" si="103"/>
        <v>35480.286577964216</v>
      </c>
      <c r="S255" s="100">
        <f t="shared" si="103"/>
        <v>148.61452726074589</v>
      </c>
      <c r="T255" s="100">
        <f t="shared" si="103"/>
        <v>230.16467096818306</v>
      </c>
      <c r="U255" s="100"/>
      <c r="V255" s="102">
        <f>SUM(G255:T255)</f>
        <v>4046690.3513230025</v>
      </c>
      <c r="W255" s="98" t="str">
        <f>IF(ABS(F255-V255)&lt;0.01,"ok","err")</f>
        <v>ok</v>
      </c>
      <c r="X255" s="102" t="str">
        <f>IF(W255="err",V255-F255,"")</f>
        <v/>
      </c>
    </row>
    <row r="256" spans="1:24" ht="12" customHeight="1" x14ac:dyDescent="0.25">
      <c r="F256" s="101"/>
    </row>
    <row r="257" spans="1:24" ht="12" customHeight="1" x14ac:dyDescent="0.25">
      <c r="A257" s="24" t="s">
        <v>158</v>
      </c>
      <c r="F257" s="101"/>
    </row>
    <row r="258" spans="1:24" ht="12" customHeight="1" x14ac:dyDescent="0.25">
      <c r="A258" s="107" t="s">
        <v>820</v>
      </c>
      <c r="C258" s="97" t="s">
        <v>1054</v>
      </c>
      <c r="D258" s="97" t="s">
        <v>1711</v>
      </c>
      <c r="E258" s="97" t="s">
        <v>2429</v>
      </c>
      <c r="F258" s="100">
        <f>VLOOKUP(C258,'Functional Assignment'!$C$1:$AU$771,19,)</f>
        <v>0</v>
      </c>
      <c r="G258" s="100">
        <f t="shared" ref="G258:T262" si="104">IF(VLOOKUP($E258,$D$5:$AJ$945,3,)=0,0,(VLOOKUP($E258,$D$5:$AJ$945,G$1,)/VLOOKUP($E258,$D$5:$AJ$945,3,))*$F258)</f>
        <v>0</v>
      </c>
      <c r="H258" s="100">
        <f t="shared" si="104"/>
        <v>0</v>
      </c>
      <c r="I258" s="100">
        <f t="shared" si="104"/>
        <v>0</v>
      </c>
      <c r="J258" s="100">
        <f t="shared" si="104"/>
        <v>0</v>
      </c>
      <c r="K258" s="100">
        <f t="shared" si="104"/>
        <v>0</v>
      </c>
      <c r="L258" s="100">
        <f t="shared" si="104"/>
        <v>0</v>
      </c>
      <c r="M258" s="100">
        <f t="shared" si="104"/>
        <v>0</v>
      </c>
      <c r="N258" s="100">
        <f t="shared" si="104"/>
        <v>0</v>
      </c>
      <c r="O258" s="100">
        <f t="shared" si="104"/>
        <v>0</v>
      </c>
      <c r="P258" s="100">
        <f t="shared" si="104"/>
        <v>0</v>
      </c>
      <c r="Q258" s="100">
        <f t="shared" si="104"/>
        <v>0</v>
      </c>
      <c r="R258" s="100">
        <f t="shared" si="104"/>
        <v>0</v>
      </c>
      <c r="S258" s="100">
        <f t="shared" si="104"/>
        <v>0</v>
      </c>
      <c r="T258" s="100">
        <f t="shared" si="104"/>
        <v>0</v>
      </c>
      <c r="U258" s="100"/>
      <c r="V258" s="102">
        <f t="shared" ref="V258:V263" si="105">SUM(G258:T258)</f>
        <v>0</v>
      </c>
      <c r="W258" s="98" t="str">
        <f t="shared" ref="W258:W263" si="106">IF(ABS(F258-V258)&lt;0.01,"ok","err")</f>
        <v>ok</v>
      </c>
      <c r="X258" s="102" t="str">
        <f t="shared" ref="X258:X263" si="107">IF(W258="err",V258-F258,"")</f>
        <v/>
      </c>
    </row>
    <row r="259" spans="1:24" ht="12" customHeight="1" x14ac:dyDescent="0.25">
      <c r="A259" s="107" t="s">
        <v>821</v>
      </c>
      <c r="C259" s="97" t="s">
        <v>1054</v>
      </c>
      <c r="D259" s="97" t="s">
        <v>1712</v>
      </c>
      <c r="E259" s="97" t="s">
        <v>2429</v>
      </c>
      <c r="F259" s="101">
        <f>VLOOKUP(C259,'Functional Assignment'!$C$1:$AU$771,20,)</f>
        <v>4830954.0465032104</v>
      </c>
      <c r="G259" s="101">
        <f t="shared" si="104"/>
        <v>2345715.897112275</v>
      </c>
      <c r="H259" s="101">
        <f t="shared" si="104"/>
        <v>571482.0307615702</v>
      </c>
      <c r="I259" s="101">
        <f t="shared" si="104"/>
        <v>0</v>
      </c>
      <c r="J259" s="101">
        <f t="shared" si="104"/>
        <v>59849.779054504535</v>
      </c>
      <c r="K259" s="101">
        <f t="shared" si="104"/>
        <v>0</v>
      </c>
      <c r="L259" s="101">
        <f t="shared" si="104"/>
        <v>534051.47595457057</v>
      </c>
      <c r="M259" s="101">
        <f t="shared" si="104"/>
        <v>41283.103871690008</v>
      </c>
      <c r="N259" s="101">
        <f t="shared" si="104"/>
        <v>375906.95636428613</v>
      </c>
      <c r="O259" s="101">
        <f t="shared" si="104"/>
        <v>859856.11680944683</v>
      </c>
      <c r="P259" s="101">
        <f t="shared" si="104"/>
        <v>0</v>
      </c>
      <c r="Q259" s="101">
        <f t="shared" si="104"/>
        <v>0</v>
      </c>
      <c r="R259" s="101">
        <f t="shared" si="104"/>
        <v>42356.498554151047</v>
      </c>
      <c r="S259" s="101">
        <f t="shared" si="104"/>
        <v>177.41657737779204</v>
      </c>
      <c r="T259" s="101">
        <f t="shared" si="104"/>
        <v>274.7714433382086</v>
      </c>
      <c r="U259" s="101"/>
      <c r="V259" s="101">
        <f t="shared" si="105"/>
        <v>4830954.0465032104</v>
      </c>
      <c r="W259" s="98" t="str">
        <f t="shared" si="106"/>
        <v>ok</v>
      </c>
      <c r="X259" s="102" t="str">
        <f t="shared" si="107"/>
        <v/>
      </c>
    </row>
    <row r="260" spans="1:24" ht="12" customHeight="1" x14ac:dyDescent="0.25">
      <c r="A260" s="107" t="s">
        <v>822</v>
      </c>
      <c r="C260" s="97" t="s">
        <v>1054</v>
      </c>
      <c r="D260" s="97" t="s">
        <v>1713</v>
      </c>
      <c r="E260" s="97" t="s">
        <v>941</v>
      </c>
      <c r="F260" s="101">
        <f>VLOOKUP(C260,'Functional Assignment'!$C$1:$AU$771,21,)</f>
        <v>7668802.5696673645</v>
      </c>
      <c r="G260" s="101">
        <f t="shared" si="104"/>
        <v>6127795.3609610042</v>
      </c>
      <c r="H260" s="101">
        <f t="shared" si="104"/>
        <v>1185692.1325089736</v>
      </c>
      <c r="I260" s="101">
        <f t="shared" si="104"/>
        <v>0</v>
      </c>
      <c r="J260" s="101">
        <f t="shared" si="104"/>
        <v>8437.8239817809099</v>
      </c>
      <c r="K260" s="101">
        <f t="shared" si="104"/>
        <v>0</v>
      </c>
      <c r="L260" s="101">
        <f t="shared" si="104"/>
        <v>64073.391888633116</v>
      </c>
      <c r="M260" s="101">
        <f t="shared" si="104"/>
        <v>2461.6248715819515</v>
      </c>
      <c r="N260" s="101">
        <f t="shared" si="104"/>
        <v>8793.5501192927513</v>
      </c>
      <c r="O260" s="101">
        <f t="shared" si="104"/>
        <v>3941.4456036312172</v>
      </c>
      <c r="P260" s="101">
        <f t="shared" si="104"/>
        <v>0</v>
      </c>
      <c r="Q260" s="101">
        <f t="shared" si="104"/>
        <v>0</v>
      </c>
      <c r="R260" s="101">
        <f t="shared" si="104"/>
        <v>266374.05578909029</v>
      </c>
      <c r="S260" s="101">
        <f t="shared" si="104"/>
        <v>6.3240202224327584</v>
      </c>
      <c r="T260" s="101">
        <f t="shared" si="104"/>
        <v>1226.8599231519554</v>
      </c>
      <c r="U260" s="101"/>
      <c r="V260" s="101">
        <f t="shared" si="105"/>
        <v>7668802.5696673635</v>
      </c>
      <c r="W260" s="98" t="str">
        <f t="shared" si="106"/>
        <v>ok</v>
      </c>
      <c r="X260" s="102" t="str">
        <f t="shared" si="107"/>
        <v/>
      </c>
    </row>
    <row r="261" spans="1:24" ht="12" customHeight="1" x14ac:dyDescent="0.25">
      <c r="A261" s="107" t="s">
        <v>823</v>
      </c>
      <c r="C261" s="97" t="s">
        <v>1054</v>
      </c>
      <c r="D261" s="97" t="s">
        <v>1714</v>
      </c>
      <c r="E261" s="97" t="s">
        <v>760</v>
      </c>
      <c r="F261" s="101">
        <f>VLOOKUP(C261,'Functional Assignment'!$C$1:$AU$771,22,)</f>
        <v>2457476.1256506187</v>
      </c>
      <c r="G261" s="101">
        <f t="shared" si="104"/>
        <v>2056810.9102565774</v>
      </c>
      <c r="H261" s="101">
        <f t="shared" si="104"/>
        <v>356914.80647874059</v>
      </c>
      <c r="I261" s="101">
        <f t="shared" si="104"/>
        <v>0</v>
      </c>
      <c r="J261" s="101">
        <f t="shared" si="104"/>
        <v>27248.031625740601</v>
      </c>
      <c r="K261" s="101">
        <f t="shared" si="104"/>
        <v>0</v>
      </c>
      <c r="L261" s="101">
        <f t="shared" si="104"/>
        <v>0</v>
      </c>
      <c r="M261" s="101">
        <f t="shared" si="104"/>
        <v>0</v>
      </c>
      <c r="N261" s="101">
        <f t="shared" si="104"/>
        <v>0</v>
      </c>
      <c r="O261" s="101">
        <f t="shared" si="104"/>
        <v>0</v>
      </c>
      <c r="P261" s="101">
        <f t="shared" si="104"/>
        <v>0</v>
      </c>
      <c r="Q261" s="101">
        <f t="shared" si="104"/>
        <v>0</v>
      </c>
      <c r="R261" s="101">
        <f t="shared" si="104"/>
        <v>16328.17970256332</v>
      </c>
      <c r="S261" s="101">
        <f t="shared" si="104"/>
        <v>68.393041363765334</v>
      </c>
      <c r="T261" s="101">
        <f t="shared" si="104"/>
        <v>105.80454563246191</v>
      </c>
      <c r="U261" s="101"/>
      <c r="V261" s="101">
        <f t="shared" si="105"/>
        <v>2457476.1256506182</v>
      </c>
      <c r="W261" s="98" t="str">
        <f t="shared" si="106"/>
        <v>ok</v>
      </c>
      <c r="X261" s="102" t="str">
        <f t="shared" si="107"/>
        <v/>
      </c>
    </row>
    <row r="262" spans="1:24" ht="12" customHeight="1" x14ac:dyDescent="0.25">
      <c r="A262" s="107" t="s">
        <v>824</v>
      </c>
      <c r="C262" s="97" t="s">
        <v>1054</v>
      </c>
      <c r="D262" s="97" t="s">
        <v>1715</v>
      </c>
      <c r="E262" s="97" t="s">
        <v>940</v>
      </c>
      <c r="F262" s="101">
        <f>VLOOKUP(C262,'Functional Assignment'!$C$1:$AU$771,23,)</f>
        <v>3623335.6304890811</v>
      </c>
      <c r="G262" s="101">
        <f t="shared" si="104"/>
        <v>2925484.4221859709</v>
      </c>
      <c r="H262" s="101">
        <f t="shared" si="104"/>
        <v>566063.92002938502</v>
      </c>
      <c r="I262" s="101">
        <f t="shared" si="104"/>
        <v>0</v>
      </c>
      <c r="J262" s="101">
        <f t="shared" si="104"/>
        <v>4028.3203275861379</v>
      </c>
      <c r="K262" s="101">
        <f t="shared" si="104"/>
        <v>0</v>
      </c>
      <c r="L262" s="101">
        <f t="shared" si="104"/>
        <v>0</v>
      </c>
      <c r="M262" s="101">
        <f t="shared" si="104"/>
        <v>0</v>
      </c>
      <c r="N262" s="101">
        <f t="shared" si="104"/>
        <v>0</v>
      </c>
      <c r="O262" s="101">
        <f t="shared" si="104"/>
        <v>0</v>
      </c>
      <c r="P262" s="101">
        <f t="shared" si="104"/>
        <v>0</v>
      </c>
      <c r="Q262" s="101">
        <f t="shared" si="104"/>
        <v>0</v>
      </c>
      <c r="R262" s="101">
        <f t="shared" si="104"/>
        <v>127170.23085497899</v>
      </c>
      <c r="S262" s="101">
        <f t="shared" si="104"/>
        <v>3.0191645700476957</v>
      </c>
      <c r="T262" s="101">
        <f t="shared" si="104"/>
        <v>585.71792658925301</v>
      </c>
      <c r="U262" s="101"/>
      <c r="V262" s="101">
        <f t="shared" si="105"/>
        <v>3623335.6304890802</v>
      </c>
      <c r="W262" s="98" t="str">
        <f t="shared" si="106"/>
        <v>ok</v>
      </c>
      <c r="X262" s="102" t="str">
        <f t="shared" si="107"/>
        <v/>
      </c>
    </row>
    <row r="263" spans="1:24" ht="12" customHeight="1" x14ac:dyDescent="0.25">
      <c r="A263" s="97" t="s">
        <v>163</v>
      </c>
      <c r="D263" s="97" t="s">
        <v>1716</v>
      </c>
      <c r="F263" s="100">
        <f>SUM(F258:F262)</f>
        <v>18580568.372310273</v>
      </c>
      <c r="G263" s="100">
        <f t="shared" ref="G263:T263" si="108">SUM(G258:G262)</f>
        <v>13455806.590515828</v>
      </c>
      <c r="H263" s="100">
        <f t="shared" si="108"/>
        <v>2680152.8897786695</v>
      </c>
      <c r="I263" s="100">
        <f>SUM(I258:I262)</f>
        <v>0</v>
      </c>
      <c r="J263" s="100">
        <f>SUM(J258:J262)</f>
        <v>99563.95498961219</v>
      </c>
      <c r="K263" s="100">
        <f>SUM(K258:K262)</f>
        <v>0</v>
      </c>
      <c r="L263" s="100">
        <f t="shared" si="108"/>
        <v>598124.86784320371</v>
      </c>
      <c r="M263" s="100">
        <f t="shared" si="108"/>
        <v>43744.72874327196</v>
      </c>
      <c r="N263" s="100">
        <f t="shared" si="108"/>
        <v>384700.50648357888</v>
      </c>
      <c r="O263" s="100">
        <f t="shared" si="108"/>
        <v>863797.56241307803</v>
      </c>
      <c r="P263" s="100">
        <f>SUM(P258:P262)</f>
        <v>0</v>
      </c>
      <c r="Q263" s="100">
        <f t="shared" si="108"/>
        <v>0</v>
      </c>
      <c r="R263" s="100">
        <f t="shared" si="108"/>
        <v>452228.96490078361</v>
      </c>
      <c r="S263" s="100">
        <f t="shared" si="108"/>
        <v>255.15280353403782</v>
      </c>
      <c r="T263" s="100">
        <f t="shared" si="108"/>
        <v>2193.153838711879</v>
      </c>
      <c r="U263" s="100"/>
      <c r="V263" s="102">
        <f t="shared" si="105"/>
        <v>18580568.372310273</v>
      </c>
      <c r="W263" s="98" t="str">
        <f t="shared" si="106"/>
        <v>ok</v>
      </c>
      <c r="X263" s="102" t="str">
        <f t="shared" si="107"/>
        <v/>
      </c>
    </row>
    <row r="264" spans="1:24" ht="12" customHeight="1" x14ac:dyDescent="0.25">
      <c r="F264" s="101"/>
    </row>
    <row r="265" spans="1:24" ht="12" customHeight="1" x14ac:dyDescent="0.25">
      <c r="A265" s="24" t="s">
        <v>819</v>
      </c>
      <c r="F265" s="101"/>
    </row>
    <row r="266" spans="1:24" ht="12" customHeight="1" x14ac:dyDescent="0.25">
      <c r="A266" s="107" t="s">
        <v>409</v>
      </c>
      <c r="C266" s="97" t="s">
        <v>1054</v>
      </c>
      <c r="D266" s="97" t="s">
        <v>1717</v>
      </c>
      <c r="E266" s="97" t="s">
        <v>2332</v>
      </c>
      <c r="F266" s="100">
        <f>VLOOKUP(C266,'Functional Assignment'!$C$1:$AU$771,24,)</f>
        <v>644545.6468455724</v>
      </c>
      <c r="G266" s="100">
        <f t="shared" ref="G266:T267" si="109">IF(VLOOKUP($E266,$D$5:$AJ$945,3,)=0,0,(VLOOKUP($E266,$D$5:$AJ$945,G$1,)/VLOOKUP($E266,$D$5:$AJ$945,3,))*$F266)</f>
        <v>450376.43286235479</v>
      </c>
      <c r="H266" s="100">
        <f t="shared" si="109"/>
        <v>78153.036127954314</v>
      </c>
      <c r="I266" s="100">
        <f t="shared" si="109"/>
        <v>0</v>
      </c>
      <c r="J266" s="100">
        <f t="shared" si="109"/>
        <v>5966.4557519246264</v>
      </c>
      <c r="K266" s="100">
        <f t="shared" si="109"/>
        <v>0</v>
      </c>
      <c r="L266" s="100">
        <f t="shared" si="109"/>
        <v>65065.325537586963</v>
      </c>
      <c r="M266" s="100">
        <f t="shared" si="109"/>
        <v>0</v>
      </c>
      <c r="N266" s="100">
        <f t="shared" si="109"/>
        <v>41370.898708287707</v>
      </c>
      <c r="O266" s="100">
        <f t="shared" si="109"/>
        <v>0</v>
      </c>
      <c r="P266" s="100">
        <f t="shared" si="109"/>
        <v>0</v>
      </c>
      <c r="Q266" s="100">
        <f t="shared" si="109"/>
        <v>0</v>
      </c>
      <c r="R266" s="100">
        <f t="shared" si="109"/>
        <v>3575.3541042130214</v>
      </c>
      <c r="S266" s="100">
        <f t="shared" si="109"/>
        <v>14.975909476373612</v>
      </c>
      <c r="T266" s="100">
        <f t="shared" si="109"/>
        <v>23.167843774528642</v>
      </c>
      <c r="U266" s="100"/>
      <c r="V266" s="102">
        <f>SUM(G266:T266)</f>
        <v>644545.64684557251</v>
      </c>
      <c r="W266" s="98" t="str">
        <f>IF(ABS(F266-V266)&lt;0.01,"ok","err")</f>
        <v>ok</v>
      </c>
      <c r="X266" s="102" t="str">
        <f>IF(W266="err",V266-F266,"")</f>
        <v/>
      </c>
    </row>
    <row r="267" spans="1:24" ht="12" customHeight="1" x14ac:dyDescent="0.25">
      <c r="A267" s="107" t="s">
        <v>412</v>
      </c>
      <c r="C267" s="97" t="s">
        <v>1054</v>
      </c>
      <c r="D267" s="97" t="s">
        <v>1718</v>
      </c>
      <c r="E267" s="97" t="s">
        <v>2331</v>
      </c>
      <c r="F267" s="101">
        <f>VLOOKUP(C267,'Functional Assignment'!$C$1:$AU$771,25,)</f>
        <v>573567.9062018611</v>
      </c>
      <c r="G267" s="101">
        <f t="shared" si="109"/>
        <v>458695.31537613476</v>
      </c>
      <c r="H267" s="101">
        <f t="shared" si="109"/>
        <v>88754.828551407714</v>
      </c>
      <c r="I267" s="101">
        <f t="shared" si="109"/>
        <v>0</v>
      </c>
      <c r="J267" s="101">
        <f t="shared" si="109"/>
        <v>631.6122038064151</v>
      </c>
      <c r="K267" s="101">
        <f t="shared" si="109"/>
        <v>0</v>
      </c>
      <c r="L267" s="101">
        <f t="shared" si="109"/>
        <v>4796.2053182804166</v>
      </c>
      <c r="M267" s="101">
        <f t="shared" si="109"/>
        <v>0</v>
      </c>
      <c r="N267" s="101">
        <f t="shared" si="109"/>
        <v>658.24003701916445</v>
      </c>
      <c r="O267" s="101">
        <f t="shared" si="109"/>
        <v>0</v>
      </c>
      <c r="P267" s="101">
        <f t="shared" si="109"/>
        <v>0</v>
      </c>
      <c r="Q267" s="101">
        <f t="shared" si="109"/>
        <v>0</v>
      </c>
      <c r="R267" s="101">
        <f t="shared" si="109"/>
        <v>19939.394893408291</v>
      </c>
      <c r="S267" s="101">
        <f t="shared" si="109"/>
        <v>0.47338370155998888</v>
      </c>
      <c r="T267" s="101">
        <f t="shared" si="109"/>
        <v>91.836438102637842</v>
      </c>
      <c r="U267" s="101"/>
      <c r="V267" s="101">
        <f>SUM(G267:T267)</f>
        <v>573567.90620186087</v>
      </c>
      <c r="W267" s="98" t="str">
        <f>IF(ABS(F267-V267)&lt;0.01,"ok","err")</f>
        <v>ok</v>
      </c>
      <c r="X267" s="102" t="str">
        <f>IF(W267="err",V267-F267,"")</f>
        <v/>
      </c>
    </row>
    <row r="268" spans="1:24" ht="12" customHeight="1" x14ac:dyDescent="0.25">
      <c r="A268" s="97" t="s">
        <v>1536</v>
      </c>
      <c r="D268" s="97" t="s">
        <v>1719</v>
      </c>
      <c r="F268" s="100">
        <f t="shared" ref="F268:T268" si="110">F266+F267</f>
        <v>1218113.5530474335</v>
      </c>
      <c r="G268" s="100">
        <f t="shared" si="110"/>
        <v>909071.7482384895</v>
      </c>
      <c r="H268" s="100">
        <f t="shared" si="110"/>
        <v>166907.86467936204</v>
      </c>
      <c r="I268" s="100">
        <f>I266+I267</f>
        <v>0</v>
      </c>
      <c r="J268" s="100">
        <f>J266+J267</f>
        <v>6598.0679557310414</v>
      </c>
      <c r="K268" s="100">
        <f>K266+K267</f>
        <v>0</v>
      </c>
      <c r="L268" s="100">
        <f t="shared" si="110"/>
        <v>69861.530855867386</v>
      </c>
      <c r="M268" s="100">
        <f t="shared" si="110"/>
        <v>0</v>
      </c>
      <c r="N268" s="100">
        <f t="shared" si="110"/>
        <v>42029.138745306875</v>
      </c>
      <c r="O268" s="100">
        <f t="shared" si="110"/>
        <v>0</v>
      </c>
      <c r="P268" s="100">
        <f>P266+P267</f>
        <v>0</v>
      </c>
      <c r="Q268" s="100">
        <f t="shared" si="110"/>
        <v>0</v>
      </c>
      <c r="R268" s="100">
        <f t="shared" si="110"/>
        <v>23514.748997621311</v>
      </c>
      <c r="S268" s="100">
        <f t="shared" si="110"/>
        <v>15.449293177933601</v>
      </c>
      <c r="T268" s="100">
        <f t="shared" si="110"/>
        <v>115.00428187716648</v>
      </c>
      <c r="U268" s="100"/>
      <c r="V268" s="102">
        <f>SUM(G268:T268)</f>
        <v>1218113.553047433</v>
      </c>
      <c r="W268" s="98" t="str">
        <f>IF(ABS(F268-V268)&lt;0.01,"ok","err")</f>
        <v>ok</v>
      </c>
      <c r="X268" s="102" t="str">
        <f>IF(W268="err",V268-F268,"")</f>
        <v/>
      </c>
    </row>
    <row r="269" spans="1:24" ht="12" customHeight="1" x14ac:dyDescent="0.25">
      <c r="F269" s="101"/>
    </row>
    <row r="270" spans="1:24" ht="12" customHeight="1" x14ac:dyDescent="0.25">
      <c r="A270" s="24" t="s">
        <v>134</v>
      </c>
      <c r="F270" s="101"/>
    </row>
    <row r="271" spans="1:24" ht="12" customHeight="1" x14ac:dyDescent="0.25">
      <c r="A271" s="107" t="s">
        <v>412</v>
      </c>
      <c r="C271" s="97" t="s">
        <v>1054</v>
      </c>
      <c r="D271" s="97" t="s">
        <v>1720</v>
      </c>
      <c r="E271" s="97" t="s">
        <v>413</v>
      </c>
      <c r="F271" s="100">
        <f>VLOOKUP(C271,'Functional Assignment'!$C$1:$AU$771,26,)</f>
        <v>356370.0044785231</v>
      </c>
      <c r="G271" s="100">
        <f t="shared" ref="G271:T271" si="111">IF(VLOOKUP($E271,$D$5:$AJ$945,3,)=0,0,(VLOOKUP($E271,$D$5:$AJ$945,G$1,)/VLOOKUP($E271,$D$5:$AJ$945,3,))*$F271)</f>
        <v>249923.86484992446</v>
      </c>
      <c r="H271" s="100">
        <f t="shared" si="111"/>
        <v>97901.0865159073</v>
      </c>
      <c r="I271" s="100">
        <f t="shared" si="111"/>
        <v>0</v>
      </c>
      <c r="J271" s="100">
        <f t="shared" si="111"/>
        <v>927.16759436825646</v>
      </c>
      <c r="K271" s="100">
        <f t="shared" si="111"/>
        <v>0</v>
      </c>
      <c r="L271" s="100">
        <f t="shared" si="111"/>
        <v>6651.5106401805942</v>
      </c>
      <c r="M271" s="100">
        <f t="shared" si="111"/>
        <v>0</v>
      </c>
      <c r="N271" s="100">
        <f t="shared" si="111"/>
        <v>966.37487814246913</v>
      </c>
      <c r="O271" s="100">
        <f t="shared" si="111"/>
        <v>0</v>
      </c>
      <c r="P271" s="100">
        <f t="shared" si="111"/>
        <v>0</v>
      </c>
      <c r="Q271" s="100">
        <f t="shared" si="111"/>
        <v>0</v>
      </c>
      <c r="R271" s="100">
        <f t="shared" si="111"/>
        <v>0</v>
      </c>
      <c r="S271" s="100">
        <f t="shared" si="111"/>
        <v>0</v>
      </c>
      <c r="T271" s="100">
        <f t="shared" si="111"/>
        <v>0</v>
      </c>
      <c r="U271" s="100"/>
      <c r="V271" s="102">
        <f>SUM(G271:T271)</f>
        <v>356370.00447852316</v>
      </c>
      <c r="W271" s="98" t="str">
        <f>IF(ABS(F271-V271)&lt;0.01,"ok","err")</f>
        <v>ok</v>
      </c>
      <c r="X271" s="102" t="str">
        <f>IF(W271="err",V271-F271,"")</f>
        <v/>
      </c>
    </row>
    <row r="272" spans="1:24" ht="12" customHeight="1" x14ac:dyDescent="0.25">
      <c r="F272" s="101"/>
    </row>
    <row r="273" spans="1:24" ht="12" customHeight="1" x14ac:dyDescent="0.25">
      <c r="A273" s="24" t="s">
        <v>133</v>
      </c>
      <c r="F273" s="101"/>
    </row>
    <row r="274" spans="1:24" ht="12" customHeight="1" x14ac:dyDescent="0.25">
      <c r="A274" s="107" t="s">
        <v>412</v>
      </c>
      <c r="C274" s="97" t="s">
        <v>1054</v>
      </c>
      <c r="D274" s="97" t="s">
        <v>1721</v>
      </c>
      <c r="E274" s="97" t="s">
        <v>414</v>
      </c>
      <c r="F274" s="100">
        <f>VLOOKUP(C274,'Functional Assignment'!$C$1:$AU$771,27,)</f>
        <v>10892600.321030885</v>
      </c>
      <c r="G274" s="100">
        <f t="shared" ref="G274:T274" si="112">IF(VLOOKUP($E274,$D$5:$AJ$945,3,)=0,0,(VLOOKUP($E274,$D$5:$AJ$945,G$1,)/VLOOKUP($E274,$D$5:$AJ$945,3,))*$F274)</f>
        <v>6769199.5574729079</v>
      </c>
      <c r="H274" s="100">
        <f t="shared" si="112"/>
        <v>2523006.8032946708</v>
      </c>
      <c r="I274" s="100">
        <f t="shared" si="112"/>
        <v>0</v>
      </c>
      <c r="J274" s="100">
        <f t="shared" si="112"/>
        <v>53517.02045104948</v>
      </c>
      <c r="K274" s="100">
        <f t="shared" si="112"/>
        <v>0</v>
      </c>
      <c r="L274" s="100">
        <f t="shared" si="112"/>
        <v>683859.97748021153</v>
      </c>
      <c r="M274" s="100">
        <f t="shared" si="112"/>
        <v>150776.73658814246</v>
      </c>
      <c r="N274" s="100">
        <f t="shared" si="112"/>
        <v>126823.76677616581</v>
      </c>
      <c r="O274" s="100">
        <f t="shared" si="112"/>
        <v>335007.14305785135</v>
      </c>
      <c r="P274" s="100">
        <f t="shared" si="112"/>
        <v>228478.73139460615</v>
      </c>
      <c r="Q274" s="100">
        <f t="shared" si="112"/>
        <v>9670.2232706725208</v>
      </c>
      <c r="R274" s="100">
        <f t="shared" si="112"/>
        <v>0</v>
      </c>
      <c r="S274" s="100">
        <f t="shared" si="112"/>
        <v>62.87364740824512</v>
      </c>
      <c r="T274" s="100">
        <f t="shared" si="112"/>
        <v>12197.487597199553</v>
      </c>
      <c r="U274" s="100"/>
      <c r="V274" s="102">
        <f>SUM(G274:T274)</f>
        <v>10892600.321030887</v>
      </c>
      <c r="W274" s="98" t="str">
        <f>IF(ABS(F274-V274)&lt;0.01,"ok","err")</f>
        <v>ok</v>
      </c>
      <c r="X274" s="102" t="str">
        <f>IF(W274="err",V274-F274,"")</f>
        <v/>
      </c>
    </row>
    <row r="275" spans="1:24" ht="12" customHeight="1" x14ac:dyDescent="0.25">
      <c r="F275" s="101"/>
    </row>
    <row r="276" spans="1:24" ht="12" customHeight="1" x14ac:dyDescent="0.25">
      <c r="A276" s="24" t="s">
        <v>156</v>
      </c>
      <c r="F276" s="101"/>
    </row>
    <row r="277" spans="1:24" ht="12" customHeight="1" x14ac:dyDescent="0.25">
      <c r="A277" s="107" t="s">
        <v>412</v>
      </c>
      <c r="C277" s="97" t="s">
        <v>1054</v>
      </c>
      <c r="D277" s="97" t="s">
        <v>1722</v>
      </c>
      <c r="E277" s="97" t="s">
        <v>415</v>
      </c>
      <c r="F277" s="100">
        <f>VLOOKUP(C277,'Functional Assignment'!$C$1:$AU$771,28,)</f>
        <v>421765.11680222803</v>
      </c>
      <c r="G277" s="100">
        <f t="shared" ref="G277:T277" si="113">IF(VLOOKUP($E277,$D$5:$AJ$945,3,)=0,0,(VLOOKUP($E277,$D$5:$AJ$945,G$1,)/VLOOKUP($E277,$D$5:$AJ$945,3,))*$F277)</f>
        <v>0</v>
      </c>
      <c r="H277" s="100">
        <f t="shared" si="113"/>
        <v>0</v>
      </c>
      <c r="I277" s="100">
        <f t="shared" si="113"/>
        <v>0</v>
      </c>
      <c r="J277" s="100">
        <f t="shared" si="113"/>
        <v>0</v>
      </c>
      <c r="K277" s="100">
        <f t="shared" si="113"/>
        <v>0</v>
      </c>
      <c r="L277" s="100">
        <f t="shared" si="113"/>
        <v>0</v>
      </c>
      <c r="M277" s="100">
        <f t="shared" si="113"/>
        <v>0</v>
      </c>
      <c r="N277" s="100">
        <f t="shared" si="113"/>
        <v>0</v>
      </c>
      <c r="O277" s="100">
        <f t="shared" si="113"/>
        <v>0</v>
      </c>
      <c r="P277" s="100">
        <f t="shared" si="113"/>
        <v>0</v>
      </c>
      <c r="Q277" s="100">
        <f t="shared" si="113"/>
        <v>0</v>
      </c>
      <c r="R277" s="100">
        <f t="shared" si="113"/>
        <v>421765.11680222803</v>
      </c>
      <c r="S277" s="100">
        <f t="shared" si="113"/>
        <v>0</v>
      </c>
      <c r="T277" s="100">
        <f t="shared" si="113"/>
        <v>0</v>
      </c>
      <c r="U277" s="100"/>
      <c r="V277" s="102">
        <f>SUM(G277:T277)</f>
        <v>421765.11680222803</v>
      </c>
      <c r="W277" s="98" t="str">
        <f>IF(ABS(F277-V277)&lt;0.01,"ok","err")</f>
        <v>ok</v>
      </c>
      <c r="X277" s="102" t="str">
        <f>IF(W277="err",V277-F277,"")</f>
        <v/>
      </c>
    </row>
    <row r="278" spans="1:24" ht="12" customHeight="1" x14ac:dyDescent="0.25">
      <c r="F278" s="101"/>
    </row>
    <row r="279" spans="1:24" ht="12" customHeight="1" x14ac:dyDescent="0.25">
      <c r="A279" s="24" t="s">
        <v>309</v>
      </c>
      <c r="F279" s="101"/>
    </row>
    <row r="280" spans="1:24" ht="12" customHeight="1" x14ac:dyDescent="0.25">
      <c r="A280" s="107" t="s">
        <v>412</v>
      </c>
      <c r="C280" s="97" t="s">
        <v>1054</v>
      </c>
      <c r="D280" s="97" t="s">
        <v>1723</v>
      </c>
      <c r="E280" s="97" t="s">
        <v>416</v>
      </c>
      <c r="F280" s="100">
        <f>VLOOKUP(C280,'Functional Assignment'!$C$1:$AU$771,30,)</f>
        <v>27271496.696871992</v>
      </c>
      <c r="G280" s="100">
        <f t="shared" ref="G280:T280" si="114">IF(VLOOKUP($E280,$D$5:$AJ$945,3,)=0,0,(VLOOKUP($E280,$D$5:$AJ$945,G$1,)/VLOOKUP($E280,$D$5:$AJ$945,3,))*$F280)</f>
        <v>17569790.454219982</v>
      </c>
      <c r="H280" s="100">
        <f t="shared" si="114"/>
        <v>6799300.9179512886</v>
      </c>
      <c r="I280" s="100">
        <f t="shared" si="114"/>
        <v>0</v>
      </c>
      <c r="J280" s="100">
        <f t="shared" si="114"/>
        <v>241931.70710947656</v>
      </c>
      <c r="K280" s="100">
        <f t="shared" si="114"/>
        <v>0</v>
      </c>
      <c r="L280" s="100">
        <f t="shared" si="114"/>
        <v>918565.3264030125</v>
      </c>
      <c r="M280" s="100">
        <f t="shared" si="114"/>
        <v>35290.206854923643</v>
      </c>
      <c r="N280" s="100">
        <f t="shared" si="114"/>
        <v>630327.97214863612</v>
      </c>
      <c r="O280" s="100">
        <f t="shared" si="114"/>
        <v>282525.64447438868</v>
      </c>
      <c r="P280" s="100">
        <f t="shared" si="114"/>
        <v>24478.756199947034</v>
      </c>
      <c r="Q280" s="100">
        <f t="shared" si="114"/>
        <v>2039.8963499955862</v>
      </c>
      <c r="R280" s="100">
        <f t="shared" si="114"/>
        <v>763737.19343834743</v>
      </c>
      <c r="S280" s="100">
        <f t="shared" si="114"/>
        <v>0</v>
      </c>
      <c r="T280" s="100">
        <f t="shared" si="114"/>
        <v>3508.6217219924083</v>
      </c>
      <c r="U280" s="100"/>
      <c r="V280" s="102">
        <f>SUM(G280:T280)</f>
        <v>27271496.696871996</v>
      </c>
      <c r="W280" s="98" t="str">
        <f>IF(ABS(F280-V280)&lt;0.01,"ok","err")</f>
        <v>ok</v>
      </c>
      <c r="X280" s="102" t="str">
        <f>IF(W280="err",V280-F280,"")</f>
        <v/>
      </c>
    </row>
    <row r="281" spans="1:24" ht="12" customHeight="1" x14ac:dyDescent="0.25">
      <c r="F281" s="101"/>
    </row>
    <row r="282" spans="1:24" ht="12" customHeight="1" x14ac:dyDescent="0.25">
      <c r="A282" s="24" t="s">
        <v>1700</v>
      </c>
      <c r="F282" s="101"/>
    </row>
    <row r="283" spans="1:24" ht="12" customHeight="1" x14ac:dyDescent="0.25">
      <c r="A283" s="107" t="s">
        <v>412</v>
      </c>
      <c r="C283" s="97" t="s">
        <v>1054</v>
      </c>
      <c r="D283" s="97" t="s">
        <v>1724</v>
      </c>
      <c r="E283" s="97" t="s">
        <v>416</v>
      </c>
      <c r="F283" s="100">
        <f>VLOOKUP(C283,'Functional Assignment'!$C$1:$AU$771,32,)</f>
        <v>3748877.1455879896</v>
      </c>
      <c r="G283" s="100">
        <f t="shared" ref="G283:T283" si="115">IF(VLOOKUP($E283,$D$5:$AJ$945,3,)=0,0,(VLOOKUP($E283,$D$5:$AJ$945,G$1,)/VLOOKUP($E283,$D$5:$AJ$945,3,))*$F283)</f>
        <v>2415231.7937926077</v>
      </c>
      <c r="H283" s="100">
        <f t="shared" si="115"/>
        <v>934666.11314393557</v>
      </c>
      <c r="I283" s="100">
        <f t="shared" si="115"/>
        <v>0</v>
      </c>
      <c r="J283" s="100">
        <f t="shared" si="115"/>
        <v>33257.14967744446</v>
      </c>
      <c r="K283" s="100">
        <f t="shared" si="115"/>
        <v>0</v>
      </c>
      <c r="L283" s="100">
        <f t="shared" si="115"/>
        <v>126270.61129640166</v>
      </c>
      <c r="M283" s="100">
        <f t="shared" si="115"/>
        <v>4851.1693880252033</v>
      </c>
      <c r="N283" s="100">
        <f t="shared" si="115"/>
        <v>86648.054387270968</v>
      </c>
      <c r="O283" s="100">
        <f t="shared" si="115"/>
        <v>38837.396545750904</v>
      </c>
      <c r="P283" s="100">
        <f t="shared" si="115"/>
        <v>3364.9729859134359</v>
      </c>
      <c r="Q283" s="100">
        <f t="shared" si="115"/>
        <v>280.4144154927863</v>
      </c>
      <c r="R283" s="100">
        <f t="shared" si="115"/>
        <v>104987.15716049919</v>
      </c>
      <c r="S283" s="100">
        <f t="shared" si="115"/>
        <v>0</v>
      </c>
      <c r="T283" s="100">
        <f t="shared" si="115"/>
        <v>482.31279464759245</v>
      </c>
      <c r="U283" s="100"/>
      <c r="V283" s="102">
        <f>SUM(G283:T283)</f>
        <v>3748877.1455879891</v>
      </c>
      <c r="W283" s="98" t="str">
        <f>IF(ABS(F283-V283)&lt;0.01,"ok","err")</f>
        <v>ok</v>
      </c>
      <c r="X283" s="102" t="str">
        <f>IF(W283="err",V283-F283,"")</f>
        <v/>
      </c>
    </row>
    <row r="284" spans="1:24" ht="12" customHeight="1" x14ac:dyDescent="0.25">
      <c r="F284" s="101"/>
    </row>
    <row r="285" spans="1:24" ht="12" customHeight="1" x14ac:dyDescent="0.25">
      <c r="A285" s="24" t="s">
        <v>1699</v>
      </c>
      <c r="F285" s="101"/>
    </row>
    <row r="286" spans="1:24" ht="12" customHeight="1" x14ac:dyDescent="0.25">
      <c r="A286" s="107" t="s">
        <v>412</v>
      </c>
      <c r="C286" s="97" t="s">
        <v>1054</v>
      </c>
      <c r="D286" s="97" t="s">
        <v>1725</v>
      </c>
      <c r="E286" s="97" t="s">
        <v>417</v>
      </c>
      <c r="F286" s="100">
        <f>VLOOKUP(C286,'Functional Assignment'!$C$1:$AU$771,34,)</f>
        <v>0</v>
      </c>
      <c r="G286" s="100">
        <f t="shared" ref="G286:T286" si="116">IF(VLOOKUP($E286,$D$5:$AJ$945,3,)=0,0,(VLOOKUP($E286,$D$5:$AJ$945,G$1,)/VLOOKUP($E286,$D$5:$AJ$945,3,))*$F286)</f>
        <v>0</v>
      </c>
      <c r="H286" s="100">
        <f t="shared" si="116"/>
        <v>0</v>
      </c>
      <c r="I286" s="100">
        <f t="shared" si="116"/>
        <v>0</v>
      </c>
      <c r="J286" s="100">
        <f t="shared" si="116"/>
        <v>0</v>
      </c>
      <c r="K286" s="100">
        <f t="shared" si="116"/>
        <v>0</v>
      </c>
      <c r="L286" s="100">
        <f t="shared" si="116"/>
        <v>0</v>
      </c>
      <c r="M286" s="100">
        <f t="shared" si="116"/>
        <v>0</v>
      </c>
      <c r="N286" s="100">
        <f t="shared" si="116"/>
        <v>0</v>
      </c>
      <c r="O286" s="100">
        <f t="shared" si="116"/>
        <v>0</v>
      </c>
      <c r="P286" s="100">
        <f t="shared" si="116"/>
        <v>0</v>
      </c>
      <c r="Q286" s="100">
        <f t="shared" si="116"/>
        <v>0</v>
      </c>
      <c r="R286" s="100">
        <f t="shared" si="116"/>
        <v>0</v>
      </c>
      <c r="S286" s="100">
        <f t="shared" si="116"/>
        <v>0</v>
      </c>
      <c r="T286" s="100">
        <f t="shared" si="116"/>
        <v>0</v>
      </c>
      <c r="U286" s="100"/>
      <c r="V286" s="102">
        <f>SUM(G286:T286)</f>
        <v>0</v>
      </c>
      <c r="W286" s="98" t="str">
        <f>IF(ABS(F286-V286)&lt;0.01,"ok","err")</f>
        <v>ok</v>
      </c>
      <c r="X286" s="102" t="str">
        <f>IF(W286="err",V286-F286,"")</f>
        <v/>
      </c>
    </row>
    <row r="287" spans="1:24" ht="12" customHeight="1" x14ac:dyDescent="0.25">
      <c r="F287" s="101"/>
    </row>
    <row r="288" spans="1:24" ht="12" customHeight="1" x14ac:dyDescent="0.25">
      <c r="A288" s="97" t="s">
        <v>68</v>
      </c>
      <c r="D288" s="97" t="s">
        <v>426</v>
      </c>
      <c r="F288" s="100">
        <f>F243+F249+F252+F255+F263+F268+F271+F274+F277+F280+F283+F286</f>
        <v>171476568.89321759</v>
      </c>
      <c r="G288" s="100">
        <f t="shared" ref="G288:T288" si="117">G243+G249+G252+G255+G263+G268+G271+G274+G277+G280+G283+G286</f>
        <v>83441737.725274891</v>
      </c>
      <c r="H288" s="100">
        <f t="shared" si="117"/>
        <v>25056957.497461796</v>
      </c>
      <c r="I288" s="100">
        <f>I243+I249+I252+I255+I263+I268+I271+I274+I277+I280+I283+I286</f>
        <v>0</v>
      </c>
      <c r="J288" s="100">
        <f>J243+J249+J252+J255+J263+J268+J271+J274+J277+J280+J283+J286</f>
        <v>1376752.8145434472</v>
      </c>
      <c r="K288" s="100">
        <f>K243+K249+K252+K255+K263+K268+K271+K274+K277+K280+K283+K286</f>
        <v>0</v>
      </c>
      <c r="L288" s="100">
        <f t="shared" si="117"/>
        <v>14997724.63069394</v>
      </c>
      <c r="M288" s="100">
        <f t="shared" si="117"/>
        <v>1179933.376946829</v>
      </c>
      <c r="N288" s="100">
        <f t="shared" si="117"/>
        <v>10678658.215063656</v>
      </c>
      <c r="O288" s="100">
        <f>O243+O249+O252+O255+O263+O268+O271+O274+O277+O280+O283+O286</f>
        <v>22901240.591394898</v>
      </c>
      <c r="P288" s="100">
        <f>P243+P249+P252+P255+P263+P268+P271+P274+P277+P280+P283+P286</f>
        <v>7512371.9341014912</v>
      </c>
      <c r="Q288" s="100">
        <f t="shared" si="117"/>
        <v>2238070.2296689288</v>
      </c>
      <c r="R288" s="100">
        <f t="shared" si="117"/>
        <v>2066388.198383088</v>
      </c>
      <c r="S288" s="100">
        <f t="shared" si="117"/>
        <v>1438.4221530257614</v>
      </c>
      <c r="T288" s="100">
        <f t="shared" si="117"/>
        <v>25295.257531579526</v>
      </c>
      <c r="U288" s="100"/>
      <c r="V288" s="102">
        <f>SUM(G288:T288)</f>
        <v>171476568.89321756</v>
      </c>
      <c r="W288" s="98" t="str">
        <f>IF(ABS(F288-V288)&lt;0.01,"ok","err")</f>
        <v>ok</v>
      </c>
      <c r="X288" s="102" t="str">
        <f>IF(W288="err",V288-F288,"")</f>
        <v/>
      </c>
    </row>
    <row r="291" spans="1:24" ht="12" customHeight="1" x14ac:dyDescent="0.25">
      <c r="A291" s="23" t="s">
        <v>843</v>
      </c>
    </row>
    <row r="293" spans="1:24" ht="12" customHeight="1" x14ac:dyDescent="0.25">
      <c r="A293" s="24" t="s">
        <v>149</v>
      </c>
    </row>
    <row r="294" spans="1:24" ht="12" customHeight="1" x14ac:dyDescent="0.25">
      <c r="A294" s="107" t="s">
        <v>139</v>
      </c>
      <c r="C294" s="97" t="s">
        <v>845</v>
      </c>
      <c r="D294" s="97" t="s">
        <v>1726</v>
      </c>
      <c r="E294" s="397" t="s">
        <v>2455</v>
      </c>
      <c r="F294" s="100">
        <f>VLOOKUP(C294,'Functional Assignment'!$C$1:$AU$771,6,)</f>
        <v>52845706.182438992</v>
      </c>
      <c r="G294" s="100">
        <f t="shared" ref="G294:T299" si="118">IF(VLOOKUP($E294,$D$5:$AJ$945,3,)=0,0,(VLOOKUP($E294,$D$5:$AJ$945,G$1,)/VLOOKUP($E294,$D$5:$AJ$945,3,))*$F294)</f>
        <v>21632501.130061373</v>
      </c>
      <c r="H294" s="100">
        <f t="shared" si="118"/>
        <v>6004461.9692027969</v>
      </c>
      <c r="I294" s="100">
        <f t="shared" si="118"/>
        <v>0</v>
      </c>
      <c r="J294" s="100">
        <f t="shared" si="118"/>
        <v>452138.08910080738</v>
      </c>
      <c r="K294" s="100">
        <f t="shared" si="118"/>
        <v>0</v>
      </c>
      <c r="L294" s="100">
        <f t="shared" si="118"/>
        <v>6035443.3198986575</v>
      </c>
      <c r="M294" s="100">
        <f t="shared" si="118"/>
        <v>444419.39026422804</v>
      </c>
      <c r="N294" s="100">
        <f t="shared" si="118"/>
        <v>4407512.6994709056</v>
      </c>
      <c r="O294" s="100">
        <f t="shared" si="118"/>
        <v>9639549.3262383994</v>
      </c>
      <c r="P294" s="100">
        <f t="shared" si="118"/>
        <v>3351479.7504405961</v>
      </c>
      <c r="Q294" s="100">
        <f t="shared" si="118"/>
        <v>875498.65189608792</v>
      </c>
      <c r="R294" s="100">
        <f t="shared" si="118"/>
        <v>0</v>
      </c>
      <c r="S294" s="100">
        <f t="shared" si="118"/>
        <v>0</v>
      </c>
      <c r="T294" s="100">
        <f t="shared" si="118"/>
        <v>2701.8558651379008</v>
      </c>
      <c r="U294" s="100"/>
      <c r="V294" s="102">
        <f t="shared" ref="V294:V300" si="119">SUM(G294:T294)</f>
        <v>52845706.182438992</v>
      </c>
      <c r="W294" s="98" t="str">
        <f t="shared" ref="W294:W300" si="120">IF(ABS(F294-V294)&lt;0.01,"ok","err")</f>
        <v>ok</v>
      </c>
      <c r="X294" s="243" t="str">
        <f t="shared" ref="X294:X300" si="121">IF(W294="err",V294-F294,"")</f>
        <v/>
      </c>
    </row>
    <row r="295" spans="1:24" ht="12" customHeight="1" x14ac:dyDescent="0.25">
      <c r="A295" s="107" t="s">
        <v>143</v>
      </c>
      <c r="C295" s="97" t="s">
        <v>845</v>
      </c>
      <c r="D295" s="97" t="s">
        <v>1727</v>
      </c>
      <c r="E295" s="397" t="s">
        <v>2455</v>
      </c>
      <c r="F295" s="101">
        <f>VLOOKUP(C295,'Functional Assignment'!$C$1:$AU$771,7,)</f>
        <v>55359222.059284404</v>
      </c>
      <c r="G295" s="101">
        <f t="shared" si="118"/>
        <v>22661414.14824627</v>
      </c>
      <c r="H295" s="101">
        <f t="shared" si="118"/>
        <v>6290053.9610933503</v>
      </c>
      <c r="I295" s="101">
        <f t="shared" si="118"/>
        <v>0</v>
      </c>
      <c r="J295" s="101">
        <f t="shared" si="118"/>
        <v>473643.26610720489</v>
      </c>
      <c r="K295" s="101">
        <f t="shared" si="118"/>
        <v>0</v>
      </c>
      <c r="L295" s="101">
        <f t="shared" si="118"/>
        <v>6322508.8868908724</v>
      </c>
      <c r="M295" s="101">
        <f t="shared" si="118"/>
        <v>465557.44052607316</v>
      </c>
      <c r="N295" s="101">
        <f t="shared" si="118"/>
        <v>4617148.523226806</v>
      </c>
      <c r="O295" s="101">
        <f t="shared" si="118"/>
        <v>10098038.047980303</v>
      </c>
      <c r="P295" s="101">
        <f t="shared" si="118"/>
        <v>3510887.1682273168</v>
      </c>
      <c r="Q295" s="101">
        <f t="shared" si="118"/>
        <v>917140.25195533445</v>
      </c>
      <c r="R295" s="101">
        <f t="shared" si="118"/>
        <v>0</v>
      </c>
      <c r="S295" s="101">
        <f t="shared" si="118"/>
        <v>0</v>
      </c>
      <c r="T295" s="101">
        <f t="shared" si="118"/>
        <v>2830.3650308689239</v>
      </c>
      <c r="U295" s="101"/>
      <c r="V295" s="101">
        <f t="shared" si="119"/>
        <v>55359222.059284404</v>
      </c>
      <c r="W295" s="98" t="str">
        <f t="shared" si="120"/>
        <v>ok</v>
      </c>
      <c r="X295" s="102" t="str">
        <f t="shared" si="121"/>
        <v/>
      </c>
    </row>
    <row r="296" spans="1:24" ht="12" customHeight="1" x14ac:dyDescent="0.25">
      <c r="A296" s="107" t="s">
        <v>140</v>
      </c>
      <c r="C296" s="97" t="s">
        <v>845</v>
      </c>
      <c r="D296" s="97" t="s">
        <v>1728</v>
      </c>
      <c r="E296" s="397" t="s">
        <v>2455</v>
      </c>
      <c r="F296" s="101">
        <f>VLOOKUP(C296,'Functional Assignment'!$C$1:$AU$771,8,)</f>
        <v>45505093.860292643</v>
      </c>
      <c r="G296" s="101">
        <f t="shared" si="118"/>
        <v>18627606.015102301</v>
      </c>
      <c r="H296" s="101">
        <f t="shared" si="118"/>
        <v>5170403.1458269805</v>
      </c>
      <c r="I296" s="101">
        <f t="shared" si="118"/>
        <v>0</v>
      </c>
      <c r="J296" s="101">
        <f t="shared" si="118"/>
        <v>389333.16760525538</v>
      </c>
      <c r="K296" s="101">
        <f t="shared" si="118"/>
        <v>0</v>
      </c>
      <c r="L296" s="101">
        <f t="shared" si="118"/>
        <v>5197080.9853938641</v>
      </c>
      <c r="M296" s="101">
        <f t="shared" si="118"/>
        <v>382686.64624313574</v>
      </c>
      <c r="N296" s="101">
        <f t="shared" si="118"/>
        <v>3795280.5169723383</v>
      </c>
      <c r="O296" s="101">
        <f t="shared" si="118"/>
        <v>8300553.2246471364</v>
      </c>
      <c r="P296" s="101">
        <f t="shared" si="118"/>
        <v>2885937.4134988748</v>
      </c>
      <c r="Q296" s="101">
        <f t="shared" si="118"/>
        <v>753886.19449142984</v>
      </c>
      <c r="R296" s="101">
        <f t="shared" si="118"/>
        <v>0</v>
      </c>
      <c r="S296" s="101">
        <f t="shared" si="118"/>
        <v>0</v>
      </c>
      <c r="T296" s="101">
        <f t="shared" si="118"/>
        <v>2326.550511324966</v>
      </c>
      <c r="U296" s="101"/>
      <c r="V296" s="101">
        <f t="shared" si="119"/>
        <v>45505093.860292636</v>
      </c>
      <c r="W296" s="98" t="str">
        <f t="shared" si="120"/>
        <v>ok</v>
      </c>
      <c r="X296" s="102" t="str">
        <f t="shared" si="121"/>
        <v/>
      </c>
    </row>
    <row r="297" spans="1:24" ht="12" customHeight="1" x14ac:dyDescent="0.25">
      <c r="A297" s="107" t="s">
        <v>141</v>
      </c>
      <c r="C297" s="97" t="s">
        <v>845</v>
      </c>
      <c r="D297" s="97" t="s">
        <v>1729</v>
      </c>
      <c r="E297" s="97" t="s">
        <v>410</v>
      </c>
      <c r="F297" s="101">
        <f>VLOOKUP(C297,'Functional Assignment'!$C$1:$AU$771,9,)</f>
        <v>0</v>
      </c>
      <c r="G297" s="101">
        <f t="shared" si="118"/>
        <v>0</v>
      </c>
      <c r="H297" s="101">
        <f t="shared" si="118"/>
        <v>0</v>
      </c>
      <c r="I297" s="101">
        <f t="shared" si="118"/>
        <v>0</v>
      </c>
      <c r="J297" s="101">
        <f t="shared" si="118"/>
        <v>0</v>
      </c>
      <c r="K297" s="101">
        <f t="shared" si="118"/>
        <v>0</v>
      </c>
      <c r="L297" s="101">
        <f t="shared" si="118"/>
        <v>0</v>
      </c>
      <c r="M297" s="101">
        <f t="shared" si="118"/>
        <v>0</v>
      </c>
      <c r="N297" s="101">
        <f t="shared" si="118"/>
        <v>0</v>
      </c>
      <c r="O297" s="101">
        <f t="shared" si="118"/>
        <v>0</v>
      </c>
      <c r="P297" s="101">
        <f t="shared" si="118"/>
        <v>0</v>
      </c>
      <c r="Q297" s="101">
        <f t="shared" si="118"/>
        <v>0</v>
      </c>
      <c r="R297" s="101">
        <f t="shared" si="118"/>
        <v>0</v>
      </c>
      <c r="S297" s="101">
        <f t="shared" si="118"/>
        <v>0</v>
      </c>
      <c r="T297" s="101">
        <f t="shared" si="118"/>
        <v>0</v>
      </c>
      <c r="U297" s="101"/>
      <c r="V297" s="101">
        <f t="shared" si="119"/>
        <v>0</v>
      </c>
      <c r="W297" s="98" t="str">
        <f t="shared" si="120"/>
        <v>ok</v>
      </c>
      <c r="X297" s="102" t="str">
        <f t="shared" si="121"/>
        <v/>
      </c>
    </row>
    <row r="298" spans="1:24" ht="12" customHeight="1" x14ac:dyDescent="0.25">
      <c r="A298" s="107" t="s">
        <v>144</v>
      </c>
      <c r="C298" s="97" t="s">
        <v>845</v>
      </c>
      <c r="D298" s="97" t="s">
        <v>1730</v>
      </c>
      <c r="E298" s="97" t="s">
        <v>410</v>
      </c>
      <c r="F298" s="101">
        <f>VLOOKUP(C298,'Functional Assignment'!$C$1:$AU$771,10,)</f>
        <v>0</v>
      </c>
      <c r="G298" s="101">
        <f t="shared" si="118"/>
        <v>0</v>
      </c>
      <c r="H298" s="101">
        <f t="shared" si="118"/>
        <v>0</v>
      </c>
      <c r="I298" s="101">
        <f t="shared" si="118"/>
        <v>0</v>
      </c>
      <c r="J298" s="101">
        <f t="shared" si="118"/>
        <v>0</v>
      </c>
      <c r="K298" s="101">
        <f t="shared" si="118"/>
        <v>0</v>
      </c>
      <c r="L298" s="101">
        <f t="shared" si="118"/>
        <v>0</v>
      </c>
      <c r="M298" s="101">
        <f t="shared" si="118"/>
        <v>0</v>
      </c>
      <c r="N298" s="101">
        <f t="shared" si="118"/>
        <v>0</v>
      </c>
      <c r="O298" s="101">
        <f t="shared" si="118"/>
        <v>0</v>
      </c>
      <c r="P298" s="101">
        <f t="shared" si="118"/>
        <v>0</v>
      </c>
      <c r="Q298" s="101">
        <f t="shared" si="118"/>
        <v>0</v>
      </c>
      <c r="R298" s="101">
        <f t="shared" si="118"/>
        <v>0</v>
      </c>
      <c r="S298" s="101">
        <f t="shared" si="118"/>
        <v>0</v>
      </c>
      <c r="T298" s="101">
        <f t="shared" si="118"/>
        <v>0</v>
      </c>
      <c r="U298" s="101"/>
      <c r="V298" s="101">
        <f t="shared" si="119"/>
        <v>0</v>
      </c>
      <c r="W298" s="98" t="str">
        <f t="shared" si="120"/>
        <v>ok</v>
      </c>
      <c r="X298" s="102" t="str">
        <f t="shared" si="121"/>
        <v/>
      </c>
    </row>
    <row r="299" spans="1:24" ht="12" customHeight="1" x14ac:dyDescent="0.25">
      <c r="A299" s="107" t="s">
        <v>142</v>
      </c>
      <c r="C299" s="97" t="s">
        <v>845</v>
      </c>
      <c r="D299" s="97" t="s">
        <v>1731</v>
      </c>
      <c r="E299" s="97" t="s">
        <v>410</v>
      </c>
      <c r="F299" s="101">
        <f>VLOOKUP(C299,'Functional Assignment'!$C$1:$AU$771,11,)</f>
        <v>0</v>
      </c>
      <c r="G299" s="101">
        <f t="shared" si="118"/>
        <v>0</v>
      </c>
      <c r="H299" s="101">
        <f t="shared" si="118"/>
        <v>0</v>
      </c>
      <c r="I299" s="101">
        <f t="shared" si="118"/>
        <v>0</v>
      </c>
      <c r="J299" s="101">
        <f t="shared" si="118"/>
        <v>0</v>
      </c>
      <c r="K299" s="101">
        <f t="shared" si="118"/>
        <v>0</v>
      </c>
      <c r="L299" s="101">
        <f t="shared" si="118"/>
        <v>0</v>
      </c>
      <c r="M299" s="101">
        <f t="shared" si="118"/>
        <v>0</v>
      </c>
      <c r="N299" s="101">
        <f t="shared" si="118"/>
        <v>0</v>
      </c>
      <c r="O299" s="101">
        <f t="shared" si="118"/>
        <v>0</v>
      </c>
      <c r="P299" s="101">
        <f t="shared" si="118"/>
        <v>0</v>
      </c>
      <c r="Q299" s="101">
        <f t="shared" si="118"/>
        <v>0</v>
      </c>
      <c r="R299" s="101">
        <f t="shared" si="118"/>
        <v>0</v>
      </c>
      <c r="S299" s="101">
        <f t="shared" si="118"/>
        <v>0</v>
      </c>
      <c r="T299" s="101">
        <f t="shared" si="118"/>
        <v>0</v>
      </c>
      <c r="U299" s="101"/>
      <c r="V299" s="101">
        <f t="shared" si="119"/>
        <v>0</v>
      </c>
      <c r="W299" s="98" t="str">
        <f t="shared" si="120"/>
        <v>ok</v>
      </c>
      <c r="X299" s="102" t="str">
        <f t="shared" si="121"/>
        <v/>
      </c>
    </row>
    <row r="300" spans="1:24" ht="12" customHeight="1" x14ac:dyDescent="0.25">
      <c r="A300" s="97" t="s">
        <v>172</v>
      </c>
      <c r="D300" s="97" t="s">
        <v>1732</v>
      </c>
      <c r="F300" s="100">
        <f t="shared" ref="F300:T300" si="122">SUM(F294:F299)</f>
        <v>153710022.10201603</v>
      </c>
      <c r="G300" s="100">
        <f t="shared" si="122"/>
        <v>62921521.293409944</v>
      </c>
      <c r="H300" s="100">
        <f t="shared" si="122"/>
        <v>17464919.076123126</v>
      </c>
      <c r="I300" s="100">
        <f>SUM(I294:I299)</f>
        <v>0</v>
      </c>
      <c r="J300" s="100">
        <f>SUM(J294:J299)</f>
        <v>1315114.5228132675</v>
      </c>
      <c r="K300" s="100">
        <f>SUM(K294:K299)</f>
        <v>0</v>
      </c>
      <c r="L300" s="100">
        <f t="shared" si="122"/>
        <v>17555033.192183394</v>
      </c>
      <c r="M300" s="100">
        <f t="shared" si="122"/>
        <v>1292663.477033437</v>
      </c>
      <c r="N300" s="100">
        <f t="shared" si="122"/>
        <v>12819941.739670051</v>
      </c>
      <c r="O300" s="100">
        <f t="shared" si="122"/>
        <v>28038140.598865837</v>
      </c>
      <c r="P300" s="100">
        <f>SUM(P294:P299)</f>
        <v>9748304.3321667872</v>
      </c>
      <c r="Q300" s="100">
        <f t="shared" si="122"/>
        <v>2546525.0983428522</v>
      </c>
      <c r="R300" s="100">
        <f t="shared" si="122"/>
        <v>0</v>
      </c>
      <c r="S300" s="100">
        <f t="shared" si="122"/>
        <v>0</v>
      </c>
      <c r="T300" s="100">
        <f t="shared" si="122"/>
        <v>7858.7714073317911</v>
      </c>
      <c r="U300" s="100"/>
      <c r="V300" s="102">
        <f t="shared" si="119"/>
        <v>153710022.10201603</v>
      </c>
      <c r="W300" s="98" t="str">
        <f t="shared" si="120"/>
        <v>ok</v>
      </c>
      <c r="X300" s="243" t="str">
        <f t="shared" si="121"/>
        <v/>
      </c>
    </row>
    <row r="301" spans="1:24" ht="12" customHeight="1" x14ac:dyDescent="0.25">
      <c r="F301" s="101"/>
      <c r="G301" s="101"/>
    </row>
    <row r="302" spans="1:24" ht="12" customHeight="1" x14ac:dyDescent="0.25">
      <c r="A302" s="24" t="s">
        <v>461</v>
      </c>
      <c r="F302" s="101"/>
      <c r="G302" s="101"/>
    </row>
    <row r="303" spans="1:24" ht="12" customHeight="1" x14ac:dyDescent="0.25">
      <c r="A303" s="107" t="s">
        <v>2424</v>
      </c>
      <c r="C303" s="97" t="s">
        <v>845</v>
      </c>
      <c r="D303" s="97" t="s">
        <v>1733</v>
      </c>
      <c r="E303" s="397" t="s">
        <v>2455</v>
      </c>
      <c r="F303" s="100">
        <f>VLOOKUP(C303,'Functional Assignment'!$C$1:$AU$771,13,)</f>
        <v>24058002.03631277</v>
      </c>
      <c r="G303" s="100">
        <f t="shared" ref="G303:T305" si="123">IF(VLOOKUP($E303,$D$5:$AJ$945,3,)=0,0,(VLOOKUP($E303,$D$5:$AJ$945,G$1,)/VLOOKUP($E303,$D$5:$AJ$945,3,))*$F303)</f>
        <v>9848193.8048260771</v>
      </c>
      <c r="H303" s="100">
        <f t="shared" si="123"/>
        <v>2733530.6634628153</v>
      </c>
      <c r="I303" s="100">
        <f t="shared" si="123"/>
        <v>0</v>
      </c>
      <c r="J303" s="100">
        <f t="shared" si="123"/>
        <v>205835.81626725377</v>
      </c>
      <c r="K303" s="100">
        <f t="shared" si="123"/>
        <v>0</v>
      </c>
      <c r="L303" s="100">
        <f t="shared" si="123"/>
        <v>2747634.92002352</v>
      </c>
      <c r="M303" s="100">
        <f t="shared" si="123"/>
        <v>202321.87945492257</v>
      </c>
      <c r="N303" s="100">
        <f t="shared" si="123"/>
        <v>2006519.6807641857</v>
      </c>
      <c r="O303" s="100">
        <f t="shared" si="123"/>
        <v>4388403.7904454311</v>
      </c>
      <c r="P303" s="100">
        <f t="shared" si="123"/>
        <v>1525760.7946878902</v>
      </c>
      <c r="Q303" s="100">
        <f t="shared" si="123"/>
        <v>398570.66678966006</v>
      </c>
      <c r="R303" s="100">
        <f t="shared" si="123"/>
        <v>0</v>
      </c>
      <c r="S303" s="100">
        <f t="shared" si="123"/>
        <v>0</v>
      </c>
      <c r="T303" s="100">
        <f t="shared" si="123"/>
        <v>1230.0195910128948</v>
      </c>
      <c r="U303" s="100"/>
      <c r="V303" s="102">
        <f>SUM(G303:T303)</f>
        <v>24058002.036312766</v>
      </c>
      <c r="W303" s="98" t="str">
        <f>IF(ABS(F303-V303)&lt;0.01,"ok","err")</f>
        <v>ok</v>
      </c>
      <c r="X303" s="102" t="str">
        <f>IF(W303="err",V303-F303,"")</f>
        <v/>
      </c>
    </row>
    <row r="304" spans="1:24" ht="12" hidden="1" customHeight="1" x14ac:dyDescent="0.25">
      <c r="A304" s="107" t="s">
        <v>2423</v>
      </c>
      <c r="C304" s="97" t="s">
        <v>845</v>
      </c>
      <c r="D304" s="97" t="s">
        <v>1734</v>
      </c>
      <c r="E304" s="97" t="s">
        <v>55</v>
      </c>
      <c r="F304" s="101">
        <f>VLOOKUP(C304,'Functional Assignment'!$C$1:$AU$771,14,)</f>
        <v>0</v>
      </c>
      <c r="G304" s="101">
        <f t="shared" si="123"/>
        <v>0</v>
      </c>
      <c r="H304" s="101">
        <f t="shared" si="123"/>
        <v>0</v>
      </c>
      <c r="I304" s="101">
        <f t="shared" si="123"/>
        <v>0</v>
      </c>
      <c r="J304" s="101">
        <f t="shared" si="123"/>
        <v>0</v>
      </c>
      <c r="K304" s="101">
        <f t="shared" si="123"/>
        <v>0</v>
      </c>
      <c r="L304" s="101">
        <f t="shared" si="123"/>
        <v>0</v>
      </c>
      <c r="M304" s="101">
        <f t="shared" si="123"/>
        <v>0</v>
      </c>
      <c r="N304" s="101">
        <f t="shared" si="123"/>
        <v>0</v>
      </c>
      <c r="O304" s="101">
        <f t="shared" si="123"/>
        <v>0</v>
      </c>
      <c r="P304" s="101">
        <f t="shared" si="123"/>
        <v>0</v>
      </c>
      <c r="Q304" s="101">
        <f t="shared" si="123"/>
        <v>0</v>
      </c>
      <c r="R304" s="101">
        <f t="shared" si="123"/>
        <v>0</v>
      </c>
      <c r="S304" s="101">
        <f t="shared" si="123"/>
        <v>0</v>
      </c>
      <c r="T304" s="101">
        <f t="shared" si="123"/>
        <v>0</v>
      </c>
      <c r="U304" s="101"/>
      <c r="V304" s="101">
        <f>SUM(G304:T304)</f>
        <v>0</v>
      </c>
      <c r="W304" s="98" t="str">
        <f>IF(ABS(F304-V304)&lt;0.01,"ok","err")</f>
        <v>ok</v>
      </c>
      <c r="X304" s="102" t="str">
        <f>IF(W304="err",V304-F304,"")</f>
        <v/>
      </c>
    </row>
    <row r="305" spans="1:24" ht="12" hidden="1" customHeight="1" x14ac:dyDescent="0.25">
      <c r="A305" s="107" t="s">
        <v>2423</v>
      </c>
      <c r="C305" s="97" t="s">
        <v>845</v>
      </c>
      <c r="D305" s="97" t="s">
        <v>1735</v>
      </c>
      <c r="E305" s="97" t="s">
        <v>58</v>
      </c>
      <c r="F305" s="101">
        <f>VLOOKUP(C305,'Functional Assignment'!$C$1:$AU$771,15,)</f>
        <v>0</v>
      </c>
      <c r="G305" s="101">
        <f t="shared" si="123"/>
        <v>0</v>
      </c>
      <c r="H305" s="101">
        <f t="shared" si="123"/>
        <v>0</v>
      </c>
      <c r="I305" s="101">
        <f t="shared" si="123"/>
        <v>0</v>
      </c>
      <c r="J305" s="101">
        <f t="shared" si="123"/>
        <v>0</v>
      </c>
      <c r="K305" s="101">
        <f t="shared" si="123"/>
        <v>0</v>
      </c>
      <c r="L305" s="101">
        <f t="shared" si="123"/>
        <v>0</v>
      </c>
      <c r="M305" s="101">
        <f t="shared" si="123"/>
        <v>0</v>
      </c>
      <c r="N305" s="101">
        <f t="shared" si="123"/>
        <v>0</v>
      </c>
      <c r="O305" s="101">
        <f t="shared" si="123"/>
        <v>0</v>
      </c>
      <c r="P305" s="101">
        <f t="shared" si="123"/>
        <v>0</v>
      </c>
      <c r="Q305" s="101">
        <f t="shared" si="123"/>
        <v>0</v>
      </c>
      <c r="R305" s="101">
        <f t="shared" si="123"/>
        <v>0</v>
      </c>
      <c r="S305" s="101">
        <f t="shared" si="123"/>
        <v>0</v>
      </c>
      <c r="T305" s="101">
        <f t="shared" si="123"/>
        <v>0</v>
      </c>
      <c r="U305" s="101"/>
      <c r="V305" s="101">
        <f>SUM(G305:T305)</f>
        <v>0</v>
      </c>
      <c r="W305" s="98" t="str">
        <f>IF(ABS(F305-V305)&lt;0.01,"ok","err")</f>
        <v>ok</v>
      </c>
      <c r="X305" s="102" t="str">
        <f>IF(W305="err",V305-F305,"")</f>
        <v/>
      </c>
    </row>
    <row r="306" spans="1:24" ht="12" hidden="1" customHeight="1" x14ac:dyDescent="0.25">
      <c r="A306" s="97" t="s">
        <v>463</v>
      </c>
      <c r="D306" s="97" t="s">
        <v>1736</v>
      </c>
      <c r="F306" s="100">
        <f t="shared" ref="F306:T306" si="124">SUM(F303:F305)</f>
        <v>24058002.03631277</v>
      </c>
      <c r="G306" s="100">
        <f t="shared" si="124"/>
        <v>9848193.8048260771</v>
      </c>
      <c r="H306" s="100">
        <f t="shared" si="124"/>
        <v>2733530.6634628153</v>
      </c>
      <c r="I306" s="100">
        <f>SUM(I303:I305)</f>
        <v>0</v>
      </c>
      <c r="J306" s="100">
        <f>SUM(J303:J305)</f>
        <v>205835.81626725377</v>
      </c>
      <c r="K306" s="100">
        <f>SUM(K303:K305)</f>
        <v>0</v>
      </c>
      <c r="L306" s="100">
        <f t="shared" si="124"/>
        <v>2747634.92002352</v>
      </c>
      <c r="M306" s="100">
        <f t="shared" si="124"/>
        <v>202321.87945492257</v>
      </c>
      <c r="N306" s="100">
        <f t="shared" si="124"/>
        <v>2006519.6807641857</v>
      </c>
      <c r="O306" s="100">
        <f t="shared" si="124"/>
        <v>4388403.7904454311</v>
      </c>
      <c r="P306" s="100">
        <f>SUM(P303:P305)</f>
        <v>1525760.7946878902</v>
      </c>
      <c r="Q306" s="100">
        <f t="shared" si="124"/>
        <v>398570.66678966006</v>
      </c>
      <c r="R306" s="100">
        <f t="shared" si="124"/>
        <v>0</v>
      </c>
      <c r="S306" s="100">
        <f t="shared" si="124"/>
        <v>0</v>
      </c>
      <c r="T306" s="100">
        <f t="shared" si="124"/>
        <v>1230.0195910128948</v>
      </c>
      <c r="U306" s="100"/>
      <c r="V306" s="102">
        <f>SUM(G306:T306)</f>
        <v>24058002.036312766</v>
      </c>
      <c r="W306" s="98" t="str">
        <f>IF(ABS(F306-V306)&lt;0.01,"ok","err")</f>
        <v>ok</v>
      </c>
      <c r="X306" s="102" t="str">
        <f>IF(W306="err",V306-F306,"")</f>
        <v/>
      </c>
    </row>
    <row r="307" spans="1:24" ht="12" customHeight="1" x14ac:dyDescent="0.25">
      <c r="F307" s="101"/>
      <c r="G307" s="101"/>
    </row>
    <row r="308" spans="1:24" ht="12" customHeight="1" x14ac:dyDescent="0.25">
      <c r="A308" s="24" t="s">
        <v>1697</v>
      </c>
      <c r="F308" s="101"/>
      <c r="G308" s="101"/>
    </row>
    <row r="309" spans="1:24" ht="12" customHeight="1" x14ac:dyDescent="0.25">
      <c r="A309" s="107" t="s">
        <v>157</v>
      </c>
      <c r="C309" s="97" t="s">
        <v>845</v>
      </c>
      <c r="D309" s="97" t="s">
        <v>1737</v>
      </c>
      <c r="E309" s="97" t="s">
        <v>2429</v>
      </c>
      <c r="F309" s="100">
        <f>VLOOKUP(C309,'Functional Assignment'!$C$1:$AU$771,17,)</f>
        <v>0</v>
      </c>
      <c r="G309" s="100">
        <f t="shared" ref="G309:T309" si="125">IF(VLOOKUP($E309,$D$5:$AJ$945,3,)=0,0,(VLOOKUP($E309,$D$5:$AJ$945,G$1,)/VLOOKUP($E309,$D$5:$AJ$945,3,))*$F309)</f>
        <v>0</v>
      </c>
      <c r="H309" s="100">
        <f t="shared" si="125"/>
        <v>0</v>
      </c>
      <c r="I309" s="100">
        <f t="shared" si="125"/>
        <v>0</v>
      </c>
      <c r="J309" s="100">
        <f t="shared" si="125"/>
        <v>0</v>
      </c>
      <c r="K309" s="100">
        <f t="shared" si="125"/>
        <v>0</v>
      </c>
      <c r="L309" s="100">
        <f t="shared" si="125"/>
        <v>0</v>
      </c>
      <c r="M309" s="100">
        <f t="shared" si="125"/>
        <v>0</v>
      </c>
      <c r="N309" s="100">
        <f t="shared" si="125"/>
        <v>0</v>
      </c>
      <c r="O309" s="100">
        <f t="shared" si="125"/>
        <v>0</v>
      </c>
      <c r="P309" s="100">
        <f t="shared" si="125"/>
        <v>0</v>
      </c>
      <c r="Q309" s="100">
        <f t="shared" si="125"/>
        <v>0</v>
      </c>
      <c r="R309" s="100">
        <f t="shared" si="125"/>
        <v>0</v>
      </c>
      <c r="S309" s="100">
        <f t="shared" si="125"/>
        <v>0</v>
      </c>
      <c r="T309" s="100">
        <f t="shared" si="125"/>
        <v>0</v>
      </c>
      <c r="U309" s="100"/>
      <c r="V309" s="102">
        <f>SUM(G309:T309)</f>
        <v>0</v>
      </c>
      <c r="W309" s="98" t="str">
        <f>IF(ABS(F309-V309)&lt;0.01,"ok","err")</f>
        <v>ok</v>
      </c>
      <c r="X309" s="102" t="str">
        <f>IF(W309="err",V309-F309,"")</f>
        <v/>
      </c>
    </row>
    <row r="310" spans="1:24" ht="12" customHeight="1" x14ac:dyDescent="0.25">
      <c r="F310" s="101"/>
    </row>
    <row r="311" spans="1:24" ht="12" customHeight="1" x14ac:dyDescent="0.25">
      <c r="A311" s="24" t="s">
        <v>1698</v>
      </c>
      <c r="F311" s="101"/>
      <c r="G311" s="101"/>
    </row>
    <row r="312" spans="1:24" ht="12" customHeight="1" x14ac:dyDescent="0.25">
      <c r="A312" s="107" t="s">
        <v>159</v>
      </c>
      <c r="C312" s="97" t="s">
        <v>845</v>
      </c>
      <c r="D312" s="97" t="s">
        <v>1738</v>
      </c>
      <c r="E312" s="97" t="s">
        <v>2429</v>
      </c>
      <c r="F312" s="100">
        <f>VLOOKUP(C312,'Functional Assignment'!$C$1:$AU$771,18,)</f>
        <v>6089358.8125094417</v>
      </c>
      <c r="G312" s="100">
        <f t="shared" ref="G312:T312" si="126">IF(VLOOKUP($E312,$D$5:$AJ$945,3,)=0,0,(VLOOKUP($E312,$D$5:$AJ$945,G$1,)/VLOOKUP($E312,$D$5:$AJ$945,3,))*$F312)</f>
        <v>2956746.3553215209</v>
      </c>
      <c r="H312" s="100">
        <f t="shared" si="126"/>
        <v>720346.14834054536</v>
      </c>
      <c r="I312" s="100">
        <f t="shared" si="126"/>
        <v>0</v>
      </c>
      <c r="J312" s="100">
        <f t="shared" si="126"/>
        <v>75439.918493136516</v>
      </c>
      <c r="K312" s="100">
        <f t="shared" si="126"/>
        <v>0</v>
      </c>
      <c r="L312" s="100">
        <f t="shared" si="126"/>
        <v>673165.38930680905</v>
      </c>
      <c r="M312" s="100">
        <f t="shared" si="126"/>
        <v>52036.850267863781</v>
      </c>
      <c r="N312" s="100">
        <f t="shared" si="126"/>
        <v>473826.14601298858</v>
      </c>
      <c r="O312" s="100">
        <f t="shared" si="126"/>
        <v>1083838.1760583515</v>
      </c>
      <c r="P312" s="100">
        <f t="shared" si="126"/>
        <v>0</v>
      </c>
      <c r="Q312" s="100">
        <f t="shared" si="126"/>
        <v>0</v>
      </c>
      <c r="R312" s="100">
        <f t="shared" si="126"/>
        <v>53389.851208470136</v>
      </c>
      <c r="S312" s="100">
        <f t="shared" si="126"/>
        <v>223.63143771212506</v>
      </c>
      <c r="T312" s="100">
        <f t="shared" si="126"/>
        <v>346.34606204307795</v>
      </c>
      <c r="U312" s="100"/>
      <c r="V312" s="102">
        <f>SUM(G312:T312)</f>
        <v>6089358.8125094408</v>
      </c>
      <c r="W312" s="98" t="str">
        <f>IF(ABS(F312-V312)&lt;0.01,"ok","err")</f>
        <v>ok</v>
      </c>
      <c r="X312" s="102" t="str">
        <f>IF(W312="err",V312-F312,"")</f>
        <v/>
      </c>
    </row>
    <row r="313" spans="1:24" ht="12" customHeight="1" x14ac:dyDescent="0.25">
      <c r="F313" s="101"/>
    </row>
    <row r="314" spans="1:24" ht="12" customHeight="1" x14ac:dyDescent="0.25">
      <c r="A314" s="24" t="s">
        <v>158</v>
      </c>
      <c r="F314" s="101"/>
    </row>
    <row r="315" spans="1:24" ht="12" customHeight="1" x14ac:dyDescent="0.25">
      <c r="A315" s="107" t="s">
        <v>820</v>
      </c>
      <c r="C315" s="97" t="s">
        <v>845</v>
      </c>
      <c r="D315" s="97" t="s">
        <v>1739</v>
      </c>
      <c r="E315" s="97" t="s">
        <v>2429</v>
      </c>
      <c r="F315" s="100">
        <f>VLOOKUP(C315,'Functional Assignment'!$C$1:$AU$771,19,)</f>
        <v>0</v>
      </c>
      <c r="G315" s="100">
        <f t="shared" ref="G315:T319" si="127">IF(VLOOKUP($E315,$D$5:$AJ$945,3,)=0,0,(VLOOKUP($E315,$D$5:$AJ$945,G$1,)/VLOOKUP($E315,$D$5:$AJ$945,3,))*$F315)</f>
        <v>0</v>
      </c>
      <c r="H315" s="100">
        <f t="shared" si="127"/>
        <v>0</v>
      </c>
      <c r="I315" s="100">
        <f t="shared" si="127"/>
        <v>0</v>
      </c>
      <c r="J315" s="100">
        <f t="shared" si="127"/>
        <v>0</v>
      </c>
      <c r="K315" s="100">
        <f t="shared" si="127"/>
        <v>0</v>
      </c>
      <c r="L315" s="100">
        <f t="shared" si="127"/>
        <v>0</v>
      </c>
      <c r="M315" s="100">
        <f t="shared" si="127"/>
        <v>0</v>
      </c>
      <c r="N315" s="100">
        <f t="shared" si="127"/>
        <v>0</v>
      </c>
      <c r="O315" s="100">
        <f t="shared" si="127"/>
        <v>0</v>
      </c>
      <c r="P315" s="100">
        <f t="shared" si="127"/>
        <v>0</v>
      </c>
      <c r="Q315" s="100">
        <f t="shared" si="127"/>
        <v>0</v>
      </c>
      <c r="R315" s="100">
        <f t="shared" si="127"/>
        <v>0</v>
      </c>
      <c r="S315" s="100">
        <f t="shared" si="127"/>
        <v>0</v>
      </c>
      <c r="T315" s="100">
        <f t="shared" si="127"/>
        <v>0</v>
      </c>
      <c r="U315" s="100"/>
      <c r="V315" s="102">
        <f t="shared" ref="V315:V320" si="128">SUM(G315:T315)</f>
        <v>0</v>
      </c>
      <c r="W315" s="98" t="str">
        <f t="shared" ref="W315:W320" si="129">IF(ABS(F315-V315)&lt;0.01,"ok","err")</f>
        <v>ok</v>
      </c>
      <c r="X315" s="102" t="str">
        <f t="shared" ref="X315:X320" si="130">IF(W315="err",V315-F315,"")</f>
        <v/>
      </c>
    </row>
    <row r="316" spans="1:24" ht="12" customHeight="1" x14ac:dyDescent="0.25">
      <c r="A316" s="107" t="s">
        <v>821</v>
      </c>
      <c r="C316" s="97" t="s">
        <v>845</v>
      </c>
      <c r="D316" s="97" t="s">
        <v>1740</v>
      </c>
      <c r="E316" s="97" t="s">
        <v>2429</v>
      </c>
      <c r="F316" s="101">
        <f>VLOOKUP(C316,'Functional Assignment'!$C$1:$AU$771,20,)</f>
        <v>6635525.2727088071</v>
      </c>
      <c r="G316" s="101">
        <f t="shared" si="127"/>
        <v>3221942.6986993942</v>
      </c>
      <c r="H316" s="101">
        <f t="shared" si="127"/>
        <v>784955.39835701289</v>
      </c>
      <c r="I316" s="101">
        <f t="shared" si="127"/>
        <v>0</v>
      </c>
      <c r="J316" s="101">
        <f t="shared" si="127"/>
        <v>82206.271816984285</v>
      </c>
      <c r="K316" s="101">
        <f t="shared" si="127"/>
        <v>0</v>
      </c>
      <c r="L316" s="101">
        <f t="shared" si="127"/>
        <v>733542.90508911759</v>
      </c>
      <c r="M316" s="101">
        <f t="shared" si="127"/>
        <v>56704.136789449338</v>
      </c>
      <c r="N316" s="101">
        <f t="shared" si="127"/>
        <v>516324.5365473401</v>
      </c>
      <c r="O316" s="101">
        <f t="shared" si="127"/>
        <v>1181049.7344954507</v>
      </c>
      <c r="P316" s="101">
        <f t="shared" si="127"/>
        <v>0</v>
      </c>
      <c r="Q316" s="101">
        <f t="shared" si="127"/>
        <v>0</v>
      </c>
      <c r="R316" s="101">
        <f t="shared" si="127"/>
        <v>58178.491021449743</v>
      </c>
      <c r="S316" s="101">
        <f t="shared" si="127"/>
        <v>243.68937722352527</v>
      </c>
      <c r="T316" s="101">
        <f t="shared" si="127"/>
        <v>377.41051538444759</v>
      </c>
      <c r="U316" s="101"/>
      <c r="V316" s="101">
        <f t="shared" si="128"/>
        <v>6635525.2727088071</v>
      </c>
      <c r="W316" s="98" t="str">
        <f t="shared" si="129"/>
        <v>ok</v>
      </c>
      <c r="X316" s="102" t="str">
        <f t="shared" si="130"/>
        <v/>
      </c>
    </row>
    <row r="317" spans="1:24" ht="12" customHeight="1" x14ac:dyDescent="0.25">
      <c r="A317" s="107" t="s">
        <v>822</v>
      </c>
      <c r="C317" s="97" t="s">
        <v>845</v>
      </c>
      <c r="D317" s="97" t="s">
        <v>1741</v>
      </c>
      <c r="E317" s="97" t="s">
        <v>941</v>
      </c>
      <c r="F317" s="101">
        <f>VLOOKUP(C317,'Functional Assignment'!$C$1:$AU$771,21,)</f>
        <v>12304984.170104707</v>
      </c>
      <c r="G317" s="101">
        <f t="shared" si="127"/>
        <v>9832359.6453646608</v>
      </c>
      <c r="H317" s="101">
        <f t="shared" si="127"/>
        <v>1902503.3945779952</v>
      </c>
      <c r="I317" s="101">
        <f t="shared" si="127"/>
        <v>0</v>
      </c>
      <c r="J317" s="101">
        <f t="shared" si="127"/>
        <v>13538.918179562352</v>
      </c>
      <c r="K317" s="101">
        <f t="shared" si="127"/>
        <v>0</v>
      </c>
      <c r="L317" s="101">
        <f t="shared" si="127"/>
        <v>102809.01949843047</v>
      </c>
      <c r="M317" s="101">
        <f t="shared" si="127"/>
        <v>3949.8024368706356</v>
      </c>
      <c r="N317" s="101">
        <f t="shared" si="127"/>
        <v>14109.698878532095</v>
      </c>
      <c r="O317" s="101">
        <f t="shared" si="127"/>
        <v>6324.2501445847738</v>
      </c>
      <c r="P317" s="101">
        <f t="shared" si="127"/>
        <v>0</v>
      </c>
      <c r="Q317" s="101">
        <f t="shared" si="127"/>
        <v>0</v>
      </c>
      <c r="R317" s="101">
        <f t="shared" si="127"/>
        <v>427410.73460097122</v>
      </c>
      <c r="S317" s="101">
        <f t="shared" si="127"/>
        <v>10.147212426128798</v>
      </c>
      <c r="T317" s="101">
        <f t="shared" si="127"/>
        <v>1968.5592106689874</v>
      </c>
      <c r="U317" s="101"/>
      <c r="V317" s="101">
        <f t="shared" si="128"/>
        <v>12304984.170104701</v>
      </c>
      <c r="W317" s="98" t="str">
        <f t="shared" si="129"/>
        <v>ok</v>
      </c>
      <c r="X317" s="102" t="str">
        <f t="shared" si="130"/>
        <v/>
      </c>
    </row>
    <row r="318" spans="1:24" ht="12" customHeight="1" x14ac:dyDescent="0.25">
      <c r="A318" s="107" t="s">
        <v>823</v>
      </c>
      <c r="C318" s="97" t="s">
        <v>845</v>
      </c>
      <c r="D318" s="97" t="s">
        <v>1742</v>
      </c>
      <c r="E318" s="97" t="s">
        <v>760</v>
      </c>
      <c r="F318" s="101">
        <f>VLOOKUP(C318,'Functional Assignment'!$C$1:$AU$771,22,)</f>
        <v>3054705.8103803005</v>
      </c>
      <c r="G318" s="101">
        <f t="shared" si="127"/>
        <v>2556668.6784193865</v>
      </c>
      <c r="H318" s="101">
        <f t="shared" si="127"/>
        <v>443654.25233692542</v>
      </c>
      <c r="I318" s="101">
        <f t="shared" si="127"/>
        <v>0</v>
      </c>
      <c r="J318" s="101">
        <f t="shared" si="127"/>
        <v>33870.001689859571</v>
      </c>
      <c r="K318" s="101">
        <f t="shared" si="127"/>
        <v>0</v>
      </c>
      <c r="L318" s="101">
        <f t="shared" si="127"/>
        <v>0</v>
      </c>
      <c r="M318" s="101">
        <f t="shared" si="127"/>
        <v>0</v>
      </c>
      <c r="N318" s="101">
        <f t="shared" si="127"/>
        <v>0</v>
      </c>
      <c r="O318" s="101">
        <f t="shared" si="127"/>
        <v>0</v>
      </c>
      <c r="P318" s="101">
        <f t="shared" si="127"/>
        <v>0</v>
      </c>
      <c r="Q318" s="101">
        <f t="shared" si="127"/>
        <v>0</v>
      </c>
      <c r="R318" s="101">
        <f t="shared" si="127"/>
        <v>20296.345868730947</v>
      </c>
      <c r="S318" s="101">
        <f t="shared" si="127"/>
        <v>85.014303358964384</v>
      </c>
      <c r="T318" s="101">
        <f t="shared" si="127"/>
        <v>131.51776203830306</v>
      </c>
      <c r="U318" s="101"/>
      <c r="V318" s="101">
        <f t="shared" si="128"/>
        <v>3054705.8103802996</v>
      </c>
      <c r="W318" s="98" t="str">
        <f t="shared" si="129"/>
        <v>ok</v>
      </c>
      <c r="X318" s="102" t="str">
        <f t="shared" si="130"/>
        <v/>
      </c>
    </row>
    <row r="319" spans="1:24" ht="12" customHeight="1" x14ac:dyDescent="0.25">
      <c r="A319" s="107" t="s">
        <v>824</v>
      </c>
      <c r="C319" s="97" t="s">
        <v>845</v>
      </c>
      <c r="D319" s="97" t="s">
        <v>1743</v>
      </c>
      <c r="E319" s="97" t="s">
        <v>940</v>
      </c>
      <c r="F319" s="101">
        <f>VLOOKUP(C319,'Functional Assignment'!$C$1:$AU$771,23,)</f>
        <v>4669640.576177272</v>
      </c>
      <c r="G319" s="101">
        <f t="shared" si="127"/>
        <v>3770271.9692489989</v>
      </c>
      <c r="H319" s="101">
        <f t="shared" si="127"/>
        <v>729525.31016906793</v>
      </c>
      <c r="I319" s="101">
        <f t="shared" si="127"/>
        <v>0</v>
      </c>
      <c r="J319" s="101">
        <f t="shared" si="127"/>
        <v>5191.5720689106711</v>
      </c>
      <c r="K319" s="101">
        <f t="shared" si="127"/>
        <v>0</v>
      </c>
      <c r="L319" s="101">
        <f t="shared" si="127"/>
        <v>0</v>
      </c>
      <c r="M319" s="101">
        <f t="shared" si="127"/>
        <v>0</v>
      </c>
      <c r="N319" s="101">
        <f t="shared" si="127"/>
        <v>0</v>
      </c>
      <c r="O319" s="101">
        <f t="shared" si="127"/>
        <v>0</v>
      </c>
      <c r="P319" s="101">
        <f t="shared" si="127"/>
        <v>0</v>
      </c>
      <c r="Q319" s="101">
        <f t="shared" si="127"/>
        <v>0</v>
      </c>
      <c r="R319" s="101">
        <f t="shared" si="127"/>
        <v>163892.97891293713</v>
      </c>
      <c r="S319" s="101">
        <f t="shared" si="127"/>
        <v>3.8910039864423243</v>
      </c>
      <c r="T319" s="101">
        <f t="shared" si="127"/>
        <v>754.85477336981103</v>
      </c>
      <c r="U319" s="101"/>
      <c r="V319" s="101">
        <f t="shared" si="128"/>
        <v>4669640.576177272</v>
      </c>
      <c r="W319" s="98" t="str">
        <f t="shared" si="129"/>
        <v>ok</v>
      </c>
      <c r="X319" s="102" t="str">
        <f t="shared" si="130"/>
        <v/>
      </c>
    </row>
    <row r="320" spans="1:24" ht="12" customHeight="1" x14ac:dyDescent="0.25">
      <c r="A320" s="97" t="s">
        <v>163</v>
      </c>
      <c r="D320" s="97" t="s">
        <v>1744</v>
      </c>
      <c r="F320" s="100">
        <f>SUM(F315:F319)</f>
        <v>26664855.829371091</v>
      </c>
      <c r="G320" s="100">
        <f t="shared" ref="G320:T320" si="131">SUM(G315:G319)</f>
        <v>19381242.991732441</v>
      </c>
      <c r="H320" s="100">
        <f t="shared" si="131"/>
        <v>3860638.3554410012</v>
      </c>
      <c r="I320" s="100">
        <f>SUM(I315:I319)</f>
        <v>0</v>
      </c>
      <c r="J320" s="100">
        <f>SUM(J315:J319)</f>
        <v>134806.76375531688</v>
      </c>
      <c r="K320" s="100">
        <f>SUM(K315:K319)</f>
        <v>0</v>
      </c>
      <c r="L320" s="100">
        <f t="shared" si="131"/>
        <v>836351.92458754801</v>
      </c>
      <c r="M320" s="100">
        <f t="shared" si="131"/>
        <v>60653.93922631997</v>
      </c>
      <c r="N320" s="100">
        <f t="shared" si="131"/>
        <v>530434.23542587215</v>
      </c>
      <c r="O320" s="100">
        <f t="shared" si="131"/>
        <v>1187373.9846400355</v>
      </c>
      <c r="P320" s="100">
        <f>SUM(P315:P319)</f>
        <v>0</v>
      </c>
      <c r="Q320" s="100">
        <f t="shared" si="131"/>
        <v>0</v>
      </c>
      <c r="R320" s="100">
        <f t="shared" si="131"/>
        <v>669778.55040408904</v>
      </c>
      <c r="S320" s="100">
        <f t="shared" si="131"/>
        <v>342.74189699506076</v>
      </c>
      <c r="T320" s="100">
        <f t="shared" si="131"/>
        <v>3232.3422614615488</v>
      </c>
      <c r="U320" s="100"/>
      <c r="V320" s="102">
        <f t="shared" si="128"/>
        <v>26664855.82937108</v>
      </c>
      <c r="W320" s="98" t="str">
        <f t="shared" si="129"/>
        <v>ok</v>
      </c>
      <c r="X320" s="102" t="str">
        <f t="shared" si="130"/>
        <v/>
      </c>
    </row>
    <row r="321" spans="1:24" ht="12" customHeight="1" x14ac:dyDescent="0.25">
      <c r="F321" s="101"/>
    </row>
    <row r="322" spans="1:24" ht="12" customHeight="1" x14ac:dyDescent="0.25">
      <c r="A322" s="24" t="s">
        <v>819</v>
      </c>
      <c r="F322" s="101"/>
    </row>
    <row r="323" spans="1:24" ht="12" customHeight="1" x14ac:dyDescent="0.25">
      <c r="A323" s="107" t="s">
        <v>409</v>
      </c>
      <c r="C323" s="97" t="s">
        <v>845</v>
      </c>
      <c r="D323" s="97" t="s">
        <v>1745</v>
      </c>
      <c r="E323" s="97" t="s">
        <v>2332</v>
      </c>
      <c r="F323" s="100">
        <f>VLOOKUP(C323,'Functional Assignment'!$C$1:$AU$771,24,)</f>
        <v>4741964.9861297403</v>
      </c>
      <c r="G323" s="100">
        <f t="shared" ref="G323:T324" si="132">IF(VLOOKUP($E323,$D$5:$AJ$945,3,)=0,0,(VLOOKUP($E323,$D$5:$AJ$945,G$1,)/VLOOKUP($E323,$D$5:$AJ$945,3,))*$F323)</f>
        <v>3313449.2268520221</v>
      </c>
      <c r="H323" s="100">
        <f t="shared" si="132"/>
        <v>574977.05971984367</v>
      </c>
      <c r="I323" s="100">
        <f t="shared" si="132"/>
        <v>0</v>
      </c>
      <c r="J323" s="100">
        <f t="shared" si="132"/>
        <v>43895.609884861515</v>
      </c>
      <c r="K323" s="100">
        <f t="shared" si="132"/>
        <v>0</v>
      </c>
      <c r="L323" s="100">
        <f t="shared" si="132"/>
        <v>478689.90663479501</v>
      </c>
      <c r="M323" s="100">
        <f t="shared" si="132"/>
        <v>0</v>
      </c>
      <c r="N323" s="100">
        <f t="shared" si="132"/>
        <v>304368.44012449484</v>
      </c>
      <c r="O323" s="100">
        <f t="shared" si="132"/>
        <v>0</v>
      </c>
      <c r="P323" s="100">
        <f t="shared" si="132"/>
        <v>0</v>
      </c>
      <c r="Q323" s="100">
        <f t="shared" si="132"/>
        <v>0</v>
      </c>
      <c r="R323" s="100">
        <f t="shared" si="132"/>
        <v>26304.116796332179</v>
      </c>
      <c r="S323" s="100">
        <f t="shared" si="132"/>
        <v>110.17875726872589</v>
      </c>
      <c r="T323" s="100">
        <f t="shared" si="132"/>
        <v>170.44736012197515</v>
      </c>
      <c r="U323" s="100"/>
      <c r="V323" s="102">
        <f>SUM(G323:T323)</f>
        <v>4741964.9861297403</v>
      </c>
      <c r="W323" s="98" t="str">
        <f>IF(ABS(F323-V323)&lt;0.01,"ok","err")</f>
        <v>ok</v>
      </c>
      <c r="X323" s="102" t="str">
        <f>IF(W323="err",V323-F323,"")</f>
        <v/>
      </c>
    </row>
    <row r="324" spans="1:24" ht="12" customHeight="1" x14ac:dyDescent="0.25">
      <c r="A324" s="107" t="s">
        <v>412</v>
      </c>
      <c r="C324" s="97" t="s">
        <v>845</v>
      </c>
      <c r="D324" s="97" t="s">
        <v>1746</v>
      </c>
      <c r="E324" s="97" t="s">
        <v>2331</v>
      </c>
      <c r="F324" s="101">
        <f>VLOOKUP(C324,'Functional Assignment'!$C$1:$AU$771,25,)</f>
        <v>4219777.0502181724</v>
      </c>
      <c r="G324" s="101">
        <f t="shared" si="132"/>
        <v>3374651.7961302903</v>
      </c>
      <c r="H324" s="101">
        <f t="shared" si="132"/>
        <v>652975.14830871404</v>
      </c>
      <c r="I324" s="101">
        <f t="shared" si="132"/>
        <v>0</v>
      </c>
      <c r="J324" s="101">
        <f t="shared" si="132"/>
        <v>4646.8127896298693</v>
      </c>
      <c r="K324" s="101">
        <f t="shared" si="132"/>
        <v>0</v>
      </c>
      <c r="L324" s="101">
        <f t="shared" si="132"/>
        <v>35285.999986008945</v>
      </c>
      <c r="M324" s="101">
        <f t="shared" si="132"/>
        <v>0</v>
      </c>
      <c r="N324" s="101">
        <f t="shared" si="132"/>
        <v>4842.7155210645187</v>
      </c>
      <c r="O324" s="101">
        <f t="shared" si="132"/>
        <v>0</v>
      </c>
      <c r="P324" s="101">
        <f t="shared" si="132"/>
        <v>0</v>
      </c>
      <c r="Q324" s="101">
        <f t="shared" si="132"/>
        <v>0</v>
      </c>
      <c r="R324" s="101">
        <f t="shared" si="132"/>
        <v>146695.44801349053</v>
      </c>
      <c r="S324" s="101">
        <f t="shared" si="132"/>
        <v>3.4827152255048679</v>
      </c>
      <c r="T324" s="101">
        <f t="shared" si="132"/>
        <v>675.64675374794433</v>
      </c>
      <c r="U324" s="101"/>
      <c r="V324" s="101">
        <f>SUM(G324:T324)</f>
        <v>4219777.0502181714</v>
      </c>
      <c r="W324" s="98" t="str">
        <f>IF(ABS(F324-V324)&lt;0.01,"ok","err")</f>
        <v>ok</v>
      </c>
      <c r="X324" s="102" t="str">
        <f>IF(W324="err",V324-F324,"")</f>
        <v/>
      </c>
    </row>
    <row r="325" spans="1:24" ht="12" customHeight="1" x14ac:dyDescent="0.25">
      <c r="A325" s="97" t="s">
        <v>1536</v>
      </c>
      <c r="D325" s="97" t="s">
        <v>1747</v>
      </c>
      <c r="F325" s="100">
        <f t="shared" ref="F325:T325" si="133">F323+F324</f>
        <v>8961742.0363479126</v>
      </c>
      <c r="G325" s="100">
        <f t="shared" si="133"/>
        <v>6688101.0229823124</v>
      </c>
      <c r="H325" s="100">
        <f t="shared" si="133"/>
        <v>1227952.2080285577</v>
      </c>
      <c r="I325" s="100">
        <f>I323+I324</f>
        <v>0</v>
      </c>
      <c r="J325" s="100">
        <f>J323+J324</f>
        <v>48542.422674491383</v>
      </c>
      <c r="K325" s="100">
        <f>K323+K324</f>
        <v>0</v>
      </c>
      <c r="L325" s="100">
        <f t="shared" si="133"/>
        <v>513975.90662080399</v>
      </c>
      <c r="M325" s="100">
        <f t="shared" si="133"/>
        <v>0</v>
      </c>
      <c r="N325" s="100">
        <f t="shared" si="133"/>
        <v>309211.15564555937</v>
      </c>
      <c r="O325" s="100">
        <f t="shared" si="133"/>
        <v>0</v>
      </c>
      <c r="P325" s="100">
        <f>P323+P324</f>
        <v>0</v>
      </c>
      <c r="Q325" s="100">
        <f t="shared" si="133"/>
        <v>0</v>
      </c>
      <c r="R325" s="100">
        <f t="shared" si="133"/>
        <v>172999.56480982271</v>
      </c>
      <c r="S325" s="100">
        <f t="shared" si="133"/>
        <v>113.66147249423075</v>
      </c>
      <c r="T325" s="100">
        <f t="shared" si="133"/>
        <v>846.09411386991951</v>
      </c>
      <c r="U325" s="100"/>
      <c r="V325" s="102">
        <f>SUM(G325:T325)</f>
        <v>8961742.0363479108</v>
      </c>
      <c r="W325" s="98" t="str">
        <f>IF(ABS(F325-V325)&lt;0.01,"ok","err")</f>
        <v>ok</v>
      </c>
      <c r="X325" s="102" t="str">
        <f>IF(W325="err",V325-F325,"")</f>
        <v/>
      </c>
    </row>
    <row r="326" spans="1:24" ht="12" customHeight="1" x14ac:dyDescent="0.25">
      <c r="F326" s="101"/>
    </row>
    <row r="327" spans="1:24" ht="12" customHeight="1" x14ac:dyDescent="0.25">
      <c r="A327" s="24" t="s">
        <v>134</v>
      </c>
      <c r="F327" s="101"/>
    </row>
    <row r="328" spans="1:24" ht="12" customHeight="1" x14ac:dyDescent="0.25">
      <c r="A328" s="107" t="s">
        <v>412</v>
      </c>
      <c r="C328" s="97" t="s">
        <v>845</v>
      </c>
      <c r="D328" s="97" t="s">
        <v>1748</v>
      </c>
      <c r="E328" s="97" t="s">
        <v>413</v>
      </c>
      <c r="F328" s="100">
        <f>VLOOKUP(C328,'Functional Assignment'!$C$1:$AU$771,26,)</f>
        <v>2825023.9614398843</v>
      </c>
      <c r="G328" s="100">
        <f t="shared" ref="G328:T328" si="134">IF(VLOOKUP($E328,$D$5:$AJ$945,3,)=0,0,(VLOOKUP($E328,$D$5:$AJ$945,G$1,)/VLOOKUP($E328,$D$5:$AJ$945,3,))*$F328)</f>
        <v>1981201.8347892405</v>
      </c>
      <c r="H328" s="100">
        <f t="shared" si="134"/>
        <v>776083.59789749118</v>
      </c>
      <c r="I328" s="100">
        <f t="shared" si="134"/>
        <v>0</v>
      </c>
      <c r="J328" s="100">
        <f t="shared" si="134"/>
        <v>7349.8628881341556</v>
      </c>
      <c r="K328" s="100">
        <f t="shared" si="134"/>
        <v>0</v>
      </c>
      <c r="L328" s="100">
        <f t="shared" si="134"/>
        <v>52727.998153994347</v>
      </c>
      <c r="M328" s="100">
        <f t="shared" si="134"/>
        <v>0</v>
      </c>
      <c r="N328" s="100">
        <f t="shared" si="134"/>
        <v>7660.6677110237852</v>
      </c>
      <c r="O328" s="100">
        <f t="shared" si="134"/>
        <v>0</v>
      </c>
      <c r="P328" s="100">
        <f t="shared" si="134"/>
        <v>0</v>
      </c>
      <c r="Q328" s="100">
        <f t="shared" si="134"/>
        <v>0</v>
      </c>
      <c r="R328" s="100">
        <f t="shared" si="134"/>
        <v>0</v>
      </c>
      <c r="S328" s="100">
        <f t="shared" si="134"/>
        <v>0</v>
      </c>
      <c r="T328" s="100">
        <f t="shared" si="134"/>
        <v>0</v>
      </c>
      <c r="U328" s="100"/>
      <c r="V328" s="102">
        <f>SUM(G328:T328)</f>
        <v>2825023.9614398838</v>
      </c>
      <c r="W328" s="98" t="str">
        <f>IF(ABS(F328-V328)&lt;0.01,"ok","err")</f>
        <v>ok</v>
      </c>
      <c r="X328" s="102" t="str">
        <f>IF(W328="err",V328-F328,"")</f>
        <v/>
      </c>
    </row>
    <row r="329" spans="1:24" ht="12" customHeight="1" x14ac:dyDescent="0.25">
      <c r="F329" s="101"/>
    </row>
    <row r="330" spans="1:24" ht="12" customHeight="1" x14ac:dyDescent="0.25">
      <c r="A330" s="24" t="s">
        <v>133</v>
      </c>
      <c r="F330" s="101"/>
    </row>
    <row r="331" spans="1:24" ht="12" customHeight="1" x14ac:dyDescent="0.25">
      <c r="A331" s="107" t="s">
        <v>412</v>
      </c>
      <c r="C331" s="97" t="s">
        <v>845</v>
      </c>
      <c r="D331" s="97" t="s">
        <v>1749</v>
      </c>
      <c r="E331" s="97" t="s">
        <v>414</v>
      </c>
      <c r="F331" s="100">
        <f>VLOOKUP(C331,'Functional Assignment'!$C$1:$AU$771,27,)</f>
        <v>2410406.2593483059</v>
      </c>
      <c r="G331" s="100">
        <f t="shared" ref="G331:T331" si="135">IF(VLOOKUP($E331,$D$5:$AJ$945,3,)=0,0,(VLOOKUP($E331,$D$5:$AJ$945,G$1,)/VLOOKUP($E331,$D$5:$AJ$945,3,))*$F331)</f>
        <v>1497945.440319458</v>
      </c>
      <c r="H331" s="100">
        <f t="shared" si="135"/>
        <v>558312.17632194178</v>
      </c>
      <c r="I331" s="100">
        <f t="shared" si="135"/>
        <v>0</v>
      </c>
      <c r="J331" s="100">
        <f t="shared" si="135"/>
        <v>11842.69662660977</v>
      </c>
      <c r="K331" s="100">
        <f t="shared" si="135"/>
        <v>0</v>
      </c>
      <c r="L331" s="100">
        <f t="shared" si="135"/>
        <v>151330.29044070252</v>
      </c>
      <c r="M331" s="100">
        <f t="shared" si="135"/>
        <v>33365.145045712437</v>
      </c>
      <c r="N331" s="100">
        <f t="shared" si="135"/>
        <v>28064.630323502806</v>
      </c>
      <c r="O331" s="100">
        <f t="shared" si="135"/>
        <v>74133.199672621005</v>
      </c>
      <c r="P331" s="100">
        <f t="shared" si="135"/>
        <v>50559.696312202308</v>
      </c>
      <c r="Q331" s="100">
        <f t="shared" si="135"/>
        <v>2139.9083794454964</v>
      </c>
      <c r="R331" s="100">
        <f t="shared" si="135"/>
        <v>0</v>
      </c>
      <c r="S331" s="100">
        <f t="shared" si="135"/>
        <v>13.913209774922642</v>
      </c>
      <c r="T331" s="100">
        <f t="shared" si="135"/>
        <v>2699.1626963349927</v>
      </c>
      <c r="U331" s="100"/>
      <c r="V331" s="102">
        <f>SUM(G331:T331)</f>
        <v>2410406.2593483059</v>
      </c>
      <c r="W331" s="98" t="str">
        <f>IF(ABS(F331-V331)&lt;0.01,"ok","err")</f>
        <v>ok</v>
      </c>
      <c r="X331" s="102" t="str">
        <f>IF(W331="err",V331-F331,"")</f>
        <v/>
      </c>
    </row>
    <row r="332" spans="1:24" ht="12" customHeight="1" x14ac:dyDescent="0.25">
      <c r="F332" s="101"/>
    </row>
    <row r="333" spans="1:24" ht="12" customHeight="1" x14ac:dyDescent="0.25">
      <c r="A333" s="24" t="s">
        <v>156</v>
      </c>
      <c r="F333" s="101"/>
    </row>
    <row r="334" spans="1:24" ht="12" customHeight="1" x14ac:dyDescent="0.25">
      <c r="A334" s="107" t="s">
        <v>412</v>
      </c>
      <c r="C334" s="97" t="s">
        <v>845</v>
      </c>
      <c r="D334" s="97" t="s">
        <v>1750</v>
      </c>
      <c r="E334" s="97" t="s">
        <v>415</v>
      </c>
      <c r="F334" s="100">
        <f>VLOOKUP(C334,'Functional Assignment'!$C$1:$AU$771,28,)</f>
        <v>3343425.5018440876</v>
      </c>
      <c r="G334" s="100">
        <f t="shared" ref="G334:T334" si="136">IF(VLOOKUP($E334,$D$5:$AJ$945,3,)=0,0,(VLOOKUP($E334,$D$5:$AJ$945,G$1,)/VLOOKUP($E334,$D$5:$AJ$945,3,))*$F334)</f>
        <v>0</v>
      </c>
      <c r="H334" s="100">
        <f t="shared" si="136"/>
        <v>0</v>
      </c>
      <c r="I334" s="100">
        <f t="shared" si="136"/>
        <v>0</v>
      </c>
      <c r="J334" s="100">
        <f t="shared" si="136"/>
        <v>0</v>
      </c>
      <c r="K334" s="100">
        <f t="shared" si="136"/>
        <v>0</v>
      </c>
      <c r="L334" s="100">
        <f t="shared" si="136"/>
        <v>0</v>
      </c>
      <c r="M334" s="100">
        <f t="shared" si="136"/>
        <v>0</v>
      </c>
      <c r="N334" s="100">
        <f t="shared" si="136"/>
        <v>0</v>
      </c>
      <c r="O334" s="100">
        <f t="shared" si="136"/>
        <v>0</v>
      </c>
      <c r="P334" s="100">
        <f t="shared" si="136"/>
        <v>0</v>
      </c>
      <c r="Q334" s="100">
        <f t="shared" si="136"/>
        <v>0</v>
      </c>
      <c r="R334" s="100">
        <f t="shared" si="136"/>
        <v>3343425.5018440876</v>
      </c>
      <c r="S334" s="100">
        <f t="shared" si="136"/>
        <v>0</v>
      </c>
      <c r="T334" s="100">
        <f t="shared" si="136"/>
        <v>0</v>
      </c>
      <c r="U334" s="100"/>
      <c r="V334" s="102">
        <f>SUM(G334:T334)</f>
        <v>3343425.5018440876</v>
      </c>
      <c r="W334" s="98" t="str">
        <f>IF(ABS(F334-V334)&lt;0.01,"ok","err")</f>
        <v>ok</v>
      </c>
      <c r="X334" s="102" t="str">
        <f>IF(W334="err",V334-F334,"")</f>
        <v/>
      </c>
    </row>
    <row r="335" spans="1:24" ht="12" customHeight="1" x14ac:dyDescent="0.25">
      <c r="F335" s="101"/>
    </row>
    <row r="336" spans="1:24" ht="12" customHeight="1" x14ac:dyDescent="0.25">
      <c r="A336" s="24" t="s">
        <v>309</v>
      </c>
      <c r="F336" s="101"/>
    </row>
    <row r="337" spans="1:24" ht="12" customHeight="1" x14ac:dyDescent="0.25">
      <c r="A337" s="107" t="s">
        <v>412</v>
      </c>
      <c r="C337" s="97" t="s">
        <v>845</v>
      </c>
      <c r="D337" s="97" t="s">
        <v>1751</v>
      </c>
      <c r="E337" s="97" t="s">
        <v>416</v>
      </c>
      <c r="F337" s="100">
        <f>VLOOKUP(C337,'Functional Assignment'!$C$1:$AU$771,30,)</f>
        <v>0</v>
      </c>
      <c r="G337" s="100">
        <f t="shared" ref="G337:T337" si="137">IF(VLOOKUP($E337,$D$5:$AJ$945,3,)=0,0,(VLOOKUP($E337,$D$5:$AJ$945,G$1,)/VLOOKUP($E337,$D$5:$AJ$945,3,))*$F337)</f>
        <v>0</v>
      </c>
      <c r="H337" s="100">
        <f t="shared" si="137"/>
        <v>0</v>
      </c>
      <c r="I337" s="100">
        <f t="shared" si="137"/>
        <v>0</v>
      </c>
      <c r="J337" s="100">
        <f t="shared" si="137"/>
        <v>0</v>
      </c>
      <c r="K337" s="100">
        <f t="shared" si="137"/>
        <v>0</v>
      </c>
      <c r="L337" s="100">
        <f t="shared" si="137"/>
        <v>0</v>
      </c>
      <c r="M337" s="100">
        <f t="shared" si="137"/>
        <v>0</v>
      </c>
      <c r="N337" s="100">
        <f t="shared" si="137"/>
        <v>0</v>
      </c>
      <c r="O337" s="100">
        <f t="shared" si="137"/>
        <v>0</v>
      </c>
      <c r="P337" s="100">
        <f t="shared" si="137"/>
        <v>0</v>
      </c>
      <c r="Q337" s="100">
        <f t="shared" si="137"/>
        <v>0</v>
      </c>
      <c r="R337" s="100">
        <f t="shared" si="137"/>
        <v>0</v>
      </c>
      <c r="S337" s="100">
        <f t="shared" si="137"/>
        <v>0</v>
      </c>
      <c r="T337" s="100">
        <f t="shared" si="137"/>
        <v>0</v>
      </c>
      <c r="U337" s="100"/>
      <c r="V337" s="102">
        <f>SUM(G337:T337)</f>
        <v>0</v>
      </c>
      <c r="W337" s="98" t="str">
        <f>IF(ABS(F337-V337)&lt;0.01,"ok","err")</f>
        <v>ok</v>
      </c>
      <c r="X337" s="102" t="str">
        <f>IF(W337="err",V337-F337,"")</f>
        <v/>
      </c>
    </row>
    <row r="338" spans="1:24" ht="12" customHeight="1" x14ac:dyDescent="0.25">
      <c r="F338" s="101"/>
    </row>
    <row r="339" spans="1:24" ht="12" customHeight="1" x14ac:dyDescent="0.25">
      <c r="A339" s="24" t="s">
        <v>1700</v>
      </c>
      <c r="F339" s="101"/>
    </row>
    <row r="340" spans="1:24" ht="12" customHeight="1" x14ac:dyDescent="0.25">
      <c r="A340" s="107" t="s">
        <v>412</v>
      </c>
      <c r="C340" s="97" t="s">
        <v>845</v>
      </c>
      <c r="D340" s="97" t="s">
        <v>1752</v>
      </c>
      <c r="E340" s="97" t="s">
        <v>416</v>
      </c>
      <c r="F340" s="100">
        <f>VLOOKUP(C340,'Functional Assignment'!$C$1:$AU$771,32,)</f>
        <v>0</v>
      </c>
      <c r="G340" s="100">
        <f t="shared" ref="G340:T340" si="138">IF(VLOOKUP($E340,$D$5:$AJ$945,3,)=0,0,(VLOOKUP($E340,$D$5:$AJ$945,G$1,)/VLOOKUP($E340,$D$5:$AJ$945,3,))*$F340)</f>
        <v>0</v>
      </c>
      <c r="H340" s="100">
        <f t="shared" si="138"/>
        <v>0</v>
      </c>
      <c r="I340" s="100">
        <f t="shared" si="138"/>
        <v>0</v>
      </c>
      <c r="J340" s="100">
        <f t="shared" si="138"/>
        <v>0</v>
      </c>
      <c r="K340" s="100">
        <f t="shared" si="138"/>
        <v>0</v>
      </c>
      <c r="L340" s="100">
        <f t="shared" si="138"/>
        <v>0</v>
      </c>
      <c r="M340" s="100">
        <f t="shared" si="138"/>
        <v>0</v>
      </c>
      <c r="N340" s="100">
        <f t="shared" si="138"/>
        <v>0</v>
      </c>
      <c r="O340" s="100">
        <f t="shared" si="138"/>
        <v>0</v>
      </c>
      <c r="P340" s="100">
        <f t="shared" si="138"/>
        <v>0</v>
      </c>
      <c r="Q340" s="100">
        <f t="shared" si="138"/>
        <v>0</v>
      </c>
      <c r="R340" s="100">
        <f t="shared" si="138"/>
        <v>0</v>
      </c>
      <c r="S340" s="100">
        <f t="shared" si="138"/>
        <v>0</v>
      </c>
      <c r="T340" s="100">
        <f t="shared" si="138"/>
        <v>0</v>
      </c>
      <c r="U340" s="100"/>
      <c r="V340" s="102">
        <f>SUM(G340:T340)</f>
        <v>0</v>
      </c>
      <c r="W340" s="98" t="str">
        <f>IF(ABS(F340-V340)&lt;0.01,"ok","err")</f>
        <v>ok</v>
      </c>
      <c r="X340" s="102" t="str">
        <f>IF(W340="err",V340-F340,"")</f>
        <v/>
      </c>
    </row>
    <row r="341" spans="1:24" ht="12" customHeight="1" x14ac:dyDescent="0.25">
      <c r="F341" s="101"/>
    </row>
    <row r="342" spans="1:24" ht="12" customHeight="1" x14ac:dyDescent="0.25">
      <c r="A342" s="24" t="s">
        <v>1699</v>
      </c>
      <c r="F342" s="101"/>
    </row>
    <row r="343" spans="1:24" ht="12" customHeight="1" x14ac:dyDescent="0.25">
      <c r="A343" s="107" t="s">
        <v>412</v>
      </c>
      <c r="C343" s="97" t="s">
        <v>845</v>
      </c>
      <c r="D343" s="97" t="s">
        <v>1753</v>
      </c>
      <c r="E343" s="97" t="s">
        <v>417</v>
      </c>
      <c r="F343" s="100">
        <f>VLOOKUP(C343,'Functional Assignment'!$C$1:$AU$771,34,)</f>
        <v>0</v>
      </c>
      <c r="G343" s="100">
        <f t="shared" ref="G343:T343" si="139">IF(VLOOKUP($E343,$D$5:$AJ$945,3,)=0,0,(VLOOKUP($E343,$D$5:$AJ$945,G$1,)/VLOOKUP($E343,$D$5:$AJ$945,3,))*$F343)</f>
        <v>0</v>
      </c>
      <c r="H343" s="100">
        <f t="shared" si="139"/>
        <v>0</v>
      </c>
      <c r="I343" s="100">
        <f t="shared" si="139"/>
        <v>0</v>
      </c>
      <c r="J343" s="100">
        <f t="shared" si="139"/>
        <v>0</v>
      </c>
      <c r="K343" s="100">
        <f t="shared" si="139"/>
        <v>0</v>
      </c>
      <c r="L343" s="100">
        <f t="shared" si="139"/>
        <v>0</v>
      </c>
      <c r="M343" s="100">
        <f t="shared" si="139"/>
        <v>0</v>
      </c>
      <c r="N343" s="100">
        <f t="shared" si="139"/>
        <v>0</v>
      </c>
      <c r="O343" s="100">
        <f t="shared" si="139"/>
        <v>0</v>
      </c>
      <c r="P343" s="100">
        <f t="shared" si="139"/>
        <v>0</v>
      </c>
      <c r="Q343" s="100">
        <f t="shared" si="139"/>
        <v>0</v>
      </c>
      <c r="R343" s="100">
        <f t="shared" si="139"/>
        <v>0</v>
      </c>
      <c r="S343" s="100">
        <f t="shared" si="139"/>
        <v>0</v>
      </c>
      <c r="T343" s="100">
        <f t="shared" si="139"/>
        <v>0</v>
      </c>
      <c r="U343" s="100"/>
      <c r="V343" s="102">
        <f>SUM(G343:T343)</f>
        <v>0</v>
      </c>
      <c r="W343" s="98" t="str">
        <f>IF(ABS(F343-V343)&lt;0.01,"ok","err")</f>
        <v>ok</v>
      </c>
      <c r="X343" s="102" t="str">
        <f>IF(W343="err",V343-F343,"")</f>
        <v/>
      </c>
    </row>
    <row r="344" spans="1:24" ht="12" customHeight="1" x14ac:dyDescent="0.25">
      <c r="F344" s="101"/>
    </row>
    <row r="345" spans="1:24" ht="12" customHeight="1" x14ac:dyDescent="0.25">
      <c r="A345" s="97" t="s">
        <v>68</v>
      </c>
      <c r="D345" s="97" t="s">
        <v>1754</v>
      </c>
      <c r="F345" s="100">
        <f>F300+F306+F309+F312+F320+F325+F328+F331+F334+F337+F340+F343</f>
        <v>228062836.53918952</v>
      </c>
      <c r="G345" s="100">
        <f t="shared" ref="G345:T345" si="140">G300+G306+G309+G312+G320+G325+G328+G331+G334+G337+G340+G343</f>
        <v>105274952.74338102</v>
      </c>
      <c r="H345" s="100">
        <f t="shared" si="140"/>
        <v>27341782.225615479</v>
      </c>
      <c r="I345" s="100">
        <f>I300+I306+I309+I312+I320+I325+I328+I331+I334+I337+I340+I343</f>
        <v>0</v>
      </c>
      <c r="J345" s="100">
        <f>J300+J306+J309+J312+J320+J325+J328+J331+J334+J337+J340+J343</f>
        <v>1798932.0035182098</v>
      </c>
      <c r="K345" s="100">
        <f>K300+K306+K309+K312+K320+K325+K328+K331+K334+K337+K340+K343</f>
        <v>0</v>
      </c>
      <c r="L345" s="100">
        <f t="shared" si="140"/>
        <v>22530219.621316772</v>
      </c>
      <c r="M345" s="100">
        <f t="shared" si="140"/>
        <v>1641041.2910282558</v>
      </c>
      <c r="N345" s="100">
        <f t="shared" si="140"/>
        <v>16175658.255553182</v>
      </c>
      <c r="O345" s="100">
        <f>O300+O306+O309+O312+O320+O325+O328+O331+O334+O337+O340+O343</f>
        <v>34771889.749682277</v>
      </c>
      <c r="P345" s="100">
        <f>P300+P306+P309+P312+P320+P325+P328+P331+P334+P337+P340+P343</f>
        <v>11324624.823166879</v>
      </c>
      <c r="Q345" s="100">
        <f t="shared" si="140"/>
        <v>2947235.6735119577</v>
      </c>
      <c r="R345" s="100">
        <f t="shared" si="140"/>
        <v>4239593.4682664694</v>
      </c>
      <c r="S345" s="100">
        <f t="shared" si="140"/>
        <v>693.9480169763392</v>
      </c>
      <c r="T345" s="100">
        <f t="shared" si="140"/>
        <v>16212.736132054226</v>
      </c>
      <c r="U345" s="100"/>
      <c r="V345" s="102">
        <f>SUM(G345:T345)</f>
        <v>228062836.53918952</v>
      </c>
      <c r="W345" s="98" t="str">
        <f>IF(ABS(F345-V345)&lt;0.01,"ok","err")</f>
        <v>ok</v>
      </c>
      <c r="X345" s="243" t="str">
        <f>IF(W345="err",V345-F345,"")</f>
        <v/>
      </c>
    </row>
    <row r="348" spans="1:24" ht="12" customHeight="1" x14ac:dyDescent="0.25">
      <c r="A348" s="23" t="s">
        <v>69</v>
      </c>
    </row>
    <row r="350" spans="1:24" ht="12" customHeight="1" x14ac:dyDescent="0.25">
      <c r="A350" s="24" t="s">
        <v>149</v>
      </c>
    </row>
    <row r="351" spans="1:24" ht="12" customHeight="1" x14ac:dyDescent="0.25">
      <c r="A351" s="107" t="s">
        <v>139</v>
      </c>
      <c r="C351" s="97" t="s">
        <v>72</v>
      </c>
      <c r="D351" s="97" t="s">
        <v>75</v>
      </c>
      <c r="E351" s="397" t="s">
        <v>2455</v>
      </c>
      <c r="F351" s="100">
        <f>VLOOKUP(C351,'Functional Assignment'!$C$1:$AU$771,6,)</f>
        <v>0</v>
      </c>
      <c r="G351" s="100">
        <f t="shared" ref="G351:T356" si="141">IF(VLOOKUP($E351,$D$5:$AJ$945,3,)=0,0,(VLOOKUP($E351,$D$5:$AJ$945,G$1,)/VLOOKUP($E351,$D$5:$AJ$945,3,))*$F351)</f>
        <v>0</v>
      </c>
      <c r="H351" s="100">
        <f t="shared" si="141"/>
        <v>0</v>
      </c>
      <c r="I351" s="100">
        <f t="shared" si="141"/>
        <v>0</v>
      </c>
      <c r="J351" s="100">
        <f t="shared" si="141"/>
        <v>0</v>
      </c>
      <c r="K351" s="100">
        <f t="shared" si="141"/>
        <v>0</v>
      </c>
      <c r="L351" s="100">
        <f t="shared" si="141"/>
        <v>0</v>
      </c>
      <c r="M351" s="100">
        <f t="shared" si="141"/>
        <v>0</v>
      </c>
      <c r="N351" s="100">
        <f t="shared" si="141"/>
        <v>0</v>
      </c>
      <c r="O351" s="100">
        <f t="shared" si="141"/>
        <v>0</v>
      </c>
      <c r="P351" s="100">
        <f t="shared" si="141"/>
        <v>0</v>
      </c>
      <c r="Q351" s="100">
        <f t="shared" si="141"/>
        <v>0</v>
      </c>
      <c r="R351" s="100">
        <f t="shared" si="141"/>
        <v>0</v>
      </c>
      <c r="S351" s="100">
        <f t="shared" si="141"/>
        <v>0</v>
      </c>
      <c r="T351" s="100">
        <f t="shared" si="141"/>
        <v>0</v>
      </c>
      <c r="U351" s="100"/>
      <c r="V351" s="102">
        <f t="shared" ref="V351:V357" si="142">SUM(G351:T351)</f>
        <v>0</v>
      </c>
      <c r="W351" s="98" t="str">
        <f t="shared" ref="W351:W357" si="143">IF(ABS(F351-V351)&lt;0.01,"ok","err")</f>
        <v>ok</v>
      </c>
      <c r="X351" s="102" t="str">
        <f t="shared" ref="X351:X357" si="144">IF(W351="err",V351-F351,"")</f>
        <v/>
      </c>
    </row>
    <row r="352" spans="1:24" ht="12" customHeight="1" x14ac:dyDescent="0.25">
      <c r="A352" s="107" t="s">
        <v>143</v>
      </c>
      <c r="C352" s="97" t="s">
        <v>72</v>
      </c>
      <c r="D352" s="97" t="s">
        <v>76</v>
      </c>
      <c r="E352" s="397" t="s">
        <v>2455</v>
      </c>
      <c r="F352" s="101">
        <f>VLOOKUP(C352,'Functional Assignment'!$C$1:$AU$771,7,)</f>
        <v>0</v>
      </c>
      <c r="G352" s="101">
        <f t="shared" si="141"/>
        <v>0</v>
      </c>
      <c r="H352" s="101">
        <f t="shared" si="141"/>
        <v>0</v>
      </c>
      <c r="I352" s="101">
        <f t="shared" si="141"/>
        <v>0</v>
      </c>
      <c r="J352" s="101">
        <f t="shared" si="141"/>
        <v>0</v>
      </c>
      <c r="K352" s="101">
        <f t="shared" si="141"/>
        <v>0</v>
      </c>
      <c r="L352" s="101">
        <f t="shared" si="141"/>
        <v>0</v>
      </c>
      <c r="M352" s="101">
        <f t="shared" si="141"/>
        <v>0</v>
      </c>
      <c r="N352" s="101">
        <f t="shared" si="141"/>
        <v>0</v>
      </c>
      <c r="O352" s="101">
        <f t="shared" si="141"/>
        <v>0</v>
      </c>
      <c r="P352" s="101">
        <f t="shared" si="141"/>
        <v>0</v>
      </c>
      <c r="Q352" s="101">
        <f t="shared" si="141"/>
        <v>0</v>
      </c>
      <c r="R352" s="101">
        <f t="shared" si="141"/>
        <v>0</v>
      </c>
      <c r="S352" s="101">
        <f t="shared" si="141"/>
        <v>0</v>
      </c>
      <c r="T352" s="101">
        <f t="shared" si="141"/>
        <v>0</v>
      </c>
      <c r="U352" s="101"/>
      <c r="V352" s="101">
        <f t="shared" si="142"/>
        <v>0</v>
      </c>
      <c r="W352" s="98" t="str">
        <f t="shared" si="143"/>
        <v>ok</v>
      </c>
      <c r="X352" s="102" t="str">
        <f t="shared" si="144"/>
        <v/>
      </c>
    </row>
    <row r="353" spans="1:24" ht="12" customHeight="1" x14ac:dyDescent="0.25">
      <c r="A353" s="107" t="s">
        <v>140</v>
      </c>
      <c r="C353" s="97" t="s">
        <v>72</v>
      </c>
      <c r="D353" s="97" t="s">
        <v>77</v>
      </c>
      <c r="E353" s="397" t="s">
        <v>2455</v>
      </c>
      <c r="F353" s="101">
        <f>VLOOKUP(C353,'Functional Assignment'!$C$1:$AU$771,8,)</f>
        <v>0</v>
      </c>
      <c r="G353" s="101">
        <f t="shared" si="141"/>
        <v>0</v>
      </c>
      <c r="H353" s="101">
        <f t="shared" si="141"/>
        <v>0</v>
      </c>
      <c r="I353" s="101">
        <f t="shared" si="141"/>
        <v>0</v>
      </c>
      <c r="J353" s="101">
        <f t="shared" si="141"/>
        <v>0</v>
      </c>
      <c r="K353" s="101">
        <f t="shared" si="141"/>
        <v>0</v>
      </c>
      <c r="L353" s="101">
        <f t="shared" si="141"/>
        <v>0</v>
      </c>
      <c r="M353" s="101">
        <f t="shared" si="141"/>
        <v>0</v>
      </c>
      <c r="N353" s="101">
        <f t="shared" si="141"/>
        <v>0</v>
      </c>
      <c r="O353" s="101">
        <f t="shared" si="141"/>
        <v>0</v>
      </c>
      <c r="P353" s="101">
        <f t="shared" si="141"/>
        <v>0</v>
      </c>
      <c r="Q353" s="101">
        <f t="shared" si="141"/>
        <v>0</v>
      </c>
      <c r="R353" s="101">
        <f t="shared" si="141"/>
        <v>0</v>
      </c>
      <c r="S353" s="101">
        <f t="shared" si="141"/>
        <v>0</v>
      </c>
      <c r="T353" s="101">
        <f t="shared" si="141"/>
        <v>0</v>
      </c>
      <c r="U353" s="101"/>
      <c r="V353" s="101">
        <f t="shared" si="142"/>
        <v>0</v>
      </c>
      <c r="W353" s="98" t="str">
        <f t="shared" si="143"/>
        <v>ok</v>
      </c>
      <c r="X353" s="102" t="str">
        <f t="shared" si="144"/>
        <v/>
      </c>
    </row>
    <row r="354" spans="1:24" ht="12" customHeight="1" x14ac:dyDescent="0.25">
      <c r="A354" s="107" t="s">
        <v>141</v>
      </c>
      <c r="C354" s="97" t="s">
        <v>72</v>
      </c>
      <c r="D354" s="97" t="s">
        <v>78</v>
      </c>
      <c r="E354" s="97" t="s">
        <v>410</v>
      </c>
      <c r="F354" s="101">
        <f>VLOOKUP(C354,'Functional Assignment'!$C$1:$AU$771,9,)</f>
        <v>0</v>
      </c>
      <c r="G354" s="101">
        <f t="shared" si="141"/>
        <v>0</v>
      </c>
      <c r="H354" s="101">
        <f t="shared" si="141"/>
        <v>0</v>
      </c>
      <c r="I354" s="101">
        <f t="shared" si="141"/>
        <v>0</v>
      </c>
      <c r="J354" s="101">
        <f t="shared" si="141"/>
        <v>0</v>
      </c>
      <c r="K354" s="101">
        <f t="shared" si="141"/>
        <v>0</v>
      </c>
      <c r="L354" s="101">
        <f t="shared" si="141"/>
        <v>0</v>
      </c>
      <c r="M354" s="101">
        <f t="shared" si="141"/>
        <v>0</v>
      </c>
      <c r="N354" s="101">
        <f t="shared" si="141"/>
        <v>0</v>
      </c>
      <c r="O354" s="101">
        <f t="shared" si="141"/>
        <v>0</v>
      </c>
      <c r="P354" s="101">
        <f t="shared" si="141"/>
        <v>0</v>
      </c>
      <c r="Q354" s="101">
        <f t="shared" si="141"/>
        <v>0</v>
      </c>
      <c r="R354" s="101">
        <f t="shared" si="141"/>
        <v>0</v>
      </c>
      <c r="S354" s="101">
        <f t="shared" si="141"/>
        <v>0</v>
      </c>
      <c r="T354" s="101">
        <f t="shared" si="141"/>
        <v>0</v>
      </c>
      <c r="U354" s="101"/>
      <c r="V354" s="101">
        <f t="shared" si="142"/>
        <v>0</v>
      </c>
      <c r="W354" s="98" t="str">
        <f t="shared" si="143"/>
        <v>ok</v>
      </c>
      <c r="X354" s="102" t="str">
        <f t="shared" si="144"/>
        <v/>
      </c>
    </row>
    <row r="355" spans="1:24" ht="12" customHeight="1" x14ac:dyDescent="0.25">
      <c r="A355" s="107" t="s">
        <v>144</v>
      </c>
      <c r="C355" s="97" t="s">
        <v>72</v>
      </c>
      <c r="D355" s="97" t="s">
        <v>79</v>
      </c>
      <c r="E355" s="97" t="s">
        <v>410</v>
      </c>
      <c r="F355" s="101">
        <f>VLOOKUP(C355,'Functional Assignment'!$C$1:$AU$771,10,)</f>
        <v>0</v>
      </c>
      <c r="G355" s="101">
        <f t="shared" si="141"/>
        <v>0</v>
      </c>
      <c r="H355" s="101">
        <f t="shared" si="141"/>
        <v>0</v>
      </c>
      <c r="I355" s="101">
        <f t="shared" si="141"/>
        <v>0</v>
      </c>
      <c r="J355" s="101">
        <f t="shared" si="141"/>
        <v>0</v>
      </c>
      <c r="K355" s="101">
        <f t="shared" si="141"/>
        <v>0</v>
      </c>
      <c r="L355" s="101">
        <f t="shared" si="141"/>
        <v>0</v>
      </c>
      <c r="M355" s="101">
        <f t="shared" si="141"/>
        <v>0</v>
      </c>
      <c r="N355" s="101">
        <f t="shared" si="141"/>
        <v>0</v>
      </c>
      <c r="O355" s="101">
        <f t="shared" si="141"/>
        <v>0</v>
      </c>
      <c r="P355" s="101">
        <f t="shared" si="141"/>
        <v>0</v>
      </c>
      <c r="Q355" s="101">
        <f t="shared" si="141"/>
        <v>0</v>
      </c>
      <c r="R355" s="101">
        <f t="shared" si="141"/>
        <v>0</v>
      </c>
      <c r="S355" s="101">
        <f t="shared" si="141"/>
        <v>0</v>
      </c>
      <c r="T355" s="101">
        <f t="shared" si="141"/>
        <v>0</v>
      </c>
      <c r="U355" s="101"/>
      <c r="V355" s="101">
        <f t="shared" si="142"/>
        <v>0</v>
      </c>
      <c r="W355" s="98" t="str">
        <f t="shared" si="143"/>
        <v>ok</v>
      </c>
      <c r="X355" s="102" t="str">
        <f t="shared" si="144"/>
        <v/>
      </c>
    </row>
    <row r="356" spans="1:24" ht="12" customHeight="1" x14ac:dyDescent="0.25">
      <c r="A356" s="107" t="s">
        <v>142</v>
      </c>
      <c r="C356" s="97" t="s">
        <v>72</v>
      </c>
      <c r="D356" s="97" t="s">
        <v>80</v>
      </c>
      <c r="E356" s="97" t="s">
        <v>410</v>
      </c>
      <c r="F356" s="101">
        <f>VLOOKUP(C356,'Functional Assignment'!$C$1:$AU$771,11,)</f>
        <v>0</v>
      </c>
      <c r="G356" s="101">
        <f t="shared" si="141"/>
        <v>0</v>
      </c>
      <c r="H356" s="101">
        <f t="shared" si="141"/>
        <v>0</v>
      </c>
      <c r="I356" s="101">
        <f t="shared" si="141"/>
        <v>0</v>
      </c>
      <c r="J356" s="101">
        <f t="shared" si="141"/>
        <v>0</v>
      </c>
      <c r="K356" s="101">
        <f t="shared" si="141"/>
        <v>0</v>
      </c>
      <c r="L356" s="101">
        <f t="shared" si="141"/>
        <v>0</v>
      </c>
      <c r="M356" s="101">
        <f t="shared" si="141"/>
        <v>0</v>
      </c>
      <c r="N356" s="101">
        <f t="shared" si="141"/>
        <v>0</v>
      </c>
      <c r="O356" s="101">
        <f t="shared" si="141"/>
        <v>0</v>
      </c>
      <c r="P356" s="101">
        <f t="shared" si="141"/>
        <v>0</v>
      </c>
      <c r="Q356" s="101">
        <f t="shared" si="141"/>
        <v>0</v>
      </c>
      <c r="R356" s="101">
        <f t="shared" si="141"/>
        <v>0</v>
      </c>
      <c r="S356" s="101">
        <f t="shared" si="141"/>
        <v>0</v>
      </c>
      <c r="T356" s="101">
        <f t="shared" si="141"/>
        <v>0</v>
      </c>
      <c r="U356" s="101"/>
      <c r="V356" s="101">
        <f t="shared" si="142"/>
        <v>0</v>
      </c>
      <c r="W356" s="98" t="str">
        <f t="shared" si="143"/>
        <v>ok</v>
      </c>
      <c r="X356" s="102" t="str">
        <f t="shared" si="144"/>
        <v/>
      </c>
    </row>
    <row r="357" spans="1:24" ht="12" customHeight="1" x14ac:dyDescent="0.25">
      <c r="A357" s="97" t="s">
        <v>172</v>
      </c>
      <c r="D357" s="97" t="s">
        <v>81</v>
      </c>
      <c r="F357" s="100">
        <f t="shared" ref="F357:T357" si="145">SUM(F351:F356)</f>
        <v>0</v>
      </c>
      <c r="G357" s="100">
        <f t="shared" si="145"/>
        <v>0</v>
      </c>
      <c r="H357" s="100">
        <f t="shared" si="145"/>
        <v>0</v>
      </c>
      <c r="I357" s="100">
        <f>SUM(I351:I356)</f>
        <v>0</v>
      </c>
      <c r="J357" s="100">
        <f>SUM(J351:J356)</f>
        <v>0</v>
      </c>
      <c r="K357" s="100">
        <f>SUM(K351:K356)</f>
        <v>0</v>
      </c>
      <c r="L357" s="100">
        <f t="shared" si="145"/>
        <v>0</v>
      </c>
      <c r="M357" s="100">
        <f t="shared" si="145"/>
        <v>0</v>
      </c>
      <c r="N357" s="100">
        <f t="shared" si="145"/>
        <v>0</v>
      </c>
      <c r="O357" s="100">
        <f t="shared" si="145"/>
        <v>0</v>
      </c>
      <c r="P357" s="100">
        <f>SUM(P351:P356)</f>
        <v>0</v>
      </c>
      <c r="Q357" s="100">
        <f t="shared" si="145"/>
        <v>0</v>
      </c>
      <c r="R357" s="100">
        <f t="shared" si="145"/>
        <v>0</v>
      </c>
      <c r="S357" s="100">
        <f t="shared" si="145"/>
        <v>0</v>
      </c>
      <c r="T357" s="100">
        <f t="shared" si="145"/>
        <v>0</v>
      </c>
      <c r="U357" s="100"/>
      <c r="V357" s="102">
        <f t="shared" si="142"/>
        <v>0</v>
      </c>
      <c r="W357" s="98" t="str">
        <f t="shared" si="143"/>
        <v>ok</v>
      </c>
      <c r="X357" s="102" t="str">
        <f t="shared" si="144"/>
        <v/>
      </c>
    </row>
    <row r="358" spans="1:24" ht="12" customHeight="1" x14ac:dyDescent="0.25">
      <c r="F358" s="101"/>
      <c r="G358" s="101"/>
    </row>
    <row r="359" spans="1:24" ht="12" customHeight="1" x14ac:dyDescent="0.25">
      <c r="A359" s="24" t="s">
        <v>461</v>
      </c>
      <c r="F359" s="101"/>
      <c r="G359" s="101"/>
    </row>
    <row r="360" spans="1:24" ht="12" customHeight="1" x14ac:dyDescent="0.25">
      <c r="A360" s="107" t="s">
        <v>2424</v>
      </c>
      <c r="C360" s="97" t="s">
        <v>72</v>
      </c>
      <c r="D360" s="97" t="s">
        <v>82</v>
      </c>
      <c r="E360" s="397" t="s">
        <v>2455</v>
      </c>
      <c r="F360" s="100">
        <f>VLOOKUP(C360,'Functional Assignment'!$C$1:$AU$771,13,)</f>
        <v>0</v>
      </c>
      <c r="G360" s="100">
        <f t="shared" ref="G360:T362" si="146">IF(VLOOKUP($E360,$D$5:$AJ$945,3,)=0,0,(VLOOKUP($E360,$D$5:$AJ$945,G$1,)/VLOOKUP($E360,$D$5:$AJ$945,3,))*$F360)</f>
        <v>0</v>
      </c>
      <c r="H360" s="100">
        <f t="shared" si="146"/>
        <v>0</v>
      </c>
      <c r="I360" s="100">
        <f t="shared" si="146"/>
        <v>0</v>
      </c>
      <c r="J360" s="100">
        <f t="shared" si="146"/>
        <v>0</v>
      </c>
      <c r="K360" s="100">
        <f t="shared" si="146"/>
        <v>0</v>
      </c>
      <c r="L360" s="100">
        <f t="shared" si="146"/>
        <v>0</v>
      </c>
      <c r="M360" s="100">
        <f t="shared" si="146"/>
        <v>0</v>
      </c>
      <c r="N360" s="100">
        <f t="shared" si="146"/>
        <v>0</v>
      </c>
      <c r="O360" s="100">
        <f t="shared" si="146"/>
        <v>0</v>
      </c>
      <c r="P360" s="100">
        <f t="shared" si="146"/>
        <v>0</v>
      </c>
      <c r="Q360" s="100">
        <f t="shared" si="146"/>
        <v>0</v>
      </c>
      <c r="R360" s="100">
        <f t="shared" si="146"/>
        <v>0</v>
      </c>
      <c r="S360" s="100">
        <f t="shared" si="146"/>
        <v>0</v>
      </c>
      <c r="T360" s="100">
        <f t="shared" si="146"/>
        <v>0</v>
      </c>
      <c r="U360" s="100"/>
      <c r="V360" s="102">
        <f>SUM(G360:T360)</f>
        <v>0</v>
      </c>
      <c r="W360" s="98" t="str">
        <f>IF(ABS(F360-V360)&lt;0.01,"ok","err")</f>
        <v>ok</v>
      </c>
      <c r="X360" s="102" t="str">
        <f>IF(W360="err",V360-F360,"")</f>
        <v/>
      </c>
    </row>
    <row r="361" spans="1:24" ht="12" hidden="1" customHeight="1" x14ac:dyDescent="0.25">
      <c r="A361" s="107" t="s">
        <v>2423</v>
      </c>
      <c r="C361" s="97" t="s">
        <v>72</v>
      </c>
      <c r="D361" s="97" t="s">
        <v>83</v>
      </c>
      <c r="E361" s="97" t="s">
        <v>55</v>
      </c>
      <c r="F361" s="101">
        <f>VLOOKUP(C361,'Functional Assignment'!$C$1:$AU$771,14,)</f>
        <v>0</v>
      </c>
      <c r="G361" s="101">
        <f t="shared" si="146"/>
        <v>0</v>
      </c>
      <c r="H361" s="101">
        <f t="shared" si="146"/>
        <v>0</v>
      </c>
      <c r="I361" s="101">
        <f t="shared" si="146"/>
        <v>0</v>
      </c>
      <c r="J361" s="101">
        <f t="shared" si="146"/>
        <v>0</v>
      </c>
      <c r="K361" s="101">
        <f t="shared" si="146"/>
        <v>0</v>
      </c>
      <c r="L361" s="101">
        <f t="shared" si="146"/>
        <v>0</v>
      </c>
      <c r="M361" s="101">
        <f t="shared" si="146"/>
        <v>0</v>
      </c>
      <c r="N361" s="101">
        <f t="shared" si="146"/>
        <v>0</v>
      </c>
      <c r="O361" s="101">
        <f t="shared" si="146"/>
        <v>0</v>
      </c>
      <c r="P361" s="101">
        <f t="shared" si="146"/>
        <v>0</v>
      </c>
      <c r="Q361" s="101">
        <f t="shared" si="146"/>
        <v>0</v>
      </c>
      <c r="R361" s="101">
        <f t="shared" si="146"/>
        <v>0</v>
      </c>
      <c r="S361" s="101">
        <f t="shared" si="146"/>
        <v>0</v>
      </c>
      <c r="T361" s="101">
        <f t="shared" si="146"/>
        <v>0</v>
      </c>
      <c r="U361" s="101"/>
      <c r="V361" s="101">
        <f>SUM(G361:T361)</f>
        <v>0</v>
      </c>
      <c r="W361" s="98" t="str">
        <f>IF(ABS(F361-V361)&lt;0.01,"ok","err")</f>
        <v>ok</v>
      </c>
      <c r="X361" s="102" t="str">
        <f>IF(W361="err",V361-F361,"")</f>
        <v/>
      </c>
    </row>
    <row r="362" spans="1:24" ht="12" hidden="1" customHeight="1" x14ac:dyDescent="0.25">
      <c r="A362" s="107" t="s">
        <v>2423</v>
      </c>
      <c r="C362" s="97" t="s">
        <v>72</v>
      </c>
      <c r="D362" s="97" t="s">
        <v>84</v>
      </c>
      <c r="E362" s="97" t="s">
        <v>58</v>
      </c>
      <c r="F362" s="101">
        <f>VLOOKUP(C362,'Functional Assignment'!$C$1:$AU$771,15,)</f>
        <v>0</v>
      </c>
      <c r="G362" s="101">
        <f t="shared" si="146"/>
        <v>0</v>
      </c>
      <c r="H362" s="101">
        <f t="shared" si="146"/>
        <v>0</v>
      </c>
      <c r="I362" s="101">
        <f t="shared" si="146"/>
        <v>0</v>
      </c>
      <c r="J362" s="101">
        <f t="shared" si="146"/>
        <v>0</v>
      </c>
      <c r="K362" s="101">
        <f t="shared" si="146"/>
        <v>0</v>
      </c>
      <c r="L362" s="101">
        <f t="shared" si="146"/>
        <v>0</v>
      </c>
      <c r="M362" s="101">
        <f t="shared" si="146"/>
        <v>0</v>
      </c>
      <c r="N362" s="101">
        <f t="shared" si="146"/>
        <v>0</v>
      </c>
      <c r="O362" s="101">
        <f t="shared" si="146"/>
        <v>0</v>
      </c>
      <c r="P362" s="101">
        <f t="shared" si="146"/>
        <v>0</v>
      </c>
      <c r="Q362" s="101">
        <f t="shared" si="146"/>
        <v>0</v>
      </c>
      <c r="R362" s="101">
        <f t="shared" si="146"/>
        <v>0</v>
      </c>
      <c r="S362" s="101">
        <f t="shared" si="146"/>
        <v>0</v>
      </c>
      <c r="T362" s="101">
        <f t="shared" si="146"/>
        <v>0</v>
      </c>
      <c r="U362" s="101"/>
      <c r="V362" s="101">
        <f>SUM(G362:T362)</f>
        <v>0</v>
      </c>
      <c r="W362" s="98" t="str">
        <f>IF(ABS(F362-V362)&lt;0.01,"ok","err")</f>
        <v>ok</v>
      </c>
      <c r="X362" s="102" t="str">
        <f>IF(W362="err",V362-F362,"")</f>
        <v/>
      </c>
    </row>
    <row r="363" spans="1:24" ht="12" hidden="1" customHeight="1" x14ac:dyDescent="0.25">
      <c r="A363" s="97" t="s">
        <v>463</v>
      </c>
      <c r="D363" s="97" t="s">
        <v>85</v>
      </c>
      <c r="F363" s="100">
        <f t="shared" ref="F363:T363" si="147">SUM(F360:F362)</f>
        <v>0</v>
      </c>
      <c r="G363" s="100">
        <f t="shared" si="147"/>
        <v>0</v>
      </c>
      <c r="H363" s="100">
        <f t="shared" si="147"/>
        <v>0</v>
      </c>
      <c r="I363" s="100">
        <f>SUM(I360:I362)</f>
        <v>0</v>
      </c>
      <c r="J363" s="100">
        <f>SUM(J360:J362)</f>
        <v>0</v>
      </c>
      <c r="K363" s="100">
        <f>SUM(K360:K362)</f>
        <v>0</v>
      </c>
      <c r="L363" s="100">
        <f t="shared" si="147"/>
        <v>0</v>
      </c>
      <c r="M363" s="100">
        <f t="shared" si="147"/>
        <v>0</v>
      </c>
      <c r="N363" s="100">
        <f t="shared" si="147"/>
        <v>0</v>
      </c>
      <c r="O363" s="100">
        <f t="shared" si="147"/>
        <v>0</v>
      </c>
      <c r="P363" s="100">
        <f>SUM(P360:P362)</f>
        <v>0</v>
      </c>
      <c r="Q363" s="100">
        <f t="shared" si="147"/>
        <v>0</v>
      </c>
      <c r="R363" s="100">
        <f t="shared" si="147"/>
        <v>0</v>
      </c>
      <c r="S363" s="100">
        <f t="shared" si="147"/>
        <v>0</v>
      </c>
      <c r="T363" s="100">
        <f t="shared" si="147"/>
        <v>0</v>
      </c>
      <c r="U363" s="100"/>
      <c r="V363" s="102">
        <f>SUM(G363:T363)</f>
        <v>0</v>
      </c>
      <c r="W363" s="98" t="str">
        <f>IF(ABS(F363-V363)&lt;0.01,"ok","err")</f>
        <v>ok</v>
      </c>
      <c r="X363" s="102" t="str">
        <f>IF(W363="err",V363-F363,"")</f>
        <v/>
      </c>
    </row>
    <row r="364" spans="1:24" ht="12" customHeight="1" x14ac:dyDescent="0.25">
      <c r="F364" s="101"/>
      <c r="G364" s="101"/>
    </row>
    <row r="365" spans="1:24" ht="12" customHeight="1" x14ac:dyDescent="0.25">
      <c r="A365" s="24" t="s">
        <v>1697</v>
      </c>
      <c r="F365" s="101"/>
      <c r="G365" s="101"/>
    </row>
    <row r="366" spans="1:24" ht="12" customHeight="1" x14ac:dyDescent="0.25">
      <c r="A366" s="107" t="s">
        <v>157</v>
      </c>
      <c r="C366" s="97" t="s">
        <v>72</v>
      </c>
      <c r="D366" s="97" t="s">
        <v>86</v>
      </c>
      <c r="E366" s="97" t="s">
        <v>2429</v>
      </c>
      <c r="F366" s="100">
        <f>VLOOKUP(C366,'Functional Assignment'!$C$1:$AU$771,17,)</f>
        <v>0</v>
      </c>
      <c r="G366" s="100">
        <f t="shared" ref="G366:T366" si="148">IF(VLOOKUP($E366,$D$5:$AJ$945,3,)=0,0,(VLOOKUP($E366,$D$5:$AJ$945,G$1,)/VLOOKUP($E366,$D$5:$AJ$945,3,))*$F366)</f>
        <v>0</v>
      </c>
      <c r="H366" s="100">
        <f t="shared" si="148"/>
        <v>0</v>
      </c>
      <c r="I366" s="100">
        <f t="shared" si="148"/>
        <v>0</v>
      </c>
      <c r="J366" s="100">
        <f t="shared" si="148"/>
        <v>0</v>
      </c>
      <c r="K366" s="100">
        <f t="shared" si="148"/>
        <v>0</v>
      </c>
      <c r="L366" s="100">
        <f t="shared" si="148"/>
        <v>0</v>
      </c>
      <c r="M366" s="100">
        <f t="shared" si="148"/>
        <v>0</v>
      </c>
      <c r="N366" s="100">
        <f t="shared" si="148"/>
        <v>0</v>
      </c>
      <c r="O366" s="100">
        <f t="shared" si="148"/>
        <v>0</v>
      </c>
      <c r="P366" s="100">
        <f t="shared" si="148"/>
        <v>0</v>
      </c>
      <c r="Q366" s="100">
        <f t="shared" si="148"/>
        <v>0</v>
      </c>
      <c r="R366" s="100">
        <f t="shared" si="148"/>
        <v>0</v>
      </c>
      <c r="S366" s="100">
        <f t="shared" si="148"/>
        <v>0</v>
      </c>
      <c r="T366" s="100">
        <f t="shared" si="148"/>
        <v>0</v>
      </c>
      <c r="U366" s="100"/>
      <c r="V366" s="102">
        <f>SUM(G366:T366)</f>
        <v>0</v>
      </c>
      <c r="W366" s="98" t="str">
        <f>IF(ABS(F366-V366)&lt;0.01,"ok","err")</f>
        <v>ok</v>
      </c>
      <c r="X366" s="102" t="str">
        <f>IF(W366="err",V366-F366,"")</f>
        <v/>
      </c>
    </row>
    <row r="367" spans="1:24" ht="12" customHeight="1" x14ac:dyDescent="0.25">
      <c r="F367" s="101"/>
    </row>
    <row r="368" spans="1:24" ht="12" customHeight="1" x14ac:dyDescent="0.25">
      <c r="A368" s="24" t="s">
        <v>1698</v>
      </c>
      <c r="F368" s="101"/>
      <c r="G368" s="101"/>
    </row>
    <row r="369" spans="1:24" ht="12" customHeight="1" x14ac:dyDescent="0.25">
      <c r="A369" s="107" t="s">
        <v>159</v>
      </c>
      <c r="C369" s="97" t="s">
        <v>72</v>
      </c>
      <c r="D369" s="97" t="s">
        <v>87</v>
      </c>
      <c r="E369" s="97" t="s">
        <v>2429</v>
      </c>
      <c r="F369" s="100">
        <f>VLOOKUP(C369,'Functional Assignment'!$C$1:$AU$771,18,)</f>
        <v>0</v>
      </c>
      <c r="G369" s="100">
        <f t="shared" ref="G369:T369" si="149">IF(VLOOKUP($E369,$D$5:$AJ$945,3,)=0,0,(VLOOKUP($E369,$D$5:$AJ$945,G$1,)/VLOOKUP($E369,$D$5:$AJ$945,3,))*$F369)</f>
        <v>0</v>
      </c>
      <c r="H369" s="100">
        <f t="shared" si="149"/>
        <v>0</v>
      </c>
      <c r="I369" s="100">
        <f t="shared" si="149"/>
        <v>0</v>
      </c>
      <c r="J369" s="100">
        <f t="shared" si="149"/>
        <v>0</v>
      </c>
      <c r="K369" s="100">
        <f t="shared" si="149"/>
        <v>0</v>
      </c>
      <c r="L369" s="100">
        <f t="shared" si="149"/>
        <v>0</v>
      </c>
      <c r="M369" s="100">
        <f t="shared" si="149"/>
        <v>0</v>
      </c>
      <c r="N369" s="100">
        <f t="shared" si="149"/>
        <v>0</v>
      </c>
      <c r="O369" s="100">
        <f t="shared" si="149"/>
        <v>0</v>
      </c>
      <c r="P369" s="100">
        <f t="shared" si="149"/>
        <v>0</v>
      </c>
      <c r="Q369" s="100">
        <f t="shared" si="149"/>
        <v>0</v>
      </c>
      <c r="R369" s="100">
        <f t="shared" si="149"/>
        <v>0</v>
      </c>
      <c r="S369" s="100">
        <f t="shared" si="149"/>
        <v>0</v>
      </c>
      <c r="T369" s="100">
        <f t="shared" si="149"/>
        <v>0</v>
      </c>
      <c r="U369" s="100"/>
      <c r="V369" s="102">
        <f>SUM(G369:T369)</f>
        <v>0</v>
      </c>
      <c r="W369" s="98" t="str">
        <f>IF(ABS(F369-V369)&lt;0.01,"ok","err")</f>
        <v>ok</v>
      </c>
      <c r="X369" s="102" t="str">
        <f>IF(W369="err",V369-F369,"")</f>
        <v/>
      </c>
    </row>
    <row r="370" spans="1:24" ht="12" customHeight="1" x14ac:dyDescent="0.25">
      <c r="F370" s="101"/>
    </row>
    <row r="371" spans="1:24" ht="12" customHeight="1" x14ac:dyDescent="0.25">
      <c r="A371" s="24" t="s">
        <v>158</v>
      </c>
      <c r="F371" s="101"/>
    </row>
    <row r="372" spans="1:24" ht="12" customHeight="1" x14ac:dyDescent="0.25">
      <c r="A372" s="107" t="s">
        <v>820</v>
      </c>
      <c r="C372" s="97" t="s">
        <v>72</v>
      </c>
      <c r="D372" s="97" t="s">
        <v>88</v>
      </c>
      <c r="E372" s="97" t="s">
        <v>2429</v>
      </c>
      <c r="F372" s="100">
        <f>VLOOKUP(C372,'Functional Assignment'!$C$1:$AU$771,19,)</f>
        <v>0</v>
      </c>
      <c r="G372" s="100">
        <f t="shared" ref="G372:T376" si="150">IF(VLOOKUP($E372,$D$5:$AJ$945,3,)=0,0,(VLOOKUP($E372,$D$5:$AJ$945,G$1,)/VLOOKUP($E372,$D$5:$AJ$945,3,))*$F372)</f>
        <v>0</v>
      </c>
      <c r="H372" s="100">
        <f t="shared" si="150"/>
        <v>0</v>
      </c>
      <c r="I372" s="100">
        <f t="shared" si="150"/>
        <v>0</v>
      </c>
      <c r="J372" s="100">
        <f t="shared" si="150"/>
        <v>0</v>
      </c>
      <c r="K372" s="100">
        <f t="shared" si="150"/>
        <v>0</v>
      </c>
      <c r="L372" s="100">
        <f t="shared" si="150"/>
        <v>0</v>
      </c>
      <c r="M372" s="100">
        <f t="shared" si="150"/>
        <v>0</v>
      </c>
      <c r="N372" s="100">
        <f t="shared" si="150"/>
        <v>0</v>
      </c>
      <c r="O372" s="100">
        <f t="shared" si="150"/>
        <v>0</v>
      </c>
      <c r="P372" s="100">
        <f t="shared" si="150"/>
        <v>0</v>
      </c>
      <c r="Q372" s="100">
        <f t="shared" si="150"/>
        <v>0</v>
      </c>
      <c r="R372" s="100">
        <f t="shared" si="150"/>
        <v>0</v>
      </c>
      <c r="S372" s="100">
        <f t="shared" si="150"/>
        <v>0</v>
      </c>
      <c r="T372" s="100">
        <f t="shared" si="150"/>
        <v>0</v>
      </c>
      <c r="U372" s="100"/>
      <c r="V372" s="102">
        <f t="shared" ref="V372:V377" si="151">SUM(G372:T372)</f>
        <v>0</v>
      </c>
      <c r="W372" s="98" t="str">
        <f t="shared" ref="W372:W377" si="152">IF(ABS(F372-V372)&lt;0.01,"ok","err")</f>
        <v>ok</v>
      </c>
      <c r="X372" s="102" t="str">
        <f t="shared" ref="X372:X377" si="153">IF(W372="err",V372-F372,"")</f>
        <v/>
      </c>
    </row>
    <row r="373" spans="1:24" ht="12" customHeight="1" x14ac:dyDescent="0.25">
      <c r="A373" s="107" t="s">
        <v>821</v>
      </c>
      <c r="C373" s="97" t="s">
        <v>72</v>
      </c>
      <c r="D373" s="97" t="s">
        <v>89</v>
      </c>
      <c r="E373" s="97" t="s">
        <v>2429</v>
      </c>
      <c r="F373" s="101">
        <f>VLOOKUP(C373,'Functional Assignment'!$C$1:$AU$771,20,)</f>
        <v>0</v>
      </c>
      <c r="G373" s="101">
        <f t="shared" si="150"/>
        <v>0</v>
      </c>
      <c r="H373" s="101">
        <f t="shared" si="150"/>
        <v>0</v>
      </c>
      <c r="I373" s="101">
        <f t="shared" si="150"/>
        <v>0</v>
      </c>
      <c r="J373" s="101">
        <f t="shared" si="150"/>
        <v>0</v>
      </c>
      <c r="K373" s="101">
        <f t="shared" si="150"/>
        <v>0</v>
      </c>
      <c r="L373" s="101">
        <f t="shared" si="150"/>
        <v>0</v>
      </c>
      <c r="M373" s="101">
        <f t="shared" si="150"/>
        <v>0</v>
      </c>
      <c r="N373" s="101">
        <f t="shared" si="150"/>
        <v>0</v>
      </c>
      <c r="O373" s="101">
        <f t="shared" si="150"/>
        <v>0</v>
      </c>
      <c r="P373" s="101">
        <f t="shared" si="150"/>
        <v>0</v>
      </c>
      <c r="Q373" s="101">
        <f t="shared" si="150"/>
        <v>0</v>
      </c>
      <c r="R373" s="101">
        <f t="shared" si="150"/>
        <v>0</v>
      </c>
      <c r="S373" s="101">
        <f t="shared" si="150"/>
        <v>0</v>
      </c>
      <c r="T373" s="101">
        <f t="shared" si="150"/>
        <v>0</v>
      </c>
      <c r="U373" s="101"/>
      <c r="V373" s="101">
        <f t="shared" si="151"/>
        <v>0</v>
      </c>
      <c r="W373" s="98" t="str">
        <f t="shared" si="152"/>
        <v>ok</v>
      </c>
      <c r="X373" s="102" t="str">
        <f t="shared" si="153"/>
        <v/>
      </c>
    </row>
    <row r="374" spans="1:24" ht="12" customHeight="1" x14ac:dyDescent="0.25">
      <c r="A374" s="107" t="s">
        <v>822</v>
      </c>
      <c r="C374" s="97" t="s">
        <v>72</v>
      </c>
      <c r="D374" s="97" t="s">
        <v>90</v>
      </c>
      <c r="E374" s="97" t="s">
        <v>941</v>
      </c>
      <c r="F374" s="101">
        <f>VLOOKUP(C374,'Functional Assignment'!$C$1:$AU$771,21,)</f>
        <v>0</v>
      </c>
      <c r="G374" s="101">
        <f t="shared" si="150"/>
        <v>0</v>
      </c>
      <c r="H374" s="101">
        <f t="shared" si="150"/>
        <v>0</v>
      </c>
      <c r="I374" s="101">
        <f t="shared" si="150"/>
        <v>0</v>
      </c>
      <c r="J374" s="101">
        <f t="shared" si="150"/>
        <v>0</v>
      </c>
      <c r="K374" s="101">
        <f t="shared" si="150"/>
        <v>0</v>
      </c>
      <c r="L374" s="101">
        <f t="shared" si="150"/>
        <v>0</v>
      </c>
      <c r="M374" s="101">
        <f t="shared" si="150"/>
        <v>0</v>
      </c>
      <c r="N374" s="101">
        <f t="shared" si="150"/>
        <v>0</v>
      </c>
      <c r="O374" s="101">
        <f t="shared" si="150"/>
        <v>0</v>
      </c>
      <c r="P374" s="101">
        <f t="shared" si="150"/>
        <v>0</v>
      </c>
      <c r="Q374" s="101">
        <f t="shared" si="150"/>
        <v>0</v>
      </c>
      <c r="R374" s="101">
        <f t="shared" si="150"/>
        <v>0</v>
      </c>
      <c r="S374" s="101">
        <f t="shared" si="150"/>
        <v>0</v>
      </c>
      <c r="T374" s="101">
        <f t="shared" si="150"/>
        <v>0</v>
      </c>
      <c r="U374" s="101"/>
      <c r="V374" s="101">
        <f t="shared" si="151"/>
        <v>0</v>
      </c>
      <c r="W374" s="98" t="str">
        <f t="shared" si="152"/>
        <v>ok</v>
      </c>
      <c r="X374" s="102" t="str">
        <f t="shared" si="153"/>
        <v/>
      </c>
    </row>
    <row r="375" spans="1:24" ht="12" customHeight="1" x14ac:dyDescent="0.25">
      <c r="A375" s="107" t="s">
        <v>823</v>
      </c>
      <c r="C375" s="97" t="s">
        <v>72</v>
      </c>
      <c r="D375" s="97" t="s">
        <v>91</v>
      </c>
      <c r="E375" s="97" t="s">
        <v>760</v>
      </c>
      <c r="F375" s="101">
        <f>VLOOKUP(C375,'Functional Assignment'!$C$1:$AU$771,22,)</f>
        <v>0</v>
      </c>
      <c r="G375" s="101">
        <f t="shared" si="150"/>
        <v>0</v>
      </c>
      <c r="H375" s="101">
        <f t="shared" si="150"/>
        <v>0</v>
      </c>
      <c r="I375" s="101">
        <f t="shared" si="150"/>
        <v>0</v>
      </c>
      <c r="J375" s="101">
        <f t="shared" si="150"/>
        <v>0</v>
      </c>
      <c r="K375" s="101">
        <f t="shared" si="150"/>
        <v>0</v>
      </c>
      <c r="L375" s="101">
        <f t="shared" si="150"/>
        <v>0</v>
      </c>
      <c r="M375" s="101">
        <f t="shared" si="150"/>
        <v>0</v>
      </c>
      <c r="N375" s="101">
        <f t="shared" si="150"/>
        <v>0</v>
      </c>
      <c r="O375" s="101">
        <f t="shared" si="150"/>
        <v>0</v>
      </c>
      <c r="P375" s="101">
        <f t="shared" si="150"/>
        <v>0</v>
      </c>
      <c r="Q375" s="101">
        <f t="shared" si="150"/>
        <v>0</v>
      </c>
      <c r="R375" s="101">
        <f t="shared" si="150"/>
        <v>0</v>
      </c>
      <c r="S375" s="101">
        <f t="shared" si="150"/>
        <v>0</v>
      </c>
      <c r="T375" s="101">
        <f t="shared" si="150"/>
        <v>0</v>
      </c>
      <c r="U375" s="101"/>
      <c r="V375" s="101">
        <f t="shared" si="151"/>
        <v>0</v>
      </c>
      <c r="W375" s="98" t="str">
        <f t="shared" si="152"/>
        <v>ok</v>
      </c>
      <c r="X375" s="102" t="str">
        <f t="shared" si="153"/>
        <v/>
      </c>
    </row>
    <row r="376" spans="1:24" ht="12" customHeight="1" x14ac:dyDescent="0.25">
      <c r="A376" s="107" t="s">
        <v>824</v>
      </c>
      <c r="C376" s="97" t="s">
        <v>72</v>
      </c>
      <c r="D376" s="97" t="s">
        <v>92</v>
      </c>
      <c r="E376" s="97" t="s">
        <v>940</v>
      </c>
      <c r="F376" s="101">
        <f>VLOOKUP(C376,'Functional Assignment'!$C$1:$AU$771,23,)</f>
        <v>0</v>
      </c>
      <c r="G376" s="101">
        <f t="shared" si="150"/>
        <v>0</v>
      </c>
      <c r="H376" s="101">
        <f t="shared" si="150"/>
        <v>0</v>
      </c>
      <c r="I376" s="101">
        <f t="shared" si="150"/>
        <v>0</v>
      </c>
      <c r="J376" s="101">
        <f t="shared" si="150"/>
        <v>0</v>
      </c>
      <c r="K376" s="101">
        <f t="shared" si="150"/>
        <v>0</v>
      </c>
      <c r="L376" s="101">
        <f t="shared" si="150"/>
        <v>0</v>
      </c>
      <c r="M376" s="101">
        <f t="shared" si="150"/>
        <v>0</v>
      </c>
      <c r="N376" s="101">
        <f t="shared" si="150"/>
        <v>0</v>
      </c>
      <c r="O376" s="101">
        <f t="shared" si="150"/>
        <v>0</v>
      </c>
      <c r="P376" s="101">
        <f t="shared" si="150"/>
        <v>0</v>
      </c>
      <c r="Q376" s="101">
        <f t="shared" si="150"/>
        <v>0</v>
      </c>
      <c r="R376" s="101">
        <f t="shared" si="150"/>
        <v>0</v>
      </c>
      <c r="S376" s="101">
        <f t="shared" si="150"/>
        <v>0</v>
      </c>
      <c r="T376" s="101">
        <f t="shared" si="150"/>
        <v>0</v>
      </c>
      <c r="U376" s="101"/>
      <c r="V376" s="101">
        <f t="shared" si="151"/>
        <v>0</v>
      </c>
      <c r="W376" s="98" t="str">
        <f t="shared" si="152"/>
        <v>ok</v>
      </c>
      <c r="X376" s="102" t="str">
        <f t="shared" si="153"/>
        <v/>
      </c>
    </row>
    <row r="377" spans="1:24" ht="12" customHeight="1" x14ac:dyDescent="0.25">
      <c r="A377" s="97" t="s">
        <v>163</v>
      </c>
      <c r="D377" s="97" t="s">
        <v>93</v>
      </c>
      <c r="F377" s="100">
        <f t="shared" ref="F377:T377" si="154">SUM(F372:F376)</f>
        <v>0</v>
      </c>
      <c r="G377" s="100">
        <f t="shared" si="154"/>
        <v>0</v>
      </c>
      <c r="H377" s="100">
        <f t="shared" si="154"/>
        <v>0</v>
      </c>
      <c r="I377" s="100">
        <f>SUM(I372:I376)</f>
        <v>0</v>
      </c>
      <c r="J377" s="100">
        <f>SUM(J372:J376)</f>
        <v>0</v>
      </c>
      <c r="K377" s="100">
        <f>SUM(K372:K376)</f>
        <v>0</v>
      </c>
      <c r="L377" s="100">
        <f t="shared" si="154"/>
        <v>0</v>
      </c>
      <c r="M377" s="100">
        <f t="shared" si="154"/>
        <v>0</v>
      </c>
      <c r="N377" s="100">
        <f t="shared" si="154"/>
        <v>0</v>
      </c>
      <c r="O377" s="100">
        <f t="shared" si="154"/>
        <v>0</v>
      </c>
      <c r="P377" s="100">
        <f>SUM(P372:P376)</f>
        <v>0</v>
      </c>
      <c r="Q377" s="100">
        <f t="shared" si="154"/>
        <v>0</v>
      </c>
      <c r="R377" s="100">
        <f t="shared" si="154"/>
        <v>0</v>
      </c>
      <c r="S377" s="100">
        <f t="shared" si="154"/>
        <v>0</v>
      </c>
      <c r="T377" s="100">
        <f t="shared" si="154"/>
        <v>0</v>
      </c>
      <c r="U377" s="100"/>
      <c r="V377" s="102">
        <f t="shared" si="151"/>
        <v>0</v>
      </c>
      <c r="W377" s="98" t="str">
        <f t="shared" si="152"/>
        <v>ok</v>
      </c>
      <c r="X377" s="102" t="str">
        <f t="shared" si="153"/>
        <v/>
      </c>
    </row>
    <row r="378" spans="1:24" ht="12" customHeight="1" x14ac:dyDescent="0.25">
      <c r="F378" s="101"/>
    </row>
    <row r="379" spans="1:24" ht="12" customHeight="1" x14ac:dyDescent="0.25">
      <c r="A379" s="24" t="s">
        <v>819</v>
      </c>
      <c r="F379" s="101"/>
    </row>
    <row r="380" spans="1:24" ht="12" customHeight="1" x14ac:dyDescent="0.25">
      <c r="A380" s="107" t="s">
        <v>409</v>
      </c>
      <c r="C380" s="97" t="s">
        <v>72</v>
      </c>
      <c r="D380" s="97" t="s">
        <v>94</v>
      </c>
      <c r="E380" s="97" t="s">
        <v>2332</v>
      </c>
      <c r="F380" s="100">
        <f>VLOOKUP(C380,'Functional Assignment'!$C$1:$AU$771,24,)</f>
        <v>0</v>
      </c>
      <c r="G380" s="100">
        <f t="shared" ref="G380:T381" si="155">IF(VLOOKUP($E380,$D$5:$AJ$945,3,)=0,0,(VLOOKUP($E380,$D$5:$AJ$945,G$1,)/VLOOKUP($E380,$D$5:$AJ$945,3,))*$F380)</f>
        <v>0</v>
      </c>
      <c r="H380" s="100">
        <f t="shared" si="155"/>
        <v>0</v>
      </c>
      <c r="I380" s="100">
        <f t="shared" si="155"/>
        <v>0</v>
      </c>
      <c r="J380" s="100">
        <f t="shared" si="155"/>
        <v>0</v>
      </c>
      <c r="K380" s="100">
        <f t="shared" si="155"/>
        <v>0</v>
      </c>
      <c r="L380" s="100">
        <f t="shared" si="155"/>
        <v>0</v>
      </c>
      <c r="M380" s="100">
        <f t="shared" si="155"/>
        <v>0</v>
      </c>
      <c r="N380" s="100">
        <f t="shared" si="155"/>
        <v>0</v>
      </c>
      <c r="O380" s="100">
        <f t="shared" si="155"/>
        <v>0</v>
      </c>
      <c r="P380" s="100">
        <f t="shared" si="155"/>
        <v>0</v>
      </c>
      <c r="Q380" s="100">
        <f t="shared" si="155"/>
        <v>0</v>
      </c>
      <c r="R380" s="100">
        <f t="shared" si="155"/>
        <v>0</v>
      </c>
      <c r="S380" s="100">
        <f t="shared" si="155"/>
        <v>0</v>
      </c>
      <c r="T380" s="100">
        <f t="shared" si="155"/>
        <v>0</v>
      </c>
      <c r="U380" s="100"/>
      <c r="V380" s="102">
        <f>SUM(G380:T380)</f>
        <v>0</v>
      </c>
      <c r="W380" s="98" t="str">
        <f>IF(ABS(F380-V380)&lt;0.01,"ok","err")</f>
        <v>ok</v>
      </c>
      <c r="X380" s="102" t="str">
        <f>IF(W380="err",V380-F380,"")</f>
        <v/>
      </c>
    </row>
    <row r="381" spans="1:24" ht="12" customHeight="1" x14ac:dyDescent="0.25">
      <c r="A381" s="107" t="s">
        <v>412</v>
      </c>
      <c r="C381" s="97" t="s">
        <v>72</v>
      </c>
      <c r="D381" s="97" t="s">
        <v>95</v>
      </c>
      <c r="E381" s="97" t="s">
        <v>2331</v>
      </c>
      <c r="F381" s="101">
        <f>VLOOKUP(C381,'Functional Assignment'!$C$1:$AU$771,25,)</f>
        <v>0</v>
      </c>
      <c r="G381" s="101">
        <f t="shared" si="155"/>
        <v>0</v>
      </c>
      <c r="H381" s="101">
        <f t="shared" si="155"/>
        <v>0</v>
      </c>
      <c r="I381" s="101">
        <f t="shared" si="155"/>
        <v>0</v>
      </c>
      <c r="J381" s="101">
        <f t="shared" si="155"/>
        <v>0</v>
      </c>
      <c r="K381" s="101">
        <f t="shared" si="155"/>
        <v>0</v>
      </c>
      <c r="L381" s="101">
        <f t="shared" si="155"/>
        <v>0</v>
      </c>
      <c r="M381" s="101">
        <f t="shared" si="155"/>
        <v>0</v>
      </c>
      <c r="N381" s="101">
        <f t="shared" si="155"/>
        <v>0</v>
      </c>
      <c r="O381" s="101">
        <f t="shared" si="155"/>
        <v>0</v>
      </c>
      <c r="P381" s="101">
        <f t="shared" si="155"/>
        <v>0</v>
      </c>
      <c r="Q381" s="101">
        <f t="shared" si="155"/>
        <v>0</v>
      </c>
      <c r="R381" s="101">
        <f t="shared" si="155"/>
        <v>0</v>
      </c>
      <c r="S381" s="101">
        <f t="shared" si="155"/>
        <v>0</v>
      </c>
      <c r="T381" s="101">
        <f t="shared" si="155"/>
        <v>0</v>
      </c>
      <c r="U381" s="101"/>
      <c r="V381" s="101">
        <f>SUM(G381:T381)</f>
        <v>0</v>
      </c>
      <c r="W381" s="98" t="str">
        <f>IF(ABS(F381-V381)&lt;0.01,"ok","err")</f>
        <v>ok</v>
      </c>
      <c r="X381" s="102" t="str">
        <f>IF(W381="err",V381-F381,"")</f>
        <v/>
      </c>
    </row>
    <row r="382" spans="1:24" ht="12" customHeight="1" x14ac:dyDescent="0.25">
      <c r="A382" s="97" t="s">
        <v>1536</v>
      </c>
      <c r="D382" s="97" t="s">
        <v>96</v>
      </c>
      <c r="F382" s="100">
        <f t="shared" ref="F382:T382" si="156">F380+F381</f>
        <v>0</v>
      </c>
      <c r="G382" s="100">
        <f t="shared" si="156"/>
        <v>0</v>
      </c>
      <c r="H382" s="100">
        <f t="shared" si="156"/>
        <v>0</v>
      </c>
      <c r="I382" s="100">
        <f>I380+I381</f>
        <v>0</v>
      </c>
      <c r="J382" s="100">
        <f>J380+J381</f>
        <v>0</v>
      </c>
      <c r="K382" s="100">
        <f>K380+K381</f>
        <v>0</v>
      </c>
      <c r="L382" s="100">
        <f t="shared" si="156"/>
        <v>0</v>
      </c>
      <c r="M382" s="100">
        <f t="shared" si="156"/>
        <v>0</v>
      </c>
      <c r="N382" s="100">
        <f t="shared" si="156"/>
        <v>0</v>
      </c>
      <c r="O382" s="100">
        <f t="shared" si="156"/>
        <v>0</v>
      </c>
      <c r="P382" s="100">
        <f>P380+P381</f>
        <v>0</v>
      </c>
      <c r="Q382" s="100">
        <f t="shared" si="156"/>
        <v>0</v>
      </c>
      <c r="R382" s="100">
        <f t="shared" si="156"/>
        <v>0</v>
      </c>
      <c r="S382" s="100">
        <f t="shared" si="156"/>
        <v>0</v>
      </c>
      <c r="T382" s="100">
        <f t="shared" si="156"/>
        <v>0</v>
      </c>
      <c r="U382" s="100"/>
      <c r="V382" s="102">
        <f>SUM(G382:T382)</f>
        <v>0</v>
      </c>
      <c r="W382" s="98" t="str">
        <f>IF(ABS(F382-V382)&lt;0.01,"ok","err")</f>
        <v>ok</v>
      </c>
      <c r="X382" s="102" t="str">
        <f>IF(W382="err",V382-F382,"")</f>
        <v/>
      </c>
    </row>
    <row r="383" spans="1:24" ht="12" customHeight="1" x14ac:dyDescent="0.25">
      <c r="F383" s="101"/>
    </row>
    <row r="384" spans="1:24" ht="12" customHeight="1" x14ac:dyDescent="0.25">
      <c r="A384" s="24" t="s">
        <v>134</v>
      </c>
      <c r="F384" s="101"/>
    </row>
    <row r="385" spans="1:24" ht="12" customHeight="1" x14ac:dyDescent="0.25">
      <c r="A385" s="107" t="s">
        <v>412</v>
      </c>
      <c r="C385" s="97" t="s">
        <v>72</v>
      </c>
      <c r="D385" s="97" t="s">
        <v>97</v>
      </c>
      <c r="E385" s="97" t="s">
        <v>413</v>
      </c>
      <c r="F385" s="100">
        <f>VLOOKUP(C385,'Functional Assignment'!$C$1:$AU$771,26,)</f>
        <v>0</v>
      </c>
      <c r="G385" s="100">
        <f t="shared" ref="G385:T385" si="157">IF(VLOOKUP($E385,$D$5:$AJ$945,3,)=0,0,(VLOOKUP($E385,$D$5:$AJ$945,G$1,)/VLOOKUP($E385,$D$5:$AJ$945,3,))*$F385)</f>
        <v>0</v>
      </c>
      <c r="H385" s="100">
        <f t="shared" si="157"/>
        <v>0</v>
      </c>
      <c r="I385" s="100">
        <f t="shared" si="157"/>
        <v>0</v>
      </c>
      <c r="J385" s="100">
        <f t="shared" si="157"/>
        <v>0</v>
      </c>
      <c r="K385" s="100">
        <f t="shared" si="157"/>
        <v>0</v>
      </c>
      <c r="L385" s="100">
        <f t="shared" si="157"/>
        <v>0</v>
      </c>
      <c r="M385" s="100">
        <f t="shared" si="157"/>
        <v>0</v>
      </c>
      <c r="N385" s="100">
        <f t="shared" si="157"/>
        <v>0</v>
      </c>
      <c r="O385" s="100">
        <f t="shared" si="157"/>
        <v>0</v>
      </c>
      <c r="P385" s="100">
        <f t="shared" si="157"/>
        <v>0</v>
      </c>
      <c r="Q385" s="100">
        <f t="shared" si="157"/>
        <v>0</v>
      </c>
      <c r="R385" s="100">
        <f t="shared" si="157"/>
        <v>0</v>
      </c>
      <c r="S385" s="100">
        <f t="shared" si="157"/>
        <v>0</v>
      </c>
      <c r="T385" s="100">
        <f t="shared" si="157"/>
        <v>0</v>
      </c>
      <c r="U385" s="100"/>
      <c r="V385" s="102">
        <f>SUM(G385:T385)</f>
        <v>0</v>
      </c>
      <c r="W385" s="98" t="str">
        <f>IF(ABS(F385-V385)&lt;0.01,"ok","err")</f>
        <v>ok</v>
      </c>
      <c r="X385" s="102" t="str">
        <f>IF(W385="err",V385-F385,"")</f>
        <v/>
      </c>
    </row>
    <row r="386" spans="1:24" ht="12" customHeight="1" x14ac:dyDescent="0.25">
      <c r="F386" s="101"/>
    </row>
    <row r="387" spans="1:24" ht="12" customHeight="1" x14ac:dyDescent="0.25">
      <c r="A387" s="24" t="s">
        <v>133</v>
      </c>
      <c r="F387" s="101"/>
    </row>
    <row r="388" spans="1:24" ht="12" customHeight="1" x14ac:dyDescent="0.25">
      <c r="A388" s="107" t="s">
        <v>412</v>
      </c>
      <c r="C388" s="97" t="s">
        <v>72</v>
      </c>
      <c r="D388" s="97" t="s">
        <v>98</v>
      </c>
      <c r="E388" s="97" t="s">
        <v>414</v>
      </c>
      <c r="F388" s="100">
        <f>VLOOKUP(C388,'Functional Assignment'!$C$1:$AU$771,27,)</f>
        <v>0</v>
      </c>
      <c r="G388" s="100">
        <f t="shared" ref="G388:T388" si="158">IF(VLOOKUP($E388,$D$5:$AJ$945,3,)=0,0,(VLOOKUP($E388,$D$5:$AJ$945,G$1,)/VLOOKUP($E388,$D$5:$AJ$945,3,))*$F388)</f>
        <v>0</v>
      </c>
      <c r="H388" s="100">
        <f t="shared" si="158"/>
        <v>0</v>
      </c>
      <c r="I388" s="100">
        <f t="shared" si="158"/>
        <v>0</v>
      </c>
      <c r="J388" s="100">
        <f t="shared" si="158"/>
        <v>0</v>
      </c>
      <c r="K388" s="100">
        <f t="shared" si="158"/>
        <v>0</v>
      </c>
      <c r="L388" s="100">
        <f t="shared" si="158"/>
        <v>0</v>
      </c>
      <c r="M388" s="100">
        <f t="shared" si="158"/>
        <v>0</v>
      </c>
      <c r="N388" s="100">
        <f t="shared" si="158"/>
        <v>0</v>
      </c>
      <c r="O388" s="100">
        <f t="shared" si="158"/>
        <v>0</v>
      </c>
      <c r="P388" s="100">
        <f t="shared" si="158"/>
        <v>0</v>
      </c>
      <c r="Q388" s="100">
        <f t="shared" si="158"/>
        <v>0</v>
      </c>
      <c r="R388" s="100">
        <f t="shared" si="158"/>
        <v>0</v>
      </c>
      <c r="S388" s="100">
        <f t="shared" si="158"/>
        <v>0</v>
      </c>
      <c r="T388" s="100">
        <f t="shared" si="158"/>
        <v>0</v>
      </c>
      <c r="U388" s="100"/>
      <c r="V388" s="102">
        <f>SUM(G388:T388)</f>
        <v>0</v>
      </c>
      <c r="W388" s="98" t="str">
        <f>IF(ABS(F388-V388)&lt;0.01,"ok","err")</f>
        <v>ok</v>
      </c>
      <c r="X388" s="102" t="str">
        <f>IF(W388="err",V388-F388,"")</f>
        <v/>
      </c>
    </row>
    <row r="389" spans="1:24" ht="12" customHeight="1" x14ac:dyDescent="0.25">
      <c r="F389" s="101"/>
    </row>
    <row r="390" spans="1:24" ht="12" customHeight="1" x14ac:dyDescent="0.25">
      <c r="A390" s="24" t="s">
        <v>156</v>
      </c>
      <c r="F390" s="101"/>
    </row>
    <row r="391" spans="1:24" ht="12" customHeight="1" x14ac:dyDescent="0.25">
      <c r="A391" s="107" t="s">
        <v>412</v>
      </c>
      <c r="C391" s="97" t="s">
        <v>72</v>
      </c>
      <c r="D391" s="97" t="s">
        <v>99</v>
      </c>
      <c r="E391" s="97" t="s">
        <v>415</v>
      </c>
      <c r="F391" s="100">
        <f>VLOOKUP(C391,'Functional Assignment'!$C$1:$AU$771,28,)</f>
        <v>0</v>
      </c>
      <c r="G391" s="100">
        <f t="shared" ref="G391:T391" si="159">IF(VLOOKUP($E391,$D$5:$AJ$945,3,)=0,0,(VLOOKUP($E391,$D$5:$AJ$945,G$1,)/VLOOKUP($E391,$D$5:$AJ$945,3,))*$F391)</f>
        <v>0</v>
      </c>
      <c r="H391" s="100">
        <f t="shared" si="159"/>
        <v>0</v>
      </c>
      <c r="I391" s="100">
        <f t="shared" si="159"/>
        <v>0</v>
      </c>
      <c r="J391" s="100">
        <f t="shared" si="159"/>
        <v>0</v>
      </c>
      <c r="K391" s="100">
        <f t="shared" si="159"/>
        <v>0</v>
      </c>
      <c r="L391" s="100">
        <f t="shared" si="159"/>
        <v>0</v>
      </c>
      <c r="M391" s="100">
        <f t="shared" si="159"/>
        <v>0</v>
      </c>
      <c r="N391" s="100">
        <f t="shared" si="159"/>
        <v>0</v>
      </c>
      <c r="O391" s="100">
        <f t="shared" si="159"/>
        <v>0</v>
      </c>
      <c r="P391" s="100">
        <f t="shared" si="159"/>
        <v>0</v>
      </c>
      <c r="Q391" s="100">
        <f t="shared" si="159"/>
        <v>0</v>
      </c>
      <c r="R391" s="100">
        <f t="shared" si="159"/>
        <v>0</v>
      </c>
      <c r="S391" s="100">
        <f t="shared" si="159"/>
        <v>0</v>
      </c>
      <c r="T391" s="100">
        <f t="shared" si="159"/>
        <v>0</v>
      </c>
      <c r="U391" s="100"/>
      <c r="V391" s="102">
        <f>SUM(G391:T391)</f>
        <v>0</v>
      </c>
      <c r="W391" s="98" t="str">
        <f>IF(ABS(F391-V391)&lt;0.01,"ok","err")</f>
        <v>ok</v>
      </c>
      <c r="X391" s="102" t="str">
        <f>IF(W391="err",V391-F391,"")</f>
        <v/>
      </c>
    </row>
    <row r="392" spans="1:24" ht="12" customHeight="1" x14ac:dyDescent="0.25">
      <c r="F392" s="101"/>
    </row>
    <row r="393" spans="1:24" ht="12" customHeight="1" x14ac:dyDescent="0.25">
      <c r="A393" s="24" t="s">
        <v>309</v>
      </c>
      <c r="F393" s="101"/>
    </row>
    <row r="394" spans="1:24" ht="12" customHeight="1" x14ac:dyDescent="0.25">
      <c r="A394" s="107" t="s">
        <v>412</v>
      </c>
      <c r="C394" s="97" t="s">
        <v>72</v>
      </c>
      <c r="D394" s="97" t="s">
        <v>100</v>
      </c>
      <c r="E394" s="97" t="s">
        <v>416</v>
      </c>
      <c r="F394" s="100">
        <f>VLOOKUP(C394,'Functional Assignment'!$C$1:$AU$771,30,)</f>
        <v>0</v>
      </c>
      <c r="G394" s="100">
        <f t="shared" ref="G394:T394" si="160">IF(VLOOKUP($E394,$D$5:$AJ$945,3,)=0,0,(VLOOKUP($E394,$D$5:$AJ$945,G$1,)/VLOOKUP($E394,$D$5:$AJ$945,3,))*$F394)</f>
        <v>0</v>
      </c>
      <c r="H394" s="100">
        <f t="shared" si="160"/>
        <v>0</v>
      </c>
      <c r="I394" s="100">
        <f t="shared" si="160"/>
        <v>0</v>
      </c>
      <c r="J394" s="100">
        <f t="shared" si="160"/>
        <v>0</v>
      </c>
      <c r="K394" s="100">
        <f t="shared" si="160"/>
        <v>0</v>
      </c>
      <c r="L394" s="100">
        <f t="shared" si="160"/>
        <v>0</v>
      </c>
      <c r="M394" s="100">
        <f t="shared" si="160"/>
        <v>0</v>
      </c>
      <c r="N394" s="100">
        <f t="shared" si="160"/>
        <v>0</v>
      </c>
      <c r="O394" s="100">
        <f t="shared" si="160"/>
        <v>0</v>
      </c>
      <c r="P394" s="100">
        <f t="shared" si="160"/>
        <v>0</v>
      </c>
      <c r="Q394" s="100">
        <f t="shared" si="160"/>
        <v>0</v>
      </c>
      <c r="R394" s="100">
        <f t="shared" si="160"/>
        <v>0</v>
      </c>
      <c r="S394" s="100">
        <f t="shared" si="160"/>
        <v>0</v>
      </c>
      <c r="T394" s="100">
        <f t="shared" si="160"/>
        <v>0</v>
      </c>
      <c r="U394" s="100"/>
      <c r="V394" s="102">
        <f>SUM(G394:T394)</f>
        <v>0</v>
      </c>
      <c r="W394" s="98" t="str">
        <f>IF(ABS(F394-V394)&lt;0.01,"ok","err")</f>
        <v>ok</v>
      </c>
      <c r="X394" s="102" t="str">
        <f>IF(W394="err",V394-F394,"")</f>
        <v/>
      </c>
    </row>
    <row r="395" spans="1:24" ht="12" customHeight="1" x14ac:dyDescent="0.25">
      <c r="F395" s="101"/>
    </row>
    <row r="396" spans="1:24" ht="12" customHeight="1" x14ac:dyDescent="0.25">
      <c r="A396" s="24" t="s">
        <v>1700</v>
      </c>
      <c r="F396" s="101"/>
    </row>
    <row r="397" spans="1:24" ht="12" customHeight="1" x14ac:dyDescent="0.25">
      <c r="A397" s="107" t="s">
        <v>412</v>
      </c>
      <c r="C397" s="97" t="s">
        <v>72</v>
      </c>
      <c r="D397" s="97" t="s">
        <v>101</v>
      </c>
      <c r="E397" s="97" t="s">
        <v>416</v>
      </c>
      <c r="F397" s="100">
        <f>VLOOKUP(C397,'Functional Assignment'!$C$1:$AU$771,32,)</f>
        <v>0</v>
      </c>
      <c r="G397" s="100">
        <f t="shared" ref="G397:T397" si="161">IF(VLOOKUP($E397,$D$5:$AJ$945,3,)=0,0,(VLOOKUP($E397,$D$5:$AJ$945,G$1,)/VLOOKUP($E397,$D$5:$AJ$945,3,))*$F397)</f>
        <v>0</v>
      </c>
      <c r="H397" s="100">
        <f t="shared" si="161"/>
        <v>0</v>
      </c>
      <c r="I397" s="100">
        <f t="shared" si="161"/>
        <v>0</v>
      </c>
      <c r="J397" s="100">
        <f t="shared" si="161"/>
        <v>0</v>
      </c>
      <c r="K397" s="100">
        <f t="shared" si="161"/>
        <v>0</v>
      </c>
      <c r="L397" s="100">
        <f t="shared" si="161"/>
        <v>0</v>
      </c>
      <c r="M397" s="100">
        <f t="shared" si="161"/>
        <v>0</v>
      </c>
      <c r="N397" s="100">
        <f t="shared" si="161"/>
        <v>0</v>
      </c>
      <c r="O397" s="100">
        <f t="shared" si="161"/>
        <v>0</v>
      </c>
      <c r="P397" s="100">
        <f t="shared" si="161"/>
        <v>0</v>
      </c>
      <c r="Q397" s="100">
        <f t="shared" si="161"/>
        <v>0</v>
      </c>
      <c r="R397" s="100">
        <f t="shared" si="161"/>
        <v>0</v>
      </c>
      <c r="S397" s="100">
        <f t="shared" si="161"/>
        <v>0</v>
      </c>
      <c r="T397" s="100">
        <f t="shared" si="161"/>
        <v>0</v>
      </c>
      <c r="U397" s="100"/>
      <c r="V397" s="102">
        <f>SUM(G397:T397)</f>
        <v>0</v>
      </c>
      <c r="W397" s="98" t="str">
        <f>IF(ABS(F397-V397)&lt;0.01,"ok","err")</f>
        <v>ok</v>
      </c>
      <c r="X397" s="102" t="str">
        <f>IF(W397="err",V397-F397,"")</f>
        <v/>
      </c>
    </row>
    <row r="398" spans="1:24" ht="12" customHeight="1" x14ac:dyDescent="0.25">
      <c r="F398" s="101"/>
    </row>
    <row r="399" spans="1:24" ht="12" customHeight="1" x14ac:dyDescent="0.25">
      <c r="A399" s="24" t="s">
        <v>1699</v>
      </c>
      <c r="F399" s="101"/>
    </row>
    <row r="400" spans="1:24" ht="12" customHeight="1" x14ac:dyDescent="0.25">
      <c r="A400" s="107" t="s">
        <v>412</v>
      </c>
      <c r="C400" s="97" t="s">
        <v>72</v>
      </c>
      <c r="D400" s="97" t="s">
        <v>1753</v>
      </c>
      <c r="E400" s="97" t="s">
        <v>417</v>
      </c>
      <c r="F400" s="100">
        <f>VLOOKUP(C400,'Functional Assignment'!$C$1:$AU$771,34,)</f>
        <v>0</v>
      </c>
      <c r="G400" s="100">
        <f t="shared" ref="G400:T400" si="162">IF(VLOOKUP($E400,$D$5:$AJ$945,3,)=0,0,(VLOOKUP($E400,$D$5:$AJ$945,G$1,)/VLOOKUP($E400,$D$5:$AJ$945,3,))*$F400)</f>
        <v>0</v>
      </c>
      <c r="H400" s="100">
        <f t="shared" si="162"/>
        <v>0</v>
      </c>
      <c r="I400" s="100">
        <f t="shared" si="162"/>
        <v>0</v>
      </c>
      <c r="J400" s="100">
        <f t="shared" si="162"/>
        <v>0</v>
      </c>
      <c r="K400" s="100">
        <f t="shared" si="162"/>
        <v>0</v>
      </c>
      <c r="L400" s="100">
        <f t="shared" si="162"/>
        <v>0</v>
      </c>
      <c r="M400" s="100">
        <f t="shared" si="162"/>
        <v>0</v>
      </c>
      <c r="N400" s="100">
        <f t="shared" si="162"/>
        <v>0</v>
      </c>
      <c r="O400" s="100">
        <f t="shared" si="162"/>
        <v>0</v>
      </c>
      <c r="P400" s="100">
        <f t="shared" si="162"/>
        <v>0</v>
      </c>
      <c r="Q400" s="100">
        <f t="shared" si="162"/>
        <v>0</v>
      </c>
      <c r="R400" s="100">
        <f t="shared" si="162"/>
        <v>0</v>
      </c>
      <c r="S400" s="100">
        <f t="shared" si="162"/>
        <v>0</v>
      </c>
      <c r="T400" s="100">
        <f t="shared" si="162"/>
        <v>0</v>
      </c>
      <c r="U400" s="100"/>
      <c r="V400" s="102">
        <f>SUM(G400:T400)</f>
        <v>0</v>
      </c>
      <c r="W400" s="98" t="str">
        <f>IF(ABS(F400-V400)&lt;0.01,"ok","err")</f>
        <v>ok</v>
      </c>
      <c r="X400" s="102" t="str">
        <f>IF(W400="err",V400-F400,"")</f>
        <v/>
      </c>
    </row>
    <row r="401" spans="1:24" ht="12" customHeight="1" x14ac:dyDescent="0.25">
      <c r="F401" s="101"/>
    </row>
    <row r="402" spans="1:24" ht="12" customHeight="1" x14ac:dyDescent="0.25">
      <c r="A402" s="97" t="s">
        <v>68</v>
      </c>
      <c r="D402" s="97" t="s">
        <v>102</v>
      </c>
      <c r="F402" s="100">
        <f>F357+F363+F366+F369+F377+F382+F385+F388+F391+F394+F397+F400</f>
        <v>0</v>
      </c>
      <c r="G402" s="100">
        <f t="shared" ref="G402:T402" si="163">G357+G363+G366+G369+G377+G382+G385+G388+G391+G394+G397+G400</f>
        <v>0</v>
      </c>
      <c r="H402" s="100">
        <f t="shared" si="163"/>
        <v>0</v>
      </c>
      <c r="I402" s="100">
        <f>I357+I363+I366+I369+I377+I382+I385+I388+I391+I394+I397+I400</f>
        <v>0</v>
      </c>
      <c r="J402" s="100">
        <f>J357+J363+J366+J369+J377+J382+J385+J388+J391+J394+J397+J400</f>
        <v>0</v>
      </c>
      <c r="K402" s="100">
        <f>K357+K363+K366+K369+K377+K382+K385+K388+K391+K394+K397+K400</f>
        <v>0</v>
      </c>
      <c r="L402" s="100">
        <f t="shared" si="163"/>
        <v>0</v>
      </c>
      <c r="M402" s="100">
        <f t="shared" si="163"/>
        <v>0</v>
      </c>
      <c r="N402" s="100">
        <f t="shared" si="163"/>
        <v>0</v>
      </c>
      <c r="O402" s="100">
        <f>O357+O363+O366+O369+O377+O382+O385+O388+O391+O394+O397+O400</f>
        <v>0</v>
      </c>
      <c r="P402" s="100">
        <f>P357+P363+P366+P369+P377+P382+P385+P388+P391+P394+P397+P400</f>
        <v>0</v>
      </c>
      <c r="Q402" s="100">
        <f t="shared" si="163"/>
        <v>0</v>
      </c>
      <c r="R402" s="100">
        <f t="shared" si="163"/>
        <v>0</v>
      </c>
      <c r="S402" s="100">
        <f t="shared" si="163"/>
        <v>0</v>
      </c>
      <c r="T402" s="100">
        <f t="shared" si="163"/>
        <v>0</v>
      </c>
      <c r="U402" s="100"/>
      <c r="V402" s="102">
        <f>SUM(G402:T402)</f>
        <v>0</v>
      </c>
      <c r="W402" s="98" t="str">
        <f>IF(ABS(F402-V402)&lt;0.01,"ok","err")</f>
        <v>ok</v>
      </c>
      <c r="X402" s="102" t="str">
        <f>IF(W402="err",V402-F402,"")</f>
        <v/>
      </c>
    </row>
    <row r="405" spans="1:24" ht="12" customHeight="1" x14ac:dyDescent="0.25">
      <c r="A405" s="23" t="s">
        <v>393</v>
      </c>
    </row>
    <row r="407" spans="1:24" ht="12" customHeight="1" x14ac:dyDescent="0.25">
      <c r="A407" s="24" t="s">
        <v>149</v>
      </c>
    </row>
    <row r="408" spans="1:24" ht="12" customHeight="1" x14ac:dyDescent="0.25">
      <c r="A408" s="107" t="s">
        <v>139</v>
      </c>
      <c r="C408" s="97" t="s">
        <v>394</v>
      </c>
      <c r="D408" s="97" t="s">
        <v>1756</v>
      </c>
      <c r="E408" s="397" t="s">
        <v>2455</v>
      </c>
      <c r="F408" s="100">
        <f>VLOOKUP(C408,'Functional Assignment'!$C$1:$AU$771,6,)</f>
        <v>5182784.4920048928</v>
      </c>
      <c r="G408" s="100">
        <f t="shared" ref="G408:T413" si="164">IF(VLOOKUP($E408,$D$5:$AJ$945,3,)=0,0,(VLOOKUP($E408,$D$5:$AJ$945,G$1,)/VLOOKUP($E408,$D$5:$AJ$945,3,))*$F408)</f>
        <v>2121583.747847002</v>
      </c>
      <c r="H408" s="100">
        <f t="shared" si="164"/>
        <v>588881.00140780711</v>
      </c>
      <c r="I408" s="100">
        <f t="shared" si="164"/>
        <v>0</v>
      </c>
      <c r="J408" s="100">
        <f t="shared" si="164"/>
        <v>44342.945637749806</v>
      </c>
      <c r="K408" s="100">
        <f t="shared" si="164"/>
        <v>0</v>
      </c>
      <c r="L408" s="100">
        <f t="shared" si="164"/>
        <v>591919.46329104004</v>
      </c>
      <c r="M408" s="100">
        <f t="shared" si="164"/>
        <v>43585.942741609615</v>
      </c>
      <c r="N408" s="100">
        <f t="shared" si="164"/>
        <v>432261.9587724118</v>
      </c>
      <c r="O408" s="100">
        <f t="shared" si="164"/>
        <v>945388.19455773605</v>
      </c>
      <c r="P408" s="100">
        <f t="shared" si="164"/>
        <v>328692.6891635356</v>
      </c>
      <c r="Q408" s="100">
        <f t="shared" si="164"/>
        <v>85863.567044659634</v>
      </c>
      <c r="R408" s="100">
        <f t="shared" si="164"/>
        <v>0</v>
      </c>
      <c r="S408" s="100">
        <f t="shared" si="164"/>
        <v>0</v>
      </c>
      <c r="T408" s="100">
        <f t="shared" si="164"/>
        <v>264.98154134086525</v>
      </c>
      <c r="U408" s="100"/>
      <c r="V408" s="102">
        <f t="shared" ref="V408:V414" si="165">SUM(G408:T408)</f>
        <v>5182784.4920048928</v>
      </c>
      <c r="W408" s="98" t="str">
        <f t="shared" ref="W408:W414" si="166">IF(ABS(F408-V408)&lt;0.01,"ok","err")</f>
        <v>ok</v>
      </c>
      <c r="X408" s="102" t="str">
        <f t="shared" ref="X408:X414" si="167">IF(W408="err",V408-F408,"")</f>
        <v/>
      </c>
    </row>
    <row r="409" spans="1:24" ht="12" customHeight="1" x14ac:dyDescent="0.25">
      <c r="A409" s="107" t="s">
        <v>143</v>
      </c>
      <c r="C409" s="97" t="s">
        <v>394</v>
      </c>
      <c r="D409" s="97" t="s">
        <v>1757</v>
      </c>
      <c r="E409" s="397" t="s">
        <v>2455</v>
      </c>
      <c r="F409" s="101">
        <f>VLOOKUP(C409,'Functional Assignment'!$C$1:$AU$771,7,)</f>
        <v>5429294.7962091612</v>
      </c>
      <c r="G409" s="101">
        <f t="shared" si="164"/>
        <v>2222493.2600760711</v>
      </c>
      <c r="H409" s="101">
        <f t="shared" si="164"/>
        <v>616890.12179880321</v>
      </c>
      <c r="I409" s="101">
        <f t="shared" si="164"/>
        <v>0</v>
      </c>
      <c r="J409" s="101">
        <f t="shared" si="164"/>
        <v>46452.042212252854</v>
      </c>
      <c r="K409" s="101">
        <f t="shared" si="164"/>
        <v>0</v>
      </c>
      <c r="L409" s="101">
        <f t="shared" si="164"/>
        <v>620073.10293887672</v>
      </c>
      <c r="M409" s="101">
        <f t="shared" si="164"/>
        <v>45659.033764560423</v>
      </c>
      <c r="N409" s="101">
        <f t="shared" si="164"/>
        <v>452821.76154200372</v>
      </c>
      <c r="O409" s="101">
        <f t="shared" si="164"/>
        <v>990353.97150467604</v>
      </c>
      <c r="P409" s="101">
        <f t="shared" si="164"/>
        <v>344326.39627993514</v>
      </c>
      <c r="Q409" s="101">
        <f t="shared" si="164"/>
        <v>89947.521155600247</v>
      </c>
      <c r="R409" s="101">
        <f t="shared" si="164"/>
        <v>0</v>
      </c>
      <c r="S409" s="101">
        <f t="shared" si="164"/>
        <v>0</v>
      </c>
      <c r="T409" s="101">
        <f t="shared" si="164"/>
        <v>277.58493638173911</v>
      </c>
      <c r="U409" s="101"/>
      <c r="V409" s="101">
        <f t="shared" si="165"/>
        <v>5429294.7962091602</v>
      </c>
      <c r="W409" s="98" t="str">
        <f t="shared" si="166"/>
        <v>ok</v>
      </c>
      <c r="X409" s="102" t="str">
        <f t="shared" si="167"/>
        <v/>
      </c>
    </row>
    <row r="410" spans="1:24" ht="12" customHeight="1" x14ac:dyDescent="0.25">
      <c r="A410" s="107" t="s">
        <v>140</v>
      </c>
      <c r="C410" s="97" t="s">
        <v>394</v>
      </c>
      <c r="D410" s="97" t="s">
        <v>1758</v>
      </c>
      <c r="E410" s="397" t="s">
        <v>2455</v>
      </c>
      <c r="F410" s="101">
        <f>VLOOKUP(C410,'Functional Assignment'!$C$1:$AU$771,8,)</f>
        <v>4462862.014789843</v>
      </c>
      <c r="G410" s="101">
        <f t="shared" si="164"/>
        <v>1826881.9654893957</v>
      </c>
      <c r="H410" s="101">
        <f t="shared" si="164"/>
        <v>507081.59995239583</v>
      </c>
      <c r="I410" s="101">
        <f t="shared" si="164"/>
        <v>0</v>
      </c>
      <c r="J410" s="101">
        <f t="shared" si="164"/>
        <v>38183.422061226956</v>
      </c>
      <c r="K410" s="101">
        <f t="shared" si="164"/>
        <v>0</v>
      </c>
      <c r="L410" s="101">
        <f t="shared" si="164"/>
        <v>509697.9997164582</v>
      </c>
      <c r="M410" s="101">
        <f t="shared" si="164"/>
        <v>37531.571791264629</v>
      </c>
      <c r="N410" s="101">
        <f t="shared" si="164"/>
        <v>372217.96106320305</v>
      </c>
      <c r="O410" s="101">
        <f t="shared" si="164"/>
        <v>814067.62508281565</v>
      </c>
      <c r="P410" s="101">
        <f t="shared" si="164"/>
        <v>283035.1366663932</v>
      </c>
      <c r="Q410" s="101">
        <f t="shared" si="164"/>
        <v>73936.559085005982</v>
      </c>
      <c r="R410" s="101">
        <f t="shared" si="164"/>
        <v>0</v>
      </c>
      <c r="S410" s="101">
        <f t="shared" si="164"/>
        <v>0</v>
      </c>
      <c r="T410" s="101">
        <f t="shared" si="164"/>
        <v>228.17388168365605</v>
      </c>
      <c r="U410" s="101"/>
      <c r="V410" s="101">
        <f t="shared" si="165"/>
        <v>4462862.0147898421</v>
      </c>
      <c r="W410" s="98" t="str">
        <f t="shared" si="166"/>
        <v>ok</v>
      </c>
      <c r="X410" s="102" t="str">
        <f t="shared" si="167"/>
        <v/>
      </c>
    </row>
    <row r="411" spans="1:24" ht="12" customHeight="1" x14ac:dyDescent="0.25">
      <c r="A411" s="107" t="s">
        <v>141</v>
      </c>
      <c r="C411" s="97" t="s">
        <v>394</v>
      </c>
      <c r="D411" s="97" t="s">
        <v>1759</v>
      </c>
      <c r="E411" s="97" t="s">
        <v>410</v>
      </c>
      <c r="F411" s="101">
        <f>VLOOKUP(C411,'Functional Assignment'!$C$1:$AU$771,9,)</f>
        <v>0</v>
      </c>
      <c r="G411" s="101">
        <f t="shared" si="164"/>
        <v>0</v>
      </c>
      <c r="H411" s="101">
        <f t="shared" si="164"/>
        <v>0</v>
      </c>
      <c r="I411" s="101">
        <f t="shared" si="164"/>
        <v>0</v>
      </c>
      <c r="J411" s="101">
        <f t="shared" si="164"/>
        <v>0</v>
      </c>
      <c r="K411" s="101">
        <f t="shared" si="164"/>
        <v>0</v>
      </c>
      <c r="L411" s="101">
        <f t="shared" si="164"/>
        <v>0</v>
      </c>
      <c r="M411" s="101">
        <f t="shared" si="164"/>
        <v>0</v>
      </c>
      <c r="N411" s="101">
        <f t="shared" si="164"/>
        <v>0</v>
      </c>
      <c r="O411" s="101">
        <f t="shared" si="164"/>
        <v>0</v>
      </c>
      <c r="P411" s="101">
        <f t="shared" si="164"/>
        <v>0</v>
      </c>
      <c r="Q411" s="101">
        <f t="shared" si="164"/>
        <v>0</v>
      </c>
      <c r="R411" s="101">
        <f t="shared" si="164"/>
        <v>0</v>
      </c>
      <c r="S411" s="101">
        <f t="shared" si="164"/>
        <v>0</v>
      </c>
      <c r="T411" s="101">
        <f t="shared" si="164"/>
        <v>0</v>
      </c>
      <c r="U411" s="101"/>
      <c r="V411" s="101">
        <f t="shared" si="165"/>
        <v>0</v>
      </c>
      <c r="W411" s="98" t="str">
        <f t="shared" si="166"/>
        <v>ok</v>
      </c>
      <c r="X411" s="102" t="str">
        <f t="shared" si="167"/>
        <v/>
      </c>
    </row>
    <row r="412" spans="1:24" ht="12" customHeight="1" x14ac:dyDescent="0.25">
      <c r="A412" s="107" t="s">
        <v>144</v>
      </c>
      <c r="C412" s="97" t="s">
        <v>394</v>
      </c>
      <c r="D412" s="97" t="s">
        <v>1760</v>
      </c>
      <c r="E412" s="97" t="s">
        <v>410</v>
      </c>
      <c r="F412" s="101">
        <f>VLOOKUP(C412,'Functional Assignment'!$C$1:$AU$771,10,)</f>
        <v>0</v>
      </c>
      <c r="G412" s="101">
        <f t="shared" si="164"/>
        <v>0</v>
      </c>
      <c r="H412" s="101">
        <f t="shared" si="164"/>
        <v>0</v>
      </c>
      <c r="I412" s="101">
        <f t="shared" si="164"/>
        <v>0</v>
      </c>
      <c r="J412" s="101">
        <f t="shared" si="164"/>
        <v>0</v>
      </c>
      <c r="K412" s="101">
        <f t="shared" si="164"/>
        <v>0</v>
      </c>
      <c r="L412" s="101">
        <f t="shared" si="164"/>
        <v>0</v>
      </c>
      <c r="M412" s="101">
        <f t="shared" si="164"/>
        <v>0</v>
      </c>
      <c r="N412" s="101">
        <f t="shared" si="164"/>
        <v>0</v>
      </c>
      <c r="O412" s="101">
        <f t="shared" si="164"/>
        <v>0</v>
      </c>
      <c r="P412" s="101">
        <f t="shared" si="164"/>
        <v>0</v>
      </c>
      <c r="Q412" s="101">
        <f t="shared" si="164"/>
        <v>0</v>
      </c>
      <c r="R412" s="101">
        <f t="shared" si="164"/>
        <v>0</v>
      </c>
      <c r="S412" s="101">
        <f t="shared" si="164"/>
        <v>0</v>
      </c>
      <c r="T412" s="101">
        <f t="shared" si="164"/>
        <v>0</v>
      </c>
      <c r="U412" s="101"/>
      <c r="V412" s="101">
        <f t="shared" si="165"/>
        <v>0</v>
      </c>
      <c r="W412" s="98" t="str">
        <f t="shared" si="166"/>
        <v>ok</v>
      </c>
      <c r="X412" s="102" t="str">
        <f t="shared" si="167"/>
        <v/>
      </c>
    </row>
    <row r="413" spans="1:24" ht="12" customHeight="1" x14ac:dyDescent="0.25">
      <c r="A413" s="107" t="s">
        <v>142</v>
      </c>
      <c r="C413" s="97" t="s">
        <v>394</v>
      </c>
      <c r="D413" s="97" t="s">
        <v>1761</v>
      </c>
      <c r="E413" s="97" t="s">
        <v>410</v>
      </c>
      <c r="F413" s="101">
        <f>VLOOKUP(C413,'Functional Assignment'!$C$1:$AU$771,11,)</f>
        <v>0</v>
      </c>
      <c r="G413" s="101">
        <f t="shared" si="164"/>
        <v>0</v>
      </c>
      <c r="H413" s="101">
        <f t="shared" si="164"/>
        <v>0</v>
      </c>
      <c r="I413" s="101">
        <f t="shared" si="164"/>
        <v>0</v>
      </c>
      <c r="J413" s="101">
        <f t="shared" si="164"/>
        <v>0</v>
      </c>
      <c r="K413" s="101">
        <f t="shared" si="164"/>
        <v>0</v>
      </c>
      <c r="L413" s="101">
        <f t="shared" si="164"/>
        <v>0</v>
      </c>
      <c r="M413" s="101">
        <f t="shared" si="164"/>
        <v>0</v>
      </c>
      <c r="N413" s="101">
        <f t="shared" si="164"/>
        <v>0</v>
      </c>
      <c r="O413" s="101">
        <f t="shared" si="164"/>
        <v>0</v>
      </c>
      <c r="P413" s="101">
        <f t="shared" si="164"/>
        <v>0</v>
      </c>
      <c r="Q413" s="101">
        <f t="shared" si="164"/>
        <v>0</v>
      </c>
      <c r="R413" s="101">
        <f t="shared" si="164"/>
        <v>0</v>
      </c>
      <c r="S413" s="101">
        <f t="shared" si="164"/>
        <v>0</v>
      </c>
      <c r="T413" s="101">
        <f t="shared" si="164"/>
        <v>0</v>
      </c>
      <c r="U413" s="101"/>
      <c r="V413" s="101">
        <f t="shared" si="165"/>
        <v>0</v>
      </c>
      <c r="W413" s="98" t="str">
        <f t="shared" si="166"/>
        <v>ok</v>
      </c>
      <c r="X413" s="102" t="str">
        <f t="shared" si="167"/>
        <v/>
      </c>
    </row>
    <row r="414" spans="1:24" ht="12" customHeight="1" x14ac:dyDescent="0.25">
      <c r="A414" s="97" t="s">
        <v>172</v>
      </c>
      <c r="D414" s="97" t="s">
        <v>1762</v>
      </c>
      <c r="F414" s="100">
        <f t="shared" ref="F414:T414" si="168">SUM(F408:F413)</f>
        <v>15074941.303003896</v>
      </c>
      <c r="G414" s="100">
        <f t="shared" si="168"/>
        <v>6170958.973412469</v>
      </c>
      <c r="H414" s="100">
        <f t="shared" si="168"/>
        <v>1712852.7231590061</v>
      </c>
      <c r="I414" s="100">
        <f>SUM(I408:I413)</f>
        <v>0</v>
      </c>
      <c r="J414" s="100">
        <f>SUM(J408:J413)</f>
        <v>128978.40991122961</v>
      </c>
      <c r="K414" s="100">
        <f>SUM(K408:K413)</f>
        <v>0</v>
      </c>
      <c r="L414" s="100">
        <f t="shared" si="168"/>
        <v>1721690.5659463748</v>
      </c>
      <c r="M414" s="100">
        <f t="shared" si="168"/>
        <v>126776.54829743467</v>
      </c>
      <c r="N414" s="100">
        <f t="shared" si="168"/>
        <v>1257301.6813776186</v>
      </c>
      <c r="O414" s="100">
        <f t="shared" si="168"/>
        <v>2749809.7911452278</v>
      </c>
      <c r="P414" s="100">
        <f>SUM(P408:P413)</f>
        <v>956054.222109864</v>
      </c>
      <c r="Q414" s="100">
        <f t="shared" si="168"/>
        <v>249747.64728526588</v>
      </c>
      <c r="R414" s="100">
        <f t="shared" si="168"/>
        <v>0</v>
      </c>
      <c r="S414" s="100">
        <f t="shared" si="168"/>
        <v>0</v>
      </c>
      <c r="T414" s="100">
        <f t="shared" si="168"/>
        <v>770.74035940626038</v>
      </c>
      <c r="U414" s="100"/>
      <c r="V414" s="102">
        <f t="shared" si="165"/>
        <v>15074941.303003896</v>
      </c>
      <c r="W414" s="98" t="str">
        <f t="shared" si="166"/>
        <v>ok</v>
      </c>
      <c r="X414" s="102" t="str">
        <f t="shared" si="167"/>
        <v/>
      </c>
    </row>
    <row r="415" spans="1:24" ht="12" customHeight="1" x14ac:dyDescent="0.25">
      <c r="F415" s="101"/>
      <c r="G415" s="101"/>
    </row>
    <row r="416" spans="1:24" ht="12" customHeight="1" x14ac:dyDescent="0.25">
      <c r="A416" s="24" t="s">
        <v>461</v>
      </c>
      <c r="F416" s="101"/>
      <c r="G416" s="101"/>
    </row>
    <row r="417" spans="1:24" ht="12" customHeight="1" x14ac:dyDescent="0.25">
      <c r="A417" s="107" t="s">
        <v>2424</v>
      </c>
      <c r="C417" s="97" t="s">
        <v>394</v>
      </c>
      <c r="D417" s="97" t="s">
        <v>1763</v>
      </c>
      <c r="E417" s="397" t="s">
        <v>2455</v>
      </c>
      <c r="F417" s="100">
        <f>VLOOKUP(C417,'Functional Assignment'!$C$1:$AU$771,13,)</f>
        <v>3342931.7179400311</v>
      </c>
      <c r="G417" s="100">
        <f t="shared" ref="G417:T419" si="169">IF(VLOOKUP($E417,$D$5:$AJ$945,3,)=0,0,(VLOOKUP($E417,$D$5:$AJ$945,G$1,)/VLOOKUP($E417,$D$5:$AJ$945,3,))*$F417)</f>
        <v>1368436.1396628823</v>
      </c>
      <c r="H417" s="100">
        <f t="shared" si="169"/>
        <v>379832.30457203969</v>
      </c>
      <c r="I417" s="100">
        <f t="shared" si="169"/>
        <v>0</v>
      </c>
      <c r="J417" s="100">
        <f t="shared" si="169"/>
        <v>28601.505555169519</v>
      </c>
      <c r="K417" s="100">
        <f t="shared" si="169"/>
        <v>0</v>
      </c>
      <c r="L417" s="100">
        <f t="shared" si="169"/>
        <v>381792.13342830032</v>
      </c>
      <c r="M417" s="100">
        <f t="shared" si="169"/>
        <v>28113.233469771545</v>
      </c>
      <c r="N417" s="100">
        <f t="shared" si="169"/>
        <v>278811.94262819778</v>
      </c>
      <c r="O417" s="100">
        <f t="shared" si="169"/>
        <v>609781.90125952347</v>
      </c>
      <c r="P417" s="100">
        <f t="shared" si="169"/>
        <v>212009.04991415748</v>
      </c>
      <c r="Q417" s="100">
        <f t="shared" si="169"/>
        <v>55382.592529527872</v>
      </c>
      <c r="R417" s="100">
        <f t="shared" si="169"/>
        <v>0</v>
      </c>
      <c r="S417" s="100">
        <f t="shared" si="169"/>
        <v>0</v>
      </c>
      <c r="T417" s="100">
        <f t="shared" si="169"/>
        <v>170.91492046090264</v>
      </c>
      <c r="U417" s="100"/>
      <c r="V417" s="102">
        <f>SUM(G417:T417)</f>
        <v>3342931.7179400311</v>
      </c>
      <c r="W417" s="98" t="str">
        <f>IF(ABS(F417-V417)&lt;0.01,"ok","err")</f>
        <v>ok</v>
      </c>
      <c r="X417" s="102" t="str">
        <f>IF(W417="err",V417-F417,"")</f>
        <v/>
      </c>
    </row>
    <row r="418" spans="1:24" ht="12" hidden="1" customHeight="1" x14ac:dyDescent="0.25">
      <c r="A418" s="107" t="s">
        <v>2423</v>
      </c>
      <c r="C418" s="97" t="s">
        <v>394</v>
      </c>
      <c r="D418" s="97" t="s">
        <v>1764</v>
      </c>
      <c r="E418" s="97" t="s">
        <v>55</v>
      </c>
      <c r="F418" s="101">
        <f>VLOOKUP(C418,'Functional Assignment'!$C$1:$AU$771,14,)</f>
        <v>0</v>
      </c>
      <c r="G418" s="101">
        <f t="shared" si="169"/>
        <v>0</v>
      </c>
      <c r="H418" s="101">
        <f t="shared" si="169"/>
        <v>0</v>
      </c>
      <c r="I418" s="101">
        <f t="shared" si="169"/>
        <v>0</v>
      </c>
      <c r="J418" s="101">
        <f t="shared" si="169"/>
        <v>0</v>
      </c>
      <c r="K418" s="101">
        <f t="shared" si="169"/>
        <v>0</v>
      </c>
      <c r="L418" s="101">
        <f t="shared" si="169"/>
        <v>0</v>
      </c>
      <c r="M418" s="101">
        <f t="shared" si="169"/>
        <v>0</v>
      </c>
      <c r="N418" s="101">
        <f t="shared" si="169"/>
        <v>0</v>
      </c>
      <c r="O418" s="101">
        <f t="shared" si="169"/>
        <v>0</v>
      </c>
      <c r="P418" s="101">
        <f t="shared" si="169"/>
        <v>0</v>
      </c>
      <c r="Q418" s="101">
        <f t="shared" si="169"/>
        <v>0</v>
      </c>
      <c r="R418" s="101">
        <f t="shared" si="169"/>
        <v>0</v>
      </c>
      <c r="S418" s="101">
        <f t="shared" si="169"/>
        <v>0</v>
      </c>
      <c r="T418" s="101">
        <f t="shared" si="169"/>
        <v>0</v>
      </c>
      <c r="U418" s="101"/>
      <c r="V418" s="101">
        <f>SUM(G418:T418)</f>
        <v>0</v>
      </c>
      <c r="W418" s="98" t="str">
        <f>IF(ABS(F418-V418)&lt;0.01,"ok","err")</f>
        <v>ok</v>
      </c>
      <c r="X418" s="102" t="str">
        <f>IF(W418="err",V418-F418,"")</f>
        <v/>
      </c>
    </row>
    <row r="419" spans="1:24" ht="12" hidden="1" customHeight="1" x14ac:dyDescent="0.25">
      <c r="A419" s="107" t="s">
        <v>2423</v>
      </c>
      <c r="C419" s="97" t="s">
        <v>394</v>
      </c>
      <c r="D419" s="97" t="s">
        <v>1765</v>
      </c>
      <c r="E419" s="97" t="s">
        <v>58</v>
      </c>
      <c r="F419" s="101">
        <f>VLOOKUP(C419,'Functional Assignment'!$C$1:$AU$771,15,)</f>
        <v>0</v>
      </c>
      <c r="G419" s="101">
        <f t="shared" si="169"/>
        <v>0</v>
      </c>
      <c r="H419" s="101">
        <f t="shared" si="169"/>
        <v>0</v>
      </c>
      <c r="I419" s="101">
        <f t="shared" si="169"/>
        <v>0</v>
      </c>
      <c r="J419" s="101">
        <f t="shared" si="169"/>
        <v>0</v>
      </c>
      <c r="K419" s="101">
        <f t="shared" si="169"/>
        <v>0</v>
      </c>
      <c r="L419" s="101">
        <f t="shared" si="169"/>
        <v>0</v>
      </c>
      <c r="M419" s="101">
        <f t="shared" si="169"/>
        <v>0</v>
      </c>
      <c r="N419" s="101">
        <f t="shared" si="169"/>
        <v>0</v>
      </c>
      <c r="O419" s="101">
        <f t="shared" si="169"/>
        <v>0</v>
      </c>
      <c r="P419" s="101">
        <f t="shared" si="169"/>
        <v>0</v>
      </c>
      <c r="Q419" s="101">
        <f t="shared" si="169"/>
        <v>0</v>
      </c>
      <c r="R419" s="101">
        <f t="shared" si="169"/>
        <v>0</v>
      </c>
      <c r="S419" s="101">
        <f t="shared" si="169"/>
        <v>0</v>
      </c>
      <c r="T419" s="101">
        <f t="shared" si="169"/>
        <v>0</v>
      </c>
      <c r="U419" s="101"/>
      <c r="V419" s="101">
        <f>SUM(G419:T419)</f>
        <v>0</v>
      </c>
      <c r="W419" s="98" t="str">
        <f>IF(ABS(F419-V419)&lt;0.01,"ok","err")</f>
        <v>ok</v>
      </c>
      <c r="X419" s="102" t="str">
        <f>IF(W419="err",V419-F419,"")</f>
        <v/>
      </c>
    </row>
    <row r="420" spans="1:24" ht="12" hidden="1" customHeight="1" x14ac:dyDescent="0.25">
      <c r="A420" s="97" t="s">
        <v>463</v>
      </c>
      <c r="D420" s="97" t="s">
        <v>1766</v>
      </c>
      <c r="F420" s="100">
        <f t="shared" ref="F420:T420" si="170">SUM(F417:F419)</f>
        <v>3342931.7179400311</v>
      </c>
      <c r="G420" s="100">
        <f t="shared" si="170"/>
        <v>1368436.1396628823</v>
      </c>
      <c r="H420" s="100">
        <f t="shared" si="170"/>
        <v>379832.30457203969</v>
      </c>
      <c r="I420" s="100">
        <f>SUM(I417:I419)</f>
        <v>0</v>
      </c>
      <c r="J420" s="100">
        <f>SUM(J417:J419)</f>
        <v>28601.505555169519</v>
      </c>
      <c r="K420" s="100">
        <f>SUM(K417:K419)</f>
        <v>0</v>
      </c>
      <c r="L420" s="100">
        <f t="shared" si="170"/>
        <v>381792.13342830032</v>
      </c>
      <c r="M420" s="100">
        <f t="shared" si="170"/>
        <v>28113.233469771545</v>
      </c>
      <c r="N420" s="100">
        <f t="shared" si="170"/>
        <v>278811.94262819778</v>
      </c>
      <c r="O420" s="100">
        <f t="shared" si="170"/>
        <v>609781.90125952347</v>
      </c>
      <c r="P420" s="100">
        <f>SUM(P417:P419)</f>
        <v>212009.04991415748</v>
      </c>
      <c r="Q420" s="100">
        <f t="shared" si="170"/>
        <v>55382.592529527872</v>
      </c>
      <c r="R420" s="100">
        <f t="shared" si="170"/>
        <v>0</v>
      </c>
      <c r="S420" s="100">
        <f t="shared" si="170"/>
        <v>0</v>
      </c>
      <c r="T420" s="100">
        <f t="shared" si="170"/>
        <v>170.91492046090264</v>
      </c>
      <c r="U420" s="100"/>
      <c r="V420" s="102">
        <f>SUM(G420:T420)</f>
        <v>3342931.7179400311</v>
      </c>
      <c r="W420" s="98" t="str">
        <f>IF(ABS(F420-V420)&lt;0.01,"ok","err")</f>
        <v>ok</v>
      </c>
      <c r="X420" s="102" t="str">
        <f>IF(W420="err",V420-F420,"")</f>
        <v/>
      </c>
    </row>
    <row r="421" spans="1:24" ht="12" customHeight="1" x14ac:dyDescent="0.25">
      <c r="F421" s="101"/>
      <c r="G421" s="101"/>
    </row>
    <row r="422" spans="1:24" ht="12" customHeight="1" x14ac:dyDescent="0.25">
      <c r="A422" s="24" t="s">
        <v>1697</v>
      </c>
      <c r="F422" s="101"/>
      <c r="G422" s="101"/>
    </row>
    <row r="423" spans="1:24" ht="12" customHeight="1" x14ac:dyDescent="0.25">
      <c r="A423" s="107" t="s">
        <v>157</v>
      </c>
      <c r="C423" s="97" t="s">
        <v>394</v>
      </c>
      <c r="D423" s="97" t="s">
        <v>1767</v>
      </c>
      <c r="E423" s="97" t="s">
        <v>2429</v>
      </c>
      <c r="F423" s="100">
        <f>VLOOKUP(C423,'Functional Assignment'!$C$1:$AU$771,17,)</f>
        <v>0</v>
      </c>
      <c r="G423" s="100">
        <f t="shared" ref="G423:T423" si="171">IF(VLOOKUP($E423,$D$5:$AJ$945,3,)=0,0,(VLOOKUP($E423,$D$5:$AJ$945,G$1,)/VLOOKUP($E423,$D$5:$AJ$945,3,))*$F423)</f>
        <v>0</v>
      </c>
      <c r="H423" s="100">
        <f t="shared" si="171"/>
        <v>0</v>
      </c>
      <c r="I423" s="100">
        <f t="shared" si="171"/>
        <v>0</v>
      </c>
      <c r="J423" s="100">
        <f t="shared" si="171"/>
        <v>0</v>
      </c>
      <c r="K423" s="100">
        <f t="shared" si="171"/>
        <v>0</v>
      </c>
      <c r="L423" s="100">
        <f t="shared" si="171"/>
        <v>0</v>
      </c>
      <c r="M423" s="100">
        <f t="shared" si="171"/>
        <v>0</v>
      </c>
      <c r="N423" s="100">
        <f t="shared" si="171"/>
        <v>0</v>
      </c>
      <c r="O423" s="100">
        <f t="shared" si="171"/>
        <v>0</v>
      </c>
      <c r="P423" s="100">
        <f t="shared" si="171"/>
        <v>0</v>
      </c>
      <c r="Q423" s="100">
        <f t="shared" si="171"/>
        <v>0</v>
      </c>
      <c r="R423" s="100">
        <f t="shared" si="171"/>
        <v>0</v>
      </c>
      <c r="S423" s="100">
        <f t="shared" si="171"/>
        <v>0</v>
      </c>
      <c r="T423" s="100">
        <f t="shared" si="171"/>
        <v>0</v>
      </c>
      <c r="U423" s="100"/>
      <c r="V423" s="102">
        <f>SUM(G423:T423)</f>
        <v>0</v>
      </c>
      <c r="W423" s="98" t="str">
        <f>IF(ABS(F423-V423)&lt;0.01,"ok","err")</f>
        <v>ok</v>
      </c>
      <c r="X423" s="102" t="str">
        <f>IF(W423="err",V423-F423,"")</f>
        <v/>
      </c>
    </row>
    <row r="424" spans="1:24" ht="12" customHeight="1" x14ac:dyDescent="0.25">
      <c r="F424" s="101"/>
    </row>
    <row r="425" spans="1:24" ht="12" customHeight="1" x14ac:dyDescent="0.25">
      <c r="A425" s="24" t="s">
        <v>1698</v>
      </c>
      <c r="F425" s="101"/>
      <c r="G425" s="101"/>
    </row>
    <row r="426" spans="1:24" ht="12" customHeight="1" x14ac:dyDescent="0.25">
      <c r="A426" s="107" t="s">
        <v>159</v>
      </c>
      <c r="C426" s="97" t="s">
        <v>394</v>
      </c>
      <c r="D426" s="97" t="s">
        <v>1768</v>
      </c>
      <c r="E426" s="97" t="s">
        <v>2429</v>
      </c>
      <c r="F426" s="100">
        <f>VLOOKUP(C426,'Functional Assignment'!$C$1:$AU$771,18,)</f>
        <v>784098.26751743548</v>
      </c>
      <c r="G426" s="100">
        <f t="shared" ref="G426:T426" si="172">IF(VLOOKUP($E426,$D$5:$AJ$945,3,)=0,0,(VLOOKUP($E426,$D$5:$AJ$945,G$1,)/VLOOKUP($E426,$D$5:$AJ$945,3,))*$F426)</f>
        <v>380726.40586286713</v>
      </c>
      <c r="H426" s="100">
        <f t="shared" si="172"/>
        <v>92755.606019858504</v>
      </c>
      <c r="I426" s="100">
        <f t="shared" si="172"/>
        <v>0</v>
      </c>
      <c r="J426" s="100">
        <f t="shared" si="172"/>
        <v>9714.045634920969</v>
      </c>
      <c r="K426" s="100">
        <f t="shared" si="172"/>
        <v>0</v>
      </c>
      <c r="L426" s="100">
        <f t="shared" si="172"/>
        <v>86680.360241516086</v>
      </c>
      <c r="M426" s="100">
        <f t="shared" si="172"/>
        <v>6700.5419451184498</v>
      </c>
      <c r="N426" s="100">
        <f t="shared" si="172"/>
        <v>61012.377761352633</v>
      </c>
      <c r="O426" s="100">
        <f t="shared" si="172"/>
        <v>139560.77516253162</v>
      </c>
      <c r="P426" s="100">
        <f t="shared" si="172"/>
        <v>0</v>
      </c>
      <c r="Q426" s="100">
        <f t="shared" si="172"/>
        <v>0</v>
      </c>
      <c r="R426" s="100">
        <f t="shared" si="172"/>
        <v>6874.7615511793565</v>
      </c>
      <c r="S426" s="100">
        <f t="shared" si="172"/>
        <v>28.795974793321257</v>
      </c>
      <c r="T426" s="100">
        <f t="shared" si="172"/>
        <v>44.597363297359898</v>
      </c>
      <c r="U426" s="100"/>
      <c r="V426" s="102">
        <f>SUM(G426:T426)</f>
        <v>784098.26751743536</v>
      </c>
      <c r="W426" s="98" t="str">
        <f>IF(ABS(F426-V426)&lt;0.01,"ok","err")</f>
        <v>ok</v>
      </c>
      <c r="X426" s="102" t="str">
        <f>IF(W426="err",V426-F426,"")</f>
        <v/>
      </c>
    </row>
    <row r="427" spans="1:24" ht="12" customHeight="1" x14ac:dyDescent="0.25">
      <c r="F427" s="101"/>
    </row>
    <row r="428" spans="1:24" ht="12" customHeight="1" x14ac:dyDescent="0.25">
      <c r="A428" s="24" t="s">
        <v>158</v>
      </c>
      <c r="F428" s="101"/>
    </row>
    <row r="429" spans="1:24" ht="12" customHeight="1" x14ac:dyDescent="0.25">
      <c r="A429" s="107" t="s">
        <v>820</v>
      </c>
      <c r="C429" s="97" t="s">
        <v>394</v>
      </c>
      <c r="D429" s="97" t="s">
        <v>1769</v>
      </c>
      <c r="E429" s="97" t="s">
        <v>2429</v>
      </c>
      <c r="F429" s="100">
        <f>VLOOKUP(C429,'Functional Assignment'!$C$1:$AU$771,19,)</f>
        <v>0</v>
      </c>
      <c r="G429" s="100">
        <f t="shared" ref="G429:T433" si="173">IF(VLOOKUP($E429,$D$5:$AJ$945,3,)=0,0,(VLOOKUP($E429,$D$5:$AJ$945,G$1,)/VLOOKUP($E429,$D$5:$AJ$945,3,))*$F429)</f>
        <v>0</v>
      </c>
      <c r="H429" s="100">
        <f t="shared" si="173"/>
        <v>0</v>
      </c>
      <c r="I429" s="100">
        <f t="shared" si="173"/>
        <v>0</v>
      </c>
      <c r="J429" s="100">
        <f t="shared" si="173"/>
        <v>0</v>
      </c>
      <c r="K429" s="100">
        <f t="shared" si="173"/>
        <v>0</v>
      </c>
      <c r="L429" s="100">
        <f t="shared" si="173"/>
        <v>0</v>
      </c>
      <c r="M429" s="100">
        <f t="shared" si="173"/>
        <v>0</v>
      </c>
      <c r="N429" s="100">
        <f t="shared" si="173"/>
        <v>0</v>
      </c>
      <c r="O429" s="100">
        <f t="shared" si="173"/>
        <v>0</v>
      </c>
      <c r="P429" s="100">
        <f t="shared" si="173"/>
        <v>0</v>
      </c>
      <c r="Q429" s="100">
        <f t="shared" si="173"/>
        <v>0</v>
      </c>
      <c r="R429" s="100">
        <f t="shared" si="173"/>
        <v>0</v>
      </c>
      <c r="S429" s="100">
        <f t="shared" si="173"/>
        <v>0</v>
      </c>
      <c r="T429" s="100">
        <f t="shared" si="173"/>
        <v>0</v>
      </c>
      <c r="U429" s="100"/>
      <c r="V429" s="102">
        <f t="shared" ref="V429:V434" si="174">SUM(G429:T429)</f>
        <v>0</v>
      </c>
      <c r="W429" s="98" t="str">
        <f t="shared" ref="W429:W434" si="175">IF(ABS(F429-V429)&lt;0.01,"ok","err")</f>
        <v>ok</v>
      </c>
      <c r="X429" s="102" t="str">
        <f t="shared" ref="X429:X434" si="176">IF(W429="err",V429-F429,"")</f>
        <v/>
      </c>
    </row>
    <row r="430" spans="1:24" ht="12" customHeight="1" x14ac:dyDescent="0.25">
      <c r="A430" s="107" t="s">
        <v>821</v>
      </c>
      <c r="C430" s="97" t="s">
        <v>394</v>
      </c>
      <c r="D430" s="97" t="s">
        <v>1770</v>
      </c>
      <c r="E430" s="97" t="s">
        <v>2429</v>
      </c>
      <c r="F430" s="101">
        <f>VLOOKUP(C430,'Functional Assignment'!$C$1:$AU$771,20,)</f>
        <v>854425.56935727748</v>
      </c>
      <c r="G430" s="101">
        <f t="shared" si="173"/>
        <v>414874.49924954289</v>
      </c>
      <c r="H430" s="101">
        <f t="shared" si="173"/>
        <v>101075.03710666549</v>
      </c>
      <c r="I430" s="101">
        <f t="shared" si="173"/>
        <v>0</v>
      </c>
      <c r="J430" s="101">
        <f t="shared" si="173"/>
        <v>10585.317320823395</v>
      </c>
      <c r="K430" s="101">
        <f t="shared" si="173"/>
        <v>0</v>
      </c>
      <c r="L430" s="101">
        <f t="shared" si="173"/>
        <v>94454.890693664784</v>
      </c>
      <c r="M430" s="101">
        <f t="shared" si="173"/>
        <v>7301.5266116920038</v>
      </c>
      <c r="N430" s="101">
        <f t="shared" si="173"/>
        <v>66484.696837346128</v>
      </c>
      <c r="O430" s="101">
        <f t="shared" si="173"/>
        <v>152078.25309413468</v>
      </c>
      <c r="P430" s="101">
        <f t="shared" si="173"/>
        <v>0</v>
      </c>
      <c r="Q430" s="101">
        <f t="shared" si="173"/>
        <v>0</v>
      </c>
      <c r="R430" s="101">
        <f t="shared" si="173"/>
        <v>7491.3723137786756</v>
      </c>
      <c r="S430" s="101">
        <f t="shared" si="173"/>
        <v>31.378741896575129</v>
      </c>
      <c r="T430" s="101">
        <f t="shared" si="173"/>
        <v>48.597387732823634</v>
      </c>
      <c r="U430" s="101"/>
      <c r="V430" s="101">
        <f t="shared" si="174"/>
        <v>854425.56935727748</v>
      </c>
      <c r="W430" s="98" t="str">
        <f t="shared" si="175"/>
        <v>ok</v>
      </c>
      <c r="X430" s="102" t="str">
        <f t="shared" si="176"/>
        <v/>
      </c>
    </row>
    <row r="431" spans="1:24" ht="12" customHeight="1" x14ac:dyDescent="0.25">
      <c r="A431" s="107" t="s">
        <v>822</v>
      </c>
      <c r="C431" s="97" t="s">
        <v>394</v>
      </c>
      <c r="D431" s="97" t="s">
        <v>1771</v>
      </c>
      <c r="E431" s="97" t="s">
        <v>941</v>
      </c>
      <c r="F431" s="101">
        <f>VLOOKUP(C431,'Functional Assignment'!$C$1:$AU$771,21,)</f>
        <v>1584455.2877698585</v>
      </c>
      <c r="G431" s="101">
        <f t="shared" si="173"/>
        <v>1266066.9868395647</v>
      </c>
      <c r="H431" s="101">
        <f t="shared" si="173"/>
        <v>244976.46822357181</v>
      </c>
      <c r="I431" s="101">
        <f t="shared" si="173"/>
        <v>0</v>
      </c>
      <c r="J431" s="101">
        <f t="shared" si="173"/>
        <v>1743.3432017254268</v>
      </c>
      <c r="K431" s="101">
        <f t="shared" si="173"/>
        <v>0</v>
      </c>
      <c r="L431" s="101">
        <f t="shared" si="173"/>
        <v>13238.236825243841</v>
      </c>
      <c r="M431" s="101">
        <f t="shared" si="173"/>
        <v>508.59759510708068</v>
      </c>
      <c r="N431" s="101">
        <f t="shared" si="173"/>
        <v>1816.8399640241378</v>
      </c>
      <c r="O431" s="101">
        <f t="shared" si="173"/>
        <v>814.34412626971869</v>
      </c>
      <c r="P431" s="101">
        <f t="shared" si="173"/>
        <v>0</v>
      </c>
      <c r="Q431" s="101">
        <f t="shared" si="173"/>
        <v>0</v>
      </c>
      <c r="R431" s="101">
        <f t="shared" si="173"/>
        <v>55035.68221838239</v>
      </c>
      <c r="S431" s="101">
        <f t="shared" si="173"/>
        <v>1.3066091075326414</v>
      </c>
      <c r="T431" s="101">
        <f t="shared" si="173"/>
        <v>253.48216686133244</v>
      </c>
      <c r="U431" s="101"/>
      <c r="V431" s="101">
        <f t="shared" si="174"/>
        <v>1584455.287769858</v>
      </c>
      <c r="W431" s="98" t="str">
        <f t="shared" si="175"/>
        <v>ok</v>
      </c>
      <c r="X431" s="102" t="str">
        <f t="shared" si="176"/>
        <v/>
      </c>
    </row>
    <row r="432" spans="1:24" ht="12" customHeight="1" x14ac:dyDescent="0.25">
      <c r="A432" s="107" t="s">
        <v>823</v>
      </c>
      <c r="C432" s="97" t="s">
        <v>394</v>
      </c>
      <c r="D432" s="97" t="s">
        <v>1772</v>
      </c>
      <c r="E432" s="97" t="s">
        <v>760</v>
      </c>
      <c r="F432" s="101">
        <f>VLOOKUP(C432,'Functional Assignment'!$C$1:$AU$771,22,)</f>
        <v>393340.18694614794</v>
      </c>
      <c r="G432" s="101">
        <f t="shared" si="173"/>
        <v>329210.27370673174</v>
      </c>
      <c r="H432" s="101">
        <f t="shared" si="173"/>
        <v>57127.284061418082</v>
      </c>
      <c r="I432" s="101">
        <f t="shared" si="173"/>
        <v>0</v>
      </c>
      <c r="J432" s="101">
        <f t="shared" si="173"/>
        <v>4361.2817808131622</v>
      </c>
      <c r="K432" s="101">
        <f t="shared" si="173"/>
        <v>0</v>
      </c>
      <c r="L432" s="101">
        <f t="shared" si="173"/>
        <v>0</v>
      </c>
      <c r="M432" s="101">
        <f t="shared" si="173"/>
        <v>0</v>
      </c>
      <c r="N432" s="101">
        <f t="shared" si="173"/>
        <v>0</v>
      </c>
      <c r="O432" s="101">
        <f t="shared" si="173"/>
        <v>0</v>
      </c>
      <c r="P432" s="101">
        <f t="shared" si="173"/>
        <v>0</v>
      </c>
      <c r="Q432" s="101">
        <f t="shared" si="173"/>
        <v>0</v>
      </c>
      <c r="R432" s="101">
        <f t="shared" si="173"/>
        <v>2613.4655753761131</v>
      </c>
      <c r="S432" s="101">
        <f t="shared" si="173"/>
        <v>10.94689441539003</v>
      </c>
      <c r="T432" s="101">
        <f t="shared" si="173"/>
        <v>16.934927393366486</v>
      </c>
      <c r="U432" s="101"/>
      <c r="V432" s="101">
        <f t="shared" si="174"/>
        <v>393340.18694614788</v>
      </c>
      <c r="W432" s="98" t="str">
        <f t="shared" si="175"/>
        <v>ok</v>
      </c>
      <c r="X432" s="102" t="str">
        <f t="shared" si="176"/>
        <v/>
      </c>
    </row>
    <row r="433" spans="1:24" ht="12" customHeight="1" x14ac:dyDescent="0.25">
      <c r="A433" s="107" t="s">
        <v>824</v>
      </c>
      <c r="C433" s="97" t="s">
        <v>394</v>
      </c>
      <c r="D433" s="97" t="s">
        <v>1773</v>
      </c>
      <c r="E433" s="97" t="s">
        <v>940</v>
      </c>
      <c r="F433" s="101">
        <f>VLOOKUP(C433,'Functional Assignment'!$C$1:$AU$771,23,)</f>
        <v>601287.78717850288</v>
      </c>
      <c r="G433" s="101">
        <f t="shared" si="173"/>
        <v>485480.29606739583</v>
      </c>
      <c r="H433" s="101">
        <f t="shared" si="173"/>
        <v>93937.563777417658</v>
      </c>
      <c r="I433" s="101">
        <f t="shared" si="173"/>
        <v>0</v>
      </c>
      <c r="J433" s="101">
        <f t="shared" si="173"/>
        <v>668.49446555231282</v>
      </c>
      <c r="K433" s="101">
        <f t="shared" si="173"/>
        <v>0</v>
      </c>
      <c r="L433" s="101">
        <f t="shared" si="173"/>
        <v>0</v>
      </c>
      <c r="M433" s="101">
        <f t="shared" si="173"/>
        <v>0</v>
      </c>
      <c r="N433" s="101">
        <f t="shared" si="173"/>
        <v>0</v>
      </c>
      <c r="O433" s="101">
        <f t="shared" si="173"/>
        <v>0</v>
      </c>
      <c r="P433" s="101">
        <f t="shared" si="173"/>
        <v>0</v>
      </c>
      <c r="Q433" s="101">
        <f t="shared" si="173"/>
        <v>0</v>
      </c>
      <c r="R433" s="101">
        <f t="shared" si="173"/>
        <v>21103.732721400764</v>
      </c>
      <c r="S433" s="101">
        <f t="shared" si="173"/>
        <v>0.50102639351869049</v>
      </c>
      <c r="T433" s="101">
        <f t="shared" si="173"/>
        <v>97.199120342625974</v>
      </c>
      <c r="U433" s="101"/>
      <c r="V433" s="101">
        <f t="shared" si="174"/>
        <v>601287.78717850265</v>
      </c>
      <c r="W433" s="98" t="str">
        <f t="shared" si="175"/>
        <v>ok</v>
      </c>
      <c r="X433" s="102" t="str">
        <f t="shared" si="176"/>
        <v/>
      </c>
    </row>
    <row r="434" spans="1:24" ht="12" customHeight="1" x14ac:dyDescent="0.25">
      <c r="A434" s="97" t="s">
        <v>163</v>
      </c>
      <c r="D434" s="97" t="s">
        <v>1774</v>
      </c>
      <c r="F434" s="100">
        <f>SUM(F429:F433)</f>
        <v>3433508.831251787</v>
      </c>
      <c r="G434" s="100">
        <f t="shared" ref="G434:T434" si="177">SUM(G429:G433)</f>
        <v>2495632.0558632351</v>
      </c>
      <c r="H434" s="100">
        <f t="shared" si="177"/>
        <v>497116.35316907306</v>
      </c>
      <c r="I434" s="100">
        <f>SUM(I429:I433)</f>
        <v>0</v>
      </c>
      <c r="J434" s="100">
        <f>SUM(J429:J433)</f>
        <v>17358.436768914296</v>
      </c>
      <c r="K434" s="100">
        <f>SUM(K429:K433)</f>
        <v>0</v>
      </c>
      <c r="L434" s="100">
        <f t="shared" si="177"/>
        <v>107693.12751890863</v>
      </c>
      <c r="M434" s="100">
        <f t="shared" si="177"/>
        <v>7810.1242067990843</v>
      </c>
      <c r="N434" s="100">
        <f t="shared" si="177"/>
        <v>68301.536801370268</v>
      </c>
      <c r="O434" s="100">
        <f t="shared" si="177"/>
        <v>152892.59722040439</v>
      </c>
      <c r="P434" s="100">
        <f>SUM(P429:P433)</f>
        <v>0</v>
      </c>
      <c r="Q434" s="100">
        <f t="shared" si="177"/>
        <v>0</v>
      </c>
      <c r="R434" s="100">
        <f t="shared" si="177"/>
        <v>86244.252828937941</v>
      </c>
      <c r="S434" s="100">
        <f t="shared" si="177"/>
        <v>44.133271813016499</v>
      </c>
      <c r="T434" s="100">
        <f t="shared" si="177"/>
        <v>416.21360233014855</v>
      </c>
      <c r="U434" s="100"/>
      <c r="V434" s="102">
        <f t="shared" si="174"/>
        <v>3433508.8312517856</v>
      </c>
      <c r="W434" s="98" t="str">
        <f t="shared" si="175"/>
        <v>ok</v>
      </c>
      <c r="X434" s="102" t="str">
        <f t="shared" si="176"/>
        <v/>
      </c>
    </row>
    <row r="435" spans="1:24" ht="12" customHeight="1" x14ac:dyDescent="0.25">
      <c r="F435" s="101"/>
    </row>
    <row r="436" spans="1:24" ht="12" customHeight="1" x14ac:dyDescent="0.25">
      <c r="A436" s="24" t="s">
        <v>819</v>
      </c>
      <c r="F436" s="101"/>
    </row>
    <row r="437" spans="1:24" ht="12" customHeight="1" x14ac:dyDescent="0.25">
      <c r="A437" s="107" t="s">
        <v>409</v>
      </c>
      <c r="C437" s="97" t="s">
        <v>394</v>
      </c>
      <c r="D437" s="97" t="s">
        <v>1775</v>
      </c>
      <c r="E437" s="97" t="s">
        <v>2332</v>
      </c>
      <c r="F437" s="100">
        <f>VLOOKUP(C437,'Functional Assignment'!$C$1:$AU$771,24,)</f>
        <v>610600.66334314167</v>
      </c>
      <c r="G437" s="100">
        <f t="shared" ref="G437:T438" si="178">IF(VLOOKUP($E437,$D$5:$AJ$945,3,)=0,0,(VLOOKUP($E437,$D$5:$AJ$945,G$1,)/VLOOKUP($E437,$D$5:$AJ$945,3,))*$F437)</f>
        <v>426657.36710151023</v>
      </c>
      <c r="H437" s="100">
        <f t="shared" si="178"/>
        <v>74037.108055192235</v>
      </c>
      <c r="I437" s="100">
        <f t="shared" si="178"/>
        <v>0</v>
      </c>
      <c r="J437" s="100">
        <f t="shared" si="178"/>
        <v>5652.2324799837497</v>
      </c>
      <c r="K437" s="100">
        <f t="shared" si="178"/>
        <v>0</v>
      </c>
      <c r="L437" s="100">
        <f t="shared" si="178"/>
        <v>61638.661479326955</v>
      </c>
      <c r="M437" s="100">
        <f t="shared" si="178"/>
        <v>0</v>
      </c>
      <c r="N437" s="100">
        <f t="shared" si="178"/>
        <v>39192.10116150973</v>
      </c>
      <c r="O437" s="100">
        <f t="shared" si="178"/>
        <v>0</v>
      </c>
      <c r="P437" s="100">
        <f t="shared" si="178"/>
        <v>0</v>
      </c>
      <c r="Q437" s="100">
        <f t="shared" si="178"/>
        <v>0</v>
      </c>
      <c r="R437" s="100">
        <f t="shared" si="178"/>
        <v>3387.0581523641104</v>
      </c>
      <c r="S437" s="100">
        <f t="shared" si="178"/>
        <v>14.18720350559045</v>
      </c>
      <c r="T437" s="100">
        <f t="shared" si="178"/>
        <v>21.947709749014557</v>
      </c>
      <c r="U437" s="100"/>
      <c r="V437" s="102">
        <f>SUM(G437:T437)</f>
        <v>610600.66334314155</v>
      </c>
      <c r="W437" s="98" t="str">
        <f>IF(ABS(F437-V437)&lt;0.01,"ok","err")</f>
        <v>ok</v>
      </c>
      <c r="X437" s="102" t="str">
        <f>IF(W437="err",V437-F437,"")</f>
        <v/>
      </c>
    </row>
    <row r="438" spans="1:24" ht="12" customHeight="1" x14ac:dyDescent="0.25">
      <c r="A438" s="107" t="s">
        <v>412</v>
      </c>
      <c r="C438" s="97" t="s">
        <v>394</v>
      </c>
      <c r="D438" s="97" t="s">
        <v>1776</v>
      </c>
      <c r="E438" s="97" t="s">
        <v>2331</v>
      </c>
      <c r="F438" s="101">
        <f>VLOOKUP(C438,'Functional Assignment'!$C$1:$AU$771,25,)</f>
        <v>543360.9639801092</v>
      </c>
      <c r="G438" s="101">
        <f t="shared" si="178"/>
        <v>434538.13583534164</v>
      </c>
      <c r="H438" s="101">
        <f t="shared" si="178"/>
        <v>84080.557294308615</v>
      </c>
      <c r="I438" s="101">
        <f t="shared" si="178"/>
        <v>0</v>
      </c>
      <c r="J438" s="101">
        <f t="shared" si="178"/>
        <v>598.34835982101072</v>
      </c>
      <c r="K438" s="101">
        <f t="shared" si="178"/>
        <v>0</v>
      </c>
      <c r="L438" s="101">
        <f t="shared" si="178"/>
        <v>4543.6132618448755</v>
      </c>
      <c r="M438" s="101">
        <f t="shared" si="178"/>
        <v>0</v>
      </c>
      <c r="N438" s="101">
        <f t="shared" si="178"/>
        <v>623.57383873420679</v>
      </c>
      <c r="O438" s="101">
        <f t="shared" si="178"/>
        <v>0</v>
      </c>
      <c r="P438" s="101">
        <f t="shared" si="178"/>
        <v>0</v>
      </c>
      <c r="Q438" s="101">
        <f t="shared" si="178"/>
        <v>0</v>
      </c>
      <c r="R438" s="101">
        <f t="shared" si="178"/>
        <v>18889.287063159674</v>
      </c>
      <c r="S438" s="101">
        <f t="shared" si="178"/>
        <v>0.44845295845681904</v>
      </c>
      <c r="T438" s="101">
        <f t="shared" si="178"/>
        <v>86.999873940622891</v>
      </c>
      <c r="U438" s="101"/>
      <c r="V438" s="101">
        <f>SUM(G438:T438)</f>
        <v>543360.96398010908</v>
      </c>
      <c r="W438" s="98" t="str">
        <f>IF(ABS(F438-V438)&lt;0.01,"ok","err")</f>
        <v>ok</v>
      </c>
      <c r="X438" s="102" t="str">
        <f>IF(W438="err",V438-F438,"")</f>
        <v/>
      </c>
    </row>
    <row r="439" spans="1:24" ht="12" customHeight="1" x14ac:dyDescent="0.25">
      <c r="A439" s="97" t="s">
        <v>1536</v>
      </c>
      <c r="D439" s="97" t="s">
        <v>1777</v>
      </c>
      <c r="F439" s="100">
        <f t="shared" ref="F439:T439" si="179">F437+F438</f>
        <v>1153961.6273232508</v>
      </c>
      <c r="G439" s="100">
        <f t="shared" si="179"/>
        <v>861195.50293685193</v>
      </c>
      <c r="H439" s="100">
        <f t="shared" si="179"/>
        <v>158117.66534950084</v>
      </c>
      <c r="I439" s="100">
        <f>I437+I438</f>
        <v>0</v>
      </c>
      <c r="J439" s="100">
        <f>J437+J438</f>
        <v>6250.5808398047602</v>
      </c>
      <c r="K439" s="100">
        <f>K437+K438</f>
        <v>0</v>
      </c>
      <c r="L439" s="100">
        <f t="shared" si="179"/>
        <v>66182.27474117183</v>
      </c>
      <c r="M439" s="100">
        <f t="shared" si="179"/>
        <v>0</v>
      </c>
      <c r="N439" s="100">
        <f t="shared" si="179"/>
        <v>39815.675000243937</v>
      </c>
      <c r="O439" s="100">
        <f t="shared" si="179"/>
        <v>0</v>
      </c>
      <c r="P439" s="100">
        <f>P437+P438</f>
        <v>0</v>
      </c>
      <c r="Q439" s="100">
        <f t="shared" si="179"/>
        <v>0</v>
      </c>
      <c r="R439" s="100">
        <f t="shared" si="179"/>
        <v>22276.345215523783</v>
      </c>
      <c r="S439" s="100">
        <f t="shared" si="179"/>
        <v>14.635656464047269</v>
      </c>
      <c r="T439" s="100">
        <f t="shared" si="179"/>
        <v>108.94758368963744</v>
      </c>
      <c r="U439" s="100"/>
      <c r="V439" s="102">
        <f>SUM(G439:T439)</f>
        <v>1153961.627323251</v>
      </c>
      <c r="W439" s="98" t="str">
        <f>IF(ABS(F439-V439)&lt;0.01,"ok","err")</f>
        <v>ok</v>
      </c>
      <c r="X439" s="102" t="str">
        <f>IF(W439="err",V439-F439,"")</f>
        <v/>
      </c>
    </row>
    <row r="440" spans="1:24" ht="12" customHeight="1" x14ac:dyDescent="0.25">
      <c r="F440" s="101"/>
    </row>
    <row r="441" spans="1:24" ht="12" customHeight="1" x14ac:dyDescent="0.25">
      <c r="A441" s="24" t="s">
        <v>134</v>
      </c>
      <c r="F441" s="101"/>
    </row>
    <row r="442" spans="1:24" ht="12" customHeight="1" x14ac:dyDescent="0.25">
      <c r="A442" s="107" t="s">
        <v>412</v>
      </c>
      <c r="C442" s="97" t="s">
        <v>394</v>
      </c>
      <c r="D442" s="97" t="s">
        <v>1778</v>
      </c>
      <c r="E442" s="97" t="s">
        <v>413</v>
      </c>
      <c r="F442" s="100">
        <f>VLOOKUP(C442,'Functional Assignment'!$C$1:$AU$771,26,)</f>
        <v>363765.12898365542</v>
      </c>
      <c r="G442" s="100">
        <f t="shared" ref="G442:T442" si="180">IF(VLOOKUP($E442,$D$5:$AJ$945,3,)=0,0,(VLOOKUP($E442,$D$5:$AJ$945,G$1,)/VLOOKUP($E442,$D$5:$AJ$945,3,))*$F442)</f>
        <v>255110.09846707064</v>
      </c>
      <c r="H442" s="100">
        <f t="shared" si="180"/>
        <v>99932.656835727801</v>
      </c>
      <c r="I442" s="100">
        <f t="shared" si="180"/>
        <v>0</v>
      </c>
      <c r="J442" s="100">
        <f t="shared" si="180"/>
        <v>946.40748468256743</v>
      </c>
      <c r="K442" s="100">
        <f t="shared" si="180"/>
        <v>0</v>
      </c>
      <c r="L442" s="100">
        <f t="shared" si="180"/>
        <v>6789.5378274106924</v>
      </c>
      <c r="M442" s="100">
        <f t="shared" si="180"/>
        <v>0</v>
      </c>
      <c r="N442" s="100">
        <f t="shared" si="180"/>
        <v>986.42836876369324</v>
      </c>
      <c r="O442" s="100">
        <f t="shared" si="180"/>
        <v>0</v>
      </c>
      <c r="P442" s="100">
        <f t="shared" si="180"/>
        <v>0</v>
      </c>
      <c r="Q442" s="100">
        <f t="shared" si="180"/>
        <v>0</v>
      </c>
      <c r="R442" s="100">
        <f t="shared" si="180"/>
        <v>0</v>
      </c>
      <c r="S442" s="100">
        <f t="shared" si="180"/>
        <v>0</v>
      </c>
      <c r="T442" s="100">
        <f t="shared" si="180"/>
        <v>0</v>
      </c>
      <c r="U442" s="100"/>
      <c r="V442" s="102">
        <f>SUM(G442:T442)</f>
        <v>363765.12898365542</v>
      </c>
      <c r="W442" s="98" t="str">
        <f>IF(ABS(F442-V442)&lt;0.01,"ok","err")</f>
        <v>ok</v>
      </c>
      <c r="X442" s="102" t="str">
        <f>IF(W442="err",V442-F442,"")</f>
        <v/>
      </c>
    </row>
    <row r="443" spans="1:24" ht="12" customHeight="1" x14ac:dyDescent="0.25">
      <c r="F443" s="101"/>
    </row>
    <row r="444" spans="1:24" ht="12" customHeight="1" x14ac:dyDescent="0.25">
      <c r="A444" s="24" t="s">
        <v>133</v>
      </c>
      <c r="F444" s="101"/>
    </row>
    <row r="445" spans="1:24" ht="12" customHeight="1" x14ac:dyDescent="0.25">
      <c r="A445" s="107" t="s">
        <v>412</v>
      </c>
      <c r="C445" s="97" t="s">
        <v>394</v>
      </c>
      <c r="D445" s="97" t="s">
        <v>1779</v>
      </c>
      <c r="E445" s="97" t="s">
        <v>414</v>
      </c>
      <c r="F445" s="100">
        <f>VLOOKUP(C445,'Functional Assignment'!$C$1:$AU$771,27,)</f>
        <v>310376.7457561458</v>
      </c>
      <c r="G445" s="100">
        <f t="shared" ref="G445:T445" si="181">IF(VLOOKUP($E445,$D$5:$AJ$945,3,)=0,0,(VLOOKUP($E445,$D$5:$AJ$945,G$1,)/VLOOKUP($E445,$D$5:$AJ$945,3,))*$F445)</f>
        <v>192883.43169682578</v>
      </c>
      <c r="H445" s="100">
        <f t="shared" si="181"/>
        <v>71891.248925683947</v>
      </c>
      <c r="I445" s="100">
        <f t="shared" si="181"/>
        <v>0</v>
      </c>
      <c r="J445" s="100">
        <f t="shared" si="181"/>
        <v>1524.928681913651</v>
      </c>
      <c r="K445" s="100">
        <f t="shared" si="181"/>
        <v>0</v>
      </c>
      <c r="L445" s="100">
        <f t="shared" si="181"/>
        <v>19486.094055371646</v>
      </c>
      <c r="M445" s="100">
        <f t="shared" si="181"/>
        <v>4296.2737508696455</v>
      </c>
      <c r="N445" s="100">
        <f t="shared" si="181"/>
        <v>3613.7512491413422</v>
      </c>
      <c r="O445" s="100">
        <f t="shared" si="181"/>
        <v>9545.7855611027207</v>
      </c>
      <c r="P445" s="100">
        <f t="shared" si="181"/>
        <v>6510.3357357041987</v>
      </c>
      <c r="Q445" s="100">
        <f t="shared" si="181"/>
        <v>275.54599829498136</v>
      </c>
      <c r="R445" s="100">
        <f t="shared" si="181"/>
        <v>0</v>
      </c>
      <c r="S445" s="100">
        <f t="shared" si="181"/>
        <v>1.7915389807071871</v>
      </c>
      <c r="T445" s="100">
        <f t="shared" si="181"/>
        <v>347.5585622571943</v>
      </c>
      <c r="U445" s="100"/>
      <c r="V445" s="102">
        <f>SUM(G445:T445)</f>
        <v>310376.74575614592</v>
      </c>
      <c r="W445" s="98" t="str">
        <f>IF(ABS(F445-V445)&lt;0.01,"ok","err")</f>
        <v>ok</v>
      </c>
      <c r="X445" s="102" t="str">
        <f>IF(W445="err",V445-F445,"")</f>
        <v/>
      </c>
    </row>
    <row r="446" spans="1:24" ht="12" customHeight="1" x14ac:dyDescent="0.25">
      <c r="F446" s="101"/>
    </row>
    <row r="447" spans="1:24" ht="12" customHeight="1" x14ac:dyDescent="0.25">
      <c r="A447" s="24" t="s">
        <v>156</v>
      </c>
      <c r="F447" s="101"/>
    </row>
    <row r="448" spans="1:24" ht="12" customHeight="1" x14ac:dyDescent="0.25">
      <c r="A448" s="107" t="s">
        <v>412</v>
      </c>
      <c r="C448" s="97" t="s">
        <v>394</v>
      </c>
      <c r="D448" s="97" t="s">
        <v>1780</v>
      </c>
      <c r="E448" s="97" t="s">
        <v>415</v>
      </c>
      <c r="F448" s="100">
        <f>VLOOKUP(C448,'Functional Assignment'!$C$1:$AU$771,28,)</f>
        <v>430517.27189799212</v>
      </c>
      <c r="G448" s="100">
        <f t="shared" ref="G448:T448" si="182">IF(VLOOKUP($E448,$D$5:$AJ$945,3,)=0,0,(VLOOKUP($E448,$D$5:$AJ$945,G$1,)/VLOOKUP($E448,$D$5:$AJ$945,3,))*$F448)</f>
        <v>0</v>
      </c>
      <c r="H448" s="100">
        <f t="shared" si="182"/>
        <v>0</v>
      </c>
      <c r="I448" s="100">
        <f t="shared" si="182"/>
        <v>0</v>
      </c>
      <c r="J448" s="100">
        <f t="shared" si="182"/>
        <v>0</v>
      </c>
      <c r="K448" s="100">
        <f t="shared" si="182"/>
        <v>0</v>
      </c>
      <c r="L448" s="100">
        <f t="shared" si="182"/>
        <v>0</v>
      </c>
      <c r="M448" s="100">
        <f t="shared" si="182"/>
        <v>0</v>
      </c>
      <c r="N448" s="100">
        <f t="shared" si="182"/>
        <v>0</v>
      </c>
      <c r="O448" s="100">
        <f t="shared" si="182"/>
        <v>0</v>
      </c>
      <c r="P448" s="100">
        <f t="shared" si="182"/>
        <v>0</v>
      </c>
      <c r="Q448" s="100">
        <f t="shared" si="182"/>
        <v>0</v>
      </c>
      <c r="R448" s="100">
        <f t="shared" si="182"/>
        <v>430517.27189799212</v>
      </c>
      <c r="S448" s="100">
        <f t="shared" si="182"/>
        <v>0</v>
      </c>
      <c r="T448" s="100">
        <f t="shared" si="182"/>
        <v>0</v>
      </c>
      <c r="U448" s="100"/>
      <c r="V448" s="102">
        <f>SUM(G448:T448)</f>
        <v>430517.27189799212</v>
      </c>
      <c r="W448" s="98" t="str">
        <f>IF(ABS(F448-V448)&lt;0.01,"ok","err")</f>
        <v>ok</v>
      </c>
      <c r="X448" s="102" t="str">
        <f>IF(W448="err",V448-F448,"")</f>
        <v/>
      </c>
    </row>
    <row r="449" spans="1:24" ht="12" customHeight="1" x14ac:dyDescent="0.25">
      <c r="F449" s="101"/>
    </row>
    <row r="450" spans="1:24" ht="12" customHeight="1" x14ac:dyDescent="0.25">
      <c r="A450" s="24" t="s">
        <v>309</v>
      </c>
      <c r="F450" s="101"/>
    </row>
    <row r="451" spans="1:24" ht="12" customHeight="1" x14ac:dyDescent="0.25">
      <c r="A451" s="107" t="s">
        <v>412</v>
      </c>
      <c r="C451" s="97" t="s">
        <v>394</v>
      </c>
      <c r="D451" s="97" t="s">
        <v>1781</v>
      </c>
      <c r="E451" s="97" t="s">
        <v>416</v>
      </c>
      <c r="F451" s="100">
        <f>VLOOKUP(C451,'Functional Assignment'!$C$1:$AU$771,30,)</f>
        <v>0</v>
      </c>
      <c r="G451" s="100">
        <f t="shared" ref="G451:T451" si="183">IF(VLOOKUP($E451,$D$5:$AJ$945,3,)=0,0,(VLOOKUP($E451,$D$5:$AJ$945,G$1,)/VLOOKUP($E451,$D$5:$AJ$945,3,))*$F451)</f>
        <v>0</v>
      </c>
      <c r="H451" s="100">
        <f t="shared" si="183"/>
        <v>0</v>
      </c>
      <c r="I451" s="100">
        <f t="shared" si="183"/>
        <v>0</v>
      </c>
      <c r="J451" s="100">
        <f t="shared" si="183"/>
        <v>0</v>
      </c>
      <c r="K451" s="100">
        <f t="shared" si="183"/>
        <v>0</v>
      </c>
      <c r="L451" s="100">
        <f t="shared" si="183"/>
        <v>0</v>
      </c>
      <c r="M451" s="100">
        <f t="shared" si="183"/>
        <v>0</v>
      </c>
      <c r="N451" s="100">
        <f t="shared" si="183"/>
        <v>0</v>
      </c>
      <c r="O451" s="100">
        <f t="shared" si="183"/>
        <v>0</v>
      </c>
      <c r="P451" s="100">
        <f t="shared" si="183"/>
        <v>0</v>
      </c>
      <c r="Q451" s="100">
        <f t="shared" si="183"/>
        <v>0</v>
      </c>
      <c r="R451" s="100">
        <f t="shared" si="183"/>
        <v>0</v>
      </c>
      <c r="S451" s="100">
        <f t="shared" si="183"/>
        <v>0</v>
      </c>
      <c r="T451" s="100">
        <f t="shared" si="183"/>
        <v>0</v>
      </c>
      <c r="U451" s="100"/>
      <c r="V451" s="102">
        <f>SUM(G451:T451)</f>
        <v>0</v>
      </c>
      <c r="W451" s="98" t="str">
        <f>IF(ABS(F451-V451)&lt;0.01,"ok","err")</f>
        <v>ok</v>
      </c>
      <c r="X451" s="102" t="str">
        <f>IF(W451="err",V451-F451,"")</f>
        <v/>
      </c>
    </row>
    <row r="452" spans="1:24" ht="12" customHeight="1" x14ac:dyDescent="0.25">
      <c r="F452" s="101"/>
    </row>
    <row r="453" spans="1:24" ht="12" customHeight="1" x14ac:dyDescent="0.25">
      <c r="A453" s="24" t="s">
        <v>1700</v>
      </c>
      <c r="F453" s="101"/>
    </row>
    <row r="454" spans="1:24" ht="12" customHeight="1" x14ac:dyDescent="0.25">
      <c r="A454" s="107" t="s">
        <v>412</v>
      </c>
      <c r="C454" s="97" t="s">
        <v>394</v>
      </c>
      <c r="D454" s="97" t="s">
        <v>1782</v>
      </c>
      <c r="E454" s="97" t="s">
        <v>416</v>
      </c>
      <c r="F454" s="100">
        <f>VLOOKUP(C454,'Functional Assignment'!$C$1:$AU$771,32,)</f>
        <v>0</v>
      </c>
      <c r="G454" s="100">
        <f t="shared" ref="G454:T454" si="184">IF(VLOOKUP($E454,$D$5:$AJ$945,3,)=0,0,(VLOOKUP($E454,$D$5:$AJ$945,G$1,)/VLOOKUP($E454,$D$5:$AJ$945,3,))*$F454)</f>
        <v>0</v>
      </c>
      <c r="H454" s="100">
        <f t="shared" si="184"/>
        <v>0</v>
      </c>
      <c r="I454" s="100">
        <f t="shared" si="184"/>
        <v>0</v>
      </c>
      <c r="J454" s="100">
        <f t="shared" si="184"/>
        <v>0</v>
      </c>
      <c r="K454" s="100">
        <f t="shared" si="184"/>
        <v>0</v>
      </c>
      <c r="L454" s="100">
        <f t="shared" si="184"/>
        <v>0</v>
      </c>
      <c r="M454" s="100">
        <f t="shared" si="184"/>
        <v>0</v>
      </c>
      <c r="N454" s="100">
        <f t="shared" si="184"/>
        <v>0</v>
      </c>
      <c r="O454" s="100">
        <f t="shared" si="184"/>
        <v>0</v>
      </c>
      <c r="P454" s="100">
        <f t="shared" si="184"/>
        <v>0</v>
      </c>
      <c r="Q454" s="100">
        <f t="shared" si="184"/>
        <v>0</v>
      </c>
      <c r="R454" s="100">
        <f t="shared" si="184"/>
        <v>0</v>
      </c>
      <c r="S454" s="100">
        <f t="shared" si="184"/>
        <v>0</v>
      </c>
      <c r="T454" s="100">
        <f t="shared" si="184"/>
        <v>0</v>
      </c>
      <c r="U454" s="100"/>
      <c r="V454" s="102">
        <f>SUM(G454:T454)</f>
        <v>0</v>
      </c>
      <c r="W454" s="98" t="str">
        <f>IF(ABS(F454-V454)&lt;0.01,"ok","err")</f>
        <v>ok</v>
      </c>
      <c r="X454" s="102" t="str">
        <f>IF(W454="err",V454-F454,"")</f>
        <v/>
      </c>
    </row>
    <row r="455" spans="1:24" ht="12" customHeight="1" x14ac:dyDescent="0.25">
      <c r="F455" s="101"/>
    </row>
    <row r="456" spans="1:24" ht="12" customHeight="1" x14ac:dyDescent="0.25">
      <c r="A456" s="24" t="s">
        <v>1699</v>
      </c>
      <c r="F456" s="101"/>
    </row>
    <row r="457" spans="1:24" ht="12" customHeight="1" x14ac:dyDescent="0.25">
      <c r="A457" s="107" t="s">
        <v>412</v>
      </c>
      <c r="C457" s="97" t="s">
        <v>394</v>
      </c>
      <c r="D457" s="97" t="s">
        <v>1783</v>
      </c>
      <c r="E457" s="97" t="s">
        <v>417</v>
      </c>
      <c r="F457" s="100">
        <f>VLOOKUP(C457,'Functional Assignment'!$C$1:$AU$771,34,)</f>
        <v>0</v>
      </c>
      <c r="G457" s="100">
        <f t="shared" ref="G457:T457" si="185">IF(VLOOKUP($E457,$D$5:$AJ$945,3,)=0,0,(VLOOKUP($E457,$D$5:$AJ$945,G$1,)/VLOOKUP($E457,$D$5:$AJ$945,3,))*$F457)</f>
        <v>0</v>
      </c>
      <c r="H457" s="100">
        <f t="shared" si="185"/>
        <v>0</v>
      </c>
      <c r="I457" s="100">
        <f t="shared" si="185"/>
        <v>0</v>
      </c>
      <c r="J457" s="100">
        <f t="shared" si="185"/>
        <v>0</v>
      </c>
      <c r="K457" s="100">
        <f t="shared" si="185"/>
        <v>0</v>
      </c>
      <c r="L457" s="100">
        <f t="shared" si="185"/>
        <v>0</v>
      </c>
      <c r="M457" s="100">
        <f t="shared" si="185"/>
        <v>0</v>
      </c>
      <c r="N457" s="100">
        <f t="shared" si="185"/>
        <v>0</v>
      </c>
      <c r="O457" s="100">
        <f t="shared" si="185"/>
        <v>0</v>
      </c>
      <c r="P457" s="100">
        <f t="shared" si="185"/>
        <v>0</v>
      </c>
      <c r="Q457" s="100">
        <f t="shared" si="185"/>
        <v>0</v>
      </c>
      <c r="R457" s="100">
        <f t="shared" si="185"/>
        <v>0</v>
      </c>
      <c r="S457" s="100">
        <f t="shared" si="185"/>
        <v>0</v>
      </c>
      <c r="T457" s="100">
        <f t="shared" si="185"/>
        <v>0</v>
      </c>
      <c r="U457" s="100"/>
      <c r="V457" s="102">
        <f>SUM(G457:T457)</f>
        <v>0</v>
      </c>
      <c r="W457" s="98" t="str">
        <f>IF(ABS(F457-V457)&lt;0.01,"ok","err")</f>
        <v>ok</v>
      </c>
      <c r="X457" s="102" t="str">
        <f>IF(W457="err",V457-F457,"")</f>
        <v/>
      </c>
    </row>
    <row r="458" spans="1:24" ht="12" customHeight="1" x14ac:dyDescent="0.25">
      <c r="F458" s="101"/>
    </row>
    <row r="459" spans="1:24" ht="12" customHeight="1" x14ac:dyDescent="0.25">
      <c r="A459" s="97" t="s">
        <v>68</v>
      </c>
      <c r="D459" s="97" t="s">
        <v>427</v>
      </c>
      <c r="F459" s="100">
        <f>F414+F420+F423+F426+F434+F439+F442+F445+F448+F451+F454+F457</f>
        <v>24894100.893674195</v>
      </c>
      <c r="G459" s="100">
        <f t="shared" ref="G459:T459" si="186">G414+G420+G423+G426+G434+G439+G442+G445+G448+G451+G454+G457</f>
        <v>11724942.607902201</v>
      </c>
      <c r="H459" s="100">
        <f t="shared" si="186"/>
        <v>3012498.5580308898</v>
      </c>
      <c r="I459" s="100">
        <f>I414+I420+I423+I426+I434+I439+I442+I445+I448+I451+I454+I457</f>
        <v>0</v>
      </c>
      <c r="J459" s="100">
        <f>J414+J420+J423+J426+J434+J439+J442+J445+J448+J451+J454+J457</f>
        <v>193374.31487663536</v>
      </c>
      <c r="K459" s="100">
        <f>K414+K420+K423+K426+K434+K439+K442+K445+K448+K451+K454+K457</f>
        <v>0</v>
      </c>
      <c r="L459" s="100">
        <f t="shared" si="186"/>
        <v>2390314.0937590543</v>
      </c>
      <c r="M459" s="100">
        <f t="shared" si="186"/>
        <v>173696.72166999339</v>
      </c>
      <c r="N459" s="100">
        <f t="shared" si="186"/>
        <v>1709843.3931866884</v>
      </c>
      <c r="O459" s="100">
        <f>O414+O420+O423+O426+O434+O439+O442+O445+O448+O451+O454+O457</f>
        <v>3661590.8503487902</v>
      </c>
      <c r="P459" s="100">
        <f>P414+P420+P423+P426+P434+P439+P442+P445+P448+P451+P454+P457</f>
        <v>1174573.6077597258</v>
      </c>
      <c r="Q459" s="100">
        <f t="shared" si="186"/>
        <v>305405.7858130887</v>
      </c>
      <c r="R459" s="100">
        <f t="shared" si="186"/>
        <v>545912.63149363315</v>
      </c>
      <c r="S459" s="100">
        <f t="shared" si="186"/>
        <v>89.356442051092216</v>
      </c>
      <c r="T459" s="100">
        <f t="shared" si="186"/>
        <v>1858.9723914415033</v>
      </c>
      <c r="U459" s="100"/>
      <c r="V459" s="102">
        <f>SUM(G459:T459)</f>
        <v>24894100.893674191</v>
      </c>
      <c r="W459" s="98" t="str">
        <f>IF(ABS(F459-V459)&lt;0.01,"ok","err")</f>
        <v>ok</v>
      </c>
      <c r="X459" s="102" t="str">
        <f>IF(W459="err",V459-F459,"")</f>
        <v/>
      </c>
    </row>
    <row r="462" spans="1:24" ht="12" customHeight="1" x14ac:dyDescent="0.25">
      <c r="A462" s="23" t="s">
        <v>428</v>
      </c>
    </row>
    <row r="464" spans="1:24" ht="12" customHeight="1" x14ac:dyDescent="0.25">
      <c r="A464" s="24" t="s">
        <v>149</v>
      </c>
    </row>
    <row r="465" spans="1:24" ht="12" customHeight="1" x14ac:dyDescent="0.25">
      <c r="A465" s="107" t="s">
        <v>139</v>
      </c>
      <c r="C465" s="97" t="s">
        <v>1755</v>
      </c>
      <c r="D465" s="97" t="s">
        <v>1784</v>
      </c>
      <c r="E465" s="397" t="s">
        <v>2455</v>
      </c>
      <c r="F465" s="100">
        <f>VLOOKUP(C465,'Functional Assignment'!$C$1:$AU$771,6,)</f>
        <v>2691267.5380682121</v>
      </c>
      <c r="G465" s="100">
        <f t="shared" ref="G465:T470" si="187">IF(VLOOKUP($E465,$D$5:$AJ$945,3,)=0,0,(VLOOKUP($E465,$D$5:$AJ$945,G$1,)/VLOOKUP($E465,$D$5:$AJ$945,3,))*$F465)</f>
        <v>1101676.0350891976</v>
      </c>
      <c r="H465" s="100">
        <f t="shared" si="187"/>
        <v>305788.58243454742</v>
      </c>
      <c r="I465" s="100">
        <f t="shared" si="187"/>
        <v>0</v>
      </c>
      <c r="J465" s="100">
        <f t="shared" si="187"/>
        <v>23025.987347398819</v>
      </c>
      <c r="K465" s="100">
        <f t="shared" si="187"/>
        <v>0</v>
      </c>
      <c r="L465" s="100">
        <f t="shared" si="187"/>
        <v>307366.36631589872</v>
      </c>
      <c r="M465" s="100">
        <f t="shared" si="187"/>
        <v>22632.898010238747</v>
      </c>
      <c r="N465" s="100">
        <f t="shared" si="187"/>
        <v>224460.92045319668</v>
      </c>
      <c r="O465" s="100">
        <f t="shared" si="187"/>
        <v>490912.28138292197</v>
      </c>
      <c r="P465" s="100">
        <f t="shared" si="187"/>
        <v>170680.44517590437</v>
      </c>
      <c r="Q465" s="100">
        <f t="shared" si="187"/>
        <v>44586.424738769143</v>
      </c>
      <c r="R465" s="100">
        <f t="shared" si="187"/>
        <v>0</v>
      </c>
      <c r="S465" s="100">
        <f t="shared" si="187"/>
        <v>0</v>
      </c>
      <c r="T465" s="100">
        <f t="shared" si="187"/>
        <v>137.59712013842255</v>
      </c>
      <c r="U465" s="100"/>
      <c r="V465" s="102">
        <f t="shared" ref="V465:V471" si="188">SUM(G465:T465)</f>
        <v>2691267.5380682116</v>
      </c>
      <c r="W465" s="98" t="str">
        <f t="shared" ref="W465:W471" si="189">IF(ABS(F465-V465)&lt;0.01,"ok","err")</f>
        <v>ok</v>
      </c>
      <c r="X465" s="102" t="str">
        <f t="shared" ref="X465:X471" si="190">IF(W465="err",V465-F465,"")</f>
        <v/>
      </c>
    </row>
    <row r="466" spans="1:24" ht="12" customHeight="1" x14ac:dyDescent="0.25">
      <c r="A466" s="107" t="s">
        <v>143</v>
      </c>
      <c r="C466" s="97" t="s">
        <v>1755</v>
      </c>
      <c r="D466" s="97" t="s">
        <v>1785</v>
      </c>
      <c r="E466" s="397" t="s">
        <v>2455</v>
      </c>
      <c r="F466" s="101">
        <f>VLOOKUP(C466,'Functional Assignment'!$C$1:$AU$771,7,)</f>
        <v>2819273.0880824341</v>
      </c>
      <c r="G466" s="101">
        <f t="shared" si="187"/>
        <v>1154075.3765943921</v>
      </c>
      <c r="H466" s="101">
        <f t="shared" si="187"/>
        <v>320332.89478139795</v>
      </c>
      <c r="I466" s="101">
        <f t="shared" si="187"/>
        <v>0</v>
      </c>
      <c r="J466" s="101">
        <f t="shared" si="187"/>
        <v>24121.179160673535</v>
      </c>
      <c r="K466" s="101">
        <f t="shared" si="187"/>
        <v>0</v>
      </c>
      <c r="L466" s="101">
        <f t="shared" si="187"/>
        <v>321985.72326187557</v>
      </c>
      <c r="M466" s="101">
        <f t="shared" si="187"/>
        <v>23709.393199675007</v>
      </c>
      <c r="N466" s="101">
        <f t="shared" si="187"/>
        <v>235137.02127665252</v>
      </c>
      <c r="O466" s="101">
        <f t="shared" si="187"/>
        <v>514261.68670895789</v>
      </c>
      <c r="P466" s="101">
        <f t="shared" si="187"/>
        <v>178798.56942493253</v>
      </c>
      <c r="Q466" s="101">
        <f t="shared" si="187"/>
        <v>46707.101981415391</v>
      </c>
      <c r="R466" s="101">
        <f t="shared" si="187"/>
        <v>0</v>
      </c>
      <c r="S466" s="101">
        <f t="shared" si="187"/>
        <v>0</v>
      </c>
      <c r="T466" s="101">
        <f t="shared" si="187"/>
        <v>144.14169246151997</v>
      </c>
      <c r="U466" s="101"/>
      <c r="V466" s="101">
        <f t="shared" si="188"/>
        <v>2819273.0880824341</v>
      </c>
      <c r="W466" s="98" t="str">
        <f t="shared" si="189"/>
        <v>ok</v>
      </c>
      <c r="X466" s="102" t="str">
        <f t="shared" si="190"/>
        <v/>
      </c>
    </row>
    <row r="467" spans="1:24" ht="12" customHeight="1" x14ac:dyDescent="0.25">
      <c r="A467" s="107" t="s">
        <v>140</v>
      </c>
      <c r="C467" s="97" t="s">
        <v>1755</v>
      </c>
      <c r="D467" s="97" t="s">
        <v>1786</v>
      </c>
      <c r="E467" s="397" t="s">
        <v>2455</v>
      </c>
      <c r="F467" s="101">
        <f>VLOOKUP(C467,'Functional Assignment'!$C$1:$AU$771,8,)</f>
        <v>2317432.9717567316</v>
      </c>
      <c r="G467" s="101">
        <f t="shared" si="187"/>
        <v>948646.06799460587</v>
      </c>
      <c r="H467" s="101">
        <f t="shared" si="187"/>
        <v>263312.55934117781</v>
      </c>
      <c r="I467" s="101">
        <f t="shared" si="187"/>
        <v>0</v>
      </c>
      <c r="J467" s="101">
        <f t="shared" si="187"/>
        <v>19827.527932959772</v>
      </c>
      <c r="K467" s="101">
        <f t="shared" si="187"/>
        <v>0</v>
      </c>
      <c r="L467" s="101">
        <f t="shared" si="187"/>
        <v>264671.17877875862</v>
      </c>
      <c r="M467" s="101">
        <f t="shared" si="187"/>
        <v>19489.041261569739</v>
      </c>
      <c r="N467" s="101">
        <f t="shared" si="187"/>
        <v>193281.83860252053</v>
      </c>
      <c r="O467" s="101">
        <f t="shared" si="187"/>
        <v>422721.37237374391</v>
      </c>
      <c r="P467" s="101">
        <f t="shared" si="187"/>
        <v>146971.82115482891</v>
      </c>
      <c r="Q467" s="101">
        <f t="shared" si="187"/>
        <v>38393.080331411766</v>
      </c>
      <c r="R467" s="101">
        <f t="shared" si="187"/>
        <v>0</v>
      </c>
      <c r="S467" s="101">
        <f t="shared" si="187"/>
        <v>0</v>
      </c>
      <c r="T467" s="101">
        <f t="shared" si="187"/>
        <v>118.48398515460805</v>
      </c>
      <c r="U467" s="101"/>
      <c r="V467" s="101">
        <f t="shared" si="188"/>
        <v>2317432.9717567312</v>
      </c>
      <c r="W467" s="98" t="str">
        <f t="shared" si="189"/>
        <v>ok</v>
      </c>
      <c r="X467" s="102" t="str">
        <f t="shared" si="190"/>
        <v/>
      </c>
    </row>
    <row r="468" spans="1:24" ht="12" customHeight="1" x14ac:dyDescent="0.25">
      <c r="A468" s="107" t="s">
        <v>141</v>
      </c>
      <c r="C468" s="97" t="s">
        <v>1755</v>
      </c>
      <c r="D468" s="97" t="s">
        <v>1787</v>
      </c>
      <c r="E468" s="97" t="s">
        <v>410</v>
      </c>
      <c r="F468" s="101">
        <f>VLOOKUP(C468,'Functional Assignment'!$C$1:$AU$771,9,)</f>
        <v>0</v>
      </c>
      <c r="G468" s="101">
        <f t="shared" si="187"/>
        <v>0</v>
      </c>
      <c r="H468" s="101">
        <f t="shared" si="187"/>
        <v>0</v>
      </c>
      <c r="I468" s="101">
        <f t="shared" si="187"/>
        <v>0</v>
      </c>
      <c r="J468" s="101">
        <f t="shared" si="187"/>
        <v>0</v>
      </c>
      <c r="K468" s="101">
        <f t="shared" si="187"/>
        <v>0</v>
      </c>
      <c r="L468" s="101">
        <f t="shared" si="187"/>
        <v>0</v>
      </c>
      <c r="M468" s="101">
        <f t="shared" si="187"/>
        <v>0</v>
      </c>
      <c r="N468" s="101">
        <f t="shared" si="187"/>
        <v>0</v>
      </c>
      <c r="O468" s="101">
        <f t="shared" si="187"/>
        <v>0</v>
      </c>
      <c r="P468" s="101">
        <f t="shared" si="187"/>
        <v>0</v>
      </c>
      <c r="Q468" s="101">
        <f t="shared" si="187"/>
        <v>0</v>
      </c>
      <c r="R468" s="101">
        <f t="shared" si="187"/>
        <v>0</v>
      </c>
      <c r="S468" s="101">
        <f t="shared" si="187"/>
        <v>0</v>
      </c>
      <c r="T468" s="101">
        <f t="shared" si="187"/>
        <v>0</v>
      </c>
      <c r="U468" s="101"/>
      <c r="V468" s="101">
        <f t="shared" si="188"/>
        <v>0</v>
      </c>
      <c r="W468" s="98" t="str">
        <f t="shared" si="189"/>
        <v>ok</v>
      </c>
      <c r="X468" s="102" t="str">
        <f t="shared" si="190"/>
        <v/>
      </c>
    </row>
    <row r="469" spans="1:24" ht="12" customHeight="1" x14ac:dyDescent="0.25">
      <c r="A469" s="107" t="s">
        <v>144</v>
      </c>
      <c r="C469" s="97" t="s">
        <v>1755</v>
      </c>
      <c r="D469" s="97" t="s">
        <v>1788</v>
      </c>
      <c r="E469" s="97" t="s">
        <v>410</v>
      </c>
      <c r="F469" s="101">
        <f>VLOOKUP(C469,'Functional Assignment'!$C$1:$AU$771,10,)</f>
        <v>0</v>
      </c>
      <c r="G469" s="101">
        <f t="shared" si="187"/>
        <v>0</v>
      </c>
      <c r="H469" s="101">
        <f t="shared" si="187"/>
        <v>0</v>
      </c>
      <c r="I469" s="101">
        <f t="shared" si="187"/>
        <v>0</v>
      </c>
      <c r="J469" s="101">
        <f t="shared" si="187"/>
        <v>0</v>
      </c>
      <c r="K469" s="101">
        <f t="shared" si="187"/>
        <v>0</v>
      </c>
      <c r="L469" s="101">
        <f t="shared" si="187"/>
        <v>0</v>
      </c>
      <c r="M469" s="101">
        <f t="shared" si="187"/>
        <v>0</v>
      </c>
      <c r="N469" s="101">
        <f t="shared" si="187"/>
        <v>0</v>
      </c>
      <c r="O469" s="101">
        <f t="shared" si="187"/>
        <v>0</v>
      </c>
      <c r="P469" s="101">
        <f t="shared" si="187"/>
        <v>0</v>
      </c>
      <c r="Q469" s="101">
        <f t="shared" si="187"/>
        <v>0</v>
      </c>
      <c r="R469" s="101">
        <f t="shared" si="187"/>
        <v>0</v>
      </c>
      <c r="S469" s="101">
        <f t="shared" si="187"/>
        <v>0</v>
      </c>
      <c r="T469" s="101">
        <f t="shared" si="187"/>
        <v>0</v>
      </c>
      <c r="U469" s="101"/>
      <c r="V469" s="101">
        <f t="shared" si="188"/>
        <v>0</v>
      </c>
      <c r="W469" s="98" t="str">
        <f t="shared" si="189"/>
        <v>ok</v>
      </c>
      <c r="X469" s="102" t="str">
        <f t="shared" si="190"/>
        <v/>
      </c>
    </row>
    <row r="470" spans="1:24" ht="12" customHeight="1" x14ac:dyDescent="0.25">
      <c r="A470" s="107" t="s">
        <v>142</v>
      </c>
      <c r="C470" s="97" t="s">
        <v>1755</v>
      </c>
      <c r="D470" s="97" t="s">
        <v>1789</v>
      </c>
      <c r="E470" s="97" t="s">
        <v>410</v>
      </c>
      <c r="F470" s="101">
        <f>VLOOKUP(C470,'Functional Assignment'!$C$1:$AU$771,11,)</f>
        <v>0</v>
      </c>
      <c r="G470" s="101">
        <f t="shared" si="187"/>
        <v>0</v>
      </c>
      <c r="H470" s="101">
        <f t="shared" si="187"/>
        <v>0</v>
      </c>
      <c r="I470" s="101">
        <f t="shared" si="187"/>
        <v>0</v>
      </c>
      <c r="J470" s="101">
        <f t="shared" si="187"/>
        <v>0</v>
      </c>
      <c r="K470" s="101">
        <f t="shared" si="187"/>
        <v>0</v>
      </c>
      <c r="L470" s="101">
        <f t="shared" si="187"/>
        <v>0</v>
      </c>
      <c r="M470" s="101">
        <f t="shared" si="187"/>
        <v>0</v>
      </c>
      <c r="N470" s="101">
        <f t="shared" si="187"/>
        <v>0</v>
      </c>
      <c r="O470" s="101">
        <f t="shared" si="187"/>
        <v>0</v>
      </c>
      <c r="P470" s="101">
        <f t="shared" si="187"/>
        <v>0</v>
      </c>
      <c r="Q470" s="101">
        <f t="shared" si="187"/>
        <v>0</v>
      </c>
      <c r="R470" s="101">
        <f t="shared" si="187"/>
        <v>0</v>
      </c>
      <c r="S470" s="101">
        <f t="shared" si="187"/>
        <v>0</v>
      </c>
      <c r="T470" s="101">
        <f t="shared" si="187"/>
        <v>0</v>
      </c>
      <c r="U470" s="101"/>
      <c r="V470" s="101">
        <f t="shared" si="188"/>
        <v>0</v>
      </c>
      <c r="W470" s="98" t="str">
        <f t="shared" si="189"/>
        <v>ok</v>
      </c>
      <c r="X470" s="102" t="str">
        <f t="shared" si="190"/>
        <v/>
      </c>
    </row>
    <row r="471" spans="1:24" ht="12" customHeight="1" x14ac:dyDescent="0.25">
      <c r="A471" s="97" t="s">
        <v>172</v>
      </c>
      <c r="D471" s="97" t="s">
        <v>429</v>
      </c>
      <c r="F471" s="100">
        <f t="shared" ref="F471:T471" si="191">SUM(F465:F470)</f>
        <v>7827973.5979073774</v>
      </c>
      <c r="G471" s="100">
        <f t="shared" si="191"/>
        <v>3204397.4796781954</v>
      </c>
      <c r="H471" s="100">
        <f t="shared" si="191"/>
        <v>889434.03655712318</v>
      </c>
      <c r="I471" s="100">
        <f>SUM(I465:I470)</f>
        <v>0</v>
      </c>
      <c r="J471" s="100">
        <f>SUM(J465:J470)</f>
        <v>66974.69444103213</v>
      </c>
      <c r="K471" s="100">
        <f>SUM(K465:K470)</f>
        <v>0</v>
      </c>
      <c r="L471" s="100">
        <f t="shared" si="191"/>
        <v>894023.26835653291</v>
      </c>
      <c r="M471" s="100">
        <f t="shared" si="191"/>
        <v>65831.332471483489</v>
      </c>
      <c r="N471" s="100">
        <f t="shared" si="191"/>
        <v>652879.78033236973</v>
      </c>
      <c r="O471" s="100">
        <f t="shared" si="191"/>
        <v>1427895.3404656239</v>
      </c>
      <c r="P471" s="100">
        <f>SUM(P465:P470)</f>
        <v>496450.83575566579</v>
      </c>
      <c r="Q471" s="100">
        <f t="shared" si="191"/>
        <v>129686.60705159631</v>
      </c>
      <c r="R471" s="100">
        <f t="shared" si="191"/>
        <v>0</v>
      </c>
      <c r="S471" s="100">
        <f t="shared" si="191"/>
        <v>0</v>
      </c>
      <c r="T471" s="100">
        <f t="shared" si="191"/>
        <v>400.22279775455058</v>
      </c>
      <c r="U471" s="100"/>
      <c r="V471" s="102">
        <f t="shared" si="188"/>
        <v>7827973.5979073765</v>
      </c>
      <c r="W471" s="98" t="str">
        <f t="shared" si="189"/>
        <v>ok</v>
      </c>
      <c r="X471" s="102" t="str">
        <f t="shared" si="190"/>
        <v/>
      </c>
    </row>
    <row r="472" spans="1:24" ht="12" customHeight="1" x14ac:dyDescent="0.25">
      <c r="F472" s="101"/>
      <c r="G472" s="101"/>
    </row>
    <row r="473" spans="1:24" ht="12" customHeight="1" x14ac:dyDescent="0.25">
      <c r="A473" s="24" t="s">
        <v>461</v>
      </c>
      <c r="F473" s="101"/>
      <c r="G473" s="101"/>
    </row>
    <row r="474" spans="1:24" ht="12" customHeight="1" x14ac:dyDescent="0.25">
      <c r="A474" s="107" t="s">
        <v>2424</v>
      </c>
      <c r="C474" s="97" t="s">
        <v>1755</v>
      </c>
      <c r="D474" s="97" t="s">
        <v>1790</v>
      </c>
      <c r="E474" s="397" t="s">
        <v>2455</v>
      </c>
      <c r="F474" s="100">
        <f>VLOOKUP(C474,'Functional Assignment'!$C$1:$AU$771,13,)</f>
        <v>1735886.1107092532</v>
      </c>
      <c r="G474" s="100">
        <f t="shared" ref="G474:T476" si="192">IF(VLOOKUP($E474,$D$5:$AJ$945,3,)=0,0,(VLOOKUP($E474,$D$5:$AJ$945,G$1,)/VLOOKUP($E474,$D$5:$AJ$945,3,))*$F474)</f>
        <v>710588.6355636291</v>
      </c>
      <c r="H474" s="100">
        <f t="shared" si="192"/>
        <v>197235.74321511717</v>
      </c>
      <c r="I474" s="100">
        <f t="shared" si="192"/>
        <v>0</v>
      </c>
      <c r="J474" s="100">
        <f t="shared" si="192"/>
        <v>14851.920537936327</v>
      </c>
      <c r="K474" s="100">
        <f t="shared" si="192"/>
        <v>0</v>
      </c>
      <c r="L474" s="100">
        <f t="shared" si="192"/>
        <v>198253.42469293284</v>
      </c>
      <c r="M474" s="100">
        <f t="shared" si="192"/>
        <v>14598.375206232191</v>
      </c>
      <c r="N474" s="100">
        <f t="shared" si="192"/>
        <v>144778.84071362176</v>
      </c>
      <c r="O474" s="100">
        <f t="shared" si="192"/>
        <v>316641.80493957573</v>
      </c>
      <c r="P474" s="100">
        <f t="shared" si="192"/>
        <v>110090.06349595224</v>
      </c>
      <c r="Q474" s="100">
        <f t="shared" si="192"/>
        <v>28758.551253424703</v>
      </c>
      <c r="R474" s="100">
        <f t="shared" si="192"/>
        <v>0</v>
      </c>
      <c r="S474" s="100">
        <f t="shared" si="192"/>
        <v>0</v>
      </c>
      <c r="T474" s="100">
        <f t="shared" si="192"/>
        <v>88.751090831099035</v>
      </c>
      <c r="U474" s="100"/>
      <c r="V474" s="102">
        <f>SUM(G474:T474)</f>
        <v>1735886.1107092532</v>
      </c>
      <c r="W474" s="98" t="str">
        <f>IF(ABS(F474-V474)&lt;0.01,"ok","err")</f>
        <v>ok</v>
      </c>
      <c r="X474" s="102" t="str">
        <f>IF(W474="err",V474-F474,"")</f>
        <v/>
      </c>
    </row>
    <row r="475" spans="1:24" ht="12" hidden="1" customHeight="1" x14ac:dyDescent="0.25">
      <c r="A475" s="107" t="s">
        <v>2423</v>
      </c>
      <c r="C475" s="97" t="s">
        <v>1755</v>
      </c>
      <c r="D475" s="97" t="s">
        <v>1791</v>
      </c>
      <c r="E475" s="97" t="s">
        <v>55</v>
      </c>
      <c r="F475" s="101">
        <f>VLOOKUP(C475,'Functional Assignment'!$C$1:$AU$771,14,)</f>
        <v>0</v>
      </c>
      <c r="G475" s="101">
        <f t="shared" si="192"/>
        <v>0</v>
      </c>
      <c r="H475" s="101">
        <f t="shared" si="192"/>
        <v>0</v>
      </c>
      <c r="I475" s="101">
        <f t="shared" si="192"/>
        <v>0</v>
      </c>
      <c r="J475" s="101">
        <f t="shared" si="192"/>
        <v>0</v>
      </c>
      <c r="K475" s="101">
        <f t="shared" si="192"/>
        <v>0</v>
      </c>
      <c r="L475" s="101">
        <f t="shared" si="192"/>
        <v>0</v>
      </c>
      <c r="M475" s="101">
        <f t="shared" si="192"/>
        <v>0</v>
      </c>
      <c r="N475" s="101">
        <f t="shared" si="192"/>
        <v>0</v>
      </c>
      <c r="O475" s="101">
        <f t="shared" si="192"/>
        <v>0</v>
      </c>
      <c r="P475" s="101">
        <f t="shared" si="192"/>
        <v>0</v>
      </c>
      <c r="Q475" s="101">
        <f t="shared" si="192"/>
        <v>0</v>
      </c>
      <c r="R475" s="101">
        <f t="shared" si="192"/>
        <v>0</v>
      </c>
      <c r="S475" s="101">
        <f t="shared" si="192"/>
        <v>0</v>
      </c>
      <c r="T475" s="101">
        <f t="shared" si="192"/>
        <v>0</v>
      </c>
      <c r="U475" s="101"/>
      <c r="V475" s="101">
        <f>SUM(G475:T475)</f>
        <v>0</v>
      </c>
      <c r="W475" s="98" t="str">
        <f>IF(ABS(F475-V475)&lt;0.01,"ok","err")</f>
        <v>ok</v>
      </c>
      <c r="X475" s="102" t="str">
        <f>IF(W475="err",V475-F475,"")</f>
        <v/>
      </c>
    </row>
    <row r="476" spans="1:24" ht="12" hidden="1" customHeight="1" x14ac:dyDescent="0.25">
      <c r="A476" s="107" t="s">
        <v>2423</v>
      </c>
      <c r="C476" s="97" t="s">
        <v>1755</v>
      </c>
      <c r="D476" s="97" t="s">
        <v>1792</v>
      </c>
      <c r="E476" s="97" t="s">
        <v>58</v>
      </c>
      <c r="F476" s="101">
        <f>VLOOKUP(C476,'Functional Assignment'!$C$1:$AU$771,15,)</f>
        <v>0</v>
      </c>
      <c r="G476" s="101">
        <f t="shared" si="192"/>
        <v>0</v>
      </c>
      <c r="H476" s="101">
        <f t="shared" si="192"/>
        <v>0</v>
      </c>
      <c r="I476" s="101">
        <f t="shared" si="192"/>
        <v>0</v>
      </c>
      <c r="J476" s="101">
        <f t="shared" si="192"/>
        <v>0</v>
      </c>
      <c r="K476" s="101">
        <f t="shared" si="192"/>
        <v>0</v>
      </c>
      <c r="L476" s="101">
        <f t="shared" si="192"/>
        <v>0</v>
      </c>
      <c r="M476" s="101">
        <f t="shared" si="192"/>
        <v>0</v>
      </c>
      <c r="N476" s="101">
        <f t="shared" si="192"/>
        <v>0</v>
      </c>
      <c r="O476" s="101">
        <f t="shared" si="192"/>
        <v>0</v>
      </c>
      <c r="P476" s="101">
        <f t="shared" si="192"/>
        <v>0</v>
      </c>
      <c r="Q476" s="101">
        <f t="shared" si="192"/>
        <v>0</v>
      </c>
      <c r="R476" s="101">
        <f t="shared" si="192"/>
        <v>0</v>
      </c>
      <c r="S476" s="101">
        <f t="shared" si="192"/>
        <v>0</v>
      </c>
      <c r="T476" s="101">
        <f t="shared" si="192"/>
        <v>0</v>
      </c>
      <c r="U476" s="101"/>
      <c r="V476" s="101">
        <f>SUM(G476:T476)</f>
        <v>0</v>
      </c>
      <c r="W476" s="98" t="str">
        <f>IF(ABS(F476-V476)&lt;0.01,"ok","err")</f>
        <v>ok</v>
      </c>
      <c r="X476" s="102" t="str">
        <f>IF(W476="err",V476-F476,"")</f>
        <v/>
      </c>
    </row>
    <row r="477" spans="1:24" ht="12" hidden="1" customHeight="1" x14ac:dyDescent="0.25">
      <c r="A477" s="97" t="s">
        <v>463</v>
      </c>
      <c r="D477" s="97" t="s">
        <v>1793</v>
      </c>
      <c r="F477" s="100">
        <f t="shared" ref="F477:T477" si="193">SUM(F474:F476)</f>
        <v>1735886.1107092532</v>
      </c>
      <c r="G477" s="100">
        <f t="shared" si="193"/>
        <v>710588.6355636291</v>
      </c>
      <c r="H477" s="100">
        <f t="shared" si="193"/>
        <v>197235.74321511717</v>
      </c>
      <c r="I477" s="100">
        <f>SUM(I474:I476)</f>
        <v>0</v>
      </c>
      <c r="J477" s="100">
        <f>SUM(J474:J476)</f>
        <v>14851.920537936327</v>
      </c>
      <c r="K477" s="100">
        <f>SUM(K474:K476)</f>
        <v>0</v>
      </c>
      <c r="L477" s="100">
        <f t="shared" si="193"/>
        <v>198253.42469293284</v>
      </c>
      <c r="M477" s="100">
        <f t="shared" si="193"/>
        <v>14598.375206232191</v>
      </c>
      <c r="N477" s="100">
        <f t="shared" si="193"/>
        <v>144778.84071362176</v>
      </c>
      <c r="O477" s="100">
        <f t="shared" si="193"/>
        <v>316641.80493957573</v>
      </c>
      <c r="P477" s="100">
        <f>SUM(P474:P476)</f>
        <v>110090.06349595224</v>
      </c>
      <c r="Q477" s="100">
        <f t="shared" si="193"/>
        <v>28758.551253424703</v>
      </c>
      <c r="R477" s="100">
        <f t="shared" si="193"/>
        <v>0</v>
      </c>
      <c r="S477" s="100">
        <f t="shared" si="193"/>
        <v>0</v>
      </c>
      <c r="T477" s="100">
        <f t="shared" si="193"/>
        <v>88.751090831099035</v>
      </c>
      <c r="U477" s="100"/>
      <c r="V477" s="102">
        <f>SUM(G477:T477)</f>
        <v>1735886.1107092532</v>
      </c>
      <c r="W477" s="98" t="str">
        <f>IF(ABS(F477-V477)&lt;0.01,"ok","err")</f>
        <v>ok</v>
      </c>
      <c r="X477" s="102" t="str">
        <f>IF(W477="err",V477-F477,"")</f>
        <v/>
      </c>
    </row>
    <row r="478" spans="1:24" ht="12" customHeight="1" x14ac:dyDescent="0.25">
      <c r="F478" s="101"/>
      <c r="G478" s="101"/>
    </row>
    <row r="479" spans="1:24" ht="12" customHeight="1" x14ac:dyDescent="0.25">
      <c r="A479" s="24" t="s">
        <v>1697</v>
      </c>
      <c r="F479" s="101"/>
      <c r="G479" s="101"/>
    </row>
    <row r="480" spans="1:24" ht="12" customHeight="1" x14ac:dyDescent="0.25">
      <c r="A480" s="107" t="s">
        <v>157</v>
      </c>
      <c r="C480" s="97" t="s">
        <v>1755</v>
      </c>
      <c r="D480" s="97" t="s">
        <v>1794</v>
      </c>
      <c r="E480" s="97" t="s">
        <v>2429</v>
      </c>
      <c r="F480" s="100">
        <f>VLOOKUP(C480,'Functional Assignment'!$C$1:$AU$771,17,)</f>
        <v>0</v>
      </c>
      <c r="G480" s="100">
        <f t="shared" ref="G480:T480" si="194">IF(VLOOKUP($E480,$D$5:$AJ$945,3,)=0,0,(VLOOKUP($E480,$D$5:$AJ$945,G$1,)/VLOOKUP($E480,$D$5:$AJ$945,3,))*$F480)</f>
        <v>0</v>
      </c>
      <c r="H480" s="100">
        <f t="shared" si="194"/>
        <v>0</v>
      </c>
      <c r="I480" s="100">
        <f t="shared" si="194"/>
        <v>0</v>
      </c>
      <c r="J480" s="100">
        <f t="shared" si="194"/>
        <v>0</v>
      </c>
      <c r="K480" s="100">
        <f t="shared" si="194"/>
        <v>0</v>
      </c>
      <c r="L480" s="100">
        <f t="shared" si="194"/>
        <v>0</v>
      </c>
      <c r="M480" s="100">
        <f t="shared" si="194"/>
        <v>0</v>
      </c>
      <c r="N480" s="100">
        <f t="shared" si="194"/>
        <v>0</v>
      </c>
      <c r="O480" s="100">
        <f t="shared" si="194"/>
        <v>0</v>
      </c>
      <c r="P480" s="100">
        <f t="shared" si="194"/>
        <v>0</v>
      </c>
      <c r="Q480" s="100">
        <f t="shared" si="194"/>
        <v>0</v>
      </c>
      <c r="R480" s="100">
        <f t="shared" si="194"/>
        <v>0</v>
      </c>
      <c r="S480" s="100">
        <f t="shared" si="194"/>
        <v>0</v>
      </c>
      <c r="T480" s="100">
        <f t="shared" si="194"/>
        <v>0</v>
      </c>
      <c r="U480" s="100"/>
      <c r="V480" s="102">
        <f>SUM(G480:T480)</f>
        <v>0</v>
      </c>
      <c r="W480" s="98" t="str">
        <f>IF(ABS(F480-V480)&lt;0.01,"ok","err")</f>
        <v>ok</v>
      </c>
      <c r="X480" s="102" t="str">
        <f>IF(W480="err",V480-F480,"")</f>
        <v/>
      </c>
    </row>
    <row r="481" spans="1:24" ht="12" customHeight="1" x14ac:dyDescent="0.25">
      <c r="F481" s="101"/>
    </row>
    <row r="482" spans="1:24" ht="12" customHeight="1" x14ac:dyDescent="0.25">
      <c r="A482" s="24" t="s">
        <v>1698</v>
      </c>
      <c r="F482" s="101"/>
      <c r="G482" s="101"/>
    </row>
    <row r="483" spans="1:24" ht="12" customHeight="1" x14ac:dyDescent="0.25">
      <c r="A483" s="107" t="s">
        <v>159</v>
      </c>
      <c r="C483" s="97" t="s">
        <v>1755</v>
      </c>
      <c r="D483" s="97" t="s">
        <v>1795</v>
      </c>
      <c r="E483" s="97" t="s">
        <v>2429</v>
      </c>
      <c r="F483" s="100">
        <f>VLOOKUP(C483,'Functional Assignment'!$C$1:$AU$771,18,)</f>
        <v>407159.16652148665</v>
      </c>
      <c r="G483" s="100">
        <f t="shared" ref="G483:T483" si="195">IF(VLOOKUP($E483,$D$5:$AJ$945,3,)=0,0,(VLOOKUP($E483,$D$5:$AJ$945,G$1,)/VLOOKUP($E483,$D$5:$AJ$945,3,))*$F483)</f>
        <v>197700.02371596778</v>
      </c>
      <c r="H483" s="100">
        <f t="shared" si="195"/>
        <v>48165.257853220792</v>
      </c>
      <c r="I483" s="100">
        <f t="shared" si="195"/>
        <v>0</v>
      </c>
      <c r="J483" s="100">
        <f t="shared" si="195"/>
        <v>5044.2181651398168</v>
      </c>
      <c r="K483" s="100">
        <f t="shared" si="195"/>
        <v>0</v>
      </c>
      <c r="L483" s="100">
        <f t="shared" si="195"/>
        <v>45010.561420393802</v>
      </c>
      <c r="M483" s="100">
        <f t="shared" si="195"/>
        <v>3479.3943395060801</v>
      </c>
      <c r="N483" s="100">
        <f t="shared" si="195"/>
        <v>31681.933127411274</v>
      </c>
      <c r="O483" s="100">
        <f t="shared" si="195"/>
        <v>72469.805441835677</v>
      </c>
      <c r="P483" s="100">
        <f t="shared" si="195"/>
        <v>0</v>
      </c>
      <c r="Q483" s="100">
        <f t="shared" si="195"/>
        <v>0</v>
      </c>
      <c r="R483" s="100">
        <f t="shared" si="195"/>
        <v>3569.8614563638316</v>
      </c>
      <c r="S483" s="100">
        <f t="shared" si="195"/>
        <v>14.952902693107546</v>
      </c>
      <c r="T483" s="100">
        <f t="shared" si="195"/>
        <v>23.158098954484966</v>
      </c>
      <c r="U483" s="100"/>
      <c r="V483" s="102">
        <f>SUM(G483:T483)</f>
        <v>407159.16652148665</v>
      </c>
      <c r="W483" s="98" t="str">
        <f>IF(ABS(F483-V483)&lt;0.01,"ok","err")</f>
        <v>ok</v>
      </c>
      <c r="X483" s="102" t="str">
        <f>IF(W483="err",V483-F483,"")</f>
        <v/>
      </c>
    </row>
    <row r="484" spans="1:24" ht="12" customHeight="1" x14ac:dyDescent="0.25">
      <c r="F484" s="101"/>
    </row>
    <row r="485" spans="1:24" ht="12" customHeight="1" x14ac:dyDescent="0.25">
      <c r="A485" s="24" t="s">
        <v>158</v>
      </c>
      <c r="F485" s="101"/>
    </row>
    <row r="486" spans="1:24" ht="12" customHeight="1" x14ac:dyDescent="0.25">
      <c r="A486" s="107" t="s">
        <v>820</v>
      </c>
      <c r="C486" s="97" t="s">
        <v>1755</v>
      </c>
      <c r="D486" s="97" t="s">
        <v>1796</v>
      </c>
      <c r="E486" s="97" t="s">
        <v>2429</v>
      </c>
      <c r="F486" s="100">
        <f>VLOOKUP(C486,'Functional Assignment'!$C$1:$AU$771,19,)</f>
        <v>0</v>
      </c>
      <c r="G486" s="100">
        <f t="shared" ref="G486:T490" si="196">IF(VLOOKUP($E486,$D$5:$AJ$945,3,)=0,0,(VLOOKUP($E486,$D$5:$AJ$945,G$1,)/VLOOKUP($E486,$D$5:$AJ$945,3,))*$F486)</f>
        <v>0</v>
      </c>
      <c r="H486" s="100">
        <f t="shared" si="196"/>
        <v>0</v>
      </c>
      <c r="I486" s="100">
        <f t="shared" si="196"/>
        <v>0</v>
      </c>
      <c r="J486" s="100">
        <f t="shared" si="196"/>
        <v>0</v>
      </c>
      <c r="K486" s="100">
        <f t="shared" si="196"/>
        <v>0</v>
      </c>
      <c r="L486" s="100">
        <f t="shared" si="196"/>
        <v>0</v>
      </c>
      <c r="M486" s="100">
        <f t="shared" si="196"/>
        <v>0</v>
      </c>
      <c r="N486" s="100">
        <f t="shared" si="196"/>
        <v>0</v>
      </c>
      <c r="O486" s="100">
        <f t="shared" si="196"/>
        <v>0</v>
      </c>
      <c r="P486" s="100">
        <f t="shared" si="196"/>
        <v>0</v>
      </c>
      <c r="Q486" s="100">
        <f t="shared" si="196"/>
        <v>0</v>
      </c>
      <c r="R486" s="100">
        <f t="shared" si="196"/>
        <v>0</v>
      </c>
      <c r="S486" s="100">
        <f t="shared" si="196"/>
        <v>0</v>
      </c>
      <c r="T486" s="100">
        <f t="shared" si="196"/>
        <v>0</v>
      </c>
      <c r="U486" s="100"/>
      <c r="V486" s="102">
        <f t="shared" ref="V486:V491" si="197">SUM(G486:T486)</f>
        <v>0</v>
      </c>
      <c r="W486" s="98" t="str">
        <f t="shared" ref="W486:W491" si="198">IF(ABS(F486-V486)&lt;0.01,"ok","err")</f>
        <v>ok</v>
      </c>
      <c r="X486" s="102" t="str">
        <f t="shared" ref="X486:X491" si="199">IF(W486="err",V486-F486,"")</f>
        <v/>
      </c>
    </row>
    <row r="487" spans="1:24" ht="12" customHeight="1" x14ac:dyDescent="0.25">
      <c r="A487" s="107" t="s">
        <v>821</v>
      </c>
      <c r="C487" s="97" t="s">
        <v>1755</v>
      </c>
      <c r="D487" s="97" t="s">
        <v>1797</v>
      </c>
      <c r="E487" s="97" t="s">
        <v>2429</v>
      </c>
      <c r="F487" s="101">
        <f>VLOOKUP(C487,'Functional Assignment'!$C$1:$AU$771,20,)</f>
        <v>443678.06572971429</v>
      </c>
      <c r="G487" s="101">
        <f t="shared" si="196"/>
        <v>215432.12416510904</v>
      </c>
      <c r="H487" s="101">
        <f t="shared" si="196"/>
        <v>52485.293705311189</v>
      </c>
      <c r="I487" s="101">
        <f t="shared" si="196"/>
        <v>0</v>
      </c>
      <c r="J487" s="101">
        <f t="shared" si="196"/>
        <v>5496.6439236725819</v>
      </c>
      <c r="K487" s="101">
        <f t="shared" si="196"/>
        <v>0</v>
      </c>
      <c r="L487" s="101">
        <f t="shared" si="196"/>
        <v>49047.646400845435</v>
      </c>
      <c r="M487" s="101">
        <f t="shared" si="196"/>
        <v>3791.4679992388392</v>
      </c>
      <c r="N487" s="101">
        <f t="shared" si="196"/>
        <v>34523.547458451227</v>
      </c>
      <c r="O487" s="101">
        <f t="shared" si="196"/>
        <v>78969.763537291205</v>
      </c>
      <c r="P487" s="101">
        <f t="shared" si="196"/>
        <v>0</v>
      </c>
      <c r="Q487" s="101">
        <f t="shared" si="196"/>
        <v>0</v>
      </c>
      <c r="R487" s="101">
        <f t="shared" si="196"/>
        <v>3890.0492881301284</v>
      </c>
      <c r="S487" s="101">
        <f t="shared" si="196"/>
        <v>16.294057679215939</v>
      </c>
      <c r="T487" s="101">
        <f t="shared" si="196"/>
        <v>25.235193985399292</v>
      </c>
      <c r="U487" s="101"/>
      <c r="V487" s="101">
        <f t="shared" si="197"/>
        <v>443678.06572971417</v>
      </c>
      <c r="W487" s="98" t="str">
        <f t="shared" si="198"/>
        <v>ok</v>
      </c>
      <c r="X487" s="102" t="str">
        <f t="shared" si="199"/>
        <v/>
      </c>
    </row>
    <row r="488" spans="1:24" ht="12" customHeight="1" x14ac:dyDescent="0.25">
      <c r="A488" s="107" t="s">
        <v>822</v>
      </c>
      <c r="C488" s="97" t="s">
        <v>1755</v>
      </c>
      <c r="D488" s="97" t="s">
        <v>1798</v>
      </c>
      <c r="E488" s="97" t="s">
        <v>941</v>
      </c>
      <c r="F488" s="101">
        <f>VLOOKUP(C488,'Functional Assignment'!$C$1:$AU$771,21,)</f>
        <v>822761.02509637631</v>
      </c>
      <c r="G488" s="101">
        <f t="shared" si="196"/>
        <v>657431.34563233121</v>
      </c>
      <c r="H488" s="101">
        <f t="shared" si="196"/>
        <v>127209.07410635111</v>
      </c>
      <c r="I488" s="101">
        <f t="shared" si="196"/>
        <v>0</v>
      </c>
      <c r="J488" s="101">
        <f t="shared" si="196"/>
        <v>905.26684521674588</v>
      </c>
      <c r="K488" s="101">
        <f t="shared" si="196"/>
        <v>0</v>
      </c>
      <c r="L488" s="101">
        <f t="shared" si="196"/>
        <v>6874.2269882141763</v>
      </c>
      <c r="M488" s="101">
        <f t="shared" si="196"/>
        <v>264.09977103287861</v>
      </c>
      <c r="N488" s="101">
        <f t="shared" si="196"/>
        <v>943.43155201340448</v>
      </c>
      <c r="O488" s="101">
        <f t="shared" si="196"/>
        <v>422.86495130697904</v>
      </c>
      <c r="P488" s="101">
        <f t="shared" si="196"/>
        <v>0</v>
      </c>
      <c r="Q488" s="101">
        <f t="shared" si="196"/>
        <v>0</v>
      </c>
      <c r="R488" s="101">
        <f t="shared" si="196"/>
        <v>28578.410933014467</v>
      </c>
      <c r="S488" s="101">
        <f t="shared" si="196"/>
        <v>0.67848367638504459</v>
      </c>
      <c r="T488" s="101">
        <f t="shared" si="196"/>
        <v>131.62583321869866</v>
      </c>
      <c r="U488" s="101"/>
      <c r="V488" s="101">
        <f t="shared" si="197"/>
        <v>822761.02509637608</v>
      </c>
      <c r="W488" s="98" t="str">
        <f t="shared" si="198"/>
        <v>ok</v>
      </c>
      <c r="X488" s="102" t="str">
        <f t="shared" si="199"/>
        <v/>
      </c>
    </row>
    <row r="489" spans="1:24" ht="12" customHeight="1" x14ac:dyDescent="0.25">
      <c r="A489" s="107" t="s">
        <v>823</v>
      </c>
      <c r="C489" s="97" t="s">
        <v>1755</v>
      </c>
      <c r="D489" s="97" t="s">
        <v>1799</v>
      </c>
      <c r="E489" s="97" t="s">
        <v>760</v>
      </c>
      <c r="F489" s="101">
        <f>VLOOKUP(C489,'Functional Assignment'!$C$1:$AU$771,22,)</f>
        <v>204249.98920538765</v>
      </c>
      <c r="G489" s="101">
        <f t="shared" si="196"/>
        <v>170949.21160473398</v>
      </c>
      <c r="H489" s="101">
        <f t="shared" si="196"/>
        <v>29664.518246835665</v>
      </c>
      <c r="I489" s="101">
        <f t="shared" si="196"/>
        <v>0</v>
      </c>
      <c r="J489" s="101">
        <f t="shared" si="196"/>
        <v>2264.6853441768972</v>
      </c>
      <c r="K489" s="101">
        <f t="shared" si="196"/>
        <v>0</v>
      </c>
      <c r="L489" s="101">
        <f t="shared" si="196"/>
        <v>0</v>
      </c>
      <c r="M489" s="101">
        <f t="shared" si="196"/>
        <v>0</v>
      </c>
      <c r="N489" s="101">
        <f t="shared" si="196"/>
        <v>0</v>
      </c>
      <c r="O489" s="101">
        <f t="shared" si="196"/>
        <v>0</v>
      </c>
      <c r="P489" s="101">
        <f t="shared" si="196"/>
        <v>0</v>
      </c>
      <c r="Q489" s="101">
        <f t="shared" si="196"/>
        <v>0</v>
      </c>
      <c r="R489" s="101">
        <f t="shared" si="196"/>
        <v>1357.0957997035418</v>
      </c>
      <c r="S489" s="101">
        <f t="shared" si="196"/>
        <v>5.6844002732984125</v>
      </c>
      <c r="T489" s="101">
        <f t="shared" si="196"/>
        <v>8.7938096642098085</v>
      </c>
      <c r="U489" s="101"/>
      <c r="V489" s="101">
        <f t="shared" si="197"/>
        <v>204249.98920538757</v>
      </c>
      <c r="W489" s="98" t="str">
        <f t="shared" si="198"/>
        <v>ok</v>
      </c>
      <c r="X489" s="102" t="str">
        <f t="shared" si="199"/>
        <v/>
      </c>
    </row>
    <row r="490" spans="1:24" ht="12" customHeight="1" x14ac:dyDescent="0.25">
      <c r="A490" s="107" t="s">
        <v>824</v>
      </c>
      <c r="C490" s="97" t="s">
        <v>1755</v>
      </c>
      <c r="D490" s="97" t="s">
        <v>1800</v>
      </c>
      <c r="E490" s="97" t="s">
        <v>940</v>
      </c>
      <c r="F490" s="101">
        <f>VLOOKUP(C490,'Functional Assignment'!$C$1:$AU$771,23,)</f>
        <v>312231.06134679017</v>
      </c>
      <c r="G490" s="101">
        <f t="shared" si="196"/>
        <v>252095.63762364781</v>
      </c>
      <c r="H490" s="101">
        <f t="shared" si="196"/>
        <v>48779.013750112499</v>
      </c>
      <c r="I490" s="101">
        <f t="shared" si="196"/>
        <v>0</v>
      </c>
      <c r="J490" s="101">
        <f t="shared" si="196"/>
        <v>347.12951258045473</v>
      </c>
      <c r="K490" s="101">
        <f t="shared" si="196"/>
        <v>0</v>
      </c>
      <c r="L490" s="101">
        <f t="shared" si="196"/>
        <v>0</v>
      </c>
      <c r="M490" s="101">
        <f t="shared" si="196"/>
        <v>0</v>
      </c>
      <c r="N490" s="101">
        <f t="shared" si="196"/>
        <v>0</v>
      </c>
      <c r="O490" s="101">
        <f t="shared" si="196"/>
        <v>0</v>
      </c>
      <c r="P490" s="101">
        <f t="shared" si="196"/>
        <v>0</v>
      </c>
      <c r="Q490" s="101">
        <f t="shared" si="196"/>
        <v>0</v>
      </c>
      <c r="R490" s="101">
        <f t="shared" si="196"/>
        <v>10958.54764804297</v>
      </c>
      <c r="S490" s="101">
        <f t="shared" si="196"/>
        <v>0.26016826875057503</v>
      </c>
      <c r="T490" s="101">
        <f t="shared" si="196"/>
        <v>50.47264413761156</v>
      </c>
      <c r="U490" s="101"/>
      <c r="V490" s="101">
        <f t="shared" si="197"/>
        <v>312231.06134679011</v>
      </c>
      <c r="W490" s="98" t="str">
        <f t="shared" si="198"/>
        <v>ok</v>
      </c>
      <c r="X490" s="102" t="str">
        <f t="shared" si="199"/>
        <v/>
      </c>
    </row>
    <row r="491" spans="1:24" ht="12" customHeight="1" x14ac:dyDescent="0.25">
      <c r="A491" s="97" t="s">
        <v>163</v>
      </c>
      <c r="D491" s="97" t="s">
        <v>1801</v>
      </c>
      <c r="F491" s="100">
        <f>SUM(F486:F490)</f>
        <v>1782920.1413782686</v>
      </c>
      <c r="G491" s="100">
        <f t="shared" ref="G491:T491" si="200">SUM(G486:G490)</f>
        <v>1295908.319025822</v>
      </c>
      <c r="H491" s="100">
        <f t="shared" si="200"/>
        <v>258137.89980861044</v>
      </c>
      <c r="I491" s="100">
        <f>SUM(I486:I490)</f>
        <v>0</v>
      </c>
      <c r="J491" s="100">
        <f>SUM(J486:J490)</f>
        <v>9013.7256256466808</v>
      </c>
      <c r="K491" s="100">
        <f>SUM(K486:K490)</f>
        <v>0</v>
      </c>
      <c r="L491" s="100">
        <f t="shared" si="200"/>
        <v>55921.873389059612</v>
      </c>
      <c r="M491" s="100">
        <f t="shared" si="200"/>
        <v>4055.5677702717176</v>
      </c>
      <c r="N491" s="100">
        <f t="shared" si="200"/>
        <v>35466.979010464631</v>
      </c>
      <c r="O491" s="100">
        <f t="shared" si="200"/>
        <v>79392.628488598188</v>
      </c>
      <c r="P491" s="100">
        <f>SUM(P486:P490)</f>
        <v>0</v>
      </c>
      <c r="Q491" s="100">
        <f t="shared" si="200"/>
        <v>0</v>
      </c>
      <c r="R491" s="100">
        <f t="shared" si="200"/>
        <v>44784.103668891112</v>
      </c>
      <c r="S491" s="100">
        <f t="shared" si="200"/>
        <v>22.917109897649972</v>
      </c>
      <c r="T491" s="100">
        <f t="shared" si="200"/>
        <v>216.12748100591932</v>
      </c>
      <c r="U491" s="100"/>
      <c r="V491" s="102">
        <f t="shared" si="197"/>
        <v>1782920.1413782679</v>
      </c>
      <c r="W491" s="98" t="str">
        <f t="shared" si="198"/>
        <v>ok</v>
      </c>
      <c r="X491" s="102" t="str">
        <f t="shared" si="199"/>
        <v/>
      </c>
    </row>
    <row r="492" spans="1:24" ht="12" customHeight="1" x14ac:dyDescent="0.25">
      <c r="F492" s="101"/>
    </row>
    <row r="493" spans="1:24" ht="12" customHeight="1" x14ac:dyDescent="0.25">
      <c r="A493" s="24" t="s">
        <v>819</v>
      </c>
      <c r="F493" s="101"/>
    </row>
    <row r="494" spans="1:24" ht="12" customHeight="1" x14ac:dyDescent="0.25">
      <c r="A494" s="107" t="s">
        <v>409</v>
      </c>
      <c r="C494" s="97" t="s">
        <v>1755</v>
      </c>
      <c r="D494" s="97" t="s">
        <v>1802</v>
      </c>
      <c r="E494" s="97" t="s">
        <v>2332</v>
      </c>
      <c r="F494" s="100">
        <f>VLOOKUP(C494,'Functional Assignment'!$C$1:$AU$771,24,)</f>
        <v>317066.9640061821</v>
      </c>
      <c r="G494" s="100">
        <f t="shared" ref="G494:T495" si="201">IF(VLOOKUP($E494,$D$5:$AJ$945,3,)=0,0,(VLOOKUP($E494,$D$5:$AJ$945,G$1,)/VLOOKUP($E494,$D$5:$AJ$945,3,))*$F494)</f>
        <v>221550.62085434343</v>
      </c>
      <c r="H494" s="100">
        <f t="shared" si="201"/>
        <v>38445.292454039263</v>
      </c>
      <c r="I494" s="100">
        <f t="shared" si="201"/>
        <v>0</v>
      </c>
      <c r="J494" s="100">
        <f t="shared" si="201"/>
        <v>2935.0380696826187</v>
      </c>
      <c r="K494" s="100">
        <f t="shared" si="201"/>
        <v>0</v>
      </c>
      <c r="L494" s="100">
        <f t="shared" si="201"/>
        <v>32007.143840379384</v>
      </c>
      <c r="M494" s="100">
        <f t="shared" si="201"/>
        <v>0</v>
      </c>
      <c r="N494" s="100">
        <f t="shared" si="201"/>
        <v>20351.305320020052</v>
      </c>
      <c r="O494" s="100">
        <f t="shared" si="201"/>
        <v>0</v>
      </c>
      <c r="P494" s="100">
        <f t="shared" si="201"/>
        <v>0</v>
      </c>
      <c r="Q494" s="100">
        <f t="shared" si="201"/>
        <v>0</v>
      </c>
      <c r="R494" s="100">
        <f t="shared" si="201"/>
        <v>1758.799670151946</v>
      </c>
      <c r="S494" s="100">
        <f t="shared" si="201"/>
        <v>7.3669974720081557</v>
      </c>
      <c r="T494" s="100">
        <f t="shared" si="201"/>
        <v>11.396800093383151</v>
      </c>
      <c r="U494" s="100"/>
      <c r="V494" s="102">
        <f>SUM(G494:T494)</f>
        <v>317066.96400618216</v>
      </c>
      <c r="W494" s="98" t="str">
        <f>IF(ABS(F494-V494)&lt;0.01,"ok","err")</f>
        <v>ok</v>
      </c>
      <c r="X494" s="102" t="str">
        <f>IF(W494="err",V494-F494,"")</f>
        <v/>
      </c>
    </row>
    <row r="495" spans="1:24" ht="12" customHeight="1" x14ac:dyDescent="0.25">
      <c r="A495" s="107" t="s">
        <v>412</v>
      </c>
      <c r="C495" s="97" t="s">
        <v>1755</v>
      </c>
      <c r="D495" s="97" t="s">
        <v>1803</v>
      </c>
      <c r="E495" s="97" t="s">
        <v>2331</v>
      </c>
      <c r="F495" s="101">
        <f>VLOOKUP(C495,'Functional Assignment'!$C$1:$AU$771,25,)</f>
        <v>282151.36594410776</v>
      </c>
      <c r="G495" s="101">
        <f t="shared" si="201"/>
        <v>225642.87224953485</v>
      </c>
      <c r="H495" s="101">
        <f t="shared" si="201"/>
        <v>43660.560221619882</v>
      </c>
      <c r="I495" s="101">
        <f t="shared" si="201"/>
        <v>0</v>
      </c>
      <c r="J495" s="101">
        <f t="shared" si="201"/>
        <v>310.7047031816125</v>
      </c>
      <c r="K495" s="101">
        <f t="shared" si="201"/>
        <v>0</v>
      </c>
      <c r="L495" s="101">
        <f t="shared" si="201"/>
        <v>2359.3647191008449</v>
      </c>
      <c r="M495" s="101">
        <f t="shared" si="201"/>
        <v>0</v>
      </c>
      <c r="N495" s="101">
        <f t="shared" si="201"/>
        <v>323.80355238825717</v>
      </c>
      <c r="O495" s="101">
        <f t="shared" si="201"/>
        <v>0</v>
      </c>
      <c r="P495" s="101">
        <f t="shared" si="201"/>
        <v>0</v>
      </c>
      <c r="Q495" s="101">
        <f t="shared" si="201"/>
        <v>0</v>
      </c>
      <c r="R495" s="101">
        <f t="shared" si="201"/>
        <v>9808.6511543658999</v>
      </c>
      <c r="S495" s="101">
        <f t="shared" si="201"/>
        <v>0.2328684303403504</v>
      </c>
      <c r="T495" s="101">
        <f t="shared" si="201"/>
        <v>45.176475486027975</v>
      </c>
      <c r="U495" s="101"/>
      <c r="V495" s="101">
        <f>SUM(G495:T495)</f>
        <v>282151.3659441077</v>
      </c>
      <c r="W495" s="98" t="str">
        <f>IF(ABS(F495-V495)&lt;0.01,"ok","err")</f>
        <v>ok</v>
      </c>
      <c r="X495" s="102" t="str">
        <f>IF(W495="err",V495-F495,"")</f>
        <v/>
      </c>
    </row>
    <row r="496" spans="1:24" ht="12" customHeight="1" x14ac:dyDescent="0.25">
      <c r="A496" s="97" t="s">
        <v>1536</v>
      </c>
      <c r="D496" s="97" t="s">
        <v>1804</v>
      </c>
      <c r="F496" s="100">
        <f t="shared" ref="F496:T496" si="202">F494+F495</f>
        <v>599218.3299502898</v>
      </c>
      <c r="G496" s="100">
        <f t="shared" si="202"/>
        <v>447193.49310387828</v>
      </c>
      <c r="H496" s="100">
        <f t="shared" si="202"/>
        <v>82105.852675659145</v>
      </c>
      <c r="I496" s="100">
        <f>I494+I495</f>
        <v>0</v>
      </c>
      <c r="J496" s="100">
        <f>J494+J495</f>
        <v>3245.742772864231</v>
      </c>
      <c r="K496" s="100">
        <f>K494+K495</f>
        <v>0</v>
      </c>
      <c r="L496" s="100">
        <f t="shared" si="202"/>
        <v>34366.508559480229</v>
      </c>
      <c r="M496" s="100">
        <f t="shared" si="202"/>
        <v>0</v>
      </c>
      <c r="N496" s="100">
        <f t="shared" si="202"/>
        <v>20675.108872408309</v>
      </c>
      <c r="O496" s="100">
        <f t="shared" si="202"/>
        <v>0</v>
      </c>
      <c r="P496" s="100">
        <f>P494+P495</f>
        <v>0</v>
      </c>
      <c r="Q496" s="100">
        <f t="shared" si="202"/>
        <v>0</v>
      </c>
      <c r="R496" s="100">
        <f t="shared" si="202"/>
        <v>11567.450824517846</v>
      </c>
      <c r="S496" s="100">
        <f t="shared" si="202"/>
        <v>7.5998659023485065</v>
      </c>
      <c r="T496" s="100">
        <f t="shared" si="202"/>
        <v>56.573275579411124</v>
      </c>
      <c r="U496" s="100"/>
      <c r="V496" s="102">
        <f>SUM(G496:T496)</f>
        <v>599218.32995028968</v>
      </c>
      <c r="W496" s="98" t="str">
        <f>IF(ABS(F496-V496)&lt;0.01,"ok","err")</f>
        <v>ok</v>
      </c>
      <c r="X496" s="102" t="str">
        <f>IF(W496="err",V496-F496,"")</f>
        <v/>
      </c>
    </row>
    <row r="497" spans="1:24" ht="12" customHeight="1" x14ac:dyDescent="0.25">
      <c r="F497" s="101"/>
    </row>
    <row r="498" spans="1:24" ht="12" customHeight="1" x14ac:dyDescent="0.25">
      <c r="A498" s="24" t="s">
        <v>134</v>
      </c>
      <c r="F498" s="101"/>
    </row>
    <row r="499" spans="1:24" ht="12" customHeight="1" x14ac:dyDescent="0.25">
      <c r="A499" s="107" t="s">
        <v>412</v>
      </c>
      <c r="C499" s="97" t="s">
        <v>1755</v>
      </c>
      <c r="D499" s="97" t="s">
        <v>1805</v>
      </c>
      <c r="E499" s="97" t="s">
        <v>413</v>
      </c>
      <c r="F499" s="100">
        <f>VLOOKUP(C499,'Functional Assignment'!$C$1:$AU$771,26,)</f>
        <v>188892.53153881355</v>
      </c>
      <c r="G499" s="100">
        <f t="shared" ref="G499:T499" si="203">IF(VLOOKUP($E499,$D$5:$AJ$945,3,)=0,0,(VLOOKUP($E499,$D$5:$AJ$945,G$1,)/VLOOKUP($E499,$D$5:$AJ$945,3,))*$F499)</f>
        <v>132471.17021688508</v>
      </c>
      <c r="H499" s="100">
        <f t="shared" si="203"/>
        <v>51892.089233072962</v>
      </c>
      <c r="I499" s="100">
        <f t="shared" si="203"/>
        <v>0</v>
      </c>
      <c r="J499" s="100">
        <f t="shared" si="203"/>
        <v>491.44156876291311</v>
      </c>
      <c r="K499" s="100">
        <f t="shared" si="203"/>
        <v>0</v>
      </c>
      <c r="L499" s="100">
        <f t="shared" si="203"/>
        <v>3525.6072834176648</v>
      </c>
      <c r="M499" s="100">
        <f t="shared" si="203"/>
        <v>0</v>
      </c>
      <c r="N499" s="100">
        <f t="shared" si="203"/>
        <v>512.22323667491617</v>
      </c>
      <c r="O499" s="100">
        <f t="shared" si="203"/>
        <v>0</v>
      </c>
      <c r="P499" s="100">
        <f t="shared" si="203"/>
        <v>0</v>
      </c>
      <c r="Q499" s="100">
        <f t="shared" si="203"/>
        <v>0</v>
      </c>
      <c r="R499" s="100">
        <f t="shared" si="203"/>
        <v>0</v>
      </c>
      <c r="S499" s="100">
        <f t="shared" si="203"/>
        <v>0</v>
      </c>
      <c r="T499" s="100">
        <f t="shared" si="203"/>
        <v>0</v>
      </c>
      <c r="U499" s="100"/>
      <c r="V499" s="102">
        <f>SUM(G499:T499)</f>
        <v>188892.53153881352</v>
      </c>
      <c r="W499" s="98" t="str">
        <f>IF(ABS(F499-V499)&lt;0.01,"ok","err")</f>
        <v>ok</v>
      </c>
      <c r="X499" s="102" t="str">
        <f>IF(W499="err",V499-F499,"")</f>
        <v/>
      </c>
    </row>
    <row r="500" spans="1:24" ht="12" customHeight="1" x14ac:dyDescent="0.25">
      <c r="F500" s="101"/>
    </row>
    <row r="501" spans="1:24" ht="12" customHeight="1" x14ac:dyDescent="0.25">
      <c r="A501" s="24" t="s">
        <v>133</v>
      </c>
      <c r="F501" s="101"/>
    </row>
    <row r="502" spans="1:24" ht="12" customHeight="1" x14ac:dyDescent="0.25">
      <c r="A502" s="107" t="s">
        <v>412</v>
      </c>
      <c r="C502" s="97" t="s">
        <v>1755</v>
      </c>
      <c r="D502" s="97" t="s">
        <v>1806</v>
      </c>
      <c r="E502" s="97" t="s">
        <v>414</v>
      </c>
      <c r="F502" s="100">
        <f>VLOOKUP(C502,'Functional Assignment'!$C$1:$AU$771,27,)</f>
        <v>161169.51451740533</v>
      </c>
      <c r="G502" s="100">
        <f t="shared" ref="G502:T502" si="204">IF(VLOOKUP($E502,$D$5:$AJ$945,3,)=0,0,(VLOOKUP($E502,$D$5:$AJ$945,G$1,)/VLOOKUP($E502,$D$5:$AJ$945,3,))*$F502)</f>
        <v>100158.69252477001</v>
      </c>
      <c r="H502" s="100">
        <f t="shared" si="204"/>
        <v>37331.010927299765</v>
      </c>
      <c r="I502" s="100">
        <f t="shared" si="204"/>
        <v>0</v>
      </c>
      <c r="J502" s="100">
        <f t="shared" si="204"/>
        <v>791.85060961617933</v>
      </c>
      <c r="K502" s="100">
        <f t="shared" si="204"/>
        <v>0</v>
      </c>
      <c r="L502" s="100">
        <f t="shared" si="204"/>
        <v>10118.555470686579</v>
      </c>
      <c r="M502" s="100">
        <f t="shared" si="204"/>
        <v>2230.9285864011026</v>
      </c>
      <c r="N502" s="100">
        <f t="shared" si="204"/>
        <v>1876.5147272610855</v>
      </c>
      <c r="O502" s="100">
        <f t="shared" si="204"/>
        <v>4956.8456580794582</v>
      </c>
      <c r="P502" s="100">
        <f t="shared" si="204"/>
        <v>3380.6258497636945</v>
      </c>
      <c r="Q502" s="100">
        <f t="shared" si="204"/>
        <v>143.08293188725975</v>
      </c>
      <c r="R502" s="100">
        <f t="shared" si="204"/>
        <v>0</v>
      </c>
      <c r="S502" s="100">
        <f t="shared" si="204"/>
        <v>0.93029349559080854</v>
      </c>
      <c r="T502" s="100">
        <f t="shared" si="204"/>
        <v>180.47693814461687</v>
      </c>
      <c r="U502" s="100"/>
      <c r="V502" s="102">
        <f>SUM(G502:T502)</f>
        <v>161169.51451740536</v>
      </c>
      <c r="W502" s="98" t="str">
        <f>IF(ABS(F502-V502)&lt;0.01,"ok","err")</f>
        <v>ok</v>
      </c>
      <c r="X502" s="102" t="str">
        <f>IF(W502="err",V502-F502,"")</f>
        <v/>
      </c>
    </row>
    <row r="503" spans="1:24" ht="12" customHeight="1" x14ac:dyDescent="0.25">
      <c r="F503" s="101"/>
    </row>
    <row r="504" spans="1:24" ht="12" customHeight="1" x14ac:dyDescent="0.25">
      <c r="A504" s="24" t="s">
        <v>156</v>
      </c>
      <c r="F504" s="101"/>
    </row>
    <row r="505" spans="1:24" ht="12" customHeight="1" x14ac:dyDescent="0.25">
      <c r="A505" s="107" t="s">
        <v>412</v>
      </c>
      <c r="C505" s="97" t="s">
        <v>1755</v>
      </c>
      <c r="D505" s="97" t="s">
        <v>1807</v>
      </c>
      <c r="E505" s="97" t="s">
        <v>415</v>
      </c>
      <c r="F505" s="100">
        <f>VLOOKUP(C505,'Functional Assignment'!$C$1:$AU$771,28,)</f>
        <v>223554.95587827321</v>
      </c>
      <c r="G505" s="100">
        <f t="shared" ref="G505:T505" si="205">IF(VLOOKUP($E505,$D$5:$AJ$945,3,)=0,0,(VLOOKUP($E505,$D$5:$AJ$945,G$1,)/VLOOKUP($E505,$D$5:$AJ$945,3,))*$F505)</f>
        <v>0</v>
      </c>
      <c r="H505" s="100">
        <f t="shared" si="205"/>
        <v>0</v>
      </c>
      <c r="I505" s="100">
        <f t="shared" si="205"/>
        <v>0</v>
      </c>
      <c r="J505" s="100">
        <f t="shared" si="205"/>
        <v>0</v>
      </c>
      <c r="K505" s="100">
        <f t="shared" si="205"/>
        <v>0</v>
      </c>
      <c r="L505" s="100">
        <f t="shared" si="205"/>
        <v>0</v>
      </c>
      <c r="M505" s="100">
        <f t="shared" si="205"/>
        <v>0</v>
      </c>
      <c r="N505" s="100">
        <f t="shared" si="205"/>
        <v>0</v>
      </c>
      <c r="O505" s="100">
        <f t="shared" si="205"/>
        <v>0</v>
      </c>
      <c r="P505" s="100">
        <f t="shared" si="205"/>
        <v>0</v>
      </c>
      <c r="Q505" s="100">
        <f t="shared" si="205"/>
        <v>0</v>
      </c>
      <c r="R505" s="100">
        <f t="shared" si="205"/>
        <v>223554.95587827321</v>
      </c>
      <c r="S505" s="100">
        <f t="shared" si="205"/>
        <v>0</v>
      </c>
      <c r="T505" s="100">
        <f t="shared" si="205"/>
        <v>0</v>
      </c>
      <c r="U505" s="100"/>
      <c r="V505" s="102">
        <f>SUM(G505:T505)</f>
        <v>223554.95587827321</v>
      </c>
      <c r="W505" s="98" t="str">
        <f>IF(ABS(F505-V505)&lt;0.01,"ok","err")</f>
        <v>ok</v>
      </c>
      <c r="X505" s="102" t="str">
        <f>IF(W505="err",V505-F505,"")</f>
        <v/>
      </c>
    </row>
    <row r="506" spans="1:24" ht="12" customHeight="1" x14ac:dyDescent="0.25">
      <c r="F506" s="101"/>
    </row>
    <row r="507" spans="1:24" ht="12" customHeight="1" x14ac:dyDescent="0.25">
      <c r="A507" s="24" t="s">
        <v>309</v>
      </c>
      <c r="F507" s="101"/>
    </row>
    <row r="508" spans="1:24" ht="12" customHeight="1" x14ac:dyDescent="0.25">
      <c r="A508" s="107" t="s">
        <v>412</v>
      </c>
      <c r="C508" s="97" t="s">
        <v>1755</v>
      </c>
      <c r="D508" s="97" t="s">
        <v>1808</v>
      </c>
      <c r="E508" s="97" t="s">
        <v>416</v>
      </c>
      <c r="F508" s="100">
        <f>VLOOKUP(C508,'Functional Assignment'!$C$1:$AU$771,30,)</f>
        <v>0</v>
      </c>
      <c r="G508" s="100">
        <f t="shared" ref="G508:T508" si="206">IF(VLOOKUP($E508,$D$5:$AJ$945,3,)=0,0,(VLOOKUP($E508,$D$5:$AJ$945,G$1,)/VLOOKUP($E508,$D$5:$AJ$945,3,))*$F508)</f>
        <v>0</v>
      </c>
      <c r="H508" s="100">
        <f t="shared" si="206"/>
        <v>0</v>
      </c>
      <c r="I508" s="100">
        <f t="shared" si="206"/>
        <v>0</v>
      </c>
      <c r="J508" s="100">
        <f t="shared" si="206"/>
        <v>0</v>
      </c>
      <c r="K508" s="100">
        <f t="shared" si="206"/>
        <v>0</v>
      </c>
      <c r="L508" s="100">
        <f t="shared" si="206"/>
        <v>0</v>
      </c>
      <c r="M508" s="100">
        <f t="shared" si="206"/>
        <v>0</v>
      </c>
      <c r="N508" s="100">
        <f t="shared" si="206"/>
        <v>0</v>
      </c>
      <c r="O508" s="100">
        <f t="shared" si="206"/>
        <v>0</v>
      </c>
      <c r="P508" s="100">
        <f t="shared" si="206"/>
        <v>0</v>
      </c>
      <c r="Q508" s="100">
        <f t="shared" si="206"/>
        <v>0</v>
      </c>
      <c r="R508" s="100">
        <f t="shared" si="206"/>
        <v>0</v>
      </c>
      <c r="S508" s="100">
        <f t="shared" si="206"/>
        <v>0</v>
      </c>
      <c r="T508" s="100">
        <f t="shared" si="206"/>
        <v>0</v>
      </c>
      <c r="U508" s="100"/>
      <c r="V508" s="102">
        <f>SUM(G508:T508)</f>
        <v>0</v>
      </c>
      <c r="W508" s="98" t="str">
        <f>IF(ABS(F508-V508)&lt;0.01,"ok","err")</f>
        <v>ok</v>
      </c>
      <c r="X508" s="102" t="str">
        <f>IF(W508="err",V508-F508,"")</f>
        <v/>
      </c>
    </row>
    <row r="509" spans="1:24" ht="12" customHeight="1" x14ac:dyDescent="0.25">
      <c r="F509" s="101"/>
    </row>
    <row r="510" spans="1:24" ht="12" customHeight="1" x14ac:dyDescent="0.25">
      <c r="A510" s="24" t="s">
        <v>1700</v>
      </c>
      <c r="F510" s="101"/>
    </row>
    <row r="511" spans="1:24" ht="12" customHeight="1" x14ac:dyDescent="0.25">
      <c r="A511" s="107" t="s">
        <v>412</v>
      </c>
      <c r="C511" s="97" t="s">
        <v>1755</v>
      </c>
      <c r="D511" s="97" t="s">
        <v>1809</v>
      </c>
      <c r="E511" s="97" t="s">
        <v>416</v>
      </c>
      <c r="F511" s="100">
        <f>VLOOKUP(C511,'Functional Assignment'!$C$1:$AU$771,32,)</f>
        <v>0</v>
      </c>
      <c r="G511" s="100">
        <f t="shared" ref="G511:T511" si="207">IF(VLOOKUP($E511,$D$5:$AJ$945,3,)=0,0,(VLOOKUP($E511,$D$5:$AJ$945,G$1,)/VLOOKUP($E511,$D$5:$AJ$945,3,))*$F511)</f>
        <v>0</v>
      </c>
      <c r="H511" s="100">
        <f t="shared" si="207"/>
        <v>0</v>
      </c>
      <c r="I511" s="100">
        <f t="shared" si="207"/>
        <v>0</v>
      </c>
      <c r="J511" s="100">
        <f t="shared" si="207"/>
        <v>0</v>
      </c>
      <c r="K511" s="100">
        <f t="shared" si="207"/>
        <v>0</v>
      </c>
      <c r="L511" s="100">
        <f t="shared" si="207"/>
        <v>0</v>
      </c>
      <c r="M511" s="100">
        <f t="shared" si="207"/>
        <v>0</v>
      </c>
      <c r="N511" s="100">
        <f t="shared" si="207"/>
        <v>0</v>
      </c>
      <c r="O511" s="100">
        <f t="shared" si="207"/>
        <v>0</v>
      </c>
      <c r="P511" s="100">
        <f t="shared" si="207"/>
        <v>0</v>
      </c>
      <c r="Q511" s="100">
        <f t="shared" si="207"/>
        <v>0</v>
      </c>
      <c r="R511" s="100">
        <f t="shared" si="207"/>
        <v>0</v>
      </c>
      <c r="S511" s="100">
        <f t="shared" si="207"/>
        <v>0</v>
      </c>
      <c r="T511" s="100">
        <f t="shared" si="207"/>
        <v>0</v>
      </c>
      <c r="U511" s="100"/>
      <c r="V511" s="102">
        <f>SUM(G511:T511)</f>
        <v>0</v>
      </c>
      <c r="W511" s="98" t="str">
        <f>IF(ABS(F511-V511)&lt;0.01,"ok","err")</f>
        <v>ok</v>
      </c>
      <c r="X511" s="102" t="str">
        <f>IF(W511="err",V511-F511,"")</f>
        <v/>
      </c>
    </row>
    <row r="512" spans="1:24" ht="12" customHeight="1" x14ac:dyDescent="0.25">
      <c r="F512" s="101"/>
    </row>
    <row r="513" spans="1:24" ht="12" customHeight="1" x14ac:dyDescent="0.25">
      <c r="A513" s="24" t="s">
        <v>1699</v>
      </c>
      <c r="F513" s="101"/>
    </row>
    <row r="514" spans="1:24" ht="12" customHeight="1" x14ac:dyDescent="0.25">
      <c r="A514" s="107" t="s">
        <v>412</v>
      </c>
      <c r="C514" s="97" t="s">
        <v>1755</v>
      </c>
      <c r="D514" s="97" t="s">
        <v>1810</v>
      </c>
      <c r="E514" s="97" t="s">
        <v>417</v>
      </c>
      <c r="F514" s="100">
        <f>VLOOKUP(C514,'Functional Assignment'!$C$1:$AU$771,34,)</f>
        <v>0</v>
      </c>
      <c r="G514" s="100">
        <f t="shared" ref="G514:T514" si="208">IF(VLOOKUP($E514,$D$5:$AJ$945,3,)=0,0,(VLOOKUP($E514,$D$5:$AJ$945,G$1,)/VLOOKUP($E514,$D$5:$AJ$945,3,))*$F514)</f>
        <v>0</v>
      </c>
      <c r="H514" s="100">
        <f t="shared" si="208"/>
        <v>0</v>
      </c>
      <c r="I514" s="100">
        <f t="shared" si="208"/>
        <v>0</v>
      </c>
      <c r="J514" s="100">
        <f t="shared" si="208"/>
        <v>0</v>
      </c>
      <c r="K514" s="100">
        <f t="shared" si="208"/>
        <v>0</v>
      </c>
      <c r="L514" s="100">
        <f t="shared" si="208"/>
        <v>0</v>
      </c>
      <c r="M514" s="100">
        <f t="shared" si="208"/>
        <v>0</v>
      </c>
      <c r="N514" s="100">
        <f t="shared" si="208"/>
        <v>0</v>
      </c>
      <c r="O514" s="100">
        <f t="shared" si="208"/>
        <v>0</v>
      </c>
      <c r="P514" s="100">
        <f t="shared" si="208"/>
        <v>0</v>
      </c>
      <c r="Q514" s="100">
        <f t="shared" si="208"/>
        <v>0</v>
      </c>
      <c r="R514" s="100">
        <f t="shared" si="208"/>
        <v>0</v>
      </c>
      <c r="S514" s="100">
        <f t="shared" si="208"/>
        <v>0</v>
      </c>
      <c r="T514" s="100">
        <f t="shared" si="208"/>
        <v>0</v>
      </c>
      <c r="U514" s="100"/>
      <c r="V514" s="102">
        <f>SUM(G514:T514)</f>
        <v>0</v>
      </c>
      <c r="W514" s="98" t="str">
        <f>IF(ABS(F514-V514)&lt;0.01,"ok","err")</f>
        <v>ok</v>
      </c>
      <c r="X514" s="102" t="str">
        <f>IF(W514="err",V514-F514,"")</f>
        <v/>
      </c>
    </row>
    <row r="515" spans="1:24" ht="12" customHeight="1" x14ac:dyDescent="0.25">
      <c r="F515" s="101"/>
    </row>
    <row r="516" spans="1:24" ht="12" customHeight="1" x14ac:dyDescent="0.25">
      <c r="A516" s="97" t="s">
        <v>68</v>
      </c>
      <c r="D516" s="97" t="s">
        <v>430</v>
      </c>
      <c r="F516" s="100">
        <f>F471+F477+F480+F483+F491+F496+F499+F502+F505+F508+F511+F514</f>
        <v>12926774.348401168</v>
      </c>
      <c r="G516" s="100">
        <f t="shared" ref="G516:T516" si="209">G471+G477+G480+G483+G491+G496+G499+G502+G505+G508+G511+G514</f>
        <v>6088417.8138291491</v>
      </c>
      <c r="H516" s="100">
        <f t="shared" si="209"/>
        <v>1564301.8902701035</v>
      </c>
      <c r="I516" s="100">
        <f>I471+I477+I480+I483+I491+I496+I499+I502+I505+I508+I511+I514</f>
        <v>0</v>
      </c>
      <c r="J516" s="100">
        <f>J471+J477+J480+J483+J491+J496+J499+J502+J505+J508+J511+J514</f>
        <v>100413.59372099827</v>
      </c>
      <c r="K516" s="100">
        <f>K471+K477+K480+K483+K491+K496+K499+K502+K505+K508+K511+K514</f>
        <v>0</v>
      </c>
      <c r="L516" s="100">
        <f t="shared" si="209"/>
        <v>1241219.7991725039</v>
      </c>
      <c r="M516" s="100">
        <f t="shared" si="209"/>
        <v>90195.59837389458</v>
      </c>
      <c r="N516" s="100">
        <f t="shared" si="209"/>
        <v>887871.38002021168</v>
      </c>
      <c r="O516" s="100">
        <f>O471+O477+O480+O483+O491+O496+O499+O502+O505+O508+O511+O514</f>
        <v>1901356.4249937129</v>
      </c>
      <c r="P516" s="100">
        <f>P471+P477+P480+P483+P491+P496+P499+P502+P505+P508+P511+P514</f>
        <v>609921.52510138182</v>
      </c>
      <c r="Q516" s="100">
        <f t="shared" si="209"/>
        <v>158588.24123690827</v>
      </c>
      <c r="R516" s="100">
        <f t="shared" si="209"/>
        <v>283476.37182804599</v>
      </c>
      <c r="S516" s="100">
        <f t="shared" si="209"/>
        <v>46.400171988696833</v>
      </c>
      <c r="T516" s="100">
        <f t="shared" si="209"/>
        <v>965.30968227008179</v>
      </c>
      <c r="U516" s="100"/>
      <c r="V516" s="102">
        <f>SUM(G516:T516)</f>
        <v>12926774.348401172</v>
      </c>
      <c r="W516" s="98" t="str">
        <f>IF(ABS(F516-V516)&lt;0.01,"ok","err")</f>
        <v>ok</v>
      </c>
      <c r="X516" s="102" t="str">
        <f>IF(W516="err",V516-F516,"")</f>
        <v/>
      </c>
    </row>
    <row r="517" spans="1:24" ht="12" customHeight="1" x14ac:dyDescent="0.25"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2"/>
      <c r="W517" s="98"/>
    </row>
    <row r="518" spans="1:24" ht="12" customHeight="1" x14ac:dyDescent="0.25"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2"/>
      <c r="W518" s="98"/>
    </row>
    <row r="519" spans="1:24" ht="12" customHeight="1" x14ac:dyDescent="0.25"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2"/>
      <c r="W519" s="98"/>
    </row>
    <row r="520" spans="1:24" ht="12" customHeight="1" x14ac:dyDescent="0.25">
      <c r="A520" s="23" t="s">
        <v>732</v>
      </c>
    </row>
    <row r="522" spans="1:24" ht="12" customHeight="1" x14ac:dyDescent="0.25">
      <c r="A522" s="24" t="s">
        <v>149</v>
      </c>
    </row>
    <row r="523" spans="1:24" ht="12" customHeight="1" x14ac:dyDescent="0.25">
      <c r="A523" s="107" t="s">
        <v>139</v>
      </c>
      <c r="C523" s="97" t="s">
        <v>936</v>
      </c>
      <c r="D523" s="97" t="s">
        <v>1784</v>
      </c>
      <c r="E523" s="397" t="s">
        <v>2455</v>
      </c>
      <c r="F523" s="100">
        <f>VLOOKUP(C523,'Functional Assignment'!$C$1:$AU$744,6,)</f>
        <v>0</v>
      </c>
      <c r="G523" s="100">
        <f t="shared" ref="G523:T528" si="210">IF(VLOOKUP($E523,$D$5:$AJ$1013,3,)=0,0,(VLOOKUP($E523,$D$5:$AJ$1013,G$1,)/VLOOKUP($E523,$D$5:$AJ$1013,3,))*$F523)</f>
        <v>0</v>
      </c>
      <c r="H523" s="100">
        <f t="shared" si="210"/>
        <v>0</v>
      </c>
      <c r="I523" s="100">
        <f t="shared" si="210"/>
        <v>0</v>
      </c>
      <c r="J523" s="100">
        <f t="shared" si="210"/>
        <v>0</v>
      </c>
      <c r="K523" s="100">
        <f t="shared" si="210"/>
        <v>0</v>
      </c>
      <c r="L523" s="100">
        <f t="shared" si="210"/>
        <v>0</v>
      </c>
      <c r="M523" s="100">
        <f t="shared" si="210"/>
        <v>0</v>
      </c>
      <c r="N523" s="100">
        <f t="shared" si="210"/>
        <v>0</v>
      </c>
      <c r="O523" s="100">
        <f t="shared" si="210"/>
        <v>0</v>
      </c>
      <c r="P523" s="100">
        <f t="shared" si="210"/>
        <v>0</v>
      </c>
      <c r="Q523" s="100">
        <f t="shared" si="210"/>
        <v>0</v>
      </c>
      <c r="R523" s="100">
        <f t="shared" si="210"/>
        <v>0</v>
      </c>
      <c r="S523" s="100">
        <f t="shared" si="210"/>
        <v>0</v>
      </c>
      <c r="T523" s="100">
        <f t="shared" si="210"/>
        <v>0</v>
      </c>
      <c r="U523" s="100"/>
      <c r="V523" s="102">
        <f t="shared" ref="V523:V529" si="211">SUM(G523:T523)</f>
        <v>0</v>
      </c>
      <c r="W523" s="98" t="str">
        <f t="shared" ref="W523:W529" si="212">IF(ABS(F523-V523)&lt;0.01,"ok","err")</f>
        <v>ok</v>
      </c>
      <c r="X523" s="102" t="str">
        <f t="shared" ref="X523:X529" si="213">IF(W523="err",V523-F523,"")</f>
        <v/>
      </c>
    </row>
    <row r="524" spans="1:24" ht="12" customHeight="1" x14ac:dyDescent="0.25">
      <c r="A524" s="107" t="s">
        <v>143</v>
      </c>
      <c r="C524" s="97" t="s">
        <v>936</v>
      </c>
      <c r="D524" s="97" t="s">
        <v>1785</v>
      </c>
      <c r="E524" s="397" t="s">
        <v>2455</v>
      </c>
      <c r="F524" s="101">
        <f>VLOOKUP(C524,'Functional Assignment'!$C$1:$AU$744,7,)</f>
        <v>0</v>
      </c>
      <c r="G524" s="101">
        <f t="shared" si="210"/>
        <v>0</v>
      </c>
      <c r="H524" s="101">
        <f t="shared" si="210"/>
        <v>0</v>
      </c>
      <c r="I524" s="101">
        <f t="shared" si="210"/>
        <v>0</v>
      </c>
      <c r="J524" s="101">
        <f t="shared" si="210"/>
        <v>0</v>
      </c>
      <c r="K524" s="101">
        <f t="shared" si="210"/>
        <v>0</v>
      </c>
      <c r="L524" s="101">
        <f t="shared" si="210"/>
        <v>0</v>
      </c>
      <c r="M524" s="101">
        <f t="shared" si="210"/>
        <v>0</v>
      </c>
      <c r="N524" s="101">
        <f t="shared" si="210"/>
        <v>0</v>
      </c>
      <c r="O524" s="101">
        <f t="shared" si="210"/>
        <v>0</v>
      </c>
      <c r="P524" s="101">
        <f t="shared" si="210"/>
        <v>0</v>
      </c>
      <c r="Q524" s="101">
        <f t="shared" si="210"/>
        <v>0</v>
      </c>
      <c r="R524" s="101">
        <f t="shared" si="210"/>
        <v>0</v>
      </c>
      <c r="S524" s="101">
        <f t="shared" si="210"/>
        <v>0</v>
      </c>
      <c r="T524" s="101">
        <f t="shared" si="210"/>
        <v>0</v>
      </c>
      <c r="U524" s="101"/>
      <c r="V524" s="101">
        <f t="shared" si="211"/>
        <v>0</v>
      </c>
      <c r="W524" s="98" t="str">
        <f t="shared" si="212"/>
        <v>ok</v>
      </c>
      <c r="X524" s="102" t="str">
        <f t="shared" si="213"/>
        <v/>
      </c>
    </row>
    <row r="525" spans="1:24" ht="12" customHeight="1" x14ac:dyDescent="0.25">
      <c r="A525" s="107" t="s">
        <v>140</v>
      </c>
      <c r="C525" s="97" t="s">
        <v>936</v>
      </c>
      <c r="D525" s="97" t="s">
        <v>1786</v>
      </c>
      <c r="E525" s="397" t="s">
        <v>2455</v>
      </c>
      <c r="F525" s="101">
        <f>VLOOKUP(C525,'Functional Assignment'!$C$1:$AU$744,8,)</f>
        <v>0</v>
      </c>
      <c r="G525" s="101">
        <f t="shared" si="210"/>
        <v>0</v>
      </c>
      <c r="H525" s="101">
        <f t="shared" si="210"/>
        <v>0</v>
      </c>
      <c r="I525" s="101">
        <f t="shared" si="210"/>
        <v>0</v>
      </c>
      <c r="J525" s="101">
        <f t="shared" si="210"/>
        <v>0</v>
      </c>
      <c r="K525" s="101">
        <f t="shared" si="210"/>
        <v>0</v>
      </c>
      <c r="L525" s="101">
        <f t="shared" si="210"/>
        <v>0</v>
      </c>
      <c r="M525" s="101">
        <f t="shared" si="210"/>
        <v>0</v>
      </c>
      <c r="N525" s="101">
        <f t="shared" si="210"/>
        <v>0</v>
      </c>
      <c r="O525" s="101">
        <f t="shared" si="210"/>
        <v>0</v>
      </c>
      <c r="P525" s="101">
        <f t="shared" si="210"/>
        <v>0</v>
      </c>
      <c r="Q525" s="101">
        <f t="shared" si="210"/>
        <v>0</v>
      </c>
      <c r="R525" s="101">
        <f t="shared" si="210"/>
        <v>0</v>
      </c>
      <c r="S525" s="101">
        <f t="shared" si="210"/>
        <v>0</v>
      </c>
      <c r="T525" s="101">
        <f t="shared" si="210"/>
        <v>0</v>
      </c>
      <c r="U525" s="101"/>
      <c r="V525" s="101">
        <f t="shared" si="211"/>
        <v>0</v>
      </c>
      <c r="W525" s="98" t="str">
        <f t="shared" si="212"/>
        <v>ok</v>
      </c>
      <c r="X525" s="102" t="str">
        <f t="shared" si="213"/>
        <v/>
      </c>
    </row>
    <row r="526" spans="1:24" ht="12" customHeight="1" x14ac:dyDescent="0.25">
      <c r="A526" s="107" t="s">
        <v>141</v>
      </c>
      <c r="C526" s="97" t="s">
        <v>936</v>
      </c>
      <c r="D526" s="97" t="s">
        <v>1787</v>
      </c>
      <c r="E526" s="97" t="s">
        <v>410</v>
      </c>
      <c r="F526" s="101">
        <f>VLOOKUP(C526,'Functional Assignment'!$C$1:$AU$744,9,)</f>
        <v>0</v>
      </c>
      <c r="G526" s="101">
        <f t="shared" si="210"/>
        <v>0</v>
      </c>
      <c r="H526" s="101">
        <f t="shared" si="210"/>
        <v>0</v>
      </c>
      <c r="I526" s="101">
        <f t="shared" si="210"/>
        <v>0</v>
      </c>
      <c r="J526" s="101">
        <f t="shared" si="210"/>
        <v>0</v>
      </c>
      <c r="K526" s="101">
        <f t="shared" si="210"/>
        <v>0</v>
      </c>
      <c r="L526" s="101">
        <f t="shared" si="210"/>
        <v>0</v>
      </c>
      <c r="M526" s="101">
        <f t="shared" si="210"/>
        <v>0</v>
      </c>
      <c r="N526" s="101">
        <f t="shared" si="210"/>
        <v>0</v>
      </c>
      <c r="O526" s="101">
        <f t="shared" si="210"/>
        <v>0</v>
      </c>
      <c r="P526" s="101">
        <f t="shared" si="210"/>
        <v>0</v>
      </c>
      <c r="Q526" s="101">
        <f t="shared" si="210"/>
        <v>0</v>
      </c>
      <c r="R526" s="101">
        <f t="shared" si="210"/>
        <v>0</v>
      </c>
      <c r="S526" s="101">
        <f t="shared" si="210"/>
        <v>0</v>
      </c>
      <c r="T526" s="101">
        <f t="shared" si="210"/>
        <v>0</v>
      </c>
      <c r="U526" s="101"/>
      <c r="V526" s="101">
        <f t="shared" si="211"/>
        <v>0</v>
      </c>
      <c r="W526" s="98" t="str">
        <f t="shared" si="212"/>
        <v>ok</v>
      </c>
      <c r="X526" s="102" t="str">
        <f t="shared" si="213"/>
        <v/>
      </c>
    </row>
    <row r="527" spans="1:24" ht="12" customHeight="1" x14ac:dyDescent="0.25">
      <c r="A527" s="107" t="s">
        <v>144</v>
      </c>
      <c r="C527" s="97" t="s">
        <v>936</v>
      </c>
      <c r="D527" s="97" t="s">
        <v>1788</v>
      </c>
      <c r="E527" s="97" t="s">
        <v>410</v>
      </c>
      <c r="F527" s="101">
        <f>VLOOKUP(C527,'Functional Assignment'!$C$1:$AU$744,10,)</f>
        <v>0</v>
      </c>
      <c r="G527" s="101">
        <f t="shared" si="210"/>
        <v>0</v>
      </c>
      <c r="H527" s="101">
        <f t="shared" si="210"/>
        <v>0</v>
      </c>
      <c r="I527" s="101">
        <f t="shared" si="210"/>
        <v>0</v>
      </c>
      <c r="J527" s="101">
        <f t="shared" si="210"/>
        <v>0</v>
      </c>
      <c r="K527" s="101">
        <f t="shared" si="210"/>
        <v>0</v>
      </c>
      <c r="L527" s="101">
        <f t="shared" si="210"/>
        <v>0</v>
      </c>
      <c r="M527" s="101">
        <f t="shared" si="210"/>
        <v>0</v>
      </c>
      <c r="N527" s="101">
        <f t="shared" si="210"/>
        <v>0</v>
      </c>
      <c r="O527" s="101">
        <f t="shared" si="210"/>
        <v>0</v>
      </c>
      <c r="P527" s="101">
        <f t="shared" si="210"/>
        <v>0</v>
      </c>
      <c r="Q527" s="101">
        <f t="shared" si="210"/>
        <v>0</v>
      </c>
      <c r="R527" s="101">
        <f t="shared" si="210"/>
        <v>0</v>
      </c>
      <c r="S527" s="101">
        <f t="shared" si="210"/>
        <v>0</v>
      </c>
      <c r="T527" s="101">
        <f t="shared" si="210"/>
        <v>0</v>
      </c>
      <c r="U527" s="101"/>
      <c r="V527" s="101">
        <f t="shared" si="211"/>
        <v>0</v>
      </c>
      <c r="W527" s="98" t="str">
        <f t="shared" si="212"/>
        <v>ok</v>
      </c>
      <c r="X527" s="102" t="str">
        <f t="shared" si="213"/>
        <v/>
      </c>
    </row>
    <row r="528" spans="1:24" ht="12" customHeight="1" x14ac:dyDescent="0.25">
      <c r="A528" s="107" t="s">
        <v>142</v>
      </c>
      <c r="C528" s="97" t="s">
        <v>936</v>
      </c>
      <c r="D528" s="97" t="s">
        <v>1789</v>
      </c>
      <c r="E528" s="97" t="s">
        <v>410</v>
      </c>
      <c r="F528" s="101">
        <f>VLOOKUP(C528,'Functional Assignment'!$C$1:$AU$744,11,)</f>
        <v>0</v>
      </c>
      <c r="G528" s="101">
        <f t="shared" si="210"/>
        <v>0</v>
      </c>
      <c r="H528" s="101">
        <f t="shared" si="210"/>
        <v>0</v>
      </c>
      <c r="I528" s="101">
        <f t="shared" si="210"/>
        <v>0</v>
      </c>
      <c r="J528" s="101">
        <f t="shared" si="210"/>
        <v>0</v>
      </c>
      <c r="K528" s="101">
        <f t="shared" si="210"/>
        <v>0</v>
      </c>
      <c r="L528" s="101">
        <f t="shared" si="210"/>
        <v>0</v>
      </c>
      <c r="M528" s="101">
        <f t="shared" si="210"/>
        <v>0</v>
      </c>
      <c r="N528" s="101">
        <f t="shared" si="210"/>
        <v>0</v>
      </c>
      <c r="O528" s="101">
        <f t="shared" si="210"/>
        <v>0</v>
      </c>
      <c r="P528" s="101">
        <f t="shared" si="210"/>
        <v>0</v>
      </c>
      <c r="Q528" s="101">
        <f t="shared" si="210"/>
        <v>0</v>
      </c>
      <c r="R528" s="101">
        <f t="shared" si="210"/>
        <v>0</v>
      </c>
      <c r="S528" s="101">
        <f t="shared" si="210"/>
        <v>0</v>
      </c>
      <c r="T528" s="101">
        <f t="shared" si="210"/>
        <v>0</v>
      </c>
      <c r="U528" s="101"/>
      <c r="V528" s="101">
        <f t="shared" si="211"/>
        <v>0</v>
      </c>
      <c r="W528" s="98" t="str">
        <f t="shared" si="212"/>
        <v>ok</v>
      </c>
      <c r="X528" s="102" t="str">
        <f t="shared" si="213"/>
        <v/>
      </c>
    </row>
    <row r="529" spans="1:24" ht="12" customHeight="1" x14ac:dyDescent="0.25">
      <c r="A529" s="97" t="s">
        <v>172</v>
      </c>
      <c r="D529" s="97" t="s">
        <v>429</v>
      </c>
      <c r="F529" s="100">
        <f t="shared" ref="F529:T529" si="214">SUM(F523:F528)</f>
        <v>0</v>
      </c>
      <c r="G529" s="100">
        <f t="shared" si="214"/>
        <v>0</v>
      </c>
      <c r="H529" s="100">
        <f t="shared" si="214"/>
        <v>0</v>
      </c>
      <c r="I529" s="100">
        <f>SUM(I523:I528)</f>
        <v>0</v>
      </c>
      <c r="J529" s="100">
        <f>SUM(J523:J528)</f>
        <v>0</v>
      </c>
      <c r="K529" s="100">
        <f>SUM(K523:K528)</f>
        <v>0</v>
      </c>
      <c r="L529" s="100">
        <f t="shared" si="214"/>
        <v>0</v>
      </c>
      <c r="M529" s="100">
        <f t="shared" si="214"/>
        <v>0</v>
      </c>
      <c r="N529" s="100">
        <f t="shared" si="214"/>
        <v>0</v>
      </c>
      <c r="O529" s="100">
        <f t="shared" si="214"/>
        <v>0</v>
      </c>
      <c r="P529" s="100">
        <f>SUM(P523:P528)</f>
        <v>0</v>
      </c>
      <c r="Q529" s="100">
        <f t="shared" si="214"/>
        <v>0</v>
      </c>
      <c r="R529" s="100">
        <f t="shared" si="214"/>
        <v>0</v>
      </c>
      <c r="S529" s="100">
        <f t="shared" si="214"/>
        <v>0</v>
      </c>
      <c r="T529" s="100">
        <f t="shared" si="214"/>
        <v>0</v>
      </c>
      <c r="U529" s="100"/>
      <c r="V529" s="102">
        <f t="shared" si="211"/>
        <v>0</v>
      </c>
      <c r="W529" s="98" t="str">
        <f t="shared" si="212"/>
        <v>ok</v>
      </c>
      <c r="X529" s="102" t="str">
        <f t="shared" si="213"/>
        <v/>
      </c>
    </row>
    <row r="530" spans="1:24" ht="12" customHeight="1" x14ac:dyDescent="0.25">
      <c r="F530" s="101"/>
      <c r="G530" s="101"/>
    </row>
    <row r="531" spans="1:24" ht="12" customHeight="1" x14ac:dyDescent="0.25">
      <c r="A531" s="24" t="s">
        <v>461</v>
      </c>
      <c r="F531" s="101"/>
      <c r="G531" s="101"/>
    </row>
    <row r="532" spans="1:24" ht="12" customHeight="1" x14ac:dyDescent="0.25">
      <c r="A532" s="107" t="s">
        <v>2424</v>
      </c>
      <c r="C532" s="97" t="s">
        <v>936</v>
      </c>
      <c r="D532" s="97" t="s">
        <v>1790</v>
      </c>
      <c r="E532" s="397" t="s">
        <v>2455</v>
      </c>
      <c r="F532" s="100">
        <f>VLOOKUP(C532,'Functional Assignment'!$C$1:$AU$744,13,)</f>
        <v>0</v>
      </c>
      <c r="G532" s="100">
        <f t="shared" ref="G532:T534" si="215">IF(VLOOKUP($E532,$D$5:$AJ$1013,3,)=0,0,(VLOOKUP($E532,$D$5:$AJ$1013,G$1,)/VLOOKUP($E532,$D$5:$AJ$1013,3,))*$F532)</f>
        <v>0</v>
      </c>
      <c r="H532" s="100">
        <f t="shared" si="215"/>
        <v>0</v>
      </c>
      <c r="I532" s="100">
        <f t="shared" si="215"/>
        <v>0</v>
      </c>
      <c r="J532" s="100">
        <f t="shared" si="215"/>
        <v>0</v>
      </c>
      <c r="K532" s="100">
        <f t="shared" si="215"/>
        <v>0</v>
      </c>
      <c r="L532" s="100">
        <f t="shared" si="215"/>
        <v>0</v>
      </c>
      <c r="M532" s="100">
        <f t="shared" si="215"/>
        <v>0</v>
      </c>
      <c r="N532" s="100">
        <f t="shared" si="215"/>
        <v>0</v>
      </c>
      <c r="O532" s="100">
        <f t="shared" si="215"/>
        <v>0</v>
      </c>
      <c r="P532" s="100">
        <f t="shared" si="215"/>
        <v>0</v>
      </c>
      <c r="Q532" s="100">
        <f t="shared" si="215"/>
        <v>0</v>
      </c>
      <c r="R532" s="100">
        <f t="shared" si="215"/>
        <v>0</v>
      </c>
      <c r="S532" s="100">
        <f t="shared" si="215"/>
        <v>0</v>
      </c>
      <c r="T532" s="100">
        <f t="shared" si="215"/>
        <v>0</v>
      </c>
      <c r="U532" s="100"/>
      <c r="V532" s="102">
        <f>SUM(G532:T532)</f>
        <v>0</v>
      </c>
      <c r="W532" s="98" t="str">
        <f>IF(ABS(F532-V532)&lt;0.01,"ok","err")</f>
        <v>ok</v>
      </c>
      <c r="X532" s="102" t="str">
        <f>IF(W532="err",V532-F532,"")</f>
        <v/>
      </c>
    </row>
    <row r="533" spans="1:24" ht="12" hidden="1" customHeight="1" x14ac:dyDescent="0.25">
      <c r="A533" s="107" t="s">
        <v>2423</v>
      </c>
      <c r="C533" s="97" t="s">
        <v>936</v>
      </c>
      <c r="D533" s="97" t="s">
        <v>1791</v>
      </c>
      <c r="E533" s="97" t="s">
        <v>55</v>
      </c>
      <c r="F533" s="101">
        <f>VLOOKUP(C533,'Functional Assignment'!$C$1:$AU$744,14,)</f>
        <v>0</v>
      </c>
      <c r="G533" s="101">
        <f t="shared" si="215"/>
        <v>0</v>
      </c>
      <c r="H533" s="101">
        <f t="shared" si="215"/>
        <v>0</v>
      </c>
      <c r="I533" s="101">
        <f t="shared" si="215"/>
        <v>0</v>
      </c>
      <c r="J533" s="101">
        <f t="shared" si="215"/>
        <v>0</v>
      </c>
      <c r="K533" s="101">
        <f t="shared" si="215"/>
        <v>0</v>
      </c>
      <c r="L533" s="101">
        <f t="shared" si="215"/>
        <v>0</v>
      </c>
      <c r="M533" s="101">
        <f t="shared" si="215"/>
        <v>0</v>
      </c>
      <c r="N533" s="101">
        <f t="shared" si="215"/>
        <v>0</v>
      </c>
      <c r="O533" s="101">
        <f t="shared" si="215"/>
        <v>0</v>
      </c>
      <c r="P533" s="101">
        <f t="shared" si="215"/>
        <v>0</v>
      </c>
      <c r="Q533" s="101">
        <f t="shared" si="215"/>
        <v>0</v>
      </c>
      <c r="R533" s="101">
        <f t="shared" si="215"/>
        <v>0</v>
      </c>
      <c r="S533" s="101">
        <f t="shared" si="215"/>
        <v>0</v>
      </c>
      <c r="T533" s="101">
        <f t="shared" si="215"/>
        <v>0</v>
      </c>
      <c r="U533" s="101"/>
      <c r="V533" s="101">
        <f>SUM(G533:T533)</f>
        <v>0</v>
      </c>
      <c r="W533" s="98" t="str">
        <f>IF(ABS(F533-V533)&lt;0.01,"ok","err")</f>
        <v>ok</v>
      </c>
      <c r="X533" s="102" t="str">
        <f>IF(W533="err",V533-F533,"")</f>
        <v/>
      </c>
    </row>
    <row r="534" spans="1:24" ht="12" hidden="1" customHeight="1" x14ac:dyDescent="0.25">
      <c r="A534" s="107" t="s">
        <v>2423</v>
      </c>
      <c r="C534" s="97" t="s">
        <v>936</v>
      </c>
      <c r="D534" s="97" t="s">
        <v>1792</v>
      </c>
      <c r="E534" s="97" t="s">
        <v>58</v>
      </c>
      <c r="F534" s="101">
        <f>VLOOKUP(C534,'Functional Assignment'!$C$1:$AU$744,15,)</f>
        <v>0</v>
      </c>
      <c r="G534" s="101">
        <f t="shared" si="215"/>
        <v>0</v>
      </c>
      <c r="H534" s="101">
        <f t="shared" si="215"/>
        <v>0</v>
      </c>
      <c r="I534" s="101">
        <f t="shared" si="215"/>
        <v>0</v>
      </c>
      <c r="J534" s="101">
        <f t="shared" si="215"/>
        <v>0</v>
      </c>
      <c r="K534" s="101">
        <f t="shared" si="215"/>
        <v>0</v>
      </c>
      <c r="L534" s="101">
        <f t="shared" si="215"/>
        <v>0</v>
      </c>
      <c r="M534" s="101">
        <f t="shared" si="215"/>
        <v>0</v>
      </c>
      <c r="N534" s="101">
        <f t="shared" si="215"/>
        <v>0</v>
      </c>
      <c r="O534" s="101">
        <f t="shared" si="215"/>
        <v>0</v>
      </c>
      <c r="P534" s="101">
        <f t="shared" si="215"/>
        <v>0</v>
      </c>
      <c r="Q534" s="101">
        <f t="shared" si="215"/>
        <v>0</v>
      </c>
      <c r="R534" s="101">
        <f t="shared" si="215"/>
        <v>0</v>
      </c>
      <c r="S534" s="101">
        <f t="shared" si="215"/>
        <v>0</v>
      </c>
      <c r="T534" s="101">
        <f t="shared" si="215"/>
        <v>0</v>
      </c>
      <c r="U534" s="101"/>
      <c r="V534" s="101">
        <f>SUM(G534:T534)</f>
        <v>0</v>
      </c>
      <c r="W534" s="98" t="str">
        <f>IF(ABS(F534-V534)&lt;0.01,"ok","err")</f>
        <v>ok</v>
      </c>
      <c r="X534" s="102" t="str">
        <f>IF(W534="err",V534-F534,"")</f>
        <v/>
      </c>
    </row>
    <row r="535" spans="1:24" ht="12" hidden="1" customHeight="1" x14ac:dyDescent="0.25">
      <c r="A535" s="97" t="s">
        <v>463</v>
      </c>
      <c r="D535" s="97" t="s">
        <v>1793</v>
      </c>
      <c r="F535" s="100">
        <f t="shared" ref="F535:T535" si="216">SUM(F532:F534)</f>
        <v>0</v>
      </c>
      <c r="G535" s="100">
        <f t="shared" si="216"/>
        <v>0</v>
      </c>
      <c r="H535" s="100">
        <f t="shared" si="216"/>
        <v>0</v>
      </c>
      <c r="I535" s="100">
        <f>SUM(I532:I534)</f>
        <v>0</v>
      </c>
      <c r="J535" s="100">
        <f>SUM(J532:J534)</f>
        <v>0</v>
      </c>
      <c r="K535" s="100">
        <f>SUM(K532:K534)</f>
        <v>0</v>
      </c>
      <c r="L535" s="100">
        <f t="shared" si="216"/>
        <v>0</v>
      </c>
      <c r="M535" s="100">
        <f t="shared" si="216"/>
        <v>0</v>
      </c>
      <c r="N535" s="100">
        <f t="shared" si="216"/>
        <v>0</v>
      </c>
      <c r="O535" s="100">
        <f t="shared" si="216"/>
        <v>0</v>
      </c>
      <c r="P535" s="100">
        <f>SUM(P532:P534)</f>
        <v>0</v>
      </c>
      <c r="Q535" s="100">
        <f t="shared" si="216"/>
        <v>0</v>
      </c>
      <c r="R535" s="100">
        <f t="shared" si="216"/>
        <v>0</v>
      </c>
      <c r="S535" s="100">
        <f t="shared" si="216"/>
        <v>0</v>
      </c>
      <c r="T535" s="100">
        <f t="shared" si="216"/>
        <v>0</v>
      </c>
      <c r="U535" s="100"/>
      <c r="V535" s="102">
        <f>SUM(G535:T535)</f>
        <v>0</v>
      </c>
      <c r="W535" s="98" t="str">
        <f>IF(ABS(F535-V535)&lt;0.01,"ok","err")</f>
        <v>ok</v>
      </c>
      <c r="X535" s="102" t="str">
        <f>IF(W535="err",V535-F535,"")</f>
        <v/>
      </c>
    </row>
    <row r="536" spans="1:24" ht="12" customHeight="1" x14ac:dyDescent="0.25">
      <c r="F536" s="101"/>
      <c r="G536" s="101"/>
    </row>
    <row r="537" spans="1:24" ht="12" customHeight="1" x14ac:dyDescent="0.25">
      <c r="A537" s="24" t="s">
        <v>1697</v>
      </c>
      <c r="F537" s="101"/>
      <c r="G537" s="101"/>
    </row>
    <row r="538" spans="1:24" ht="12" customHeight="1" x14ac:dyDescent="0.25">
      <c r="A538" s="107" t="s">
        <v>157</v>
      </c>
      <c r="C538" s="97" t="s">
        <v>936</v>
      </c>
      <c r="D538" s="97" t="s">
        <v>1794</v>
      </c>
      <c r="E538" s="97" t="s">
        <v>2429</v>
      </c>
      <c r="F538" s="100">
        <f>VLOOKUP(C538,'Functional Assignment'!$C$1:$AU$744,17,)</f>
        <v>0</v>
      </c>
      <c r="G538" s="100">
        <f t="shared" ref="G538:T538" si="217">IF(VLOOKUP($E538,$D$5:$AJ$1013,3,)=0,0,(VLOOKUP($E538,$D$5:$AJ$1013,G$1,)/VLOOKUP($E538,$D$5:$AJ$1013,3,))*$F538)</f>
        <v>0</v>
      </c>
      <c r="H538" s="100">
        <f t="shared" si="217"/>
        <v>0</v>
      </c>
      <c r="I538" s="100">
        <f t="shared" si="217"/>
        <v>0</v>
      </c>
      <c r="J538" s="100">
        <f t="shared" si="217"/>
        <v>0</v>
      </c>
      <c r="K538" s="100">
        <f t="shared" si="217"/>
        <v>0</v>
      </c>
      <c r="L538" s="100">
        <f t="shared" si="217"/>
        <v>0</v>
      </c>
      <c r="M538" s="100">
        <f t="shared" si="217"/>
        <v>0</v>
      </c>
      <c r="N538" s="100">
        <f t="shared" si="217"/>
        <v>0</v>
      </c>
      <c r="O538" s="100">
        <f t="shared" si="217"/>
        <v>0</v>
      </c>
      <c r="P538" s="100">
        <f t="shared" si="217"/>
        <v>0</v>
      </c>
      <c r="Q538" s="100">
        <f t="shared" si="217"/>
        <v>0</v>
      </c>
      <c r="R538" s="100">
        <f t="shared" si="217"/>
        <v>0</v>
      </c>
      <c r="S538" s="100">
        <f t="shared" si="217"/>
        <v>0</v>
      </c>
      <c r="T538" s="100">
        <f t="shared" si="217"/>
        <v>0</v>
      </c>
      <c r="U538" s="100"/>
      <c r="V538" s="102">
        <f>SUM(G538:T538)</f>
        <v>0</v>
      </c>
      <c r="W538" s="98" t="str">
        <f>IF(ABS(F538-V538)&lt;0.01,"ok","err")</f>
        <v>ok</v>
      </c>
      <c r="X538" s="102" t="str">
        <f>IF(W538="err",V538-F538,"")</f>
        <v/>
      </c>
    </row>
    <row r="539" spans="1:24" ht="12" customHeight="1" x14ac:dyDescent="0.25">
      <c r="F539" s="101"/>
    </row>
    <row r="540" spans="1:24" ht="12" customHeight="1" x14ac:dyDescent="0.25">
      <c r="A540" s="24" t="s">
        <v>1698</v>
      </c>
      <c r="F540" s="101"/>
      <c r="G540" s="101"/>
    </row>
    <row r="541" spans="1:24" ht="12" customHeight="1" x14ac:dyDescent="0.25">
      <c r="A541" s="107" t="s">
        <v>159</v>
      </c>
      <c r="C541" s="97" t="s">
        <v>936</v>
      </c>
      <c r="D541" s="97" t="s">
        <v>1795</v>
      </c>
      <c r="E541" s="97" t="s">
        <v>2429</v>
      </c>
      <c r="F541" s="100">
        <f>VLOOKUP(C541,'Functional Assignment'!$C$1:$AU$744,18,)</f>
        <v>0</v>
      </c>
      <c r="G541" s="100">
        <f t="shared" ref="G541:T541" si="218">IF(VLOOKUP($E541,$D$5:$AJ$1013,3,)=0,0,(VLOOKUP($E541,$D$5:$AJ$1013,G$1,)/VLOOKUP($E541,$D$5:$AJ$1013,3,))*$F541)</f>
        <v>0</v>
      </c>
      <c r="H541" s="100">
        <f t="shared" si="218"/>
        <v>0</v>
      </c>
      <c r="I541" s="100">
        <f t="shared" si="218"/>
        <v>0</v>
      </c>
      <c r="J541" s="100">
        <f t="shared" si="218"/>
        <v>0</v>
      </c>
      <c r="K541" s="100">
        <f t="shared" si="218"/>
        <v>0</v>
      </c>
      <c r="L541" s="100">
        <f t="shared" si="218"/>
        <v>0</v>
      </c>
      <c r="M541" s="100">
        <f t="shared" si="218"/>
        <v>0</v>
      </c>
      <c r="N541" s="100">
        <f t="shared" si="218"/>
        <v>0</v>
      </c>
      <c r="O541" s="100">
        <f t="shared" si="218"/>
        <v>0</v>
      </c>
      <c r="P541" s="100">
        <f t="shared" si="218"/>
        <v>0</v>
      </c>
      <c r="Q541" s="100">
        <f t="shared" si="218"/>
        <v>0</v>
      </c>
      <c r="R541" s="100">
        <f t="shared" si="218"/>
        <v>0</v>
      </c>
      <c r="S541" s="100">
        <f t="shared" si="218"/>
        <v>0</v>
      </c>
      <c r="T541" s="100">
        <f t="shared" si="218"/>
        <v>0</v>
      </c>
      <c r="U541" s="100"/>
      <c r="V541" s="102">
        <f>SUM(G541:T541)</f>
        <v>0</v>
      </c>
      <c r="W541" s="98" t="str">
        <f>IF(ABS(F541-V541)&lt;0.01,"ok","err")</f>
        <v>ok</v>
      </c>
      <c r="X541" s="102" t="str">
        <f>IF(W541="err",V541-F541,"")</f>
        <v/>
      </c>
    </row>
    <row r="542" spans="1:24" ht="12" customHeight="1" x14ac:dyDescent="0.25">
      <c r="F542" s="101"/>
    </row>
    <row r="543" spans="1:24" ht="12" customHeight="1" x14ac:dyDescent="0.25">
      <c r="A543" s="24" t="s">
        <v>158</v>
      </c>
      <c r="F543" s="101"/>
    </row>
    <row r="544" spans="1:24" ht="12" customHeight="1" x14ac:dyDescent="0.25">
      <c r="A544" s="107" t="s">
        <v>820</v>
      </c>
      <c r="C544" s="97" t="s">
        <v>936</v>
      </c>
      <c r="D544" s="97" t="s">
        <v>1796</v>
      </c>
      <c r="E544" s="97" t="s">
        <v>2429</v>
      </c>
      <c r="F544" s="100">
        <f>VLOOKUP(C544,'Functional Assignment'!$C$1:$AU$744,19,)</f>
        <v>0</v>
      </c>
      <c r="G544" s="100">
        <f t="shared" ref="G544:T548" si="219">IF(VLOOKUP($E544,$D$5:$AJ$1013,3,)=0,0,(VLOOKUP($E544,$D$5:$AJ$1013,G$1,)/VLOOKUP($E544,$D$5:$AJ$1013,3,))*$F544)</f>
        <v>0</v>
      </c>
      <c r="H544" s="100">
        <f t="shared" si="219"/>
        <v>0</v>
      </c>
      <c r="I544" s="100">
        <f t="shared" si="219"/>
        <v>0</v>
      </c>
      <c r="J544" s="100">
        <f t="shared" si="219"/>
        <v>0</v>
      </c>
      <c r="K544" s="100">
        <f t="shared" si="219"/>
        <v>0</v>
      </c>
      <c r="L544" s="100">
        <f t="shared" si="219"/>
        <v>0</v>
      </c>
      <c r="M544" s="100">
        <f t="shared" si="219"/>
        <v>0</v>
      </c>
      <c r="N544" s="100">
        <f t="shared" si="219"/>
        <v>0</v>
      </c>
      <c r="O544" s="100">
        <f t="shared" si="219"/>
        <v>0</v>
      </c>
      <c r="P544" s="100">
        <f t="shared" si="219"/>
        <v>0</v>
      </c>
      <c r="Q544" s="100">
        <f t="shared" si="219"/>
        <v>0</v>
      </c>
      <c r="R544" s="100">
        <f t="shared" si="219"/>
        <v>0</v>
      </c>
      <c r="S544" s="100">
        <f t="shared" si="219"/>
        <v>0</v>
      </c>
      <c r="T544" s="100">
        <f t="shared" si="219"/>
        <v>0</v>
      </c>
      <c r="U544" s="100"/>
      <c r="V544" s="102">
        <f t="shared" ref="V544:V549" si="220">SUM(G544:T544)</f>
        <v>0</v>
      </c>
      <c r="W544" s="98" t="str">
        <f t="shared" ref="W544:W549" si="221">IF(ABS(F544-V544)&lt;0.01,"ok","err")</f>
        <v>ok</v>
      </c>
      <c r="X544" s="102" t="str">
        <f t="shared" ref="X544:X549" si="222">IF(W544="err",V544-F544,"")</f>
        <v/>
      </c>
    </row>
    <row r="545" spans="1:24" ht="12" customHeight="1" x14ac:dyDescent="0.25">
      <c r="A545" s="107" t="s">
        <v>821</v>
      </c>
      <c r="C545" s="97" t="s">
        <v>936</v>
      </c>
      <c r="D545" s="97" t="s">
        <v>1797</v>
      </c>
      <c r="E545" s="97" t="s">
        <v>2429</v>
      </c>
      <c r="F545" s="101">
        <f>VLOOKUP(C545,'Functional Assignment'!$C$1:$AU$744,20,)</f>
        <v>0</v>
      </c>
      <c r="G545" s="101">
        <f t="shared" si="219"/>
        <v>0</v>
      </c>
      <c r="H545" s="101">
        <f t="shared" si="219"/>
        <v>0</v>
      </c>
      <c r="I545" s="101">
        <f t="shared" si="219"/>
        <v>0</v>
      </c>
      <c r="J545" s="101">
        <f t="shared" si="219"/>
        <v>0</v>
      </c>
      <c r="K545" s="101">
        <f t="shared" si="219"/>
        <v>0</v>
      </c>
      <c r="L545" s="101">
        <f t="shared" si="219"/>
        <v>0</v>
      </c>
      <c r="M545" s="101">
        <f t="shared" si="219"/>
        <v>0</v>
      </c>
      <c r="N545" s="101">
        <f t="shared" si="219"/>
        <v>0</v>
      </c>
      <c r="O545" s="101">
        <f t="shared" si="219"/>
        <v>0</v>
      </c>
      <c r="P545" s="101">
        <f t="shared" si="219"/>
        <v>0</v>
      </c>
      <c r="Q545" s="101">
        <f t="shared" si="219"/>
        <v>0</v>
      </c>
      <c r="R545" s="101">
        <f t="shared" si="219"/>
        <v>0</v>
      </c>
      <c r="S545" s="101">
        <f t="shared" si="219"/>
        <v>0</v>
      </c>
      <c r="T545" s="101">
        <f t="shared" si="219"/>
        <v>0</v>
      </c>
      <c r="U545" s="101"/>
      <c r="V545" s="101">
        <f t="shared" si="220"/>
        <v>0</v>
      </c>
      <c r="W545" s="98" t="str">
        <f t="shared" si="221"/>
        <v>ok</v>
      </c>
      <c r="X545" s="102" t="str">
        <f t="shared" si="222"/>
        <v/>
      </c>
    </row>
    <row r="546" spans="1:24" ht="12" customHeight="1" x14ac:dyDescent="0.25">
      <c r="A546" s="107" t="s">
        <v>822</v>
      </c>
      <c r="C546" s="97" t="s">
        <v>936</v>
      </c>
      <c r="D546" s="97" t="s">
        <v>1798</v>
      </c>
      <c r="E546" s="97" t="s">
        <v>941</v>
      </c>
      <c r="F546" s="101">
        <f>VLOOKUP(C546,'Functional Assignment'!$C$1:$AU$744,21,)</f>
        <v>0</v>
      </c>
      <c r="G546" s="101">
        <f t="shared" si="219"/>
        <v>0</v>
      </c>
      <c r="H546" s="101">
        <f t="shared" si="219"/>
        <v>0</v>
      </c>
      <c r="I546" s="101">
        <f t="shared" si="219"/>
        <v>0</v>
      </c>
      <c r="J546" s="101">
        <f t="shared" si="219"/>
        <v>0</v>
      </c>
      <c r="K546" s="101">
        <f t="shared" si="219"/>
        <v>0</v>
      </c>
      <c r="L546" s="101">
        <f t="shared" si="219"/>
        <v>0</v>
      </c>
      <c r="M546" s="101">
        <f t="shared" si="219"/>
        <v>0</v>
      </c>
      <c r="N546" s="101">
        <f t="shared" si="219"/>
        <v>0</v>
      </c>
      <c r="O546" s="101">
        <f t="shared" si="219"/>
        <v>0</v>
      </c>
      <c r="P546" s="101">
        <f t="shared" si="219"/>
        <v>0</v>
      </c>
      <c r="Q546" s="101">
        <f t="shared" si="219"/>
        <v>0</v>
      </c>
      <c r="R546" s="101">
        <f t="shared" si="219"/>
        <v>0</v>
      </c>
      <c r="S546" s="101">
        <f t="shared" si="219"/>
        <v>0</v>
      </c>
      <c r="T546" s="101">
        <f t="shared" si="219"/>
        <v>0</v>
      </c>
      <c r="U546" s="101"/>
      <c r="V546" s="101">
        <f t="shared" si="220"/>
        <v>0</v>
      </c>
      <c r="W546" s="98" t="str">
        <f t="shared" si="221"/>
        <v>ok</v>
      </c>
      <c r="X546" s="102" t="str">
        <f t="shared" si="222"/>
        <v/>
      </c>
    </row>
    <row r="547" spans="1:24" ht="12" customHeight="1" x14ac:dyDescent="0.25">
      <c r="A547" s="107" t="s">
        <v>823</v>
      </c>
      <c r="C547" s="97" t="s">
        <v>936</v>
      </c>
      <c r="D547" s="97" t="s">
        <v>1799</v>
      </c>
      <c r="E547" s="97" t="s">
        <v>760</v>
      </c>
      <c r="F547" s="101">
        <f>VLOOKUP(C547,'Functional Assignment'!$C$1:$AU$744,22,)</f>
        <v>0</v>
      </c>
      <c r="G547" s="101">
        <f t="shared" si="219"/>
        <v>0</v>
      </c>
      <c r="H547" s="101">
        <f t="shared" si="219"/>
        <v>0</v>
      </c>
      <c r="I547" s="101">
        <f t="shared" si="219"/>
        <v>0</v>
      </c>
      <c r="J547" s="101">
        <f t="shared" si="219"/>
        <v>0</v>
      </c>
      <c r="K547" s="101">
        <f t="shared" si="219"/>
        <v>0</v>
      </c>
      <c r="L547" s="101">
        <f t="shared" si="219"/>
        <v>0</v>
      </c>
      <c r="M547" s="101">
        <f t="shared" si="219"/>
        <v>0</v>
      </c>
      <c r="N547" s="101">
        <f t="shared" si="219"/>
        <v>0</v>
      </c>
      <c r="O547" s="101">
        <f t="shared" si="219"/>
        <v>0</v>
      </c>
      <c r="P547" s="101">
        <f t="shared" si="219"/>
        <v>0</v>
      </c>
      <c r="Q547" s="101">
        <f t="shared" si="219"/>
        <v>0</v>
      </c>
      <c r="R547" s="101">
        <f t="shared" si="219"/>
        <v>0</v>
      </c>
      <c r="S547" s="101">
        <f t="shared" si="219"/>
        <v>0</v>
      </c>
      <c r="T547" s="101">
        <f t="shared" si="219"/>
        <v>0</v>
      </c>
      <c r="U547" s="101"/>
      <c r="V547" s="101">
        <f t="shared" si="220"/>
        <v>0</v>
      </c>
      <c r="W547" s="98" t="str">
        <f t="shared" si="221"/>
        <v>ok</v>
      </c>
      <c r="X547" s="102" t="str">
        <f t="shared" si="222"/>
        <v/>
      </c>
    </row>
    <row r="548" spans="1:24" ht="12" customHeight="1" x14ac:dyDescent="0.25">
      <c r="A548" s="107" t="s">
        <v>824</v>
      </c>
      <c r="C548" s="97" t="s">
        <v>936</v>
      </c>
      <c r="D548" s="97" t="s">
        <v>1800</v>
      </c>
      <c r="E548" s="97" t="s">
        <v>940</v>
      </c>
      <c r="F548" s="101">
        <f>VLOOKUP(C548,'Functional Assignment'!$C$1:$AU$744,23,)</f>
        <v>0</v>
      </c>
      <c r="G548" s="101">
        <f t="shared" si="219"/>
        <v>0</v>
      </c>
      <c r="H548" s="101">
        <f t="shared" si="219"/>
        <v>0</v>
      </c>
      <c r="I548" s="101">
        <f t="shared" si="219"/>
        <v>0</v>
      </c>
      <c r="J548" s="101">
        <f t="shared" si="219"/>
        <v>0</v>
      </c>
      <c r="K548" s="101">
        <f t="shared" si="219"/>
        <v>0</v>
      </c>
      <c r="L548" s="101">
        <f t="shared" si="219"/>
        <v>0</v>
      </c>
      <c r="M548" s="101">
        <f t="shared" si="219"/>
        <v>0</v>
      </c>
      <c r="N548" s="101">
        <f t="shared" si="219"/>
        <v>0</v>
      </c>
      <c r="O548" s="101">
        <f t="shared" si="219"/>
        <v>0</v>
      </c>
      <c r="P548" s="101">
        <f t="shared" si="219"/>
        <v>0</v>
      </c>
      <c r="Q548" s="101">
        <f t="shared" si="219"/>
        <v>0</v>
      </c>
      <c r="R548" s="101">
        <f t="shared" si="219"/>
        <v>0</v>
      </c>
      <c r="S548" s="101">
        <f t="shared" si="219"/>
        <v>0</v>
      </c>
      <c r="T548" s="101">
        <f t="shared" si="219"/>
        <v>0</v>
      </c>
      <c r="U548" s="101"/>
      <c r="V548" s="101">
        <f t="shared" si="220"/>
        <v>0</v>
      </c>
      <c r="W548" s="98" t="str">
        <f t="shared" si="221"/>
        <v>ok</v>
      </c>
      <c r="X548" s="102" t="str">
        <f t="shared" si="222"/>
        <v/>
      </c>
    </row>
    <row r="549" spans="1:24" ht="12" customHeight="1" x14ac:dyDescent="0.25">
      <c r="A549" s="97" t="s">
        <v>163</v>
      </c>
      <c r="D549" s="97" t="s">
        <v>1801</v>
      </c>
      <c r="F549" s="100">
        <f t="shared" ref="F549:T549" si="223">SUM(F544:F548)</f>
        <v>0</v>
      </c>
      <c r="G549" s="100">
        <f t="shared" si="223"/>
        <v>0</v>
      </c>
      <c r="H549" s="100">
        <f t="shared" si="223"/>
        <v>0</v>
      </c>
      <c r="I549" s="100">
        <f>SUM(I544:I548)</f>
        <v>0</v>
      </c>
      <c r="J549" s="100">
        <f>SUM(J544:J548)</f>
        <v>0</v>
      </c>
      <c r="K549" s="100">
        <f>SUM(K544:K548)</f>
        <v>0</v>
      </c>
      <c r="L549" s="100">
        <f t="shared" si="223"/>
        <v>0</v>
      </c>
      <c r="M549" s="100">
        <f t="shared" si="223"/>
        <v>0</v>
      </c>
      <c r="N549" s="100">
        <f t="shared" si="223"/>
        <v>0</v>
      </c>
      <c r="O549" s="100">
        <f t="shared" si="223"/>
        <v>0</v>
      </c>
      <c r="P549" s="100">
        <f>SUM(P544:P548)</f>
        <v>0</v>
      </c>
      <c r="Q549" s="100">
        <f t="shared" si="223"/>
        <v>0</v>
      </c>
      <c r="R549" s="100">
        <f t="shared" si="223"/>
        <v>0</v>
      </c>
      <c r="S549" s="100">
        <f t="shared" si="223"/>
        <v>0</v>
      </c>
      <c r="T549" s="100">
        <f t="shared" si="223"/>
        <v>0</v>
      </c>
      <c r="U549" s="100"/>
      <c r="V549" s="102">
        <f t="shared" si="220"/>
        <v>0</v>
      </c>
      <c r="W549" s="98" t="str">
        <f t="shared" si="221"/>
        <v>ok</v>
      </c>
      <c r="X549" s="102" t="str">
        <f t="shared" si="222"/>
        <v/>
      </c>
    </row>
    <row r="550" spans="1:24" ht="12" customHeight="1" x14ac:dyDescent="0.25">
      <c r="F550" s="101"/>
    </row>
    <row r="551" spans="1:24" ht="12" customHeight="1" x14ac:dyDescent="0.25">
      <c r="A551" s="24" t="s">
        <v>819</v>
      </c>
      <c r="F551" s="101"/>
    </row>
    <row r="552" spans="1:24" ht="12" customHeight="1" x14ac:dyDescent="0.25">
      <c r="A552" s="107" t="s">
        <v>409</v>
      </c>
      <c r="C552" s="97" t="s">
        <v>936</v>
      </c>
      <c r="D552" s="97" t="s">
        <v>1802</v>
      </c>
      <c r="E552" s="97" t="s">
        <v>2332</v>
      </c>
      <c r="F552" s="100">
        <f>VLOOKUP(C552,'Functional Assignment'!$C$1:$AU$744,24,)</f>
        <v>0</v>
      </c>
      <c r="G552" s="100">
        <f t="shared" ref="G552:T553" si="224">IF(VLOOKUP($E552,$D$5:$AJ$1013,3,)=0,0,(VLOOKUP($E552,$D$5:$AJ$1013,G$1,)/VLOOKUP($E552,$D$5:$AJ$1013,3,))*$F552)</f>
        <v>0</v>
      </c>
      <c r="H552" s="100">
        <f t="shared" si="224"/>
        <v>0</v>
      </c>
      <c r="I552" s="100">
        <f t="shared" si="224"/>
        <v>0</v>
      </c>
      <c r="J552" s="100">
        <f t="shared" si="224"/>
        <v>0</v>
      </c>
      <c r="K552" s="100">
        <f t="shared" si="224"/>
        <v>0</v>
      </c>
      <c r="L552" s="100">
        <f t="shared" si="224"/>
        <v>0</v>
      </c>
      <c r="M552" s="100">
        <f t="shared" si="224"/>
        <v>0</v>
      </c>
      <c r="N552" s="100">
        <f t="shared" si="224"/>
        <v>0</v>
      </c>
      <c r="O552" s="100">
        <f t="shared" si="224"/>
        <v>0</v>
      </c>
      <c r="P552" s="100">
        <f t="shared" si="224"/>
        <v>0</v>
      </c>
      <c r="Q552" s="100">
        <f t="shared" si="224"/>
        <v>0</v>
      </c>
      <c r="R552" s="100">
        <f t="shared" si="224"/>
        <v>0</v>
      </c>
      <c r="S552" s="100">
        <f t="shared" si="224"/>
        <v>0</v>
      </c>
      <c r="T552" s="100">
        <f t="shared" si="224"/>
        <v>0</v>
      </c>
      <c r="U552" s="100"/>
      <c r="V552" s="102">
        <f>SUM(G552:T552)</f>
        <v>0</v>
      </c>
      <c r="W552" s="98" t="str">
        <f>IF(ABS(F552-V552)&lt;0.01,"ok","err")</f>
        <v>ok</v>
      </c>
      <c r="X552" s="102" t="str">
        <f>IF(W552="err",V552-F552,"")</f>
        <v/>
      </c>
    </row>
    <row r="553" spans="1:24" ht="12" customHeight="1" x14ac:dyDescent="0.25">
      <c r="A553" s="107" t="s">
        <v>412</v>
      </c>
      <c r="C553" s="97" t="s">
        <v>936</v>
      </c>
      <c r="D553" s="97" t="s">
        <v>1803</v>
      </c>
      <c r="E553" s="97" t="s">
        <v>2331</v>
      </c>
      <c r="F553" s="101">
        <f>VLOOKUP(C553,'Functional Assignment'!$C$1:$AU$744,25,)</f>
        <v>0</v>
      </c>
      <c r="G553" s="101">
        <f t="shared" si="224"/>
        <v>0</v>
      </c>
      <c r="H553" s="101">
        <f t="shared" si="224"/>
        <v>0</v>
      </c>
      <c r="I553" s="101">
        <f t="shared" si="224"/>
        <v>0</v>
      </c>
      <c r="J553" s="101">
        <f t="shared" si="224"/>
        <v>0</v>
      </c>
      <c r="K553" s="101">
        <f t="shared" si="224"/>
        <v>0</v>
      </c>
      <c r="L553" s="101">
        <f t="shared" si="224"/>
        <v>0</v>
      </c>
      <c r="M553" s="101">
        <f t="shared" si="224"/>
        <v>0</v>
      </c>
      <c r="N553" s="101">
        <f t="shared" si="224"/>
        <v>0</v>
      </c>
      <c r="O553" s="101">
        <f t="shared" si="224"/>
        <v>0</v>
      </c>
      <c r="P553" s="101">
        <f t="shared" si="224"/>
        <v>0</v>
      </c>
      <c r="Q553" s="101">
        <f t="shared" si="224"/>
        <v>0</v>
      </c>
      <c r="R553" s="101">
        <f t="shared" si="224"/>
        <v>0</v>
      </c>
      <c r="S553" s="101">
        <f t="shared" si="224"/>
        <v>0</v>
      </c>
      <c r="T553" s="101">
        <f t="shared" si="224"/>
        <v>0</v>
      </c>
      <c r="U553" s="101"/>
      <c r="V553" s="101">
        <f>SUM(G553:T553)</f>
        <v>0</v>
      </c>
      <c r="W553" s="98" t="str">
        <f>IF(ABS(F553-V553)&lt;0.01,"ok","err")</f>
        <v>ok</v>
      </c>
      <c r="X553" s="102" t="str">
        <f>IF(W553="err",V553-F553,"")</f>
        <v/>
      </c>
    </row>
    <row r="554" spans="1:24" ht="12" customHeight="1" x14ac:dyDescent="0.25">
      <c r="A554" s="97" t="s">
        <v>1536</v>
      </c>
      <c r="D554" s="97" t="s">
        <v>1804</v>
      </c>
      <c r="F554" s="100">
        <f t="shared" ref="F554:T554" si="225">F552+F553</f>
        <v>0</v>
      </c>
      <c r="G554" s="100">
        <f t="shared" si="225"/>
        <v>0</v>
      </c>
      <c r="H554" s="100">
        <f t="shared" si="225"/>
        <v>0</v>
      </c>
      <c r="I554" s="100">
        <f>I552+I553</f>
        <v>0</v>
      </c>
      <c r="J554" s="100">
        <f>J552+J553</f>
        <v>0</v>
      </c>
      <c r="K554" s="100">
        <f>K552+K553</f>
        <v>0</v>
      </c>
      <c r="L554" s="100">
        <f t="shared" si="225"/>
        <v>0</v>
      </c>
      <c r="M554" s="100">
        <f t="shared" si="225"/>
        <v>0</v>
      </c>
      <c r="N554" s="100">
        <f t="shared" si="225"/>
        <v>0</v>
      </c>
      <c r="O554" s="100">
        <f t="shared" si="225"/>
        <v>0</v>
      </c>
      <c r="P554" s="100">
        <f>P552+P553</f>
        <v>0</v>
      </c>
      <c r="Q554" s="100">
        <f t="shared" si="225"/>
        <v>0</v>
      </c>
      <c r="R554" s="100">
        <f t="shared" si="225"/>
        <v>0</v>
      </c>
      <c r="S554" s="100">
        <f t="shared" si="225"/>
        <v>0</v>
      </c>
      <c r="T554" s="100">
        <f t="shared" si="225"/>
        <v>0</v>
      </c>
      <c r="U554" s="100"/>
      <c r="V554" s="102">
        <f>SUM(G554:T554)</f>
        <v>0</v>
      </c>
      <c r="W554" s="98" t="str">
        <f>IF(ABS(F554-V554)&lt;0.01,"ok","err")</f>
        <v>ok</v>
      </c>
      <c r="X554" s="102" t="str">
        <f>IF(W554="err",V554-F554,"")</f>
        <v/>
      </c>
    </row>
    <row r="555" spans="1:24" ht="12" customHeight="1" x14ac:dyDescent="0.25">
      <c r="F555" s="101"/>
    </row>
    <row r="556" spans="1:24" ht="12" customHeight="1" x14ac:dyDescent="0.25">
      <c r="A556" s="24" t="s">
        <v>134</v>
      </c>
      <c r="F556" s="101"/>
    </row>
    <row r="557" spans="1:24" ht="12" customHeight="1" x14ac:dyDescent="0.25">
      <c r="A557" s="107" t="s">
        <v>412</v>
      </c>
      <c r="C557" s="97" t="s">
        <v>936</v>
      </c>
      <c r="D557" s="97" t="s">
        <v>1805</v>
      </c>
      <c r="E557" s="97" t="s">
        <v>413</v>
      </c>
      <c r="F557" s="100">
        <f>VLOOKUP(C557,'Functional Assignment'!$C$1:$AU$744,26,)</f>
        <v>0</v>
      </c>
      <c r="G557" s="100">
        <f t="shared" ref="G557:T557" si="226">IF(VLOOKUP($E557,$D$5:$AJ$1013,3,)=0,0,(VLOOKUP($E557,$D$5:$AJ$1013,G$1,)/VLOOKUP($E557,$D$5:$AJ$1013,3,))*$F557)</f>
        <v>0</v>
      </c>
      <c r="H557" s="100">
        <f t="shared" si="226"/>
        <v>0</v>
      </c>
      <c r="I557" s="100">
        <f t="shared" si="226"/>
        <v>0</v>
      </c>
      <c r="J557" s="100">
        <f t="shared" si="226"/>
        <v>0</v>
      </c>
      <c r="K557" s="100">
        <f t="shared" si="226"/>
        <v>0</v>
      </c>
      <c r="L557" s="100">
        <f t="shared" si="226"/>
        <v>0</v>
      </c>
      <c r="M557" s="100">
        <f t="shared" si="226"/>
        <v>0</v>
      </c>
      <c r="N557" s="100">
        <f t="shared" si="226"/>
        <v>0</v>
      </c>
      <c r="O557" s="100">
        <f t="shared" si="226"/>
        <v>0</v>
      </c>
      <c r="P557" s="100">
        <f t="shared" si="226"/>
        <v>0</v>
      </c>
      <c r="Q557" s="100">
        <f t="shared" si="226"/>
        <v>0</v>
      </c>
      <c r="R557" s="100">
        <f t="shared" si="226"/>
        <v>0</v>
      </c>
      <c r="S557" s="100">
        <f t="shared" si="226"/>
        <v>0</v>
      </c>
      <c r="T557" s="100">
        <f t="shared" si="226"/>
        <v>0</v>
      </c>
      <c r="U557" s="100"/>
      <c r="V557" s="102">
        <f>SUM(G557:T557)</f>
        <v>0</v>
      </c>
      <c r="W557" s="98" t="str">
        <f>IF(ABS(F557-V557)&lt;0.01,"ok","err")</f>
        <v>ok</v>
      </c>
      <c r="X557" s="102" t="str">
        <f>IF(W557="err",V557-F557,"")</f>
        <v/>
      </c>
    </row>
    <row r="558" spans="1:24" ht="12" customHeight="1" x14ac:dyDescent="0.25">
      <c r="F558" s="101"/>
    </row>
    <row r="559" spans="1:24" ht="12" customHeight="1" x14ac:dyDescent="0.25">
      <c r="A559" s="24" t="s">
        <v>133</v>
      </c>
      <c r="F559" s="101"/>
    </row>
    <row r="560" spans="1:24" ht="12" customHeight="1" x14ac:dyDescent="0.25">
      <c r="A560" s="107" t="s">
        <v>412</v>
      </c>
      <c r="C560" s="97" t="s">
        <v>936</v>
      </c>
      <c r="D560" s="97" t="s">
        <v>1806</v>
      </c>
      <c r="E560" s="97" t="s">
        <v>414</v>
      </c>
      <c r="F560" s="100">
        <f>VLOOKUP(C560,'Functional Assignment'!$C$1:$AU$744,27,)</f>
        <v>0</v>
      </c>
      <c r="G560" s="100">
        <f t="shared" ref="G560:T560" si="227">IF(VLOOKUP($E560,$D$5:$AJ$1013,3,)=0,0,(VLOOKUP($E560,$D$5:$AJ$1013,G$1,)/VLOOKUP($E560,$D$5:$AJ$1013,3,))*$F560)</f>
        <v>0</v>
      </c>
      <c r="H560" s="100">
        <f t="shared" si="227"/>
        <v>0</v>
      </c>
      <c r="I560" s="100">
        <f t="shared" si="227"/>
        <v>0</v>
      </c>
      <c r="J560" s="100">
        <f t="shared" si="227"/>
        <v>0</v>
      </c>
      <c r="K560" s="100">
        <f t="shared" si="227"/>
        <v>0</v>
      </c>
      <c r="L560" s="100">
        <f t="shared" si="227"/>
        <v>0</v>
      </c>
      <c r="M560" s="100">
        <f t="shared" si="227"/>
        <v>0</v>
      </c>
      <c r="N560" s="100">
        <f t="shared" si="227"/>
        <v>0</v>
      </c>
      <c r="O560" s="100">
        <f t="shared" si="227"/>
        <v>0</v>
      </c>
      <c r="P560" s="100">
        <f t="shared" si="227"/>
        <v>0</v>
      </c>
      <c r="Q560" s="100">
        <f t="shared" si="227"/>
        <v>0</v>
      </c>
      <c r="R560" s="100">
        <f t="shared" si="227"/>
        <v>0</v>
      </c>
      <c r="S560" s="100">
        <f t="shared" si="227"/>
        <v>0</v>
      </c>
      <c r="T560" s="100">
        <f t="shared" si="227"/>
        <v>0</v>
      </c>
      <c r="U560" s="100"/>
      <c r="V560" s="102">
        <f>SUM(G560:T560)</f>
        <v>0</v>
      </c>
      <c r="W560" s="98" t="str">
        <f>IF(ABS(F560-V560)&lt;0.01,"ok","err")</f>
        <v>ok</v>
      </c>
      <c r="X560" s="102" t="str">
        <f>IF(W560="err",V560-F560,"")</f>
        <v/>
      </c>
    </row>
    <row r="561" spans="1:24" ht="12" customHeight="1" x14ac:dyDescent="0.25">
      <c r="F561" s="101"/>
    </row>
    <row r="562" spans="1:24" ht="12" customHeight="1" x14ac:dyDescent="0.25">
      <c r="A562" s="24" t="s">
        <v>156</v>
      </c>
      <c r="F562" s="101"/>
    </row>
    <row r="563" spans="1:24" ht="12" customHeight="1" x14ac:dyDescent="0.25">
      <c r="A563" s="107" t="s">
        <v>412</v>
      </c>
      <c r="C563" s="97" t="s">
        <v>936</v>
      </c>
      <c r="D563" s="97" t="s">
        <v>1807</v>
      </c>
      <c r="E563" s="97" t="s">
        <v>415</v>
      </c>
      <c r="F563" s="100">
        <f>VLOOKUP(C563,'Functional Assignment'!$C$1:$AU$744,28,)</f>
        <v>0</v>
      </c>
      <c r="G563" s="100">
        <f t="shared" ref="G563:T563" si="228">IF(VLOOKUP($E563,$D$5:$AJ$1013,3,)=0,0,(VLOOKUP($E563,$D$5:$AJ$1013,G$1,)/VLOOKUP($E563,$D$5:$AJ$1013,3,))*$F563)</f>
        <v>0</v>
      </c>
      <c r="H563" s="100">
        <f t="shared" si="228"/>
        <v>0</v>
      </c>
      <c r="I563" s="100">
        <f t="shared" si="228"/>
        <v>0</v>
      </c>
      <c r="J563" s="100">
        <f t="shared" si="228"/>
        <v>0</v>
      </c>
      <c r="K563" s="100">
        <f t="shared" si="228"/>
        <v>0</v>
      </c>
      <c r="L563" s="100">
        <f t="shared" si="228"/>
        <v>0</v>
      </c>
      <c r="M563" s="100">
        <f t="shared" si="228"/>
        <v>0</v>
      </c>
      <c r="N563" s="100">
        <f t="shared" si="228"/>
        <v>0</v>
      </c>
      <c r="O563" s="100">
        <f t="shared" si="228"/>
        <v>0</v>
      </c>
      <c r="P563" s="100">
        <f t="shared" si="228"/>
        <v>0</v>
      </c>
      <c r="Q563" s="100">
        <f t="shared" si="228"/>
        <v>0</v>
      </c>
      <c r="R563" s="100">
        <f t="shared" si="228"/>
        <v>0</v>
      </c>
      <c r="S563" s="100">
        <f t="shared" si="228"/>
        <v>0</v>
      </c>
      <c r="T563" s="100">
        <f t="shared" si="228"/>
        <v>0</v>
      </c>
      <c r="U563" s="100"/>
      <c r="V563" s="102">
        <f>SUM(G563:T563)</f>
        <v>0</v>
      </c>
      <c r="W563" s="98" t="str">
        <f>IF(ABS(F563-V563)&lt;0.01,"ok","err")</f>
        <v>ok</v>
      </c>
      <c r="X563" s="102" t="str">
        <f>IF(W563="err",V563-F563,"")</f>
        <v/>
      </c>
    </row>
    <row r="564" spans="1:24" ht="12" customHeight="1" x14ac:dyDescent="0.25">
      <c r="F564" s="101"/>
    </row>
    <row r="565" spans="1:24" ht="12" customHeight="1" x14ac:dyDescent="0.25">
      <c r="A565" s="24" t="s">
        <v>309</v>
      </c>
      <c r="F565" s="101"/>
    </row>
    <row r="566" spans="1:24" ht="12" customHeight="1" x14ac:dyDescent="0.25">
      <c r="A566" s="107" t="s">
        <v>412</v>
      </c>
      <c r="C566" s="97" t="s">
        <v>936</v>
      </c>
      <c r="D566" s="97" t="s">
        <v>1808</v>
      </c>
      <c r="E566" s="97" t="s">
        <v>416</v>
      </c>
      <c r="F566" s="100">
        <f>VLOOKUP(C566,'Functional Assignment'!$C$1:$AU$744,30,)</f>
        <v>0</v>
      </c>
      <c r="G566" s="100">
        <f t="shared" ref="G566:T566" si="229">IF(VLOOKUP($E566,$D$5:$AJ$1013,3,)=0,0,(VLOOKUP($E566,$D$5:$AJ$1013,G$1,)/VLOOKUP($E566,$D$5:$AJ$1013,3,))*$F566)</f>
        <v>0</v>
      </c>
      <c r="H566" s="100">
        <f t="shared" si="229"/>
        <v>0</v>
      </c>
      <c r="I566" s="100">
        <f t="shared" si="229"/>
        <v>0</v>
      </c>
      <c r="J566" s="100">
        <f t="shared" si="229"/>
        <v>0</v>
      </c>
      <c r="K566" s="100">
        <f t="shared" si="229"/>
        <v>0</v>
      </c>
      <c r="L566" s="100">
        <f t="shared" si="229"/>
        <v>0</v>
      </c>
      <c r="M566" s="100">
        <f t="shared" si="229"/>
        <v>0</v>
      </c>
      <c r="N566" s="100">
        <f t="shared" si="229"/>
        <v>0</v>
      </c>
      <c r="O566" s="100">
        <f t="shared" si="229"/>
        <v>0</v>
      </c>
      <c r="P566" s="100">
        <f t="shared" si="229"/>
        <v>0</v>
      </c>
      <c r="Q566" s="100">
        <f t="shared" si="229"/>
        <v>0</v>
      </c>
      <c r="R566" s="100">
        <f t="shared" si="229"/>
        <v>0</v>
      </c>
      <c r="S566" s="100">
        <f t="shared" si="229"/>
        <v>0</v>
      </c>
      <c r="T566" s="100">
        <f t="shared" si="229"/>
        <v>0</v>
      </c>
      <c r="U566" s="100"/>
      <c r="V566" s="102">
        <f>SUM(G566:T566)</f>
        <v>0</v>
      </c>
      <c r="W566" s="98" t="str">
        <f>IF(ABS(F566-V566)&lt;0.01,"ok","err")</f>
        <v>ok</v>
      </c>
      <c r="X566" s="102" t="str">
        <f>IF(W566="err",V566-F566,"")</f>
        <v/>
      </c>
    </row>
    <row r="567" spans="1:24" ht="12" customHeight="1" x14ac:dyDescent="0.25">
      <c r="F567" s="101"/>
    </row>
    <row r="568" spans="1:24" ht="12" customHeight="1" x14ac:dyDescent="0.25">
      <c r="A568" s="24" t="s">
        <v>1700</v>
      </c>
      <c r="F568" s="101"/>
    </row>
    <row r="569" spans="1:24" ht="12" customHeight="1" x14ac:dyDescent="0.25">
      <c r="A569" s="107" t="s">
        <v>412</v>
      </c>
      <c r="C569" s="97" t="s">
        <v>936</v>
      </c>
      <c r="D569" s="97" t="s">
        <v>1809</v>
      </c>
      <c r="E569" s="97" t="s">
        <v>416</v>
      </c>
      <c r="F569" s="100">
        <f>VLOOKUP(C569,'Functional Assignment'!$C$1:$AU$744,32,)</f>
        <v>0</v>
      </c>
      <c r="G569" s="100">
        <f t="shared" ref="G569:T569" si="230">IF(VLOOKUP($E569,$D$5:$AJ$1013,3,)=0,0,(VLOOKUP($E569,$D$5:$AJ$1013,G$1,)/VLOOKUP($E569,$D$5:$AJ$1013,3,))*$F569)</f>
        <v>0</v>
      </c>
      <c r="H569" s="100">
        <f t="shared" si="230"/>
        <v>0</v>
      </c>
      <c r="I569" s="100">
        <f t="shared" si="230"/>
        <v>0</v>
      </c>
      <c r="J569" s="100">
        <f t="shared" si="230"/>
        <v>0</v>
      </c>
      <c r="K569" s="100">
        <f t="shared" si="230"/>
        <v>0</v>
      </c>
      <c r="L569" s="100">
        <f t="shared" si="230"/>
        <v>0</v>
      </c>
      <c r="M569" s="100">
        <f t="shared" si="230"/>
        <v>0</v>
      </c>
      <c r="N569" s="100">
        <f t="shared" si="230"/>
        <v>0</v>
      </c>
      <c r="O569" s="100">
        <f t="shared" si="230"/>
        <v>0</v>
      </c>
      <c r="P569" s="100">
        <f t="shared" si="230"/>
        <v>0</v>
      </c>
      <c r="Q569" s="100">
        <f t="shared" si="230"/>
        <v>0</v>
      </c>
      <c r="R569" s="100">
        <f t="shared" si="230"/>
        <v>0</v>
      </c>
      <c r="S569" s="100">
        <f t="shared" si="230"/>
        <v>0</v>
      </c>
      <c r="T569" s="100">
        <f t="shared" si="230"/>
        <v>0</v>
      </c>
      <c r="U569" s="100"/>
      <c r="V569" s="102">
        <f>SUM(G569:T569)</f>
        <v>0</v>
      </c>
      <c r="W569" s="98" t="str">
        <f>IF(ABS(F569-V569)&lt;0.01,"ok","err")</f>
        <v>ok</v>
      </c>
      <c r="X569" s="102" t="str">
        <f>IF(W569="err",V569-F569,"")</f>
        <v/>
      </c>
    </row>
    <row r="570" spans="1:24" ht="12" customHeight="1" x14ac:dyDescent="0.25">
      <c r="F570" s="101"/>
    </row>
    <row r="571" spans="1:24" ht="12" customHeight="1" x14ac:dyDescent="0.25">
      <c r="A571" s="24" t="s">
        <v>1699</v>
      </c>
      <c r="F571" s="101"/>
    </row>
    <row r="572" spans="1:24" ht="12" customHeight="1" x14ac:dyDescent="0.25">
      <c r="A572" s="107" t="s">
        <v>412</v>
      </c>
      <c r="C572" s="97" t="s">
        <v>936</v>
      </c>
      <c r="D572" s="97" t="s">
        <v>1810</v>
      </c>
      <c r="E572" s="97" t="s">
        <v>417</v>
      </c>
      <c r="F572" s="100">
        <f>VLOOKUP(C572,'Functional Assignment'!$C$1:$AU$744,34,)</f>
        <v>0</v>
      </c>
      <c r="G572" s="100">
        <f t="shared" ref="G572:T572" si="231">IF(VLOOKUP($E572,$D$5:$AJ$1013,3,)=0,0,(VLOOKUP($E572,$D$5:$AJ$1013,G$1,)/VLOOKUP($E572,$D$5:$AJ$1013,3,))*$F572)</f>
        <v>0</v>
      </c>
      <c r="H572" s="100">
        <f t="shared" si="231"/>
        <v>0</v>
      </c>
      <c r="I572" s="100">
        <f t="shared" si="231"/>
        <v>0</v>
      </c>
      <c r="J572" s="100">
        <f t="shared" si="231"/>
        <v>0</v>
      </c>
      <c r="K572" s="100">
        <f t="shared" si="231"/>
        <v>0</v>
      </c>
      <c r="L572" s="100">
        <f t="shared" si="231"/>
        <v>0</v>
      </c>
      <c r="M572" s="100">
        <f t="shared" si="231"/>
        <v>0</v>
      </c>
      <c r="N572" s="100">
        <f t="shared" si="231"/>
        <v>0</v>
      </c>
      <c r="O572" s="100">
        <f t="shared" si="231"/>
        <v>0</v>
      </c>
      <c r="P572" s="100">
        <f t="shared" si="231"/>
        <v>0</v>
      </c>
      <c r="Q572" s="100">
        <f t="shared" si="231"/>
        <v>0</v>
      </c>
      <c r="R572" s="100">
        <f t="shared" si="231"/>
        <v>0</v>
      </c>
      <c r="S572" s="100">
        <f t="shared" si="231"/>
        <v>0</v>
      </c>
      <c r="T572" s="100">
        <f t="shared" si="231"/>
        <v>0</v>
      </c>
      <c r="U572" s="100"/>
      <c r="V572" s="102">
        <f>SUM(G572:T572)</f>
        <v>0</v>
      </c>
      <c r="W572" s="98" t="str">
        <f>IF(ABS(F572-V572)&lt;0.01,"ok","err")</f>
        <v>ok</v>
      </c>
      <c r="X572" s="102" t="str">
        <f>IF(W572="err",V572-F572,"")</f>
        <v/>
      </c>
    </row>
    <row r="573" spans="1:24" ht="12" customHeight="1" x14ac:dyDescent="0.25">
      <c r="F573" s="101"/>
    </row>
    <row r="574" spans="1:24" ht="12" customHeight="1" x14ac:dyDescent="0.25">
      <c r="A574" s="97" t="s">
        <v>68</v>
      </c>
      <c r="D574" s="97" t="s">
        <v>430</v>
      </c>
      <c r="F574" s="100">
        <f>F529+F535+F538+F541+F549+F554+F557+F560+F563+F566+F569+F572</f>
        <v>0</v>
      </c>
      <c r="G574" s="100">
        <f t="shared" ref="G574:T574" si="232">G529+G535+G538+G541+G549+G554+G557+G560+G563+G566+G569+G572</f>
        <v>0</v>
      </c>
      <c r="H574" s="100">
        <f t="shared" si="232"/>
        <v>0</v>
      </c>
      <c r="I574" s="100">
        <f>I529+I535+I538+I541+I549+I554+I557+I560+I563+I566+I569+I572</f>
        <v>0</v>
      </c>
      <c r="J574" s="100">
        <f>J529+J535+J538+J541+J549+J554+J557+J560+J563+J566+J569+J572</f>
        <v>0</v>
      </c>
      <c r="K574" s="100">
        <f>K529+K535+K538+K541+K549+K554+K557+K560+K563+K566+K569+K572</f>
        <v>0</v>
      </c>
      <c r="L574" s="100">
        <f t="shared" si="232"/>
        <v>0</v>
      </c>
      <c r="M574" s="100">
        <f t="shared" si="232"/>
        <v>0</v>
      </c>
      <c r="N574" s="100">
        <f t="shared" si="232"/>
        <v>0</v>
      </c>
      <c r="O574" s="100">
        <f>O529+O535+O538+O541+O549+O554+O557+O560+O563+O566+O569+O572</f>
        <v>0</v>
      </c>
      <c r="P574" s="100">
        <f>P529+P535+P538+P541+P549+P554+P557+P560+P563+P566+P569+P572</f>
        <v>0</v>
      </c>
      <c r="Q574" s="100">
        <f t="shared" si="232"/>
        <v>0</v>
      </c>
      <c r="R574" s="100">
        <f t="shared" si="232"/>
        <v>0</v>
      </c>
      <c r="S574" s="100">
        <f t="shared" si="232"/>
        <v>0</v>
      </c>
      <c r="T574" s="100">
        <f t="shared" si="232"/>
        <v>0</v>
      </c>
      <c r="U574" s="100"/>
      <c r="V574" s="102">
        <f>SUM(G574:T574)</f>
        <v>0</v>
      </c>
      <c r="W574" s="98" t="str">
        <f>IF(ABS(F574-V574)&lt;0.01,"ok","err")</f>
        <v>ok</v>
      </c>
      <c r="X574" s="102" t="str">
        <f>IF(W574="err",V574-F574,"")</f>
        <v/>
      </c>
    </row>
    <row r="575" spans="1:24" ht="12" customHeight="1" x14ac:dyDescent="0.25"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2"/>
      <c r="W575" s="98"/>
    </row>
    <row r="576" spans="1:24" ht="12" customHeight="1" x14ac:dyDescent="0.25"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2"/>
      <c r="W576" s="98"/>
    </row>
    <row r="577" spans="1:24" ht="12" customHeight="1" x14ac:dyDescent="0.25"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2"/>
      <c r="W577" s="98"/>
    </row>
    <row r="578" spans="1:24" ht="12" customHeight="1" x14ac:dyDescent="0.25"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2"/>
      <c r="W578" s="98"/>
    </row>
    <row r="579" spans="1:24" ht="12" customHeight="1" x14ac:dyDescent="0.25"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2"/>
      <c r="W579" s="98"/>
    </row>
    <row r="580" spans="1:24" ht="12" customHeight="1" x14ac:dyDescent="0.25"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2"/>
      <c r="W580" s="98"/>
    </row>
    <row r="581" spans="1:24" ht="12" customHeight="1" x14ac:dyDescent="0.25"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2"/>
      <c r="W581" s="98"/>
    </row>
    <row r="582" spans="1:24" ht="12" customHeight="1" x14ac:dyDescent="0.25">
      <c r="A582" s="23" t="s">
        <v>1173</v>
      </c>
    </row>
    <row r="584" spans="1:24" ht="12" customHeight="1" x14ac:dyDescent="0.25">
      <c r="A584" s="24" t="s">
        <v>149</v>
      </c>
    </row>
    <row r="585" spans="1:24" ht="12" customHeight="1" x14ac:dyDescent="0.25">
      <c r="A585" s="107" t="s">
        <v>139</v>
      </c>
      <c r="C585" s="97" t="s">
        <v>396</v>
      </c>
      <c r="D585" s="97" t="s">
        <v>1174</v>
      </c>
      <c r="E585" s="397" t="s">
        <v>2455</v>
      </c>
      <c r="F585" s="100">
        <f>VLOOKUP(C585,'Functional Assignment'!$C$1:$AU$771,6,)</f>
        <v>17924442.093626585</v>
      </c>
      <c r="G585" s="100">
        <f t="shared" ref="G585:T590" si="233">IF(VLOOKUP($E585,$D$5:$AJ$945,3,)=0,0,(VLOOKUP($E585,$D$5:$AJ$945,G$1,)/VLOOKUP($E585,$D$5:$AJ$945,3,))*$F585)</f>
        <v>7337408.1237076744</v>
      </c>
      <c r="H585" s="100">
        <f t="shared" si="233"/>
        <v>2036620.1654832589</v>
      </c>
      <c r="I585" s="100">
        <f t="shared" si="233"/>
        <v>0</v>
      </c>
      <c r="J585" s="100">
        <f t="shared" si="233"/>
        <v>153358.21170469144</v>
      </c>
      <c r="K585" s="100">
        <f t="shared" si="233"/>
        <v>0</v>
      </c>
      <c r="L585" s="100">
        <f t="shared" si="233"/>
        <v>2047128.5580594346</v>
      </c>
      <c r="M585" s="100">
        <f t="shared" si="233"/>
        <v>150740.1490402098</v>
      </c>
      <c r="N585" s="100">
        <f t="shared" si="233"/>
        <v>1494959.796465792</v>
      </c>
      <c r="O585" s="100">
        <f t="shared" si="233"/>
        <v>3269585.2925177594</v>
      </c>
      <c r="P585" s="100">
        <f t="shared" si="233"/>
        <v>1136769.8353267037</v>
      </c>
      <c r="Q585" s="100">
        <f t="shared" si="233"/>
        <v>296955.5338097536</v>
      </c>
      <c r="R585" s="100">
        <f t="shared" si="233"/>
        <v>0</v>
      </c>
      <c r="S585" s="100">
        <f t="shared" si="233"/>
        <v>0</v>
      </c>
      <c r="T585" s="100">
        <f t="shared" si="233"/>
        <v>916.42751130617023</v>
      </c>
      <c r="U585" s="100"/>
      <c r="V585" s="102">
        <f t="shared" ref="V585:V591" si="234">SUM(G585:T585)</f>
        <v>17924442.093626585</v>
      </c>
      <c r="W585" s="98" t="str">
        <f t="shared" ref="W585:W591" si="235">IF(ABS(F585-V585)&lt;0.01,"ok","err")</f>
        <v>ok</v>
      </c>
      <c r="X585" s="243" t="str">
        <f t="shared" ref="X585:X591" si="236">IF(W585="err",V585-F585,"")</f>
        <v/>
      </c>
    </row>
    <row r="586" spans="1:24" ht="12" customHeight="1" x14ac:dyDescent="0.25">
      <c r="A586" s="107" t="s">
        <v>143</v>
      </c>
      <c r="C586" s="97" t="s">
        <v>396</v>
      </c>
      <c r="D586" s="97" t="s">
        <v>1175</v>
      </c>
      <c r="E586" s="397" t="s">
        <v>2455</v>
      </c>
      <c r="F586" s="101">
        <f>VLOOKUP(C586,'Functional Assignment'!$C$1:$AU$771,7,)</f>
        <v>18776987.608495641</v>
      </c>
      <c r="G586" s="101">
        <f t="shared" si="233"/>
        <v>7686399.4258612311</v>
      </c>
      <c r="H586" s="101">
        <f t="shared" si="233"/>
        <v>2133488.5298376512</v>
      </c>
      <c r="I586" s="101">
        <f t="shared" si="233"/>
        <v>0</v>
      </c>
      <c r="J586" s="101">
        <f t="shared" si="233"/>
        <v>160652.43346480204</v>
      </c>
      <c r="K586" s="101">
        <f t="shared" si="233"/>
        <v>0</v>
      </c>
      <c r="L586" s="101">
        <f t="shared" si="233"/>
        <v>2144496.7361827861</v>
      </c>
      <c r="M586" s="101">
        <f t="shared" si="233"/>
        <v>157909.84711525444</v>
      </c>
      <c r="N586" s="101">
        <f t="shared" si="233"/>
        <v>1566065.0092656733</v>
      </c>
      <c r="O586" s="101">
        <f t="shared" si="233"/>
        <v>3425097.5400988981</v>
      </c>
      <c r="P586" s="101">
        <f t="shared" si="233"/>
        <v>1190838.353581496</v>
      </c>
      <c r="Q586" s="101">
        <f t="shared" si="233"/>
        <v>311079.71726509649</v>
      </c>
      <c r="R586" s="101">
        <f t="shared" si="233"/>
        <v>0</v>
      </c>
      <c r="S586" s="101">
        <f t="shared" si="233"/>
        <v>0</v>
      </c>
      <c r="T586" s="101">
        <f t="shared" si="233"/>
        <v>960.01582275182989</v>
      </c>
      <c r="U586" s="101"/>
      <c r="V586" s="101">
        <f t="shared" si="234"/>
        <v>18776987.608495641</v>
      </c>
      <c r="W586" s="98" t="str">
        <f t="shared" si="235"/>
        <v>ok</v>
      </c>
      <c r="X586" s="102" t="str">
        <f t="shared" si="236"/>
        <v/>
      </c>
    </row>
    <row r="587" spans="1:24" ht="12" customHeight="1" x14ac:dyDescent="0.25">
      <c r="A587" s="107" t="s">
        <v>140</v>
      </c>
      <c r="C587" s="97" t="s">
        <v>396</v>
      </c>
      <c r="D587" s="97" t="s">
        <v>1176</v>
      </c>
      <c r="E587" s="397" t="s">
        <v>2455</v>
      </c>
      <c r="F587" s="101">
        <f>VLOOKUP(C587,'Functional Assignment'!$C$1:$AU$771,8,)</f>
        <v>15434620.497793736</v>
      </c>
      <c r="G587" s="101">
        <f t="shared" si="233"/>
        <v>6318194.4093604581</v>
      </c>
      <c r="H587" s="101">
        <f t="shared" si="233"/>
        <v>1753720.3773592019</v>
      </c>
      <c r="I587" s="101">
        <f t="shared" si="233"/>
        <v>0</v>
      </c>
      <c r="J587" s="101">
        <f t="shared" si="233"/>
        <v>132055.75858474657</v>
      </c>
      <c r="K587" s="101">
        <f t="shared" si="233"/>
        <v>0</v>
      </c>
      <c r="L587" s="101">
        <f t="shared" si="233"/>
        <v>1762769.0858550037</v>
      </c>
      <c r="M587" s="101">
        <f t="shared" si="233"/>
        <v>129801.36185347619</v>
      </c>
      <c r="N587" s="101">
        <f t="shared" si="233"/>
        <v>1287300.1568128562</v>
      </c>
      <c r="O587" s="101">
        <f t="shared" si="233"/>
        <v>2815418.628461712</v>
      </c>
      <c r="P587" s="101">
        <f t="shared" si="233"/>
        <v>978865.11111248843</v>
      </c>
      <c r="Q587" s="101">
        <f t="shared" si="233"/>
        <v>255706.47862468351</v>
      </c>
      <c r="R587" s="101">
        <f t="shared" si="233"/>
        <v>0</v>
      </c>
      <c r="S587" s="101">
        <f t="shared" si="233"/>
        <v>0</v>
      </c>
      <c r="T587" s="101">
        <f t="shared" si="233"/>
        <v>789.12976910883981</v>
      </c>
      <c r="U587" s="101"/>
      <c r="V587" s="101">
        <f t="shared" si="234"/>
        <v>15434620.497793736</v>
      </c>
      <c r="W587" s="98" t="str">
        <f t="shared" si="235"/>
        <v>ok</v>
      </c>
      <c r="X587" s="102" t="str">
        <f t="shared" si="236"/>
        <v/>
      </c>
    </row>
    <row r="588" spans="1:24" ht="12" customHeight="1" x14ac:dyDescent="0.25">
      <c r="A588" s="107" t="s">
        <v>141</v>
      </c>
      <c r="C588" s="97" t="s">
        <v>396</v>
      </c>
      <c r="D588" s="97" t="s">
        <v>1177</v>
      </c>
      <c r="E588" s="97" t="s">
        <v>410</v>
      </c>
      <c r="F588" s="101">
        <f>VLOOKUP(C588,'Functional Assignment'!$C$1:$AU$771,9,)</f>
        <v>0</v>
      </c>
      <c r="G588" s="101">
        <f t="shared" si="233"/>
        <v>0</v>
      </c>
      <c r="H588" s="101">
        <f t="shared" si="233"/>
        <v>0</v>
      </c>
      <c r="I588" s="101">
        <f t="shared" si="233"/>
        <v>0</v>
      </c>
      <c r="J588" s="101">
        <f t="shared" si="233"/>
        <v>0</v>
      </c>
      <c r="K588" s="101">
        <f t="shared" si="233"/>
        <v>0</v>
      </c>
      <c r="L588" s="101">
        <f t="shared" si="233"/>
        <v>0</v>
      </c>
      <c r="M588" s="101">
        <f t="shared" si="233"/>
        <v>0</v>
      </c>
      <c r="N588" s="101">
        <f t="shared" si="233"/>
        <v>0</v>
      </c>
      <c r="O588" s="101">
        <f t="shared" si="233"/>
        <v>0</v>
      </c>
      <c r="P588" s="101">
        <f t="shared" si="233"/>
        <v>0</v>
      </c>
      <c r="Q588" s="101">
        <f t="shared" si="233"/>
        <v>0</v>
      </c>
      <c r="R588" s="101">
        <f t="shared" si="233"/>
        <v>0</v>
      </c>
      <c r="S588" s="101">
        <f t="shared" si="233"/>
        <v>0</v>
      </c>
      <c r="T588" s="101">
        <f t="shared" si="233"/>
        <v>0</v>
      </c>
      <c r="U588" s="101"/>
      <c r="V588" s="101">
        <f t="shared" si="234"/>
        <v>0</v>
      </c>
      <c r="W588" s="98" t="str">
        <f t="shared" si="235"/>
        <v>ok</v>
      </c>
      <c r="X588" s="102" t="str">
        <f t="shared" si="236"/>
        <v/>
      </c>
    </row>
    <row r="589" spans="1:24" ht="12" customHeight="1" x14ac:dyDescent="0.25">
      <c r="A589" s="107" t="s">
        <v>144</v>
      </c>
      <c r="C589" s="97" t="s">
        <v>396</v>
      </c>
      <c r="D589" s="97" t="s">
        <v>1178</v>
      </c>
      <c r="E589" s="97" t="s">
        <v>410</v>
      </c>
      <c r="F589" s="101">
        <f>VLOOKUP(C589,'Functional Assignment'!$C$1:$AU$771,10,)</f>
        <v>0</v>
      </c>
      <c r="G589" s="101">
        <f t="shared" si="233"/>
        <v>0</v>
      </c>
      <c r="H589" s="101">
        <f t="shared" si="233"/>
        <v>0</v>
      </c>
      <c r="I589" s="101">
        <f t="shared" si="233"/>
        <v>0</v>
      </c>
      <c r="J589" s="101">
        <f t="shared" si="233"/>
        <v>0</v>
      </c>
      <c r="K589" s="101">
        <f t="shared" si="233"/>
        <v>0</v>
      </c>
      <c r="L589" s="101">
        <f t="shared" si="233"/>
        <v>0</v>
      </c>
      <c r="M589" s="101">
        <f t="shared" si="233"/>
        <v>0</v>
      </c>
      <c r="N589" s="101">
        <f t="shared" si="233"/>
        <v>0</v>
      </c>
      <c r="O589" s="101">
        <f t="shared" si="233"/>
        <v>0</v>
      </c>
      <c r="P589" s="101">
        <f t="shared" si="233"/>
        <v>0</v>
      </c>
      <c r="Q589" s="101">
        <f t="shared" si="233"/>
        <v>0</v>
      </c>
      <c r="R589" s="101">
        <f t="shared" si="233"/>
        <v>0</v>
      </c>
      <c r="S589" s="101">
        <f t="shared" si="233"/>
        <v>0</v>
      </c>
      <c r="T589" s="101">
        <f t="shared" si="233"/>
        <v>0</v>
      </c>
      <c r="U589" s="101"/>
      <c r="V589" s="101">
        <f t="shared" si="234"/>
        <v>0</v>
      </c>
      <c r="W589" s="98" t="str">
        <f t="shared" si="235"/>
        <v>ok</v>
      </c>
      <c r="X589" s="102" t="str">
        <f t="shared" si="236"/>
        <v/>
      </c>
    </row>
    <row r="590" spans="1:24" ht="12" customHeight="1" x14ac:dyDescent="0.25">
      <c r="A590" s="107" t="s">
        <v>142</v>
      </c>
      <c r="C590" s="97" t="s">
        <v>396</v>
      </c>
      <c r="D590" s="97" t="s">
        <v>1179</v>
      </c>
      <c r="E590" s="97" t="s">
        <v>410</v>
      </c>
      <c r="F590" s="101">
        <f>VLOOKUP(C590,'Functional Assignment'!$C$1:$AU$771,11,)</f>
        <v>0</v>
      </c>
      <c r="G590" s="101">
        <f t="shared" si="233"/>
        <v>0</v>
      </c>
      <c r="H590" s="101">
        <f t="shared" si="233"/>
        <v>0</v>
      </c>
      <c r="I590" s="101">
        <f t="shared" si="233"/>
        <v>0</v>
      </c>
      <c r="J590" s="101">
        <f t="shared" si="233"/>
        <v>0</v>
      </c>
      <c r="K590" s="101">
        <f t="shared" si="233"/>
        <v>0</v>
      </c>
      <c r="L590" s="101">
        <f t="shared" si="233"/>
        <v>0</v>
      </c>
      <c r="M590" s="101">
        <f t="shared" si="233"/>
        <v>0</v>
      </c>
      <c r="N590" s="101">
        <f t="shared" si="233"/>
        <v>0</v>
      </c>
      <c r="O590" s="101">
        <f t="shared" si="233"/>
        <v>0</v>
      </c>
      <c r="P590" s="101">
        <f t="shared" si="233"/>
        <v>0</v>
      </c>
      <c r="Q590" s="101">
        <f t="shared" si="233"/>
        <v>0</v>
      </c>
      <c r="R590" s="101">
        <f t="shared" si="233"/>
        <v>0</v>
      </c>
      <c r="S590" s="101">
        <f t="shared" si="233"/>
        <v>0</v>
      </c>
      <c r="T590" s="101">
        <f t="shared" si="233"/>
        <v>0</v>
      </c>
      <c r="U590" s="101"/>
      <c r="V590" s="101">
        <f t="shared" si="234"/>
        <v>0</v>
      </c>
      <c r="W590" s="98" t="str">
        <f t="shared" si="235"/>
        <v>ok</v>
      </c>
      <c r="X590" s="102" t="str">
        <f t="shared" si="236"/>
        <v/>
      </c>
    </row>
    <row r="591" spans="1:24" ht="12" customHeight="1" x14ac:dyDescent="0.25">
      <c r="A591" s="97" t="s">
        <v>172</v>
      </c>
      <c r="D591" s="97" t="s">
        <v>1180</v>
      </c>
      <c r="F591" s="100">
        <f t="shared" ref="F591:T591" si="237">SUM(F585:F590)</f>
        <v>52136050.19991596</v>
      </c>
      <c r="G591" s="100">
        <f t="shared" si="237"/>
        <v>21342001.958929364</v>
      </c>
      <c r="H591" s="100">
        <f t="shared" si="237"/>
        <v>5923829.072680112</v>
      </c>
      <c r="I591" s="100">
        <f>SUM(I585:I590)</f>
        <v>0</v>
      </c>
      <c r="J591" s="100">
        <f>SUM(J585:J590)</f>
        <v>446066.40375424008</v>
      </c>
      <c r="K591" s="100">
        <f>SUM(K585:K590)</f>
        <v>0</v>
      </c>
      <c r="L591" s="100">
        <f t="shared" si="237"/>
        <v>5954394.3800972244</v>
      </c>
      <c r="M591" s="100">
        <f t="shared" si="237"/>
        <v>438451.35800894041</v>
      </c>
      <c r="N591" s="100">
        <f t="shared" si="237"/>
        <v>4348324.9625443211</v>
      </c>
      <c r="O591" s="100">
        <f t="shared" si="237"/>
        <v>9510101.4610783681</v>
      </c>
      <c r="P591" s="100">
        <f>SUM(P585:P590)</f>
        <v>3306473.3000206882</v>
      </c>
      <c r="Q591" s="100">
        <f t="shared" si="237"/>
        <v>863741.72969953367</v>
      </c>
      <c r="R591" s="100">
        <f t="shared" si="237"/>
        <v>0</v>
      </c>
      <c r="S591" s="100">
        <f t="shared" si="237"/>
        <v>0</v>
      </c>
      <c r="T591" s="100">
        <f t="shared" si="237"/>
        <v>2665.5731031668402</v>
      </c>
      <c r="U591" s="100"/>
      <c r="V591" s="102">
        <f t="shared" si="234"/>
        <v>52136050.199915968</v>
      </c>
      <c r="W591" s="98" t="str">
        <f t="shared" si="235"/>
        <v>ok</v>
      </c>
      <c r="X591" s="243" t="str">
        <f t="shared" si="236"/>
        <v/>
      </c>
    </row>
    <row r="592" spans="1:24" ht="12" customHeight="1" x14ac:dyDescent="0.25">
      <c r="F592" s="101"/>
      <c r="G592" s="101"/>
    </row>
    <row r="593" spans="1:24" ht="12" customHeight="1" x14ac:dyDescent="0.25">
      <c r="A593" s="24" t="s">
        <v>461</v>
      </c>
      <c r="F593" s="101"/>
      <c r="G593" s="101"/>
    </row>
    <row r="594" spans="1:24" ht="12" customHeight="1" x14ac:dyDescent="0.25">
      <c r="A594" s="107" t="s">
        <v>2424</v>
      </c>
      <c r="C594" s="97" t="s">
        <v>396</v>
      </c>
      <c r="D594" s="97" t="s">
        <v>1181</v>
      </c>
      <c r="E594" s="397" t="s">
        <v>2455</v>
      </c>
      <c r="F594" s="100">
        <f>VLOOKUP(C594,'Functional Assignment'!$C$1:$AU$771,13,)</f>
        <v>11561388.688570451</v>
      </c>
      <c r="G594" s="100">
        <f t="shared" ref="G594:T596" si="238">IF(VLOOKUP($E594,$D$5:$AJ$945,3,)=0,0,(VLOOKUP($E594,$D$5:$AJ$945,G$1,)/VLOOKUP($E594,$D$5:$AJ$945,3,))*$F594)</f>
        <v>4732678.8104061643</v>
      </c>
      <c r="H594" s="100">
        <f t="shared" si="238"/>
        <v>1313634.0434553868</v>
      </c>
      <c r="I594" s="100">
        <f t="shared" si="238"/>
        <v>0</v>
      </c>
      <c r="J594" s="100">
        <f t="shared" si="238"/>
        <v>98917.10351935873</v>
      </c>
      <c r="K594" s="100">
        <f t="shared" si="238"/>
        <v>0</v>
      </c>
      <c r="L594" s="100">
        <f t="shared" si="238"/>
        <v>1320412.0290925773</v>
      </c>
      <c r="M594" s="100">
        <f t="shared" si="238"/>
        <v>97228.435056652757</v>
      </c>
      <c r="N594" s="100">
        <f t="shared" si="238"/>
        <v>964259.37222742441</v>
      </c>
      <c r="O594" s="100">
        <f t="shared" si="238"/>
        <v>2108905.0481895925</v>
      </c>
      <c r="P594" s="100">
        <f t="shared" si="238"/>
        <v>733224.37858902116</v>
      </c>
      <c r="Q594" s="100">
        <f t="shared" si="238"/>
        <v>191538.36597331188</v>
      </c>
      <c r="R594" s="100">
        <f t="shared" si="238"/>
        <v>0</v>
      </c>
      <c r="S594" s="100">
        <f t="shared" si="238"/>
        <v>0</v>
      </c>
      <c r="T594" s="100">
        <f t="shared" si="238"/>
        <v>591.10206096050626</v>
      </c>
      <c r="U594" s="100"/>
      <c r="V594" s="102">
        <f>SUM(G594:T594)</f>
        <v>11561388.688570451</v>
      </c>
      <c r="W594" s="98" t="str">
        <f>IF(ABS(F594-V594)&lt;0.01,"ok","err")</f>
        <v>ok</v>
      </c>
      <c r="X594" s="102" t="str">
        <f>IF(W594="err",V594-F594,"")</f>
        <v/>
      </c>
    </row>
    <row r="595" spans="1:24" ht="12" hidden="1" customHeight="1" x14ac:dyDescent="0.25">
      <c r="A595" s="107" t="s">
        <v>2423</v>
      </c>
      <c r="C595" s="97" t="s">
        <v>396</v>
      </c>
      <c r="D595" s="97" t="s">
        <v>1182</v>
      </c>
      <c r="E595" s="97" t="s">
        <v>55</v>
      </c>
      <c r="F595" s="101">
        <f>VLOOKUP(C595,'Functional Assignment'!$C$1:$AU$771,14,)</f>
        <v>0</v>
      </c>
      <c r="G595" s="101">
        <f t="shared" si="238"/>
        <v>0</v>
      </c>
      <c r="H595" s="101">
        <f t="shared" si="238"/>
        <v>0</v>
      </c>
      <c r="I595" s="101">
        <f t="shared" si="238"/>
        <v>0</v>
      </c>
      <c r="J595" s="101">
        <f t="shared" si="238"/>
        <v>0</v>
      </c>
      <c r="K595" s="101">
        <f t="shared" si="238"/>
        <v>0</v>
      </c>
      <c r="L595" s="101">
        <f t="shared" si="238"/>
        <v>0</v>
      </c>
      <c r="M595" s="101">
        <f t="shared" si="238"/>
        <v>0</v>
      </c>
      <c r="N595" s="101">
        <f t="shared" si="238"/>
        <v>0</v>
      </c>
      <c r="O595" s="101">
        <f t="shared" si="238"/>
        <v>0</v>
      </c>
      <c r="P595" s="101">
        <f t="shared" si="238"/>
        <v>0</v>
      </c>
      <c r="Q595" s="101">
        <f t="shared" si="238"/>
        <v>0</v>
      </c>
      <c r="R595" s="101">
        <f t="shared" si="238"/>
        <v>0</v>
      </c>
      <c r="S595" s="101">
        <f t="shared" si="238"/>
        <v>0</v>
      </c>
      <c r="T595" s="101">
        <f t="shared" si="238"/>
        <v>0</v>
      </c>
      <c r="U595" s="101"/>
      <c r="V595" s="101">
        <f>SUM(G595:T595)</f>
        <v>0</v>
      </c>
      <c r="W595" s="98" t="str">
        <f>IF(ABS(F595-V595)&lt;0.01,"ok","err")</f>
        <v>ok</v>
      </c>
      <c r="X595" s="102" t="str">
        <f>IF(W595="err",V595-F595,"")</f>
        <v/>
      </c>
    </row>
    <row r="596" spans="1:24" ht="12" hidden="1" customHeight="1" x14ac:dyDescent="0.25">
      <c r="A596" s="107" t="s">
        <v>2423</v>
      </c>
      <c r="C596" s="97" t="s">
        <v>396</v>
      </c>
      <c r="D596" s="97" t="s">
        <v>1183</v>
      </c>
      <c r="E596" s="97" t="s">
        <v>58</v>
      </c>
      <c r="F596" s="101">
        <f>VLOOKUP(C596,'Functional Assignment'!$C$1:$AU$771,15,)</f>
        <v>0</v>
      </c>
      <c r="G596" s="101">
        <f t="shared" si="238"/>
        <v>0</v>
      </c>
      <c r="H596" s="101">
        <f t="shared" si="238"/>
        <v>0</v>
      </c>
      <c r="I596" s="101">
        <f t="shared" si="238"/>
        <v>0</v>
      </c>
      <c r="J596" s="101">
        <f t="shared" si="238"/>
        <v>0</v>
      </c>
      <c r="K596" s="101">
        <f t="shared" si="238"/>
        <v>0</v>
      </c>
      <c r="L596" s="101">
        <f t="shared" si="238"/>
        <v>0</v>
      </c>
      <c r="M596" s="101">
        <f t="shared" si="238"/>
        <v>0</v>
      </c>
      <c r="N596" s="101">
        <f t="shared" si="238"/>
        <v>0</v>
      </c>
      <c r="O596" s="101">
        <f t="shared" si="238"/>
        <v>0</v>
      </c>
      <c r="P596" s="101">
        <f t="shared" si="238"/>
        <v>0</v>
      </c>
      <c r="Q596" s="101">
        <f t="shared" si="238"/>
        <v>0</v>
      </c>
      <c r="R596" s="101">
        <f t="shared" si="238"/>
        <v>0</v>
      </c>
      <c r="S596" s="101">
        <f t="shared" si="238"/>
        <v>0</v>
      </c>
      <c r="T596" s="101">
        <f t="shared" si="238"/>
        <v>0</v>
      </c>
      <c r="U596" s="101"/>
      <c r="V596" s="101">
        <f>SUM(G596:T596)</f>
        <v>0</v>
      </c>
      <c r="W596" s="98" t="str">
        <f>IF(ABS(F596-V596)&lt;0.01,"ok","err")</f>
        <v>ok</v>
      </c>
      <c r="X596" s="102" t="str">
        <f>IF(W596="err",V596-F596,"")</f>
        <v/>
      </c>
    </row>
    <row r="597" spans="1:24" ht="12" hidden="1" customHeight="1" x14ac:dyDescent="0.25">
      <c r="A597" s="97" t="s">
        <v>463</v>
      </c>
      <c r="D597" s="97" t="s">
        <v>1184</v>
      </c>
      <c r="F597" s="100">
        <f t="shared" ref="F597:T597" si="239">SUM(F594:F596)</f>
        <v>11561388.688570451</v>
      </c>
      <c r="G597" s="100">
        <f t="shared" si="239"/>
        <v>4732678.8104061643</v>
      </c>
      <c r="H597" s="100">
        <f t="shared" si="239"/>
        <v>1313634.0434553868</v>
      </c>
      <c r="I597" s="100">
        <f>SUM(I594:I596)</f>
        <v>0</v>
      </c>
      <c r="J597" s="100">
        <f>SUM(J594:J596)</f>
        <v>98917.10351935873</v>
      </c>
      <c r="K597" s="100">
        <f>SUM(K594:K596)</f>
        <v>0</v>
      </c>
      <c r="L597" s="100">
        <f t="shared" si="239"/>
        <v>1320412.0290925773</v>
      </c>
      <c r="M597" s="100">
        <f t="shared" si="239"/>
        <v>97228.435056652757</v>
      </c>
      <c r="N597" s="100">
        <f t="shared" si="239"/>
        <v>964259.37222742441</v>
      </c>
      <c r="O597" s="100">
        <f t="shared" si="239"/>
        <v>2108905.0481895925</v>
      </c>
      <c r="P597" s="100">
        <f>SUM(P594:P596)</f>
        <v>733224.37858902116</v>
      </c>
      <c r="Q597" s="100">
        <f t="shared" si="239"/>
        <v>191538.36597331188</v>
      </c>
      <c r="R597" s="100">
        <f t="shared" si="239"/>
        <v>0</v>
      </c>
      <c r="S597" s="100">
        <f t="shared" si="239"/>
        <v>0</v>
      </c>
      <c r="T597" s="100">
        <f t="shared" si="239"/>
        <v>591.10206096050626</v>
      </c>
      <c r="U597" s="100"/>
      <c r="V597" s="102">
        <f>SUM(G597:T597)</f>
        <v>11561388.688570451</v>
      </c>
      <c r="W597" s="98" t="str">
        <f>IF(ABS(F597-V597)&lt;0.01,"ok","err")</f>
        <v>ok</v>
      </c>
      <c r="X597" s="102" t="str">
        <f>IF(W597="err",V597-F597,"")</f>
        <v/>
      </c>
    </row>
    <row r="598" spans="1:24" ht="12" customHeight="1" x14ac:dyDescent="0.25">
      <c r="F598" s="101"/>
      <c r="G598" s="101"/>
    </row>
    <row r="599" spans="1:24" ht="12" customHeight="1" x14ac:dyDescent="0.25">
      <c r="A599" s="24" t="s">
        <v>1697</v>
      </c>
      <c r="F599" s="101"/>
      <c r="G599" s="101"/>
    </row>
    <row r="600" spans="1:24" ht="12" customHeight="1" x14ac:dyDescent="0.25">
      <c r="A600" s="107" t="s">
        <v>157</v>
      </c>
      <c r="C600" s="97" t="s">
        <v>396</v>
      </c>
      <c r="D600" s="97" t="s">
        <v>1185</v>
      </c>
      <c r="E600" s="97" t="s">
        <v>2429</v>
      </c>
      <c r="F600" s="100">
        <f>VLOOKUP(C600,'Functional Assignment'!$C$1:$AU$771,17,)</f>
        <v>0</v>
      </c>
      <c r="G600" s="100">
        <f t="shared" ref="G600:T600" si="240">IF(VLOOKUP($E600,$D$5:$AJ$945,3,)=0,0,(VLOOKUP($E600,$D$5:$AJ$945,G$1,)/VLOOKUP($E600,$D$5:$AJ$945,3,))*$F600)</f>
        <v>0</v>
      </c>
      <c r="H600" s="100">
        <f t="shared" si="240"/>
        <v>0</v>
      </c>
      <c r="I600" s="100">
        <f t="shared" si="240"/>
        <v>0</v>
      </c>
      <c r="J600" s="100">
        <f t="shared" si="240"/>
        <v>0</v>
      </c>
      <c r="K600" s="100">
        <f t="shared" si="240"/>
        <v>0</v>
      </c>
      <c r="L600" s="100">
        <f t="shared" si="240"/>
        <v>0</v>
      </c>
      <c r="M600" s="100">
        <f t="shared" si="240"/>
        <v>0</v>
      </c>
      <c r="N600" s="100">
        <f t="shared" si="240"/>
        <v>0</v>
      </c>
      <c r="O600" s="100">
        <f t="shared" si="240"/>
        <v>0</v>
      </c>
      <c r="P600" s="100">
        <f t="shared" si="240"/>
        <v>0</v>
      </c>
      <c r="Q600" s="100">
        <f t="shared" si="240"/>
        <v>0</v>
      </c>
      <c r="R600" s="100">
        <f t="shared" si="240"/>
        <v>0</v>
      </c>
      <c r="S600" s="100">
        <f t="shared" si="240"/>
        <v>0</v>
      </c>
      <c r="T600" s="100">
        <f t="shared" si="240"/>
        <v>0</v>
      </c>
      <c r="U600" s="100"/>
      <c r="V600" s="102">
        <f>SUM(G600:T600)</f>
        <v>0</v>
      </c>
      <c r="W600" s="98" t="str">
        <f>IF(ABS(F600-V600)&lt;0.01,"ok","err")</f>
        <v>ok</v>
      </c>
      <c r="X600" s="102" t="str">
        <f>IF(W600="err",V600-F600,"")</f>
        <v/>
      </c>
    </row>
    <row r="601" spans="1:24" ht="12" customHeight="1" x14ac:dyDescent="0.25">
      <c r="F601" s="101"/>
    </row>
    <row r="602" spans="1:24" ht="12" customHeight="1" x14ac:dyDescent="0.25">
      <c r="A602" s="24" t="s">
        <v>1698</v>
      </c>
      <c r="F602" s="101"/>
      <c r="G602" s="101"/>
    </row>
    <row r="603" spans="1:24" ht="12" customHeight="1" x14ac:dyDescent="0.25">
      <c r="A603" s="107" t="s">
        <v>159</v>
      </c>
      <c r="C603" s="97" t="s">
        <v>396</v>
      </c>
      <c r="D603" s="97" t="s">
        <v>1186</v>
      </c>
      <c r="E603" s="97" t="s">
        <v>2429</v>
      </c>
      <c r="F603" s="100">
        <f>VLOOKUP(C603,'Functional Assignment'!$C$1:$AU$771,18,)</f>
        <v>2711770.8663190794</v>
      </c>
      <c r="G603" s="100">
        <f t="shared" ref="G603:T603" si="241">IF(VLOOKUP($E603,$D$5:$AJ$945,3,)=0,0,(VLOOKUP($E603,$D$5:$AJ$945,G$1,)/VLOOKUP($E603,$D$5:$AJ$945,3,))*$F603)</f>
        <v>1316726.2551493126</v>
      </c>
      <c r="H603" s="100">
        <f t="shared" si="241"/>
        <v>320791.36061454157</v>
      </c>
      <c r="I603" s="100">
        <f t="shared" si="241"/>
        <v>0</v>
      </c>
      <c r="J603" s="100">
        <f t="shared" si="241"/>
        <v>33595.61809806824</v>
      </c>
      <c r="K603" s="100">
        <f t="shared" si="241"/>
        <v>0</v>
      </c>
      <c r="L603" s="100">
        <f t="shared" si="241"/>
        <v>299780.37871351262</v>
      </c>
      <c r="M603" s="100">
        <f t="shared" si="241"/>
        <v>23173.542383725708</v>
      </c>
      <c r="N603" s="100">
        <f t="shared" si="241"/>
        <v>211008.74131750473</v>
      </c>
      <c r="O603" s="100">
        <f t="shared" si="241"/>
        <v>482665.06870995619</v>
      </c>
      <c r="P603" s="100">
        <f t="shared" si="241"/>
        <v>0</v>
      </c>
      <c r="Q603" s="100">
        <f t="shared" si="241"/>
        <v>0</v>
      </c>
      <c r="R603" s="100">
        <f t="shared" si="241"/>
        <v>23776.073560785153</v>
      </c>
      <c r="S603" s="100">
        <f t="shared" si="241"/>
        <v>99.589667196976393</v>
      </c>
      <c r="T603" s="100">
        <f t="shared" si="241"/>
        <v>154.23810447551989</v>
      </c>
      <c r="U603" s="100"/>
      <c r="V603" s="102">
        <f>SUM(G603:T603)</f>
        <v>2711770.866319079</v>
      </c>
      <c r="W603" s="98" t="str">
        <f>IF(ABS(F603-V603)&lt;0.01,"ok","err")</f>
        <v>ok</v>
      </c>
      <c r="X603" s="102" t="str">
        <f>IF(W603="err",V603-F603,"")</f>
        <v/>
      </c>
    </row>
    <row r="604" spans="1:24" ht="12" customHeight="1" x14ac:dyDescent="0.25">
      <c r="F604" s="101"/>
    </row>
    <row r="605" spans="1:24" ht="12" customHeight="1" x14ac:dyDescent="0.25">
      <c r="A605" s="24" t="s">
        <v>158</v>
      </c>
      <c r="F605" s="101"/>
    </row>
    <row r="606" spans="1:24" ht="12" customHeight="1" x14ac:dyDescent="0.25">
      <c r="A606" s="107" t="s">
        <v>820</v>
      </c>
      <c r="C606" s="97" t="s">
        <v>396</v>
      </c>
      <c r="D606" s="97" t="s">
        <v>1187</v>
      </c>
      <c r="E606" s="97" t="s">
        <v>2429</v>
      </c>
      <c r="F606" s="100">
        <f>VLOOKUP(C606,'Functional Assignment'!$C$1:$AU$771,19,)</f>
        <v>0</v>
      </c>
      <c r="G606" s="100">
        <f t="shared" ref="G606:T610" si="242">IF(VLOOKUP($E606,$D$5:$AJ$945,3,)=0,0,(VLOOKUP($E606,$D$5:$AJ$945,G$1,)/VLOOKUP($E606,$D$5:$AJ$945,3,))*$F606)</f>
        <v>0</v>
      </c>
      <c r="H606" s="100">
        <f t="shared" si="242"/>
        <v>0</v>
      </c>
      <c r="I606" s="100">
        <f t="shared" si="242"/>
        <v>0</v>
      </c>
      <c r="J606" s="100">
        <f t="shared" si="242"/>
        <v>0</v>
      </c>
      <c r="K606" s="100">
        <f t="shared" si="242"/>
        <v>0</v>
      </c>
      <c r="L606" s="100">
        <f t="shared" si="242"/>
        <v>0</v>
      </c>
      <c r="M606" s="100">
        <f t="shared" si="242"/>
        <v>0</v>
      </c>
      <c r="N606" s="100">
        <f t="shared" si="242"/>
        <v>0</v>
      </c>
      <c r="O606" s="100">
        <f t="shared" si="242"/>
        <v>0</v>
      </c>
      <c r="P606" s="100">
        <f t="shared" si="242"/>
        <v>0</v>
      </c>
      <c r="Q606" s="100">
        <f t="shared" si="242"/>
        <v>0</v>
      </c>
      <c r="R606" s="100">
        <f t="shared" si="242"/>
        <v>0</v>
      </c>
      <c r="S606" s="100">
        <f t="shared" si="242"/>
        <v>0</v>
      </c>
      <c r="T606" s="100">
        <f t="shared" si="242"/>
        <v>0</v>
      </c>
      <c r="U606" s="100"/>
      <c r="V606" s="102">
        <f t="shared" ref="V606:V611" si="243">SUM(G606:T606)</f>
        <v>0</v>
      </c>
      <c r="W606" s="98" t="str">
        <f t="shared" ref="W606:W611" si="244">IF(ABS(F606-V606)&lt;0.01,"ok","err")</f>
        <v>ok</v>
      </c>
      <c r="X606" s="102" t="str">
        <f t="shared" ref="X606:X611" si="245">IF(W606="err",V606-F606,"")</f>
        <v/>
      </c>
    </row>
    <row r="607" spans="1:24" ht="12" customHeight="1" x14ac:dyDescent="0.25">
      <c r="A607" s="107" t="s">
        <v>821</v>
      </c>
      <c r="C607" s="97" t="s">
        <v>396</v>
      </c>
      <c r="D607" s="97" t="s">
        <v>1188</v>
      </c>
      <c r="E607" s="97" t="s">
        <v>2429</v>
      </c>
      <c r="F607" s="101">
        <f>VLOOKUP(C607,'Functional Assignment'!$C$1:$AU$771,20,)</f>
        <v>2954994.8806252596</v>
      </c>
      <c r="G607" s="101">
        <f t="shared" si="242"/>
        <v>1434825.9993044946</v>
      </c>
      <c r="H607" s="101">
        <f t="shared" si="242"/>
        <v>349563.76297806395</v>
      </c>
      <c r="I607" s="101">
        <f t="shared" si="242"/>
        <v>0</v>
      </c>
      <c r="J607" s="101">
        <f t="shared" si="242"/>
        <v>36608.874563944017</v>
      </c>
      <c r="K607" s="101">
        <f t="shared" si="242"/>
        <v>0</v>
      </c>
      <c r="L607" s="101">
        <f t="shared" si="242"/>
        <v>326668.26515942748</v>
      </c>
      <c r="M607" s="101">
        <f t="shared" si="242"/>
        <v>25252.022565908243</v>
      </c>
      <c r="N607" s="101">
        <f t="shared" si="242"/>
        <v>229934.52658733551</v>
      </c>
      <c r="O607" s="101">
        <f t="shared" si="242"/>
        <v>525956.23944826983</v>
      </c>
      <c r="P607" s="101">
        <f t="shared" si="242"/>
        <v>0</v>
      </c>
      <c r="Q607" s="101">
        <f t="shared" si="242"/>
        <v>0</v>
      </c>
      <c r="R607" s="101">
        <f t="shared" si="242"/>
        <v>25908.595938585768</v>
      </c>
      <c r="S607" s="101">
        <f t="shared" si="242"/>
        <v>108.52205855050713</v>
      </c>
      <c r="T607" s="101">
        <f t="shared" si="242"/>
        <v>168.07202067966938</v>
      </c>
      <c r="U607" s="101"/>
      <c r="V607" s="101">
        <f t="shared" si="243"/>
        <v>2954994.8806252596</v>
      </c>
      <c r="W607" s="98" t="str">
        <f t="shared" si="244"/>
        <v>ok</v>
      </c>
      <c r="X607" s="102" t="str">
        <f t="shared" si="245"/>
        <v/>
      </c>
    </row>
    <row r="608" spans="1:24" ht="12" customHeight="1" x14ac:dyDescent="0.25">
      <c r="A608" s="107" t="s">
        <v>822</v>
      </c>
      <c r="C608" s="97" t="s">
        <v>396</v>
      </c>
      <c r="D608" s="97" t="s">
        <v>1189</v>
      </c>
      <c r="E608" s="97" t="s">
        <v>941</v>
      </c>
      <c r="F608" s="101">
        <f>VLOOKUP(C608,'Functional Assignment'!$C$1:$AU$771,21,)</f>
        <v>5479771.9448652817</v>
      </c>
      <c r="G608" s="101">
        <f t="shared" si="242"/>
        <v>4378639.4026735546</v>
      </c>
      <c r="H608" s="101">
        <f t="shared" si="242"/>
        <v>847240.80766783701</v>
      </c>
      <c r="I608" s="101">
        <f t="shared" si="242"/>
        <v>0</v>
      </c>
      <c r="J608" s="101">
        <f t="shared" si="242"/>
        <v>6029.2791098780417</v>
      </c>
      <c r="K608" s="101">
        <f t="shared" si="242"/>
        <v>0</v>
      </c>
      <c r="L608" s="101">
        <f t="shared" si="242"/>
        <v>45783.885045161594</v>
      </c>
      <c r="M608" s="101">
        <f t="shared" si="242"/>
        <v>1758.963382814336</v>
      </c>
      <c r="N608" s="101">
        <f t="shared" si="242"/>
        <v>6283.4645698223103</v>
      </c>
      <c r="O608" s="101">
        <f t="shared" si="242"/>
        <v>2816.3748961824917</v>
      </c>
      <c r="P608" s="101">
        <f t="shared" si="242"/>
        <v>0</v>
      </c>
      <c r="Q608" s="101">
        <f t="shared" si="242"/>
        <v>0</v>
      </c>
      <c r="R608" s="101">
        <f t="shared" si="242"/>
        <v>190338.59125888927</v>
      </c>
      <c r="S608" s="101">
        <f t="shared" si="242"/>
        <v>4.5188526212314342</v>
      </c>
      <c r="T608" s="101">
        <f t="shared" si="242"/>
        <v>876.65740851889848</v>
      </c>
      <c r="U608" s="101"/>
      <c r="V608" s="101">
        <f t="shared" si="243"/>
        <v>5479771.9448652798</v>
      </c>
      <c r="W608" s="98" t="str">
        <f t="shared" si="244"/>
        <v>ok</v>
      </c>
      <c r="X608" s="102" t="str">
        <f t="shared" si="245"/>
        <v/>
      </c>
    </row>
    <row r="609" spans="1:24" ht="12" customHeight="1" x14ac:dyDescent="0.25">
      <c r="A609" s="107" t="s">
        <v>823</v>
      </c>
      <c r="C609" s="97" t="s">
        <v>396</v>
      </c>
      <c r="D609" s="97" t="s">
        <v>1190</v>
      </c>
      <c r="E609" s="97" t="s">
        <v>760</v>
      </c>
      <c r="F609" s="101">
        <f>VLOOKUP(C609,'Functional Assignment'!$C$1:$AU$771,22,)</f>
        <v>1360350.4862856311</v>
      </c>
      <c r="G609" s="101">
        <f t="shared" si="242"/>
        <v>1138559.8796913472</v>
      </c>
      <c r="H609" s="101">
        <f t="shared" si="242"/>
        <v>197572.30822633218</v>
      </c>
      <c r="I609" s="101">
        <f t="shared" si="242"/>
        <v>0</v>
      </c>
      <c r="J609" s="101">
        <f t="shared" si="242"/>
        <v>15083.309532697494</v>
      </c>
      <c r="K609" s="101">
        <f t="shared" si="242"/>
        <v>0</v>
      </c>
      <c r="L609" s="101">
        <f t="shared" si="242"/>
        <v>0</v>
      </c>
      <c r="M609" s="101">
        <f t="shared" si="242"/>
        <v>0</v>
      </c>
      <c r="N609" s="101">
        <f t="shared" si="242"/>
        <v>0</v>
      </c>
      <c r="O609" s="101">
        <f t="shared" si="242"/>
        <v>0</v>
      </c>
      <c r="P609" s="101">
        <f t="shared" si="242"/>
        <v>0</v>
      </c>
      <c r="Q609" s="101">
        <f t="shared" si="242"/>
        <v>0</v>
      </c>
      <c r="R609" s="101">
        <f t="shared" si="242"/>
        <v>9038.5607276898882</v>
      </c>
      <c r="S609" s="101">
        <f t="shared" si="242"/>
        <v>37.859373731705908</v>
      </c>
      <c r="T609" s="101">
        <f t="shared" si="242"/>
        <v>58.568733832253969</v>
      </c>
      <c r="U609" s="101"/>
      <c r="V609" s="101">
        <f t="shared" si="243"/>
        <v>1360350.4862856311</v>
      </c>
      <c r="W609" s="98" t="str">
        <f t="shared" si="244"/>
        <v>ok</v>
      </c>
      <c r="X609" s="102" t="str">
        <f t="shared" si="245"/>
        <v/>
      </c>
    </row>
    <row r="610" spans="1:24" ht="12" customHeight="1" x14ac:dyDescent="0.25">
      <c r="A610" s="107" t="s">
        <v>824</v>
      </c>
      <c r="C610" s="97" t="s">
        <v>396</v>
      </c>
      <c r="D610" s="97" t="s">
        <v>1191</v>
      </c>
      <c r="E610" s="97" t="s">
        <v>940</v>
      </c>
      <c r="F610" s="101">
        <f>VLOOKUP(C610,'Functional Assignment'!$C$1:$AU$771,23,)</f>
        <v>2079528.5120405823</v>
      </c>
      <c r="G610" s="101">
        <f t="shared" si="242"/>
        <v>1679013.1767741099</v>
      </c>
      <c r="H610" s="101">
        <f t="shared" si="242"/>
        <v>324879.11178674712</v>
      </c>
      <c r="I610" s="101">
        <f t="shared" si="242"/>
        <v>0</v>
      </c>
      <c r="J610" s="101">
        <f t="shared" si="242"/>
        <v>2311.9599813935251</v>
      </c>
      <c r="K610" s="101">
        <f t="shared" si="242"/>
        <v>0</v>
      </c>
      <c r="L610" s="101">
        <f t="shared" si="242"/>
        <v>0</v>
      </c>
      <c r="M610" s="101">
        <f t="shared" si="242"/>
        <v>0</v>
      </c>
      <c r="N610" s="101">
        <f t="shared" si="242"/>
        <v>0</v>
      </c>
      <c r="O610" s="101">
        <f t="shared" si="242"/>
        <v>0</v>
      </c>
      <c r="P610" s="101">
        <f t="shared" si="242"/>
        <v>0</v>
      </c>
      <c r="Q610" s="101">
        <f t="shared" si="242"/>
        <v>0</v>
      </c>
      <c r="R610" s="101">
        <f t="shared" si="242"/>
        <v>72986.371651696958</v>
      </c>
      <c r="S610" s="101">
        <f t="shared" si="242"/>
        <v>1.7327787006884205</v>
      </c>
      <c r="T610" s="101">
        <f t="shared" si="242"/>
        <v>336.15906793355362</v>
      </c>
      <c r="U610" s="101"/>
      <c r="V610" s="101">
        <f t="shared" si="243"/>
        <v>2079528.5120405818</v>
      </c>
      <c r="W610" s="98" t="str">
        <f t="shared" si="244"/>
        <v>ok</v>
      </c>
      <c r="X610" s="102" t="str">
        <f t="shared" si="245"/>
        <v/>
      </c>
    </row>
    <row r="611" spans="1:24" ht="12" customHeight="1" x14ac:dyDescent="0.25">
      <c r="A611" s="97" t="s">
        <v>163</v>
      </c>
      <c r="D611" s="97" t="s">
        <v>1192</v>
      </c>
      <c r="F611" s="100">
        <f t="shared" ref="F611:T611" si="246">SUM(F606:F610)</f>
        <v>11874645.823816754</v>
      </c>
      <c r="G611" s="100">
        <f t="shared" si="246"/>
        <v>8631038.4584435076</v>
      </c>
      <c r="H611" s="100">
        <f t="shared" si="246"/>
        <v>1719255.9906589801</v>
      </c>
      <c r="I611" s="100">
        <f>SUM(I606:I610)</f>
        <v>0</v>
      </c>
      <c r="J611" s="100">
        <f>SUM(J606:J610)</f>
        <v>60033.423187913082</v>
      </c>
      <c r="K611" s="100">
        <f>SUM(K606:K610)</f>
        <v>0</v>
      </c>
      <c r="L611" s="100">
        <f t="shared" si="246"/>
        <v>372452.15020458907</v>
      </c>
      <c r="M611" s="100">
        <f t="shared" si="246"/>
        <v>27010.985948722577</v>
      </c>
      <c r="N611" s="100">
        <f t="shared" si="246"/>
        <v>236217.99115715781</v>
      </c>
      <c r="O611" s="100">
        <f t="shared" si="246"/>
        <v>528772.61434445227</v>
      </c>
      <c r="P611" s="100">
        <f>SUM(P606:P610)</f>
        <v>0</v>
      </c>
      <c r="Q611" s="100">
        <f t="shared" si="246"/>
        <v>0</v>
      </c>
      <c r="R611" s="100">
        <f t="shared" si="246"/>
        <v>298272.11957686185</v>
      </c>
      <c r="S611" s="100">
        <f t="shared" si="246"/>
        <v>152.63306360413287</v>
      </c>
      <c r="T611" s="100">
        <f t="shared" si="246"/>
        <v>1439.4572309643754</v>
      </c>
      <c r="U611" s="100"/>
      <c r="V611" s="102">
        <f t="shared" si="243"/>
        <v>11874645.823816754</v>
      </c>
      <c r="W611" s="98" t="str">
        <f t="shared" si="244"/>
        <v>ok</v>
      </c>
      <c r="X611" s="102" t="str">
        <f t="shared" si="245"/>
        <v/>
      </c>
    </row>
    <row r="612" spans="1:24" ht="12" customHeight="1" x14ac:dyDescent="0.25">
      <c r="F612" s="101"/>
    </row>
    <row r="613" spans="1:24" ht="12" customHeight="1" x14ac:dyDescent="0.25">
      <c r="A613" s="24" t="s">
        <v>819</v>
      </c>
      <c r="F613" s="101"/>
    </row>
    <row r="614" spans="1:24" ht="12" customHeight="1" x14ac:dyDescent="0.25">
      <c r="A614" s="107" t="s">
        <v>409</v>
      </c>
      <c r="C614" s="97" t="s">
        <v>396</v>
      </c>
      <c r="D614" s="97" t="s">
        <v>1193</v>
      </c>
      <c r="E614" s="97" t="s">
        <v>2332</v>
      </c>
      <c r="F614" s="100">
        <f>VLOOKUP(C614,'Functional Assignment'!$C$1:$AU$771,24,)</f>
        <v>2111736.702405374</v>
      </c>
      <c r="G614" s="100">
        <f t="shared" ref="G614:T615" si="247">IF(VLOOKUP($E614,$D$5:$AJ$945,3,)=0,0,(VLOOKUP($E614,$D$5:$AJ$945,G$1,)/VLOOKUP($E614,$D$5:$AJ$945,3,))*$F614)</f>
        <v>1475576.5519920022</v>
      </c>
      <c r="H614" s="100">
        <f t="shared" si="247"/>
        <v>256054.22300735224</v>
      </c>
      <c r="I614" s="100">
        <f t="shared" si="247"/>
        <v>0</v>
      </c>
      <c r="J614" s="100">
        <f t="shared" si="247"/>
        <v>19548.008207455379</v>
      </c>
      <c r="K614" s="100">
        <f t="shared" si="247"/>
        <v>0</v>
      </c>
      <c r="L614" s="100">
        <f t="shared" si="247"/>
        <v>213174.71720446841</v>
      </c>
      <c r="M614" s="100">
        <f t="shared" si="247"/>
        <v>0</v>
      </c>
      <c r="N614" s="100">
        <f t="shared" si="247"/>
        <v>135544.23281167238</v>
      </c>
      <c r="O614" s="100">
        <f t="shared" si="247"/>
        <v>0</v>
      </c>
      <c r="P614" s="100">
        <f t="shared" si="247"/>
        <v>0</v>
      </c>
      <c r="Q614" s="100">
        <f t="shared" si="247"/>
        <v>0</v>
      </c>
      <c r="R614" s="100">
        <f t="shared" si="247"/>
        <v>11713.998105352637</v>
      </c>
      <c r="S614" s="100">
        <f t="shared" si="247"/>
        <v>49.065846380211028</v>
      </c>
      <c r="T614" s="100">
        <f t="shared" si="247"/>
        <v>75.905230690337518</v>
      </c>
      <c r="U614" s="100"/>
      <c r="V614" s="102">
        <f>SUM(G614:T614)</f>
        <v>2111736.7024053736</v>
      </c>
      <c r="W614" s="98" t="str">
        <f>IF(ABS(F614-V614)&lt;0.01,"ok","err")</f>
        <v>ok</v>
      </c>
      <c r="X614" s="102" t="str">
        <f>IF(W614="err",V614-F614,"")</f>
        <v/>
      </c>
    </row>
    <row r="615" spans="1:24" ht="12" customHeight="1" x14ac:dyDescent="0.25">
      <c r="A615" s="107" t="s">
        <v>412</v>
      </c>
      <c r="C615" s="97" t="s">
        <v>396</v>
      </c>
      <c r="D615" s="97" t="s">
        <v>1194</v>
      </c>
      <c r="E615" s="97" t="s">
        <v>2331</v>
      </c>
      <c r="F615" s="101">
        <f>VLOOKUP(C615,'Functional Assignment'!$C$1:$AU$771,25,)</f>
        <v>1879191.0313506036</v>
      </c>
      <c r="G615" s="101">
        <f t="shared" si="247"/>
        <v>1502831.8590650116</v>
      </c>
      <c r="H615" s="101">
        <f t="shared" si="247"/>
        <v>290789.0696104723</v>
      </c>
      <c r="I615" s="101">
        <f t="shared" si="247"/>
        <v>0</v>
      </c>
      <c r="J615" s="101">
        <f t="shared" si="247"/>
        <v>2069.3626262046832</v>
      </c>
      <c r="K615" s="101">
        <f t="shared" si="247"/>
        <v>0</v>
      </c>
      <c r="L615" s="101">
        <f t="shared" si="247"/>
        <v>15713.895288026459</v>
      </c>
      <c r="M615" s="101">
        <f t="shared" si="247"/>
        <v>0</v>
      </c>
      <c r="N615" s="101">
        <f t="shared" si="247"/>
        <v>2156.6038836332114</v>
      </c>
      <c r="O615" s="101">
        <f t="shared" si="247"/>
        <v>0</v>
      </c>
      <c r="P615" s="101">
        <f t="shared" si="247"/>
        <v>0</v>
      </c>
      <c r="Q615" s="101">
        <f t="shared" si="247"/>
        <v>0</v>
      </c>
      <c r="R615" s="101">
        <f t="shared" si="247"/>
        <v>65327.804518169367</v>
      </c>
      <c r="S615" s="101">
        <f t="shared" si="247"/>
        <v>1.5509556876182751</v>
      </c>
      <c r="T615" s="101">
        <f t="shared" si="247"/>
        <v>300.88540339794537</v>
      </c>
      <c r="U615" s="101"/>
      <c r="V615" s="101">
        <f>SUM(G615:T615)</f>
        <v>1879191.0313506031</v>
      </c>
      <c r="W615" s="98" t="str">
        <f>IF(ABS(F615-V615)&lt;0.01,"ok","err")</f>
        <v>ok</v>
      </c>
      <c r="X615" s="102" t="str">
        <f>IF(W615="err",V615-F615,"")</f>
        <v/>
      </c>
    </row>
    <row r="616" spans="1:24" ht="12" customHeight="1" x14ac:dyDescent="0.25">
      <c r="A616" s="97" t="s">
        <v>1536</v>
      </c>
      <c r="D616" s="97" t="s">
        <v>1195</v>
      </c>
      <c r="F616" s="100">
        <f t="shared" ref="F616:T616" si="248">F614+F615</f>
        <v>3990927.7337559778</v>
      </c>
      <c r="G616" s="100">
        <f t="shared" si="248"/>
        <v>2978408.411057014</v>
      </c>
      <c r="H616" s="100">
        <f t="shared" si="248"/>
        <v>546843.29261782451</v>
      </c>
      <c r="I616" s="100">
        <f>I614+I615</f>
        <v>0</v>
      </c>
      <c r="J616" s="100">
        <f>J614+J615</f>
        <v>21617.370833660061</v>
      </c>
      <c r="K616" s="100">
        <f>K614+K615</f>
        <v>0</v>
      </c>
      <c r="L616" s="100">
        <f t="shared" si="248"/>
        <v>228888.61249249487</v>
      </c>
      <c r="M616" s="100">
        <f t="shared" si="248"/>
        <v>0</v>
      </c>
      <c r="N616" s="100">
        <f t="shared" si="248"/>
        <v>137700.8366953056</v>
      </c>
      <c r="O616" s="100">
        <f t="shared" si="248"/>
        <v>0</v>
      </c>
      <c r="P616" s="100">
        <f>P614+P615</f>
        <v>0</v>
      </c>
      <c r="Q616" s="100">
        <f t="shared" si="248"/>
        <v>0</v>
      </c>
      <c r="R616" s="100">
        <f t="shared" si="248"/>
        <v>77041.802623522002</v>
      </c>
      <c r="S616" s="100">
        <f t="shared" si="248"/>
        <v>50.616802067829305</v>
      </c>
      <c r="T616" s="100">
        <f t="shared" si="248"/>
        <v>376.7906340882829</v>
      </c>
      <c r="U616" s="100"/>
      <c r="V616" s="102">
        <f>SUM(G616:T616)</f>
        <v>3990927.7337559769</v>
      </c>
      <c r="W616" s="98" t="str">
        <f>IF(ABS(F616-V616)&lt;0.01,"ok","err")</f>
        <v>ok</v>
      </c>
      <c r="X616" s="102" t="str">
        <f>IF(W616="err",V616-F616,"")</f>
        <v/>
      </c>
    </row>
    <row r="617" spans="1:24" ht="12" customHeight="1" x14ac:dyDescent="0.25">
      <c r="F617" s="101"/>
    </row>
    <row r="618" spans="1:24" ht="12" customHeight="1" x14ac:dyDescent="0.25">
      <c r="A618" s="24" t="s">
        <v>134</v>
      </c>
      <c r="F618" s="101"/>
    </row>
    <row r="619" spans="1:24" ht="12" customHeight="1" x14ac:dyDescent="0.25">
      <c r="A619" s="107" t="s">
        <v>412</v>
      </c>
      <c r="C619" s="97" t="s">
        <v>396</v>
      </c>
      <c r="D619" s="97" t="s">
        <v>1196</v>
      </c>
      <c r="E619" s="97" t="s">
        <v>413</v>
      </c>
      <c r="F619" s="100">
        <f>VLOOKUP(C619,'Functional Assignment'!$C$1:$AU$771,26,)</f>
        <v>1258066.3927289497</v>
      </c>
      <c r="G619" s="100">
        <f t="shared" ref="G619:T619" si="249">IF(VLOOKUP($E619,$D$5:$AJ$945,3,)=0,0,(VLOOKUP($E619,$D$5:$AJ$945,G$1,)/VLOOKUP($E619,$D$5:$AJ$945,3,))*$F619)</f>
        <v>882287.5414801382</v>
      </c>
      <c r="H619" s="100">
        <f t="shared" si="249"/>
        <v>345612.88887806772</v>
      </c>
      <c r="I619" s="100">
        <f t="shared" si="249"/>
        <v>0</v>
      </c>
      <c r="J619" s="100">
        <f t="shared" si="249"/>
        <v>3273.1104645266146</v>
      </c>
      <c r="K619" s="100">
        <f t="shared" si="249"/>
        <v>0</v>
      </c>
      <c r="L619" s="100">
        <f t="shared" si="249"/>
        <v>23481.330898023247</v>
      </c>
      <c r="M619" s="100">
        <f t="shared" si="249"/>
        <v>0</v>
      </c>
      <c r="N619" s="100">
        <f t="shared" si="249"/>
        <v>3411.521008193728</v>
      </c>
      <c r="O619" s="100">
        <f t="shared" si="249"/>
        <v>0</v>
      </c>
      <c r="P619" s="100">
        <f t="shared" si="249"/>
        <v>0</v>
      </c>
      <c r="Q619" s="100">
        <f t="shared" si="249"/>
        <v>0</v>
      </c>
      <c r="R619" s="100">
        <f t="shared" si="249"/>
        <v>0</v>
      </c>
      <c r="S619" s="100">
        <f t="shared" si="249"/>
        <v>0</v>
      </c>
      <c r="T619" s="100">
        <f t="shared" si="249"/>
        <v>0</v>
      </c>
      <c r="U619" s="100"/>
      <c r="V619" s="102">
        <f>SUM(G619:T619)</f>
        <v>1258066.3927289494</v>
      </c>
      <c r="W619" s="98" t="str">
        <f>IF(ABS(F619-V619)&lt;0.01,"ok","err")</f>
        <v>ok</v>
      </c>
      <c r="X619" s="102" t="str">
        <f>IF(W619="err",V619-F619,"")</f>
        <v/>
      </c>
    </row>
    <row r="620" spans="1:24" ht="12" customHeight="1" x14ac:dyDescent="0.25">
      <c r="F620" s="101"/>
    </row>
    <row r="621" spans="1:24" ht="12" customHeight="1" x14ac:dyDescent="0.25">
      <c r="A621" s="24" t="s">
        <v>133</v>
      </c>
      <c r="F621" s="101"/>
    </row>
    <row r="622" spans="1:24" ht="12" customHeight="1" x14ac:dyDescent="0.25">
      <c r="A622" s="107" t="s">
        <v>412</v>
      </c>
      <c r="C622" s="97" t="s">
        <v>396</v>
      </c>
      <c r="D622" s="97" t="s">
        <v>1197</v>
      </c>
      <c r="E622" s="97" t="s">
        <v>414</v>
      </c>
      <c r="F622" s="100">
        <f>VLOOKUP(C622,'Functional Assignment'!$C$1:$AU$771,27,)</f>
        <v>1073424.9157178816</v>
      </c>
      <c r="G622" s="100">
        <f t="shared" ref="G622:T622" si="250">IF(VLOOKUP($E622,$D$5:$AJ$945,3,)=0,0,(VLOOKUP($E622,$D$5:$AJ$945,G$1,)/VLOOKUP($E622,$D$5:$AJ$945,3,))*$F622)</f>
        <v>667079.23271806922</v>
      </c>
      <c r="H622" s="100">
        <f t="shared" si="250"/>
        <v>248632.85949758525</v>
      </c>
      <c r="I622" s="100">
        <f t="shared" si="250"/>
        <v>0</v>
      </c>
      <c r="J622" s="100">
        <f t="shared" si="250"/>
        <v>5273.9016831660583</v>
      </c>
      <c r="K622" s="100">
        <f t="shared" si="250"/>
        <v>0</v>
      </c>
      <c r="L622" s="100">
        <f t="shared" si="250"/>
        <v>67391.836389353106</v>
      </c>
      <c r="M622" s="100">
        <f t="shared" si="250"/>
        <v>14858.481996429911</v>
      </c>
      <c r="N622" s="100">
        <f t="shared" si="250"/>
        <v>12498.006642168439</v>
      </c>
      <c r="O622" s="100">
        <f t="shared" si="250"/>
        <v>33013.697712515452</v>
      </c>
      <c r="P622" s="100">
        <f t="shared" si="250"/>
        <v>22515.722211624532</v>
      </c>
      <c r="Q622" s="100">
        <f t="shared" si="250"/>
        <v>952.96424116958258</v>
      </c>
      <c r="R622" s="100">
        <f t="shared" si="250"/>
        <v>0</v>
      </c>
      <c r="S622" s="100">
        <f t="shared" si="250"/>
        <v>6.1959621835903365</v>
      </c>
      <c r="T622" s="100">
        <f t="shared" si="250"/>
        <v>1202.0166636165252</v>
      </c>
      <c r="U622" s="100"/>
      <c r="V622" s="102">
        <f>SUM(G622:T622)</f>
        <v>1073424.9157178816</v>
      </c>
      <c r="W622" s="98" t="str">
        <f>IF(ABS(F622-V622)&lt;0.01,"ok","err")</f>
        <v>ok</v>
      </c>
      <c r="X622" s="102" t="str">
        <f>IF(W622="err",V622-F622,"")</f>
        <v/>
      </c>
    </row>
    <row r="623" spans="1:24" ht="12" customHeight="1" x14ac:dyDescent="0.25">
      <c r="F623" s="101"/>
    </row>
    <row r="624" spans="1:24" ht="12" customHeight="1" x14ac:dyDescent="0.25">
      <c r="A624" s="24" t="s">
        <v>156</v>
      </c>
      <c r="F624" s="101"/>
    </row>
    <row r="625" spans="1:24" ht="12" customHeight="1" x14ac:dyDescent="0.25">
      <c r="A625" s="107" t="s">
        <v>412</v>
      </c>
      <c r="C625" s="97" t="s">
        <v>396</v>
      </c>
      <c r="D625" s="97" t="s">
        <v>1198</v>
      </c>
      <c r="E625" s="97" t="s">
        <v>415</v>
      </c>
      <c r="F625" s="100">
        <f>VLOOKUP(C625,'Functional Assignment'!$C$1:$AU$771,28,)</f>
        <v>1488925.8703204375</v>
      </c>
      <c r="G625" s="100">
        <f t="shared" ref="G625:T625" si="251">IF(VLOOKUP($E625,$D$5:$AJ$945,3,)=0,0,(VLOOKUP($E625,$D$5:$AJ$945,G$1,)/VLOOKUP($E625,$D$5:$AJ$945,3,))*$F625)</f>
        <v>0</v>
      </c>
      <c r="H625" s="100">
        <f t="shared" si="251"/>
        <v>0</v>
      </c>
      <c r="I625" s="100">
        <f t="shared" si="251"/>
        <v>0</v>
      </c>
      <c r="J625" s="100">
        <f t="shared" si="251"/>
        <v>0</v>
      </c>
      <c r="K625" s="100">
        <f t="shared" si="251"/>
        <v>0</v>
      </c>
      <c r="L625" s="100">
        <f t="shared" si="251"/>
        <v>0</v>
      </c>
      <c r="M625" s="100">
        <f t="shared" si="251"/>
        <v>0</v>
      </c>
      <c r="N625" s="100">
        <f t="shared" si="251"/>
        <v>0</v>
      </c>
      <c r="O625" s="100">
        <f t="shared" si="251"/>
        <v>0</v>
      </c>
      <c r="P625" s="100">
        <f t="shared" si="251"/>
        <v>0</v>
      </c>
      <c r="Q625" s="100">
        <f t="shared" si="251"/>
        <v>0</v>
      </c>
      <c r="R625" s="100">
        <f t="shared" si="251"/>
        <v>1488925.8703204375</v>
      </c>
      <c r="S625" s="100">
        <f t="shared" si="251"/>
        <v>0</v>
      </c>
      <c r="T625" s="100">
        <f t="shared" si="251"/>
        <v>0</v>
      </c>
      <c r="U625" s="100"/>
      <c r="V625" s="102">
        <f>SUM(G625:T625)</f>
        <v>1488925.8703204375</v>
      </c>
      <c r="W625" s="98" t="str">
        <f>IF(ABS(F625-V625)&lt;0.01,"ok","err")</f>
        <v>ok</v>
      </c>
      <c r="X625" s="102" t="str">
        <f>IF(W625="err",V625-F625,"")</f>
        <v/>
      </c>
    </row>
    <row r="626" spans="1:24" ht="12" customHeight="1" x14ac:dyDescent="0.25">
      <c r="F626" s="101"/>
    </row>
    <row r="627" spans="1:24" ht="12" customHeight="1" x14ac:dyDescent="0.25">
      <c r="A627" s="24" t="s">
        <v>309</v>
      </c>
      <c r="F627" s="101"/>
    </row>
    <row r="628" spans="1:24" ht="12" customHeight="1" x14ac:dyDescent="0.25">
      <c r="A628" s="107" t="s">
        <v>412</v>
      </c>
      <c r="C628" s="97" t="s">
        <v>396</v>
      </c>
      <c r="D628" s="97" t="s">
        <v>1199</v>
      </c>
      <c r="E628" s="97" t="s">
        <v>416</v>
      </c>
      <c r="F628" s="100">
        <f>VLOOKUP(C628,'Functional Assignment'!$C$1:$AU$771,30,)</f>
        <v>0</v>
      </c>
      <c r="G628" s="100">
        <f t="shared" ref="G628:T628" si="252">IF(VLOOKUP($E628,$D$5:$AJ$945,3,)=0,0,(VLOOKUP($E628,$D$5:$AJ$945,G$1,)/VLOOKUP($E628,$D$5:$AJ$945,3,))*$F628)</f>
        <v>0</v>
      </c>
      <c r="H628" s="100">
        <f t="shared" si="252"/>
        <v>0</v>
      </c>
      <c r="I628" s="100">
        <f t="shared" si="252"/>
        <v>0</v>
      </c>
      <c r="J628" s="100">
        <f t="shared" si="252"/>
        <v>0</v>
      </c>
      <c r="K628" s="100">
        <f t="shared" si="252"/>
        <v>0</v>
      </c>
      <c r="L628" s="100">
        <f t="shared" si="252"/>
        <v>0</v>
      </c>
      <c r="M628" s="100">
        <f t="shared" si="252"/>
        <v>0</v>
      </c>
      <c r="N628" s="100">
        <f t="shared" si="252"/>
        <v>0</v>
      </c>
      <c r="O628" s="100">
        <f t="shared" si="252"/>
        <v>0</v>
      </c>
      <c r="P628" s="100">
        <f t="shared" si="252"/>
        <v>0</v>
      </c>
      <c r="Q628" s="100">
        <f t="shared" si="252"/>
        <v>0</v>
      </c>
      <c r="R628" s="100">
        <f t="shared" si="252"/>
        <v>0</v>
      </c>
      <c r="S628" s="100">
        <f t="shared" si="252"/>
        <v>0</v>
      </c>
      <c r="T628" s="100">
        <f t="shared" si="252"/>
        <v>0</v>
      </c>
      <c r="U628" s="100"/>
      <c r="V628" s="102">
        <f>SUM(G628:T628)</f>
        <v>0</v>
      </c>
      <c r="W628" s="98" t="str">
        <f>IF(ABS(F628-V628)&lt;0.01,"ok","err")</f>
        <v>ok</v>
      </c>
      <c r="X628" s="102" t="str">
        <f>IF(W628="err",V628-F628,"")</f>
        <v/>
      </c>
    </row>
    <row r="629" spans="1:24" ht="12" customHeight="1" x14ac:dyDescent="0.25">
      <c r="F629" s="101"/>
    </row>
    <row r="630" spans="1:24" ht="12" customHeight="1" x14ac:dyDescent="0.25">
      <c r="A630" s="24" t="s">
        <v>1700</v>
      </c>
      <c r="F630" s="101"/>
    </row>
    <row r="631" spans="1:24" ht="12" customHeight="1" x14ac:dyDescent="0.25">
      <c r="A631" s="107" t="s">
        <v>412</v>
      </c>
      <c r="C631" s="97" t="s">
        <v>396</v>
      </c>
      <c r="D631" s="97" t="s">
        <v>1200</v>
      </c>
      <c r="E631" s="97" t="s">
        <v>416</v>
      </c>
      <c r="F631" s="100">
        <f>VLOOKUP(C631,'Functional Assignment'!$C$1:$AU$771,32,)</f>
        <v>0</v>
      </c>
      <c r="G631" s="100">
        <f t="shared" ref="G631:T631" si="253">IF(VLOOKUP($E631,$D$5:$AJ$945,3,)=0,0,(VLOOKUP($E631,$D$5:$AJ$945,G$1,)/VLOOKUP($E631,$D$5:$AJ$945,3,))*$F631)</f>
        <v>0</v>
      </c>
      <c r="H631" s="100">
        <f t="shared" si="253"/>
        <v>0</v>
      </c>
      <c r="I631" s="100">
        <f t="shared" si="253"/>
        <v>0</v>
      </c>
      <c r="J631" s="100">
        <f t="shared" si="253"/>
        <v>0</v>
      </c>
      <c r="K631" s="100">
        <f t="shared" si="253"/>
        <v>0</v>
      </c>
      <c r="L631" s="100">
        <f t="shared" si="253"/>
        <v>0</v>
      </c>
      <c r="M631" s="100">
        <f t="shared" si="253"/>
        <v>0</v>
      </c>
      <c r="N631" s="100">
        <f t="shared" si="253"/>
        <v>0</v>
      </c>
      <c r="O631" s="100">
        <f t="shared" si="253"/>
        <v>0</v>
      </c>
      <c r="P631" s="100">
        <f t="shared" si="253"/>
        <v>0</v>
      </c>
      <c r="Q631" s="100">
        <f t="shared" si="253"/>
        <v>0</v>
      </c>
      <c r="R631" s="100">
        <f t="shared" si="253"/>
        <v>0</v>
      </c>
      <c r="S631" s="100">
        <f t="shared" si="253"/>
        <v>0</v>
      </c>
      <c r="T631" s="100">
        <f t="shared" si="253"/>
        <v>0</v>
      </c>
      <c r="U631" s="100"/>
      <c r="V631" s="102">
        <f>SUM(G631:T631)</f>
        <v>0</v>
      </c>
      <c r="W631" s="98" t="str">
        <f>IF(ABS(F631-V631)&lt;0.01,"ok","err")</f>
        <v>ok</v>
      </c>
      <c r="X631" s="102" t="str">
        <f>IF(W631="err",V631-F631,"")</f>
        <v/>
      </c>
    </row>
    <row r="632" spans="1:24" ht="12" customHeight="1" x14ac:dyDescent="0.25">
      <c r="F632" s="101"/>
    </row>
    <row r="633" spans="1:24" ht="12" customHeight="1" x14ac:dyDescent="0.25">
      <c r="A633" s="24" t="s">
        <v>1699</v>
      </c>
      <c r="F633" s="101"/>
    </row>
    <row r="634" spans="1:24" ht="12" customHeight="1" x14ac:dyDescent="0.25">
      <c r="A634" s="107" t="s">
        <v>412</v>
      </c>
      <c r="C634" s="97" t="s">
        <v>396</v>
      </c>
      <c r="D634" s="97" t="s">
        <v>1201</v>
      </c>
      <c r="E634" s="97" t="s">
        <v>417</v>
      </c>
      <c r="F634" s="100">
        <f>VLOOKUP(C634,'Functional Assignment'!$C$1:$AU$771,34,)</f>
        <v>0</v>
      </c>
      <c r="G634" s="100">
        <f t="shared" ref="G634:T634" si="254">IF(VLOOKUP($E634,$D$5:$AJ$945,3,)=0,0,(VLOOKUP($E634,$D$5:$AJ$945,G$1,)/VLOOKUP($E634,$D$5:$AJ$945,3,))*$F634)</f>
        <v>0</v>
      </c>
      <c r="H634" s="100">
        <f t="shared" si="254"/>
        <v>0</v>
      </c>
      <c r="I634" s="100">
        <f t="shared" si="254"/>
        <v>0</v>
      </c>
      <c r="J634" s="100">
        <f t="shared" si="254"/>
        <v>0</v>
      </c>
      <c r="K634" s="100">
        <f t="shared" si="254"/>
        <v>0</v>
      </c>
      <c r="L634" s="100">
        <f t="shared" si="254"/>
        <v>0</v>
      </c>
      <c r="M634" s="100">
        <f t="shared" si="254"/>
        <v>0</v>
      </c>
      <c r="N634" s="100">
        <f t="shared" si="254"/>
        <v>0</v>
      </c>
      <c r="O634" s="100">
        <f t="shared" si="254"/>
        <v>0</v>
      </c>
      <c r="P634" s="100">
        <f t="shared" si="254"/>
        <v>0</v>
      </c>
      <c r="Q634" s="100">
        <f t="shared" si="254"/>
        <v>0</v>
      </c>
      <c r="R634" s="100">
        <f t="shared" si="254"/>
        <v>0</v>
      </c>
      <c r="S634" s="100">
        <f t="shared" si="254"/>
        <v>0</v>
      </c>
      <c r="T634" s="100">
        <f t="shared" si="254"/>
        <v>0</v>
      </c>
      <c r="U634" s="100"/>
      <c r="V634" s="102">
        <f>SUM(G634:T634)</f>
        <v>0</v>
      </c>
      <c r="W634" s="98" t="str">
        <f>IF(ABS(F634-V634)&lt;0.01,"ok","err")</f>
        <v>ok</v>
      </c>
      <c r="X634" s="102" t="str">
        <f>IF(W634="err",V634-F634,"")</f>
        <v/>
      </c>
    </row>
    <row r="635" spans="1:24" ht="12" customHeight="1" x14ac:dyDescent="0.25">
      <c r="F635" s="101"/>
    </row>
    <row r="636" spans="1:24" ht="12" customHeight="1" x14ac:dyDescent="0.25">
      <c r="A636" s="97" t="s">
        <v>68</v>
      </c>
      <c r="D636" s="97" t="s">
        <v>1202</v>
      </c>
      <c r="F636" s="100">
        <f>F591+F597+F600+F603+F611+F616+F619+F622+F625+F628+F631+F634</f>
        <v>86095200.491145507</v>
      </c>
      <c r="G636" s="100">
        <f t="shared" ref="G636:T636" si="255">G591+G597+G600+G603+G611+G616+G619+G622+G625+G628+G631+G634</f>
        <v>40550220.668183573</v>
      </c>
      <c r="H636" s="100">
        <f t="shared" si="255"/>
        <v>10418599.508402497</v>
      </c>
      <c r="I636" s="100">
        <f>I591+I597+I600+I603+I611+I616+I619+I622+I625+I628+I631+I634</f>
        <v>0</v>
      </c>
      <c r="J636" s="100">
        <f>J591+J597+J600+J603+J611+J616+J619+J622+J625+J628+J631+J634</f>
        <v>668776.93154093286</v>
      </c>
      <c r="K636" s="100">
        <f>K591+K597+K600+K603+K611+K616+K619+K622+K625+K628+K631+K634</f>
        <v>0</v>
      </c>
      <c r="L636" s="100">
        <f t="shared" si="255"/>
        <v>8266800.717887775</v>
      </c>
      <c r="M636" s="100">
        <f t="shared" si="255"/>
        <v>600722.80339447141</v>
      </c>
      <c r="N636" s="100">
        <f t="shared" si="255"/>
        <v>5913421.431592077</v>
      </c>
      <c r="O636" s="100">
        <f>O591+O597+O600+O603+O611+O616+O619+O622+O625+O628+O631+O634</f>
        <v>12663457.890034882</v>
      </c>
      <c r="P636" s="100">
        <f>P591+P597+P600+P603+P611+P616+P619+P622+P625+P628+P631+P634</f>
        <v>4062213.4008213338</v>
      </c>
      <c r="Q636" s="100">
        <f t="shared" si="255"/>
        <v>1056233.0599140152</v>
      </c>
      <c r="R636" s="100">
        <f t="shared" si="255"/>
        <v>1888015.8660816066</v>
      </c>
      <c r="S636" s="100">
        <f t="shared" si="255"/>
        <v>309.03549505252892</v>
      </c>
      <c r="T636" s="100">
        <f t="shared" si="255"/>
        <v>6429.1777972720492</v>
      </c>
      <c r="U636" s="100"/>
      <c r="V636" s="102">
        <f>SUM(G636:T636)</f>
        <v>86095200.491145507</v>
      </c>
      <c r="W636" s="98" t="str">
        <f>IF(ABS(F636-V636)&lt;0.01,"ok","err")</f>
        <v>ok</v>
      </c>
      <c r="X636" s="243" t="str">
        <f>IF(W636="err",V636-F636,"")</f>
        <v/>
      </c>
    </row>
    <row r="637" spans="1:24" ht="12" customHeight="1" x14ac:dyDescent="0.25"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2"/>
      <c r="W637" s="98"/>
    </row>
    <row r="638" spans="1:24" ht="12" customHeight="1" x14ac:dyDescent="0.25"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2"/>
      <c r="W638" s="98"/>
    </row>
    <row r="639" spans="1:24" ht="12" customHeight="1" x14ac:dyDescent="0.25"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2"/>
      <c r="W639" s="98"/>
    </row>
    <row r="640" spans="1:24" ht="12" customHeight="1" x14ac:dyDescent="0.25"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2"/>
      <c r="W640" s="98"/>
    </row>
    <row r="641" spans="1:24" ht="12" customHeight="1" x14ac:dyDescent="0.25"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2"/>
      <c r="W641" s="98"/>
    </row>
    <row r="642" spans="1:24" ht="12" customHeight="1" x14ac:dyDescent="0.25"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2"/>
      <c r="W642" s="98"/>
    </row>
    <row r="643" spans="1:24" ht="12" customHeight="1" x14ac:dyDescent="0.25"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2"/>
      <c r="W643" s="98"/>
    </row>
    <row r="644" spans="1:24" ht="12" customHeight="1" x14ac:dyDescent="0.25"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2"/>
      <c r="W644" s="98"/>
    </row>
    <row r="645" spans="1:24" ht="12" customHeight="1" x14ac:dyDescent="0.25"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2"/>
      <c r="W645" s="98"/>
    </row>
    <row r="646" spans="1:24" ht="12" customHeight="1" x14ac:dyDescent="0.25"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2"/>
      <c r="W646" s="98"/>
    </row>
    <row r="647" spans="1:24" ht="12" customHeight="1" x14ac:dyDescent="0.25"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2"/>
      <c r="W647" s="98"/>
    </row>
    <row r="648" spans="1:24" ht="12" customHeight="1" x14ac:dyDescent="0.25">
      <c r="A648" s="23" t="s">
        <v>579</v>
      </c>
      <c r="F648" s="102"/>
    </row>
    <row r="649" spans="1:24" ht="12" customHeight="1" x14ac:dyDescent="0.25">
      <c r="F649" s="102"/>
      <c r="G649" s="102"/>
    </row>
    <row r="650" spans="1:24" ht="12" customHeight="1" x14ac:dyDescent="0.25">
      <c r="A650" s="24" t="s">
        <v>431</v>
      </c>
    </row>
    <row r="651" spans="1:24" ht="12" customHeight="1" x14ac:dyDescent="0.25">
      <c r="A651" s="107" t="s">
        <v>932</v>
      </c>
      <c r="D651" s="97" t="s">
        <v>432</v>
      </c>
      <c r="E651" s="97" t="s">
        <v>516</v>
      </c>
      <c r="F651" s="100">
        <f>F843</f>
        <v>1464489053</v>
      </c>
      <c r="G651" s="100">
        <f t="shared" ref="G651:T660" si="256">IF(VLOOKUP($E651,$D$5:$AJ$1007,3,)=0,0,(VLOOKUP($E651,$D$5:$AJ$1007,G$1,)/VLOOKUP($E651,$D$5:$AJ$1007,3,))*$F651)</f>
        <v>554543189</v>
      </c>
      <c r="H651" s="100">
        <f t="shared" si="256"/>
        <v>198233993.99999997</v>
      </c>
      <c r="I651" s="100">
        <f t="shared" si="256"/>
        <v>0</v>
      </c>
      <c r="J651" s="100">
        <f t="shared" si="256"/>
        <v>12037990.999999998</v>
      </c>
      <c r="K651" s="100">
        <f t="shared" si="256"/>
        <v>0</v>
      </c>
      <c r="L651" s="100">
        <f t="shared" si="256"/>
        <v>174459441</v>
      </c>
      <c r="M651" s="100">
        <f t="shared" si="256"/>
        <v>13950650.999999998</v>
      </c>
      <c r="N651" s="100">
        <f t="shared" si="256"/>
        <v>116879945</v>
      </c>
      <c r="O651" s="100">
        <f t="shared" si="256"/>
        <v>251561897</v>
      </c>
      <c r="P651" s="100">
        <f t="shared" si="256"/>
        <v>86711460</v>
      </c>
      <c r="Q651" s="100">
        <f t="shared" si="256"/>
        <v>29892107</v>
      </c>
      <c r="R651" s="100">
        <f t="shared" si="256"/>
        <v>26032396</v>
      </c>
      <c r="S651" s="100">
        <f t="shared" si="256"/>
        <v>29470.000000000004</v>
      </c>
      <c r="T651" s="100">
        <f t="shared" si="256"/>
        <v>156512</v>
      </c>
      <c r="U651" s="100"/>
      <c r="V651" s="102">
        <f t="shared" ref="V651:V666" si="257">SUM(G651:T651)</f>
        <v>1464489053</v>
      </c>
      <c r="W651" s="98" t="str">
        <f t="shared" ref="W651:W666" si="258">IF(ABS(F651-V651)&lt;0.01,"ok","err")</f>
        <v>ok</v>
      </c>
      <c r="X651" s="102" t="str">
        <f>IF(W651="err",V651-F651,"")</f>
        <v/>
      </c>
    </row>
    <row r="652" spans="1:24" ht="12" customHeight="1" x14ac:dyDescent="0.25">
      <c r="A652" s="97" t="s">
        <v>1214</v>
      </c>
      <c r="D652" s="97" t="s">
        <v>825</v>
      </c>
      <c r="E652" s="97" t="s">
        <v>410</v>
      </c>
      <c r="F652" s="101">
        <v>8422903.2400000002</v>
      </c>
      <c r="G652" s="101">
        <f t="shared" si="256"/>
        <v>2829615.4300200166</v>
      </c>
      <c r="H652" s="101">
        <f t="shared" si="256"/>
        <v>838290.47107581364</v>
      </c>
      <c r="I652" s="101">
        <f t="shared" si="256"/>
        <v>0</v>
      </c>
      <c r="J652" s="101">
        <f t="shared" si="256"/>
        <v>70540.746440541348</v>
      </c>
      <c r="K652" s="101">
        <f t="shared" si="256"/>
        <v>0</v>
      </c>
      <c r="L652" s="101">
        <f t="shared" si="256"/>
        <v>997111.51906858548</v>
      </c>
      <c r="M652" s="101">
        <f t="shared" si="256"/>
        <v>76946.693901392908</v>
      </c>
      <c r="N652" s="101">
        <f t="shared" si="256"/>
        <v>776254.74686152849</v>
      </c>
      <c r="O652" s="101">
        <f t="shared" si="256"/>
        <v>1865957.3271087771</v>
      </c>
      <c r="P652" s="101">
        <f t="shared" si="256"/>
        <v>664530.24368404015</v>
      </c>
      <c r="Q652" s="101">
        <f t="shared" si="256"/>
        <v>245327.47728685281</v>
      </c>
      <c r="R652" s="101">
        <f t="shared" si="256"/>
        <v>57429.364383024025</v>
      </c>
      <c r="S652" s="101">
        <f t="shared" si="256"/>
        <v>207.50576376202625</v>
      </c>
      <c r="T652" s="101">
        <f t="shared" si="256"/>
        <v>691.71440566367289</v>
      </c>
      <c r="U652" s="101"/>
      <c r="V652" s="101">
        <f t="shared" si="257"/>
        <v>8422903.2399999984</v>
      </c>
      <c r="W652" s="98" t="str">
        <f t="shared" si="258"/>
        <v>ok</v>
      </c>
      <c r="X652" s="102" t="str">
        <f>IF(W652="err",V652-F652,"")</f>
        <v/>
      </c>
    </row>
    <row r="653" spans="1:24" ht="12" hidden="1" customHeight="1" x14ac:dyDescent="0.25">
      <c r="A653" s="97" t="s">
        <v>1942</v>
      </c>
      <c r="E653" s="97" t="s">
        <v>1213</v>
      </c>
      <c r="F653" s="101">
        <v>0</v>
      </c>
      <c r="G653" s="101">
        <f t="shared" si="256"/>
        <v>0</v>
      </c>
      <c r="H653" s="101">
        <f t="shared" si="256"/>
        <v>0</v>
      </c>
      <c r="I653" s="101">
        <f t="shared" si="256"/>
        <v>0</v>
      </c>
      <c r="J653" s="101">
        <f t="shared" si="256"/>
        <v>0</v>
      </c>
      <c r="K653" s="101">
        <f t="shared" si="256"/>
        <v>0</v>
      </c>
      <c r="L653" s="101">
        <f t="shared" si="256"/>
        <v>0</v>
      </c>
      <c r="M653" s="101">
        <f t="shared" si="256"/>
        <v>0</v>
      </c>
      <c r="N653" s="101">
        <f t="shared" si="256"/>
        <v>0</v>
      </c>
      <c r="O653" s="101">
        <f t="shared" si="256"/>
        <v>0</v>
      </c>
      <c r="P653" s="101">
        <f t="shared" si="256"/>
        <v>0</v>
      </c>
      <c r="Q653" s="101">
        <f t="shared" si="256"/>
        <v>0</v>
      </c>
      <c r="R653" s="101">
        <f t="shared" si="256"/>
        <v>0</v>
      </c>
      <c r="S653" s="101">
        <f t="shared" si="256"/>
        <v>0</v>
      </c>
      <c r="T653" s="101">
        <f t="shared" si="256"/>
        <v>0</v>
      </c>
      <c r="U653" s="101"/>
      <c r="V653" s="101">
        <f>SUM(G653:T653)</f>
        <v>0</v>
      </c>
      <c r="W653" s="98" t="str">
        <f t="shared" si="258"/>
        <v>ok</v>
      </c>
      <c r="X653" s="102"/>
    </row>
    <row r="654" spans="1:24" ht="12" customHeight="1" x14ac:dyDescent="0.25">
      <c r="A654" s="97" t="s">
        <v>2430</v>
      </c>
      <c r="E654" s="97" t="s">
        <v>582</v>
      </c>
      <c r="F654" s="101">
        <f>-17395776</f>
        <v>-17395776</v>
      </c>
      <c r="G654" s="101">
        <f t="shared" si="256"/>
        <v>-7120997.5447985651</v>
      </c>
      <c r="H654" s="101">
        <f t="shared" si="256"/>
        <v>-1976551.7950724438</v>
      </c>
      <c r="I654" s="101">
        <f t="shared" si="256"/>
        <v>0</v>
      </c>
      <c r="J654" s="101">
        <f t="shared" si="256"/>
        <v>-148835.04237624098</v>
      </c>
      <c r="K654" s="101">
        <f t="shared" si="256"/>
        <v>0</v>
      </c>
      <c r="L654" s="101">
        <f t="shared" si="256"/>
        <v>-1986750.25159457</v>
      </c>
      <c r="M654" s="101">
        <f t="shared" si="256"/>
        <v>-146294.19723152765</v>
      </c>
      <c r="N654" s="101">
        <f t="shared" si="256"/>
        <v>-1450867.2355036079</v>
      </c>
      <c r="O654" s="101">
        <f t="shared" si="256"/>
        <v>-3173151.6699064914</v>
      </c>
      <c r="P654" s="101">
        <f t="shared" si="256"/>
        <v>-1103241.7810053704</v>
      </c>
      <c r="Q654" s="101">
        <f t="shared" si="256"/>
        <v>-288197.08424574614</v>
      </c>
      <c r="R654" s="101">
        <f t="shared" si="256"/>
        <v>0</v>
      </c>
      <c r="S654" s="101">
        <f t="shared" si="256"/>
        <v>0</v>
      </c>
      <c r="T654" s="101">
        <f t="shared" si="256"/>
        <v>-889.39826543265804</v>
      </c>
      <c r="U654" s="101"/>
      <c r="V654" s="101">
        <f>SUM(G654:T654)</f>
        <v>-17395775.999999993</v>
      </c>
      <c r="W654" s="98" t="str">
        <f t="shared" si="258"/>
        <v>ok</v>
      </c>
      <c r="X654" s="102"/>
    </row>
    <row r="655" spans="1:24" ht="12" customHeight="1" x14ac:dyDescent="0.25">
      <c r="A655" s="97" t="s">
        <v>2191</v>
      </c>
      <c r="E655" s="97" t="s">
        <v>1931</v>
      </c>
      <c r="F655" s="101">
        <v>3857505.2961587054</v>
      </c>
      <c r="G655" s="101">
        <f t="shared" si="256"/>
        <v>3012898.2127159415</v>
      </c>
      <c r="H655" s="101">
        <f t="shared" si="256"/>
        <v>568302.03020910779</v>
      </c>
      <c r="I655" s="101">
        <f t="shared" si="256"/>
        <v>0</v>
      </c>
      <c r="J655" s="101">
        <f t="shared" si="256"/>
        <v>3750.3524144748221</v>
      </c>
      <c r="K655" s="101">
        <f t="shared" si="256"/>
        <v>0</v>
      </c>
      <c r="L655" s="101">
        <f t="shared" si="256"/>
        <v>98651.332762320162</v>
      </c>
      <c r="M655" s="101">
        <f t="shared" si="256"/>
        <v>5534.7421869142427</v>
      </c>
      <c r="N655" s="101">
        <f t="shared" si="256"/>
        <v>41764.010353338403</v>
      </c>
      <c r="O655" s="101">
        <f t="shared" si="256"/>
        <v>107885.48865016444</v>
      </c>
      <c r="P655" s="101">
        <f t="shared" si="256"/>
        <v>18685.962777292352</v>
      </c>
      <c r="Q655" s="101">
        <f t="shared" si="256"/>
        <v>0</v>
      </c>
      <c r="R655" s="101">
        <f t="shared" si="256"/>
        <v>33.164089152319214</v>
      </c>
      <c r="S655" s="101">
        <f t="shared" si="256"/>
        <v>0</v>
      </c>
      <c r="T655" s="101">
        <f t="shared" si="256"/>
        <v>0</v>
      </c>
      <c r="U655" s="101"/>
      <c r="V655" s="101">
        <f t="shared" si="257"/>
        <v>3857505.2961587058</v>
      </c>
      <c r="W655" s="98" t="str">
        <f t="shared" si="258"/>
        <v>ok</v>
      </c>
      <c r="X655" s="102" t="str">
        <f t="shared" ref="X655:X666" si="259">IF(W655="err",V655-F655,"")</f>
        <v/>
      </c>
    </row>
    <row r="656" spans="1:24" ht="12" hidden="1" customHeight="1" x14ac:dyDescent="0.25">
      <c r="A656" s="97" t="s">
        <v>2192</v>
      </c>
      <c r="E656" s="97" t="s">
        <v>2230</v>
      </c>
      <c r="F656" s="101"/>
      <c r="G656" s="101">
        <f t="shared" si="256"/>
        <v>0</v>
      </c>
      <c r="H656" s="101">
        <f t="shared" si="256"/>
        <v>0</v>
      </c>
      <c r="I656" s="101">
        <f t="shared" si="256"/>
        <v>0</v>
      </c>
      <c r="J656" s="101">
        <f t="shared" si="256"/>
        <v>0</v>
      </c>
      <c r="K656" s="101">
        <f t="shared" si="256"/>
        <v>0</v>
      </c>
      <c r="L656" s="101">
        <f t="shared" si="256"/>
        <v>0</v>
      </c>
      <c r="M656" s="101">
        <f t="shared" si="256"/>
        <v>0</v>
      </c>
      <c r="N656" s="101">
        <f t="shared" si="256"/>
        <v>0</v>
      </c>
      <c r="O656" s="101">
        <f t="shared" si="256"/>
        <v>0</v>
      </c>
      <c r="P656" s="101">
        <f t="shared" si="256"/>
        <v>0</v>
      </c>
      <c r="Q656" s="101">
        <f t="shared" si="256"/>
        <v>0</v>
      </c>
      <c r="R656" s="101">
        <f t="shared" si="256"/>
        <v>0</v>
      </c>
      <c r="S656" s="101">
        <f t="shared" si="256"/>
        <v>0</v>
      </c>
      <c r="T656" s="101">
        <f t="shared" si="256"/>
        <v>0</v>
      </c>
      <c r="U656" s="101"/>
      <c r="V656" s="101">
        <f t="shared" si="257"/>
        <v>0</v>
      </c>
      <c r="W656" s="98" t="str">
        <f t="shared" si="258"/>
        <v>ok</v>
      </c>
      <c r="X656" s="102" t="str">
        <f t="shared" si="259"/>
        <v/>
      </c>
    </row>
    <row r="657" spans="1:24" ht="12" customHeight="1" x14ac:dyDescent="0.25">
      <c r="A657" s="97" t="s">
        <v>2193</v>
      </c>
      <c r="E657" s="97" t="s">
        <v>2230</v>
      </c>
      <c r="F657" s="101">
        <v>2108281.586779655</v>
      </c>
      <c r="G657" s="101">
        <f t="shared" si="256"/>
        <v>1967237.1981218893</v>
      </c>
      <c r="H657" s="101">
        <f t="shared" si="256"/>
        <v>136875.49873332356</v>
      </c>
      <c r="I657" s="101">
        <f t="shared" si="256"/>
        <v>0</v>
      </c>
      <c r="J657" s="101">
        <f t="shared" si="256"/>
        <v>852.85627588832403</v>
      </c>
      <c r="K657" s="101">
        <f t="shared" si="256"/>
        <v>0</v>
      </c>
      <c r="L657" s="101">
        <f t="shared" si="256"/>
        <v>1335.3264374361033</v>
      </c>
      <c r="M657" s="101">
        <f t="shared" si="256"/>
        <v>51.155304539599754</v>
      </c>
      <c r="N657" s="101">
        <f t="shared" si="256"/>
        <v>981.87969205789011</v>
      </c>
      <c r="O657" s="101">
        <f t="shared" si="256"/>
        <v>439.12613805743086</v>
      </c>
      <c r="P657" s="101">
        <f t="shared" si="256"/>
        <v>47.644788939323412</v>
      </c>
      <c r="Q657" s="101">
        <f t="shared" si="256"/>
        <v>0</v>
      </c>
      <c r="R657" s="101">
        <f t="shared" si="256"/>
        <v>460.90128752325819</v>
      </c>
      <c r="S657" s="101">
        <f t="shared" si="256"/>
        <v>0</v>
      </c>
      <c r="T657" s="101">
        <f t="shared" si="256"/>
        <v>0</v>
      </c>
      <c r="U657" s="101"/>
      <c r="V657" s="101">
        <f>SUM(G657:T657)</f>
        <v>2108281.586779655</v>
      </c>
      <c r="W657" s="98" t="str">
        <f t="shared" si="258"/>
        <v>ok</v>
      </c>
      <c r="X657" s="102" t="str">
        <f t="shared" si="259"/>
        <v/>
      </c>
    </row>
    <row r="658" spans="1:24" ht="12" customHeight="1" x14ac:dyDescent="0.25">
      <c r="A658" s="97" t="s">
        <v>2194</v>
      </c>
      <c r="E658" s="97" t="s">
        <v>422</v>
      </c>
      <c r="F658" s="101">
        <v>3142644.6954118521</v>
      </c>
      <c r="G658" s="101">
        <f t="shared" si="256"/>
        <v>1482453.8396918518</v>
      </c>
      <c r="H658" s="101">
        <f t="shared" si="256"/>
        <v>381029.4600601329</v>
      </c>
      <c r="I658" s="101">
        <f t="shared" si="256"/>
        <v>0</v>
      </c>
      <c r="J658" s="101">
        <f t="shared" si="256"/>
        <v>24337.732367233741</v>
      </c>
      <c r="K658" s="101">
        <f t="shared" si="256"/>
        <v>0</v>
      </c>
      <c r="L658" s="101">
        <f t="shared" si="256"/>
        <v>299997.3131574103</v>
      </c>
      <c r="M658" s="101">
        <f t="shared" si="256"/>
        <v>21827.793073705088</v>
      </c>
      <c r="N658" s="101">
        <f t="shared" si="256"/>
        <v>214749.93273719854</v>
      </c>
      <c r="O658" s="101">
        <f t="shared" si="256"/>
        <v>460647.77068206581</v>
      </c>
      <c r="P658" s="101">
        <f t="shared" si="256"/>
        <v>147497.32439859424</v>
      </c>
      <c r="Q658" s="101">
        <f t="shared" si="256"/>
        <v>38866.370531641274</v>
      </c>
      <c r="R658" s="101">
        <f t="shared" si="256"/>
        <v>70983.324024651694</v>
      </c>
      <c r="S658" s="101">
        <f t="shared" si="256"/>
        <v>13.120878664659836</v>
      </c>
      <c r="T658" s="101">
        <f t="shared" si="256"/>
        <v>240.71380870110107</v>
      </c>
      <c r="U658" s="101"/>
      <c r="V658" s="101">
        <f t="shared" si="257"/>
        <v>3142644.6954118512</v>
      </c>
      <c r="W658" s="98" t="str">
        <f t="shared" si="258"/>
        <v>ok</v>
      </c>
      <c r="X658" s="102" t="str">
        <f t="shared" si="259"/>
        <v/>
      </c>
    </row>
    <row r="659" spans="1:24" ht="12" hidden="1" customHeight="1" x14ac:dyDescent="0.25">
      <c r="A659" s="97" t="s">
        <v>2195</v>
      </c>
      <c r="E659" s="97" t="s">
        <v>148</v>
      </c>
      <c r="F659" s="101"/>
      <c r="G659" s="101">
        <f t="shared" si="256"/>
        <v>0</v>
      </c>
      <c r="H659" s="101">
        <f t="shared" si="256"/>
        <v>0</v>
      </c>
      <c r="I659" s="101">
        <f t="shared" si="256"/>
        <v>0</v>
      </c>
      <c r="J659" s="101">
        <f t="shared" si="256"/>
        <v>0</v>
      </c>
      <c r="K659" s="101">
        <f t="shared" si="256"/>
        <v>0</v>
      </c>
      <c r="L659" s="101">
        <f t="shared" si="256"/>
        <v>0</v>
      </c>
      <c r="M659" s="101">
        <f t="shared" si="256"/>
        <v>0</v>
      </c>
      <c r="N659" s="101">
        <f t="shared" si="256"/>
        <v>0</v>
      </c>
      <c r="O659" s="101">
        <f t="shared" si="256"/>
        <v>0</v>
      </c>
      <c r="P659" s="101">
        <f t="shared" si="256"/>
        <v>0</v>
      </c>
      <c r="Q659" s="101">
        <f t="shared" si="256"/>
        <v>0</v>
      </c>
      <c r="R659" s="101">
        <f t="shared" si="256"/>
        <v>0</v>
      </c>
      <c r="S659" s="101">
        <f t="shared" si="256"/>
        <v>0</v>
      </c>
      <c r="T659" s="101">
        <f t="shared" si="256"/>
        <v>0</v>
      </c>
      <c r="U659" s="101"/>
      <c r="V659" s="101">
        <f t="shared" si="257"/>
        <v>0</v>
      </c>
      <c r="W659" s="98" t="str">
        <f t="shared" si="258"/>
        <v>ok</v>
      </c>
      <c r="X659" s="102" t="str">
        <f t="shared" si="259"/>
        <v/>
      </c>
    </row>
    <row r="660" spans="1:24" ht="12" hidden="1" customHeight="1" x14ac:dyDescent="0.25">
      <c r="A660" s="97" t="s">
        <v>2318</v>
      </c>
      <c r="E660" s="97" t="s">
        <v>148</v>
      </c>
      <c r="F660" s="101"/>
      <c r="G660" s="101">
        <f t="shared" si="256"/>
        <v>0</v>
      </c>
      <c r="H660" s="101">
        <f t="shared" si="256"/>
        <v>0</v>
      </c>
      <c r="I660" s="101">
        <f t="shared" si="256"/>
        <v>0</v>
      </c>
      <c r="J660" s="101">
        <f t="shared" si="256"/>
        <v>0</v>
      </c>
      <c r="K660" s="101">
        <f t="shared" si="256"/>
        <v>0</v>
      </c>
      <c r="L660" s="101">
        <f t="shared" si="256"/>
        <v>0</v>
      </c>
      <c r="M660" s="101">
        <f t="shared" si="256"/>
        <v>0</v>
      </c>
      <c r="N660" s="101">
        <f t="shared" si="256"/>
        <v>0</v>
      </c>
      <c r="O660" s="101">
        <f t="shared" si="256"/>
        <v>0</v>
      </c>
      <c r="P660" s="101">
        <f t="shared" si="256"/>
        <v>0</v>
      </c>
      <c r="Q660" s="101">
        <f t="shared" si="256"/>
        <v>0</v>
      </c>
      <c r="R660" s="101">
        <f t="shared" si="256"/>
        <v>0</v>
      </c>
      <c r="S660" s="101">
        <f t="shared" si="256"/>
        <v>0</v>
      </c>
      <c r="T660" s="101">
        <f t="shared" si="256"/>
        <v>0</v>
      </c>
      <c r="U660" s="101"/>
      <c r="V660" s="101">
        <f>SUM(G660:T660)</f>
        <v>0</v>
      </c>
      <c r="W660" s="98" t="str">
        <f>IF(ABS(F660-V660)&lt;0.01,"ok","err")</f>
        <v>ok</v>
      </c>
      <c r="X660" s="102" t="str">
        <f>IF(W660="err",V660-F660,"")</f>
        <v/>
      </c>
    </row>
    <row r="661" spans="1:24" ht="12" hidden="1" customHeight="1" x14ac:dyDescent="0.25">
      <c r="A661" s="97" t="s">
        <v>2196</v>
      </c>
      <c r="E661" s="97" t="s">
        <v>516</v>
      </c>
      <c r="F661" s="101"/>
      <c r="G661" s="101">
        <f t="shared" ref="G661:T666" si="260">IF(VLOOKUP($E661,$D$5:$AJ$1007,3,)=0,0,(VLOOKUP($E661,$D$5:$AJ$1007,G$1,)/VLOOKUP($E661,$D$5:$AJ$1007,3,))*$F661)</f>
        <v>0</v>
      </c>
      <c r="H661" s="101">
        <f t="shared" si="260"/>
        <v>0</v>
      </c>
      <c r="I661" s="101">
        <f t="shared" si="260"/>
        <v>0</v>
      </c>
      <c r="J661" s="101">
        <f t="shared" si="260"/>
        <v>0</v>
      </c>
      <c r="K661" s="101">
        <f t="shared" si="260"/>
        <v>0</v>
      </c>
      <c r="L661" s="101">
        <f t="shared" si="260"/>
        <v>0</v>
      </c>
      <c r="M661" s="101">
        <f t="shared" si="260"/>
        <v>0</v>
      </c>
      <c r="N661" s="101">
        <f t="shared" si="260"/>
        <v>0</v>
      </c>
      <c r="O661" s="101">
        <f t="shared" si="260"/>
        <v>0</v>
      </c>
      <c r="P661" s="101">
        <f t="shared" si="260"/>
        <v>0</v>
      </c>
      <c r="Q661" s="101">
        <f t="shared" si="260"/>
        <v>0</v>
      </c>
      <c r="R661" s="101">
        <f t="shared" si="260"/>
        <v>0</v>
      </c>
      <c r="S661" s="101">
        <f t="shared" si="260"/>
        <v>0</v>
      </c>
      <c r="T661" s="101">
        <f t="shared" si="260"/>
        <v>0</v>
      </c>
      <c r="U661" s="101"/>
      <c r="V661" s="101">
        <f t="shared" si="257"/>
        <v>0</v>
      </c>
      <c r="W661" s="98" t="str">
        <f t="shared" si="258"/>
        <v>ok</v>
      </c>
      <c r="X661" s="102" t="str">
        <f t="shared" si="259"/>
        <v/>
      </c>
    </row>
    <row r="662" spans="1:24" ht="12" hidden="1" customHeight="1" x14ac:dyDescent="0.25">
      <c r="A662" s="97" t="s">
        <v>2197</v>
      </c>
      <c r="E662" s="97" t="s">
        <v>2230</v>
      </c>
      <c r="F662" s="101"/>
      <c r="G662" s="101">
        <f t="shared" si="260"/>
        <v>0</v>
      </c>
      <c r="H662" s="101">
        <f t="shared" si="260"/>
        <v>0</v>
      </c>
      <c r="I662" s="101">
        <f t="shared" si="260"/>
        <v>0</v>
      </c>
      <c r="J662" s="101">
        <f t="shared" si="260"/>
        <v>0</v>
      </c>
      <c r="K662" s="101">
        <f t="shared" si="260"/>
        <v>0</v>
      </c>
      <c r="L662" s="101">
        <f t="shared" si="260"/>
        <v>0</v>
      </c>
      <c r="M662" s="101">
        <f t="shared" si="260"/>
        <v>0</v>
      </c>
      <c r="N662" s="101">
        <f t="shared" si="260"/>
        <v>0</v>
      </c>
      <c r="O662" s="101">
        <f t="shared" si="260"/>
        <v>0</v>
      </c>
      <c r="P662" s="101">
        <f t="shared" si="260"/>
        <v>0</v>
      </c>
      <c r="Q662" s="101">
        <f t="shared" si="260"/>
        <v>0</v>
      </c>
      <c r="R662" s="101">
        <f t="shared" si="260"/>
        <v>0</v>
      </c>
      <c r="S662" s="101">
        <f t="shared" si="260"/>
        <v>0</v>
      </c>
      <c r="T662" s="101">
        <f t="shared" si="260"/>
        <v>0</v>
      </c>
      <c r="U662" s="101"/>
      <c r="V662" s="101">
        <f t="shared" si="257"/>
        <v>0</v>
      </c>
      <c r="W662" s="98" t="str">
        <f t="shared" si="258"/>
        <v>ok</v>
      </c>
      <c r="X662" s="102" t="str">
        <f t="shared" si="259"/>
        <v/>
      </c>
    </row>
    <row r="663" spans="1:24" ht="12" customHeight="1" x14ac:dyDescent="0.25">
      <c r="A663" s="97" t="s">
        <v>2198</v>
      </c>
      <c r="E663" s="97" t="s">
        <v>2230</v>
      </c>
      <c r="F663" s="101">
        <v>22338060.122524951</v>
      </c>
      <c r="G663" s="101">
        <f t="shared" si="260"/>
        <v>20843640.186621372</v>
      </c>
      <c r="H663" s="101">
        <f t="shared" si="260"/>
        <v>1450248.9322006893</v>
      </c>
      <c r="I663" s="101">
        <f t="shared" si="260"/>
        <v>0</v>
      </c>
      <c r="J663" s="101">
        <f t="shared" si="260"/>
        <v>9036.342624310566</v>
      </c>
      <c r="K663" s="101">
        <f t="shared" si="260"/>
        <v>0</v>
      </c>
      <c r="L663" s="101">
        <f t="shared" si="260"/>
        <v>14148.300886224186</v>
      </c>
      <c r="M663" s="101">
        <f t="shared" si="260"/>
        <v>542.01026824747498</v>
      </c>
      <c r="N663" s="101">
        <f t="shared" si="260"/>
        <v>10403.395699991839</v>
      </c>
      <c r="O663" s="101">
        <f t="shared" si="260"/>
        <v>4652.7115423335927</v>
      </c>
      <c r="P663" s="101">
        <f t="shared" si="260"/>
        <v>504.81499555156512</v>
      </c>
      <c r="Q663" s="101">
        <f t="shared" si="260"/>
        <v>0</v>
      </c>
      <c r="R663" s="101">
        <f t="shared" si="260"/>
        <v>4883.4276862276365</v>
      </c>
      <c r="S663" s="101">
        <f t="shared" si="260"/>
        <v>0</v>
      </c>
      <c r="T663" s="101">
        <f t="shared" si="260"/>
        <v>0</v>
      </c>
      <c r="U663" s="101"/>
      <c r="V663" s="101">
        <f t="shared" si="257"/>
        <v>22338060.122524954</v>
      </c>
      <c r="W663" s="98" t="str">
        <f t="shared" si="258"/>
        <v>ok</v>
      </c>
      <c r="X663" s="102" t="str">
        <f t="shared" si="259"/>
        <v/>
      </c>
    </row>
    <row r="664" spans="1:24" ht="12" hidden="1" customHeight="1" x14ac:dyDescent="0.25">
      <c r="A664" s="97" t="s">
        <v>2199</v>
      </c>
      <c r="E664" s="97" t="s">
        <v>2230</v>
      </c>
      <c r="F664" s="101"/>
      <c r="G664" s="101">
        <f t="shared" si="260"/>
        <v>0</v>
      </c>
      <c r="H664" s="101">
        <f t="shared" si="260"/>
        <v>0</v>
      </c>
      <c r="I664" s="101">
        <f t="shared" si="260"/>
        <v>0</v>
      </c>
      <c r="J664" s="101">
        <f t="shared" si="260"/>
        <v>0</v>
      </c>
      <c r="K664" s="101">
        <f t="shared" si="260"/>
        <v>0</v>
      </c>
      <c r="L664" s="101">
        <f t="shared" si="260"/>
        <v>0</v>
      </c>
      <c r="M664" s="101">
        <f t="shared" si="260"/>
        <v>0</v>
      </c>
      <c r="N664" s="101">
        <f t="shared" si="260"/>
        <v>0</v>
      </c>
      <c r="O664" s="101">
        <f t="shared" si="260"/>
        <v>0</v>
      </c>
      <c r="P664" s="101">
        <f t="shared" si="260"/>
        <v>0</v>
      </c>
      <c r="Q664" s="101">
        <f t="shared" si="260"/>
        <v>0</v>
      </c>
      <c r="R664" s="101">
        <f t="shared" si="260"/>
        <v>0</v>
      </c>
      <c r="S664" s="101">
        <f t="shared" si="260"/>
        <v>0</v>
      </c>
      <c r="T664" s="101">
        <f t="shared" si="260"/>
        <v>0</v>
      </c>
      <c r="U664" s="101"/>
      <c r="V664" s="101">
        <f>SUM(G664:T664)</f>
        <v>0</v>
      </c>
      <c r="W664" s="98" t="str">
        <f t="shared" si="258"/>
        <v>ok</v>
      </c>
      <c r="X664" s="102" t="str">
        <f t="shared" si="259"/>
        <v/>
      </c>
    </row>
    <row r="665" spans="1:24" ht="12" hidden="1" customHeight="1" x14ac:dyDescent="0.25">
      <c r="A665" s="97" t="s">
        <v>2200</v>
      </c>
      <c r="E665" s="97" t="s">
        <v>516</v>
      </c>
      <c r="F665" s="101">
        <f>ROUND('Jurisdictional Study'!F938,0)</f>
        <v>0</v>
      </c>
      <c r="G665" s="101">
        <f t="shared" si="260"/>
        <v>0</v>
      </c>
      <c r="H665" s="101">
        <f t="shared" si="260"/>
        <v>0</v>
      </c>
      <c r="I665" s="101">
        <f t="shared" si="260"/>
        <v>0</v>
      </c>
      <c r="J665" s="101">
        <f t="shared" si="260"/>
        <v>0</v>
      </c>
      <c r="K665" s="101">
        <f t="shared" si="260"/>
        <v>0</v>
      </c>
      <c r="L665" s="101">
        <f t="shared" si="260"/>
        <v>0</v>
      </c>
      <c r="M665" s="101">
        <f t="shared" si="260"/>
        <v>0</v>
      </c>
      <c r="N665" s="101">
        <f t="shared" si="260"/>
        <v>0</v>
      </c>
      <c r="O665" s="101">
        <f t="shared" si="260"/>
        <v>0</v>
      </c>
      <c r="P665" s="101">
        <f t="shared" si="260"/>
        <v>0</v>
      </c>
      <c r="Q665" s="101">
        <f t="shared" si="260"/>
        <v>0</v>
      </c>
      <c r="R665" s="101">
        <f t="shared" si="260"/>
        <v>0</v>
      </c>
      <c r="S665" s="101">
        <f t="shared" si="260"/>
        <v>0</v>
      </c>
      <c r="T665" s="101">
        <f t="shared" si="260"/>
        <v>0</v>
      </c>
      <c r="U665" s="101"/>
      <c r="V665" s="101">
        <f>SUM(G665:T665)</f>
        <v>0</v>
      </c>
      <c r="W665" s="98" t="str">
        <f t="shared" si="258"/>
        <v>ok</v>
      </c>
      <c r="X665" s="102" t="str">
        <f t="shared" si="259"/>
        <v/>
      </c>
    </row>
    <row r="666" spans="1:24" ht="12" hidden="1" customHeight="1" x14ac:dyDescent="0.25">
      <c r="A666" s="107" t="s">
        <v>826</v>
      </c>
      <c r="D666" s="97" t="s">
        <v>827</v>
      </c>
      <c r="E666" s="97" t="s">
        <v>516</v>
      </c>
      <c r="F666" s="101">
        <v>0</v>
      </c>
      <c r="G666" s="101">
        <f t="shared" si="260"/>
        <v>0</v>
      </c>
      <c r="H666" s="101">
        <f t="shared" si="260"/>
        <v>0</v>
      </c>
      <c r="I666" s="101">
        <f t="shared" si="260"/>
        <v>0</v>
      </c>
      <c r="J666" s="101">
        <f t="shared" si="260"/>
        <v>0</v>
      </c>
      <c r="K666" s="101">
        <f t="shared" si="260"/>
        <v>0</v>
      </c>
      <c r="L666" s="101">
        <f t="shared" si="260"/>
        <v>0</v>
      </c>
      <c r="M666" s="101">
        <f t="shared" si="260"/>
        <v>0</v>
      </c>
      <c r="N666" s="101">
        <f t="shared" si="260"/>
        <v>0</v>
      </c>
      <c r="O666" s="101">
        <f t="shared" si="260"/>
        <v>0</v>
      </c>
      <c r="P666" s="101">
        <f t="shared" si="260"/>
        <v>0</v>
      </c>
      <c r="Q666" s="101">
        <f t="shared" si="260"/>
        <v>0</v>
      </c>
      <c r="R666" s="101">
        <f t="shared" si="260"/>
        <v>0</v>
      </c>
      <c r="S666" s="101">
        <f t="shared" si="260"/>
        <v>0</v>
      </c>
      <c r="T666" s="101">
        <f t="shared" si="260"/>
        <v>0</v>
      </c>
      <c r="U666" s="101"/>
      <c r="V666" s="101">
        <f t="shared" si="257"/>
        <v>0</v>
      </c>
      <c r="W666" s="98" t="str">
        <f t="shared" si="258"/>
        <v>ok</v>
      </c>
      <c r="X666" s="102" t="str">
        <f t="shared" si="259"/>
        <v/>
      </c>
    </row>
    <row r="667" spans="1:24" ht="12" customHeight="1" x14ac:dyDescent="0.25">
      <c r="E667" s="105"/>
      <c r="V667" s="102"/>
    </row>
    <row r="668" spans="1:24" ht="12" customHeight="1" x14ac:dyDescent="0.25">
      <c r="A668" s="97" t="s">
        <v>433</v>
      </c>
      <c r="D668" s="97" t="s">
        <v>434</v>
      </c>
      <c r="E668" s="102"/>
      <c r="F668" s="102">
        <f>SUM(F651:F666)</f>
        <v>1486962671.9408753</v>
      </c>
      <c r="G668" s="102">
        <f t="shared" ref="G668:T668" si="261">SUM(G651:G667)</f>
        <v>577558036.32237256</v>
      </c>
      <c r="H668" s="102">
        <f t="shared" si="261"/>
        <v>199632188.59720656</v>
      </c>
      <c r="I668" s="102">
        <f t="shared" si="261"/>
        <v>0</v>
      </c>
      <c r="J668" s="102">
        <f t="shared" si="261"/>
        <v>11997673.987746205</v>
      </c>
      <c r="K668" s="102">
        <f t="shared" si="261"/>
        <v>0</v>
      </c>
      <c r="L668" s="102">
        <f t="shared" si="261"/>
        <v>173883934.54071742</v>
      </c>
      <c r="M668" s="102">
        <f t="shared" si="261"/>
        <v>13909259.197503271</v>
      </c>
      <c r="N668" s="102">
        <f t="shared" si="261"/>
        <v>116473231.72984052</v>
      </c>
      <c r="O668" s="102">
        <f t="shared" si="261"/>
        <v>250828327.75421491</v>
      </c>
      <c r="P668" s="102">
        <f t="shared" si="261"/>
        <v>86439484.209639043</v>
      </c>
      <c r="Q668" s="102">
        <f t="shared" si="261"/>
        <v>29888103.763572749</v>
      </c>
      <c r="R668" s="102">
        <f t="shared" si="261"/>
        <v>26166186.181470577</v>
      </c>
      <c r="S668" s="102">
        <f t="shared" si="261"/>
        <v>29690.626642426691</v>
      </c>
      <c r="T668" s="102">
        <f t="shared" si="261"/>
        <v>156555.02994893212</v>
      </c>
      <c r="U668" s="102"/>
      <c r="V668" s="102">
        <f>SUM(G668:T668)</f>
        <v>1486962671.9408755</v>
      </c>
      <c r="W668" s="98" t="str">
        <f>IF(ABS(F668-V668)&lt;0.01,"ok","err")</f>
        <v>ok</v>
      </c>
      <c r="X668" s="102" t="str">
        <f>IF(W668="err",V668-F668,"")</f>
        <v/>
      </c>
    </row>
    <row r="669" spans="1:24" ht="12" customHeight="1" x14ac:dyDescent="0.25">
      <c r="E669" s="102"/>
      <c r="F669" s="100"/>
      <c r="G669" s="102"/>
    </row>
    <row r="670" spans="1:24" ht="12" customHeight="1" x14ac:dyDescent="0.25">
      <c r="A670" s="24" t="s">
        <v>435</v>
      </c>
      <c r="E670" s="102"/>
      <c r="F670" s="102"/>
    </row>
    <row r="671" spans="1:24" ht="12" customHeight="1" x14ac:dyDescent="0.25">
      <c r="A671" s="107" t="s">
        <v>436</v>
      </c>
      <c r="E671" s="243"/>
      <c r="F671" s="102">
        <f t="shared" ref="F671:T671" si="262">F231</f>
        <v>933774238.57748592</v>
      </c>
      <c r="G671" s="102">
        <f t="shared" si="262"/>
        <v>370519405.17287457</v>
      </c>
      <c r="H671" s="102">
        <f t="shared" si="262"/>
        <v>108753033.19473302</v>
      </c>
      <c r="I671" s="102">
        <f t="shared" si="262"/>
        <v>0</v>
      </c>
      <c r="J671" s="102">
        <f t="shared" si="262"/>
        <v>7668256.0483589973</v>
      </c>
      <c r="K671" s="102">
        <f t="shared" si="262"/>
        <v>0</v>
      </c>
      <c r="L671" s="102">
        <f t="shared" si="262"/>
        <v>99088940.765030891</v>
      </c>
      <c r="M671" s="102">
        <f t="shared" si="262"/>
        <v>7651162.2855686005</v>
      </c>
      <c r="N671" s="102">
        <f t="shared" si="262"/>
        <v>75124152.589057371</v>
      </c>
      <c r="O671" s="102">
        <f t="shared" si="262"/>
        <v>174786954.93278927</v>
      </c>
      <c r="P671" s="102">
        <f t="shared" si="262"/>
        <v>60688793.139909752</v>
      </c>
      <c r="Q671" s="102">
        <f t="shared" si="262"/>
        <v>21215963.597676735</v>
      </c>
      <c r="R671" s="102">
        <f t="shared" si="262"/>
        <v>8165872.7907812931</v>
      </c>
      <c r="S671" s="102">
        <f t="shared" si="262"/>
        <v>16912.945346934604</v>
      </c>
      <c r="T671" s="102">
        <f t="shared" si="262"/>
        <v>94791.115358423413</v>
      </c>
      <c r="U671" s="102"/>
      <c r="V671" s="102">
        <f t="shared" ref="V671:V679" si="263">SUM(G671:T671)</f>
        <v>933774238.5774858</v>
      </c>
      <c r="W671" s="98" t="str">
        <f t="shared" ref="W671:W679" si="264">IF(ABS(F671-V671)&lt;0.01,"ok","err")</f>
        <v>ok</v>
      </c>
      <c r="X671" s="243" t="str">
        <f t="shared" ref="X671:X679" si="265">IF(W671="err",V671-F671,"")</f>
        <v/>
      </c>
    </row>
    <row r="672" spans="1:24" ht="12" customHeight="1" x14ac:dyDescent="0.25">
      <c r="A672" s="107" t="s">
        <v>437</v>
      </c>
      <c r="F672" s="101">
        <f t="shared" ref="F672:T672" si="266">F345</f>
        <v>228062836.53918952</v>
      </c>
      <c r="G672" s="101">
        <f t="shared" si="266"/>
        <v>105274952.74338102</v>
      </c>
      <c r="H672" s="101">
        <f t="shared" si="266"/>
        <v>27341782.225615479</v>
      </c>
      <c r="I672" s="101">
        <f t="shared" si="266"/>
        <v>0</v>
      </c>
      <c r="J672" s="101">
        <f t="shared" si="266"/>
        <v>1798932.0035182098</v>
      </c>
      <c r="K672" s="101">
        <f t="shared" si="266"/>
        <v>0</v>
      </c>
      <c r="L672" s="101">
        <f t="shared" si="266"/>
        <v>22530219.621316772</v>
      </c>
      <c r="M672" s="101">
        <f t="shared" si="266"/>
        <v>1641041.2910282558</v>
      </c>
      <c r="N672" s="101">
        <f t="shared" si="266"/>
        <v>16175658.255553182</v>
      </c>
      <c r="O672" s="101">
        <f t="shared" si="266"/>
        <v>34771889.749682277</v>
      </c>
      <c r="P672" s="101">
        <f t="shared" si="266"/>
        <v>11324624.823166879</v>
      </c>
      <c r="Q672" s="101">
        <f t="shared" si="266"/>
        <v>2947235.6735119577</v>
      </c>
      <c r="R672" s="101">
        <f t="shared" si="266"/>
        <v>4239593.4682664694</v>
      </c>
      <c r="S672" s="101">
        <f t="shared" si="266"/>
        <v>693.9480169763392</v>
      </c>
      <c r="T672" s="101">
        <f t="shared" si="266"/>
        <v>16212.736132054226</v>
      </c>
      <c r="U672" s="101"/>
      <c r="V672" s="102">
        <f t="shared" si="263"/>
        <v>228062836.53918952</v>
      </c>
      <c r="W672" s="98" t="str">
        <f t="shared" si="264"/>
        <v>ok</v>
      </c>
      <c r="X672" s="243" t="str">
        <f t="shared" si="265"/>
        <v/>
      </c>
    </row>
    <row r="673" spans="1:24" ht="12" customHeight="1" x14ac:dyDescent="0.25">
      <c r="A673" s="107" t="s">
        <v>275</v>
      </c>
      <c r="F673" s="101">
        <f t="shared" ref="F673:T673" si="267">F402</f>
        <v>0</v>
      </c>
      <c r="G673" s="101">
        <f t="shared" si="267"/>
        <v>0</v>
      </c>
      <c r="H673" s="101">
        <f t="shared" si="267"/>
        <v>0</v>
      </c>
      <c r="I673" s="101">
        <f t="shared" si="267"/>
        <v>0</v>
      </c>
      <c r="J673" s="101">
        <f t="shared" si="267"/>
        <v>0</v>
      </c>
      <c r="K673" s="101">
        <f t="shared" si="267"/>
        <v>0</v>
      </c>
      <c r="L673" s="101">
        <f t="shared" si="267"/>
        <v>0</v>
      </c>
      <c r="M673" s="101">
        <f t="shared" si="267"/>
        <v>0</v>
      </c>
      <c r="N673" s="101">
        <f t="shared" si="267"/>
        <v>0</v>
      </c>
      <c r="O673" s="101">
        <f t="shared" si="267"/>
        <v>0</v>
      </c>
      <c r="P673" s="101">
        <f t="shared" si="267"/>
        <v>0</v>
      </c>
      <c r="Q673" s="101">
        <f t="shared" si="267"/>
        <v>0</v>
      </c>
      <c r="R673" s="101">
        <f t="shared" si="267"/>
        <v>0</v>
      </c>
      <c r="S673" s="101">
        <f t="shared" si="267"/>
        <v>0</v>
      </c>
      <c r="T673" s="101">
        <f t="shared" si="267"/>
        <v>0</v>
      </c>
      <c r="U673" s="101"/>
      <c r="V673" s="102">
        <f t="shared" si="263"/>
        <v>0</v>
      </c>
      <c r="W673" s="98" t="str">
        <f t="shared" si="264"/>
        <v>ok</v>
      </c>
      <c r="X673" s="102" t="str">
        <f t="shared" si="265"/>
        <v/>
      </c>
    </row>
    <row r="674" spans="1:24" ht="12" customHeight="1" x14ac:dyDescent="0.25">
      <c r="A674" s="107" t="s">
        <v>438</v>
      </c>
      <c r="E674" s="97" t="s">
        <v>419</v>
      </c>
      <c r="F674" s="101">
        <f t="shared" ref="F674:T674" si="268">F459</f>
        <v>24894100.893674195</v>
      </c>
      <c r="G674" s="101">
        <f t="shared" si="268"/>
        <v>11724942.607902201</v>
      </c>
      <c r="H674" s="101">
        <f t="shared" si="268"/>
        <v>3012498.5580308898</v>
      </c>
      <c r="I674" s="101">
        <f t="shared" si="268"/>
        <v>0</v>
      </c>
      <c r="J674" s="101">
        <f t="shared" si="268"/>
        <v>193374.31487663536</v>
      </c>
      <c r="K674" s="101">
        <f t="shared" si="268"/>
        <v>0</v>
      </c>
      <c r="L674" s="101">
        <f t="shared" si="268"/>
        <v>2390314.0937590543</v>
      </c>
      <c r="M674" s="101">
        <f t="shared" si="268"/>
        <v>173696.72166999339</v>
      </c>
      <c r="N674" s="101">
        <f t="shared" si="268"/>
        <v>1709843.3931866884</v>
      </c>
      <c r="O674" s="101">
        <f t="shared" si="268"/>
        <v>3661590.8503487902</v>
      </c>
      <c r="P674" s="101">
        <f t="shared" si="268"/>
        <v>1174573.6077597258</v>
      </c>
      <c r="Q674" s="101">
        <f t="shared" si="268"/>
        <v>305405.7858130887</v>
      </c>
      <c r="R674" s="101">
        <f t="shared" si="268"/>
        <v>545912.63149363315</v>
      </c>
      <c r="S674" s="101">
        <f t="shared" si="268"/>
        <v>89.356442051092216</v>
      </c>
      <c r="T674" s="101">
        <f t="shared" si="268"/>
        <v>1858.9723914415033</v>
      </c>
      <c r="U674" s="101"/>
      <c r="V674" s="102">
        <f t="shared" si="263"/>
        <v>24894100.893674191</v>
      </c>
      <c r="W674" s="98" t="str">
        <f t="shared" si="264"/>
        <v>ok</v>
      </c>
      <c r="X674" s="102" t="str">
        <f t="shared" si="265"/>
        <v/>
      </c>
    </row>
    <row r="675" spans="1:24" ht="12" customHeight="1" x14ac:dyDescent="0.25">
      <c r="A675" s="107" t="s">
        <v>439</v>
      </c>
      <c r="F675" s="101">
        <f t="shared" ref="F675:T675" si="269">F516</f>
        <v>12926774.348401168</v>
      </c>
      <c r="G675" s="101">
        <f t="shared" si="269"/>
        <v>6088417.8138291491</v>
      </c>
      <c r="H675" s="101">
        <f t="shared" si="269"/>
        <v>1564301.8902701035</v>
      </c>
      <c r="I675" s="101">
        <f t="shared" si="269"/>
        <v>0</v>
      </c>
      <c r="J675" s="101">
        <f t="shared" si="269"/>
        <v>100413.59372099827</v>
      </c>
      <c r="K675" s="101">
        <f t="shared" si="269"/>
        <v>0</v>
      </c>
      <c r="L675" s="101">
        <f t="shared" si="269"/>
        <v>1241219.7991725039</v>
      </c>
      <c r="M675" s="101">
        <f t="shared" si="269"/>
        <v>90195.59837389458</v>
      </c>
      <c r="N675" s="101">
        <f t="shared" si="269"/>
        <v>887871.38002021168</v>
      </c>
      <c r="O675" s="101">
        <f t="shared" si="269"/>
        <v>1901356.4249937129</v>
      </c>
      <c r="P675" s="101">
        <f t="shared" si="269"/>
        <v>609921.52510138182</v>
      </c>
      <c r="Q675" s="101">
        <f t="shared" si="269"/>
        <v>158588.24123690827</v>
      </c>
      <c r="R675" s="101">
        <f t="shared" si="269"/>
        <v>283476.37182804599</v>
      </c>
      <c r="S675" s="101">
        <f t="shared" si="269"/>
        <v>46.400171988696833</v>
      </c>
      <c r="T675" s="101">
        <f t="shared" si="269"/>
        <v>965.30968227008179</v>
      </c>
      <c r="U675" s="101"/>
      <c r="V675" s="102">
        <f t="shared" si="263"/>
        <v>12926774.348401172</v>
      </c>
      <c r="W675" s="98" t="str">
        <f t="shared" si="264"/>
        <v>ok</v>
      </c>
      <c r="X675" s="102" t="str">
        <f t="shared" si="265"/>
        <v/>
      </c>
    </row>
    <row r="676" spans="1:24" ht="12" customHeight="1" x14ac:dyDescent="0.25">
      <c r="A676" s="97" t="s">
        <v>935</v>
      </c>
      <c r="F676" s="101">
        <f t="shared" ref="F676:T676" si="270">F574</f>
        <v>0</v>
      </c>
      <c r="G676" s="101">
        <f t="shared" si="270"/>
        <v>0</v>
      </c>
      <c r="H676" s="101">
        <f t="shared" si="270"/>
        <v>0</v>
      </c>
      <c r="I676" s="101">
        <f t="shared" si="270"/>
        <v>0</v>
      </c>
      <c r="J676" s="101">
        <f t="shared" si="270"/>
        <v>0</v>
      </c>
      <c r="K676" s="101">
        <f t="shared" si="270"/>
        <v>0</v>
      </c>
      <c r="L676" s="101">
        <f t="shared" si="270"/>
        <v>0</v>
      </c>
      <c r="M676" s="101">
        <f t="shared" si="270"/>
        <v>0</v>
      </c>
      <c r="N676" s="101">
        <f t="shared" si="270"/>
        <v>0</v>
      </c>
      <c r="O676" s="101">
        <f t="shared" si="270"/>
        <v>0</v>
      </c>
      <c r="P676" s="101">
        <f t="shared" si="270"/>
        <v>0</v>
      </c>
      <c r="Q676" s="101">
        <f t="shared" si="270"/>
        <v>0</v>
      </c>
      <c r="R676" s="101">
        <f t="shared" si="270"/>
        <v>0</v>
      </c>
      <c r="S676" s="101">
        <f t="shared" si="270"/>
        <v>0</v>
      </c>
      <c r="T676" s="101">
        <f t="shared" si="270"/>
        <v>0</v>
      </c>
      <c r="U676" s="101"/>
      <c r="V676" s="102">
        <f t="shared" si="263"/>
        <v>0</v>
      </c>
      <c r="W676" s="98" t="str">
        <f t="shared" si="264"/>
        <v>ok</v>
      </c>
      <c r="X676" s="102" t="str">
        <f t="shared" si="265"/>
        <v/>
      </c>
    </row>
    <row r="677" spans="1:24" ht="12" customHeight="1" x14ac:dyDescent="0.25">
      <c r="A677" s="107" t="s">
        <v>1552</v>
      </c>
      <c r="E677" s="97" t="s">
        <v>1172</v>
      </c>
      <c r="F677" s="101">
        <f>'Jurisdictional Study'!F1285+'Jurisdictional Study'!F1295-31092357-5438978</f>
        <v>84161734.359999999</v>
      </c>
      <c r="G677" s="100">
        <f t="shared" ref="G677:T677" si="271">IF(VLOOKUP($E677,$D$5:$AJ$945,3,)=0,0,(VLOOKUP($E677,$D$5:$AJ$945,G$1,)/VLOOKUP($E677,$D$5:$AJ$945,3,))*$F677)</f>
        <v>18153353.162271839</v>
      </c>
      <c r="H677" s="100">
        <f t="shared" si="271"/>
        <v>20304092.186474111</v>
      </c>
      <c r="I677" s="100">
        <f t="shared" si="271"/>
        <v>0</v>
      </c>
      <c r="J677" s="100">
        <f t="shared" si="271"/>
        <v>655828.60473441554</v>
      </c>
      <c r="K677" s="100">
        <f t="shared" si="271"/>
        <v>0</v>
      </c>
      <c r="L677" s="100">
        <f t="shared" si="271"/>
        <v>16884437.441701207</v>
      </c>
      <c r="M677" s="100">
        <f t="shared" si="271"/>
        <v>1569567.3810316068</v>
      </c>
      <c r="N677" s="100">
        <f t="shared" si="271"/>
        <v>6969485.2237654692</v>
      </c>
      <c r="O677" s="100">
        <f t="shared" si="271"/>
        <v>9638437.6168130934</v>
      </c>
      <c r="P677" s="100">
        <f t="shared" si="271"/>
        <v>3588565.9199093352</v>
      </c>
      <c r="Q677" s="100">
        <f t="shared" si="271"/>
        <v>1758728.6244708167</v>
      </c>
      <c r="R677" s="100">
        <f t="shared" si="271"/>
        <v>4619187.7149082264</v>
      </c>
      <c r="S677" s="100">
        <f t="shared" si="271"/>
        <v>4868.3256618346886</v>
      </c>
      <c r="T677" s="100">
        <f t="shared" si="271"/>
        <v>15182.576536994065</v>
      </c>
      <c r="U677" s="100"/>
      <c r="V677" s="102">
        <f t="shared" si="263"/>
        <v>84161734.778278947</v>
      </c>
      <c r="W677" s="98" t="str">
        <f t="shared" si="264"/>
        <v>err</v>
      </c>
      <c r="X677" s="102">
        <f t="shared" si="265"/>
        <v>0.41827894747257233</v>
      </c>
    </row>
    <row r="678" spans="1:24" ht="12" hidden="1" customHeight="1" x14ac:dyDescent="0.25">
      <c r="A678" s="107" t="s">
        <v>531</v>
      </c>
      <c r="F678" s="101"/>
      <c r="G678" s="101">
        <f t="shared" ref="G678:T678" si="272">-G930</f>
        <v>-0.40935210621236828</v>
      </c>
      <c r="H678" s="101">
        <f t="shared" si="272"/>
        <v>-0.11362251359596974</v>
      </c>
      <c r="I678" s="101">
        <f t="shared" si="272"/>
        <v>0</v>
      </c>
      <c r="J678" s="101">
        <f t="shared" si="272"/>
        <v>-8.5558150654642239E-3</v>
      </c>
      <c r="K678" s="101">
        <f t="shared" si="272"/>
        <v>0</v>
      </c>
      <c r="L678" s="101">
        <f t="shared" si="272"/>
        <v>-0.11420877410668946</v>
      </c>
      <c r="M678" s="101">
        <f t="shared" si="272"/>
        <v>-8.40975402485797E-3</v>
      </c>
      <c r="N678" s="101">
        <f t="shared" si="272"/>
        <v>-8.3403421353758986E-2</v>
      </c>
      <c r="O678" s="101">
        <f t="shared" si="272"/>
        <v>-0.18240931993528153</v>
      </c>
      <c r="P678" s="101">
        <f t="shared" si="272"/>
        <v>-6.3420095832768281E-2</v>
      </c>
      <c r="Q678" s="101">
        <f t="shared" si="272"/>
        <v>-1.6567072618418759E-2</v>
      </c>
      <c r="R678" s="101">
        <f t="shared" si="272"/>
        <v>0</v>
      </c>
      <c r="S678" s="101">
        <f t="shared" si="272"/>
        <v>0</v>
      </c>
      <c r="T678" s="101">
        <f t="shared" si="272"/>
        <v>-5.1127254422720664E-5</v>
      </c>
      <c r="U678" s="101"/>
      <c r="V678" s="102">
        <f t="shared" si="263"/>
        <v>-1</v>
      </c>
      <c r="W678" s="98" t="str">
        <f t="shared" si="264"/>
        <v>err</v>
      </c>
      <c r="X678" s="102">
        <f t="shared" si="265"/>
        <v>-1</v>
      </c>
    </row>
    <row r="679" spans="1:24" ht="12" hidden="1" customHeight="1" x14ac:dyDescent="0.25">
      <c r="A679" s="107" t="s">
        <v>580</v>
      </c>
      <c r="E679" s="97" t="s">
        <v>582</v>
      </c>
      <c r="F679" s="101"/>
      <c r="G679" s="100">
        <f t="shared" ref="G679:T679" si="273">IF(VLOOKUP($E679,$D$5:$AJ$1007,3,)=0,0,(VLOOKUP($E679,$D$5:$AJ$1007,G$1,)/VLOOKUP($E679,$D$5:$AJ$1007,3,))*$F679)</f>
        <v>0</v>
      </c>
      <c r="H679" s="100">
        <f t="shared" si="273"/>
        <v>0</v>
      </c>
      <c r="I679" s="100">
        <f t="shared" si="273"/>
        <v>0</v>
      </c>
      <c r="J679" s="100">
        <f t="shared" si="273"/>
        <v>0</v>
      </c>
      <c r="K679" s="100">
        <f t="shared" si="273"/>
        <v>0</v>
      </c>
      <c r="L679" s="100">
        <f t="shared" si="273"/>
        <v>0</v>
      </c>
      <c r="M679" s="100">
        <f t="shared" si="273"/>
        <v>0</v>
      </c>
      <c r="N679" s="100">
        <f t="shared" si="273"/>
        <v>0</v>
      </c>
      <c r="O679" s="100">
        <f t="shared" si="273"/>
        <v>0</v>
      </c>
      <c r="P679" s="100">
        <f t="shared" si="273"/>
        <v>0</v>
      </c>
      <c r="Q679" s="100">
        <f t="shared" si="273"/>
        <v>0</v>
      </c>
      <c r="R679" s="100">
        <f t="shared" si="273"/>
        <v>0</v>
      </c>
      <c r="S679" s="100">
        <f t="shared" si="273"/>
        <v>0</v>
      </c>
      <c r="T679" s="100">
        <f t="shared" si="273"/>
        <v>0</v>
      </c>
      <c r="U679" s="100"/>
      <c r="V679" s="102">
        <f t="shared" si="263"/>
        <v>0</v>
      </c>
      <c r="W679" s="98" t="str">
        <f t="shared" si="264"/>
        <v>ok</v>
      </c>
      <c r="X679" s="102" t="str">
        <f t="shared" si="265"/>
        <v/>
      </c>
    </row>
    <row r="680" spans="1:24" ht="12" customHeight="1" x14ac:dyDescent="0.25">
      <c r="A680" s="107"/>
      <c r="V680" s="102"/>
      <c r="W680" s="98"/>
    </row>
    <row r="681" spans="1:24" ht="12" customHeight="1" x14ac:dyDescent="0.25">
      <c r="A681" s="97" t="s">
        <v>440</v>
      </c>
      <c r="D681" s="97" t="s">
        <v>398</v>
      </c>
      <c r="F681" s="102">
        <f t="shared" ref="F681:T681" si="274">SUM(F671:F680)</f>
        <v>1283819684.7187505</v>
      </c>
      <c r="G681" s="102">
        <f t="shared" si="274"/>
        <v>511761071.09090668</v>
      </c>
      <c r="H681" s="102">
        <f t="shared" si="274"/>
        <v>160975707.94150111</v>
      </c>
      <c r="I681" s="102">
        <f t="shared" si="274"/>
        <v>0</v>
      </c>
      <c r="J681" s="102">
        <f t="shared" si="274"/>
        <v>10416804.556653442</v>
      </c>
      <c r="K681" s="102">
        <f t="shared" si="274"/>
        <v>0</v>
      </c>
      <c r="L681" s="102">
        <f t="shared" si="274"/>
        <v>142135131.60677165</v>
      </c>
      <c r="M681" s="102">
        <f t="shared" si="274"/>
        <v>11125663.269262597</v>
      </c>
      <c r="N681" s="102">
        <f t="shared" si="274"/>
        <v>100867010.7581795</v>
      </c>
      <c r="O681" s="102">
        <f t="shared" si="274"/>
        <v>224760229.39221784</v>
      </c>
      <c r="P681" s="102">
        <f t="shared" si="274"/>
        <v>77386478.95242697</v>
      </c>
      <c r="Q681" s="102">
        <f t="shared" si="274"/>
        <v>26385921.906142429</v>
      </c>
      <c r="R681" s="102">
        <f t="shared" si="274"/>
        <v>17854042.977277666</v>
      </c>
      <c r="S681" s="102">
        <f t="shared" si="274"/>
        <v>22610.975639785425</v>
      </c>
      <c r="T681" s="102">
        <f t="shared" si="274"/>
        <v>129010.71005005603</v>
      </c>
      <c r="U681" s="102"/>
      <c r="V681" s="102">
        <f>SUM(G681:T681)</f>
        <v>1283819684.1370299</v>
      </c>
      <c r="W681" s="98" t="str">
        <f>IF(ABS(F681-V681)&lt;0.01,"ok","err")</f>
        <v>err</v>
      </c>
      <c r="X681" s="102">
        <f>IF(W681="err",V681-F681,"")</f>
        <v>-0.58172059059143066</v>
      </c>
    </row>
    <row r="682" spans="1:24" ht="12" customHeight="1" x14ac:dyDescent="0.25">
      <c r="A682" s="107"/>
    </row>
    <row r="683" spans="1:24" ht="12" customHeight="1" x14ac:dyDescent="0.25">
      <c r="A683" s="97" t="s">
        <v>938</v>
      </c>
      <c r="D683" s="97" t="s">
        <v>840</v>
      </c>
      <c r="F683" s="102">
        <f t="shared" ref="F683:T683" si="275">F668-F681</f>
        <v>203142987.22212481</v>
      </c>
      <c r="G683" s="102">
        <f t="shared" si="275"/>
        <v>65796965.231465876</v>
      </c>
      <c r="H683" s="102">
        <f t="shared" si="275"/>
        <v>38656480.655705452</v>
      </c>
      <c r="I683" s="102">
        <f t="shared" si="275"/>
        <v>0</v>
      </c>
      <c r="J683" s="102">
        <f t="shared" si="275"/>
        <v>1580869.4310927633</v>
      </c>
      <c r="K683" s="102">
        <f t="shared" si="275"/>
        <v>0</v>
      </c>
      <c r="L683" s="102">
        <f t="shared" si="275"/>
        <v>31748802.933945775</v>
      </c>
      <c r="M683" s="102">
        <f t="shared" si="275"/>
        <v>2783595.9282406736</v>
      </c>
      <c r="N683" s="102">
        <f t="shared" si="275"/>
        <v>15606220.971661016</v>
      </c>
      <c r="O683" s="102">
        <f t="shared" si="275"/>
        <v>26068098.361997068</v>
      </c>
      <c r="P683" s="102">
        <f t="shared" si="275"/>
        <v>9053005.2572120726</v>
      </c>
      <c r="Q683" s="102">
        <f t="shared" si="275"/>
        <v>3502181.8574303202</v>
      </c>
      <c r="R683" s="102">
        <f t="shared" si="275"/>
        <v>8312143.2041929103</v>
      </c>
      <c r="S683" s="102">
        <f t="shared" si="275"/>
        <v>7079.6510026412652</v>
      </c>
      <c r="T683" s="102">
        <f t="shared" si="275"/>
        <v>27544.319898876085</v>
      </c>
      <c r="U683" s="102"/>
      <c r="V683" s="102">
        <f>SUM(G683:T683)</f>
        <v>203142987.80384547</v>
      </c>
      <c r="W683" s="98" t="str">
        <f>IF(ABS(F683-V683)&lt;0.01,"ok","err")</f>
        <v>err</v>
      </c>
      <c r="X683" s="102">
        <f>IF(W683="err",V683-F683,"")</f>
        <v>0.58172065019607544</v>
      </c>
    </row>
    <row r="685" spans="1:24" ht="12" customHeight="1" x14ac:dyDescent="0.25">
      <c r="A685" s="97" t="s">
        <v>420</v>
      </c>
      <c r="F685" s="102">
        <f t="shared" ref="F685:T685" si="276">F174</f>
        <v>3639079759.3610182</v>
      </c>
      <c r="G685" s="102">
        <f t="shared" si="276"/>
        <v>1716633054.3461716</v>
      </c>
      <c r="H685" s="102">
        <f t="shared" si="276"/>
        <v>441219651.03133303</v>
      </c>
      <c r="I685" s="102">
        <f t="shared" si="276"/>
        <v>0</v>
      </c>
      <c r="J685" s="102">
        <f t="shared" si="276"/>
        <v>28182297.978403468</v>
      </c>
      <c r="K685" s="102">
        <f t="shared" si="276"/>
        <v>0</v>
      </c>
      <c r="L685" s="102">
        <f t="shared" si="276"/>
        <v>347387075.53153688</v>
      </c>
      <c r="M685" s="102">
        <f t="shared" si="276"/>
        <v>25275870.378223237</v>
      </c>
      <c r="N685" s="102">
        <f t="shared" si="276"/>
        <v>248673397.50148326</v>
      </c>
      <c r="O685" s="102">
        <f t="shared" si="276"/>
        <v>533415050.36546725</v>
      </c>
      <c r="P685" s="102">
        <f t="shared" si="276"/>
        <v>170797076.92138174</v>
      </c>
      <c r="Q685" s="102">
        <f t="shared" si="276"/>
        <v>45005985.731704071</v>
      </c>
      <c r="R685" s="102">
        <f t="shared" si="276"/>
        <v>82196367.310438812</v>
      </c>
      <c r="S685" s="102">
        <f t="shared" si="276"/>
        <v>15193.548301309937</v>
      </c>
      <c r="T685" s="102">
        <f t="shared" si="276"/>
        <v>278738.71657262801</v>
      </c>
      <c r="U685" s="102"/>
      <c r="V685" s="102">
        <f>SUM(G685:T685)</f>
        <v>3639079759.3610182</v>
      </c>
      <c r="W685" s="98" t="str">
        <f>IF(ABS(F685-V685)&lt;0.01,"ok","err")</f>
        <v>ok</v>
      </c>
      <c r="X685" s="243" t="str">
        <f>IF(W685="err",V685-F685,"")</f>
        <v/>
      </c>
    </row>
    <row r="686" spans="1:24" ht="12" customHeight="1" x14ac:dyDescent="0.25">
      <c r="B686" s="102"/>
      <c r="X686" s="243"/>
    </row>
    <row r="687" spans="1:24" s="24" customFormat="1" ht="12" customHeight="1" x14ac:dyDescent="0.25">
      <c r="A687" s="234"/>
      <c r="B687" s="234"/>
      <c r="C687" s="234"/>
      <c r="D687" s="234"/>
      <c r="E687" s="234"/>
      <c r="F687" s="378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47"/>
    </row>
    <row r="689" spans="1:24" ht="12" customHeight="1" x14ac:dyDescent="0.25">
      <c r="F689" s="101"/>
      <c r="G689" s="248"/>
      <c r="H689" s="248"/>
      <c r="I689" s="248"/>
      <c r="J689" s="248"/>
      <c r="K689" s="248"/>
      <c r="L689" s="248"/>
      <c r="M689" s="248"/>
      <c r="N689" s="248"/>
      <c r="O689" s="248"/>
      <c r="P689" s="248"/>
      <c r="Q689" s="248"/>
      <c r="R689" s="248"/>
      <c r="S689" s="248"/>
      <c r="T689" s="248"/>
      <c r="U689" s="248"/>
      <c r="V689" s="248"/>
    </row>
    <row r="691" spans="1:24" ht="12" customHeight="1" x14ac:dyDescent="0.25"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</row>
    <row r="692" spans="1:24" ht="12" customHeight="1" x14ac:dyDescent="0.25">
      <c r="G692" s="109"/>
      <c r="H692" s="109"/>
      <c r="I692" s="109"/>
      <c r="J692" s="109"/>
      <c r="K692" s="109"/>
      <c r="L692" s="109"/>
      <c r="M692" s="249"/>
      <c r="N692" s="109"/>
      <c r="O692" s="249"/>
      <c r="P692" s="109"/>
      <c r="Q692" s="109"/>
      <c r="R692" s="109"/>
      <c r="S692" s="109"/>
      <c r="T692" s="109"/>
      <c r="U692" s="109"/>
      <c r="V692" s="109"/>
    </row>
    <row r="693" spans="1:24" ht="12" customHeight="1" x14ac:dyDescent="0.25">
      <c r="G693" s="109"/>
      <c r="H693" s="109"/>
      <c r="I693" s="109"/>
      <c r="J693" s="109"/>
      <c r="K693" s="109"/>
      <c r="L693" s="109"/>
      <c r="M693" s="109"/>
      <c r="N693" s="109"/>
      <c r="O693" s="109"/>
      <c r="P693" s="249"/>
      <c r="Q693" s="109"/>
      <c r="R693" s="109"/>
      <c r="S693" s="109"/>
      <c r="T693" s="109"/>
      <c r="U693" s="109"/>
      <c r="V693" s="109"/>
    </row>
    <row r="695" spans="1:24" ht="12" customHeight="1" x14ac:dyDescent="0.25">
      <c r="F695" s="250"/>
      <c r="G695" s="250"/>
      <c r="H695" s="250"/>
      <c r="I695" s="250"/>
      <c r="J695" s="250"/>
      <c r="K695" s="250"/>
      <c r="L695" s="250"/>
      <c r="M695" s="250"/>
      <c r="N695" s="250"/>
      <c r="O695" s="250"/>
      <c r="P695" s="250"/>
    </row>
    <row r="699" spans="1:24" ht="12" customHeight="1" x14ac:dyDescent="0.25">
      <c r="A699" s="23" t="s">
        <v>1167</v>
      </c>
    </row>
    <row r="701" spans="1:24" ht="12" customHeight="1" x14ac:dyDescent="0.25">
      <c r="A701" s="97" t="s">
        <v>1168</v>
      </c>
      <c r="F701" s="102">
        <f t="shared" ref="F701:T701" si="277">F668</f>
        <v>1486962671.9408753</v>
      </c>
      <c r="G701" s="102">
        <f t="shared" si="277"/>
        <v>577558036.32237256</v>
      </c>
      <c r="H701" s="102">
        <f t="shared" si="277"/>
        <v>199632188.59720656</v>
      </c>
      <c r="I701" s="102">
        <f t="shared" si="277"/>
        <v>0</v>
      </c>
      <c r="J701" s="102">
        <f t="shared" si="277"/>
        <v>11997673.987746205</v>
      </c>
      <c r="K701" s="102">
        <f t="shared" si="277"/>
        <v>0</v>
      </c>
      <c r="L701" s="102">
        <f t="shared" si="277"/>
        <v>173883934.54071742</v>
      </c>
      <c r="M701" s="102">
        <f t="shared" si="277"/>
        <v>13909259.197503271</v>
      </c>
      <c r="N701" s="102">
        <f t="shared" si="277"/>
        <v>116473231.72984052</v>
      </c>
      <c r="O701" s="102">
        <f t="shared" si="277"/>
        <v>250828327.75421491</v>
      </c>
      <c r="P701" s="102">
        <f t="shared" si="277"/>
        <v>86439484.209639043</v>
      </c>
      <c r="Q701" s="102">
        <f t="shared" si="277"/>
        <v>29888103.763572749</v>
      </c>
      <c r="R701" s="102">
        <f t="shared" si="277"/>
        <v>26166186.181470577</v>
      </c>
      <c r="S701" s="102">
        <f t="shared" si="277"/>
        <v>29690.626642426691</v>
      </c>
      <c r="T701" s="102">
        <f t="shared" si="277"/>
        <v>156555.02994893212</v>
      </c>
      <c r="U701" s="102"/>
      <c r="V701" s="102">
        <f>SUM(G701:T701)</f>
        <v>1486962671.9408755</v>
      </c>
      <c r="W701" s="98" t="str">
        <f>IF(ABS(F701-V701)&lt;0.01,"ok","err")</f>
        <v>ok</v>
      </c>
      <c r="X701" s="102" t="str">
        <f>IF(W701="err",V701-F701,"")</f>
        <v/>
      </c>
    </row>
    <row r="703" spans="1:24" ht="12" customHeight="1" x14ac:dyDescent="0.25">
      <c r="A703" s="97" t="s">
        <v>435</v>
      </c>
      <c r="F703" s="102">
        <f t="shared" ref="F703:T703" si="278">F671+F672+F673+F674+F675+F676+F678+F679</f>
        <v>1199657950.3587506</v>
      </c>
      <c r="G703" s="102">
        <f t="shared" si="278"/>
        <v>493607717.92863482</v>
      </c>
      <c r="H703" s="102">
        <f t="shared" si="278"/>
        <v>140671615.755027</v>
      </c>
      <c r="I703" s="102">
        <f t="shared" si="278"/>
        <v>0</v>
      </c>
      <c r="J703" s="102">
        <f t="shared" si="278"/>
        <v>9760975.9519190267</v>
      </c>
      <c r="K703" s="102">
        <f t="shared" si="278"/>
        <v>0</v>
      </c>
      <c r="L703" s="102">
        <f t="shared" si="278"/>
        <v>125250694.16507046</v>
      </c>
      <c r="M703" s="102">
        <f t="shared" si="278"/>
        <v>9556095.8882309906</v>
      </c>
      <c r="N703" s="102">
        <f t="shared" si="278"/>
        <v>93897525.534414038</v>
      </c>
      <c r="O703" s="102">
        <f t="shared" si="278"/>
        <v>215121791.77540475</v>
      </c>
      <c r="P703" s="102">
        <f t="shared" si="278"/>
        <v>73797913.032517642</v>
      </c>
      <c r="Q703" s="102">
        <f t="shared" si="278"/>
        <v>24627193.281671613</v>
      </c>
      <c r="R703" s="102">
        <f t="shared" si="278"/>
        <v>13234855.262369441</v>
      </c>
      <c r="S703" s="102">
        <f t="shared" si="278"/>
        <v>17742.649977950736</v>
      </c>
      <c r="T703" s="102">
        <f t="shared" si="278"/>
        <v>113828.13351306197</v>
      </c>
      <c r="U703" s="102"/>
      <c r="V703" s="102">
        <f>SUM(G703:T703)</f>
        <v>1199657949.3587506</v>
      </c>
      <c r="W703" s="98" t="str">
        <f>IF(ABS(F703-V703)&lt;0.01,"ok","err")</f>
        <v>err</v>
      </c>
      <c r="X703" s="243">
        <f>IF(W703="err",V703-F703,"")</f>
        <v>-1</v>
      </c>
    </row>
    <row r="705" spans="1:24" ht="12" customHeight="1" x14ac:dyDescent="0.25">
      <c r="A705" s="97" t="s">
        <v>1169</v>
      </c>
      <c r="D705" s="97" t="s">
        <v>1170</v>
      </c>
      <c r="F705" s="251">
        <f t="shared" ref="F705:T705" si="279">F636</f>
        <v>86095200.491145507</v>
      </c>
      <c r="G705" s="251">
        <f t="shared" si="279"/>
        <v>40550220.668183573</v>
      </c>
      <c r="H705" s="251">
        <f t="shared" si="279"/>
        <v>10418599.508402497</v>
      </c>
      <c r="I705" s="251">
        <f t="shared" si="279"/>
        <v>0</v>
      </c>
      <c r="J705" s="251">
        <f t="shared" si="279"/>
        <v>668776.93154093286</v>
      </c>
      <c r="K705" s="251">
        <f t="shared" si="279"/>
        <v>0</v>
      </c>
      <c r="L705" s="251">
        <f t="shared" si="279"/>
        <v>8266800.717887775</v>
      </c>
      <c r="M705" s="251">
        <f t="shared" si="279"/>
        <v>600722.80339447141</v>
      </c>
      <c r="N705" s="251">
        <f t="shared" si="279"/>
        <v>5913421.431592077</v>
      </c>
      <c r="O705" s="251">
        <f t="shared" si="279"/>
        <v>12663457.890034882</v>
      </c>
      <c r="P705" s="251">
        <f t="shared" si="279"/>
        <v>4062213.4008213338</v>
      </c>
      <c r="Q705" s="251">
        <f t="shared" si="279"/>
        <v>1056233.0599140152</v>
      </c>
      <c r="R705" s="251">
        <f t="shared" si="279"/>
        <v>1888015.8660816066</v>
      </c>
      <c r="S705" s="251">
        <f t="shared" si="279"/>
        <v>309.03549505252892</v>
      </c>
      <c r="T705" s="251">
        <f t="shared" si="279"/>
        <v>6429.1777972720492</v>
      </c>
      <c r="U705" s="251"/>
      <c r="V705" s="251">
        <f>SUM(G705:T705)</f>
        <v>86095200.491145507</v>
      </c>
      <c r="W705" s="98" t="str">
        <f>IF(ABS(F705-V705)&lt;0.01,"ok","err")</f>
        <v>ok</v>
      </c>
      <c r="X705" s="243" t="str">
        <f>IF(W705="err",V705-F705,"")</f>
        <v/>
      </c>
    </row>
    <row r="707" spans="1:24" ht="12" customHeight="1" x14ac:dyDescent="0.25">
      <c r="A707" s="97" t="s">
        <v>1171</v>
      </c>
      <c r="D707" s="97" t="s">
        <v>1172</v>
      </c>
      <c r="F707" s="102">
        <f>F701-F703-F705</f>
        <v>201209521.09097922</v>
      </c>
      <c r="G707" s="102">
        <f t="shared" ref="G707:T707" si="280">G701-G703-G705</f>
        <v>43400097.725554161</v>
      </c>
      <c r="H707" s="102">
        <f t="shared" si="280"/>
        <v>48541973.33377707</v>
      </c>
      <c r="I707" s="102">
        <f>I701-I703-I705</f>
        <v>0</v>
      </c>
      <c r="J707" s="102">
        <f>J701-J703-J705</f>
        <v>1567921.1042862455</v>
      </c>
      <c r="K707" s="102">
        <f>K701-K703-K705</f>
        <v>0</v>
      </c>
      <c r="L707" s="102">
        <f t="shared" si="280"/>
        <v>40366439.65775919</v>
      </c>
      <c r="M707" s="102">
        <f t="shared" si="280"/>
        <v>3752440.5058778087</v>
      </c>
      <c r="N707" s="102">
        <f t="shared" si="280"/>
        <v>16662284.763834402</v>
      </c>
      <c r="O707" s="102">
        <f>O701-O703-O705</f>
        <v>23043078.088775277</v>
      </c>
      <c r="P707" s="102">
        <f>P701-P703-P705</f>
        <v>8579357.7763000671</v>
      </c>
      <c r="Q707" s="102">
        <f t="shared" si="280"/>
        <v>4204677.4219871201</v>
      </c>
      <c r="R707" s="102">
        <f t="shared" si="280"/>
        <v>11043315.053019529</v>
      </c>
      <c r="S707" s="102">
        <f t="shared" si="280"/>
        <v>11638.941169423426</v>
      </c>
      <c r="T707" s="102">
        <f t="shared" si="280"/>
        <v>36297.718638598097</v>
      </c>
      <c r="U707" s="102"/>
      <c r="V707" s="102">
        <f>SUM(G707:T707)</f>
        <v>201209522.09097889</v>
      </c>
      <c r="W707" s="98" t="str">
        <f>IF(ABS(F707-V707)&lt;0.01,"ok","err")</f>
        <v>err</v>
      </c>
      <c r="X707" s="102">
        <f>IF(W707="err",V707-F707,"")</f>
        <v>0.99999967217445374</v>
      </c>
    </row>
    <row r="708" spans="1:24" ht="13.5" customHeight="1" x14ac:dyDescent="0.25"/>
    <row r="710" spans="1:24" ht="12" customHeight="1" x14ac:dyDescent="0.25">
      <c r="A710" s="24" t="s">
        <v>1554</v>
      </c>
    </row>
    <row r="712" spans="1:24" ht="12" customHeight="1" x14ac:dyDescent="0.25">
      <c r="A712" s="24" t="s">
        <v>431</v>
      </c>
    </row>
    <row r="714" spans="1:24" ht="12" customHeight="1" x14ac:dyDescent="0.25">
      <c r="A714" s="97" t="s">
        <v>520</v>
      </c>
      <c r="F714" s="102">
        <f t="shared" ref="F714:T714" si="281">F668</f>
        <v>1486962671.9408753</v>
      </c>
      <c r="G714" s="102">
        <f t="shared" si="281"/>
        <v>577558036.32237256</v>
      </c>
      <c r="H714" s="102">
        <f t="shared" si="281"/>
        <v>199632188.59720656</v>
      </c>
      <c r="I714" s="102">
        <f t="shared" si="281"/>
        <v>0</v>
      </c>
      <c r="J714" s="102">
        <f t="shared" si="281"/>
        <v>11997673.987746205</v>
      </c>
      <c r="K714" s="102">
        <f t="shared" si="281"/>
        <v>0</v>
      </c>
      <c r="L714" s="102">
        <f t="shared" si="281"/>
        <v>173883934.54071742</v>
      </c>
      <c r="M714" s="102">
        <f t="shared" si="281"/>
        <v>13909259.197503271</v>
      </c>
      <c r="N714" s="102">
        <f t="shared" si="281"/>
        <v>116473231.72984052</v>
      </c>
      <c r="O714" s="102">
        <f t="shared" si="281"/>
        <v>250828327.75421491</v>
      </c>
      <c r="P714" s="102">
        <f t="shared" si="281"/>
        <v>86439484.209639043</v>
      </c>
      <c r="Q714" s="102">
        <f t="shared" si="281"/>
        <v>29888103.763572749</v>
      </c>
      <c r="R714" s="102">
        <f t="shared" si="281"/>
        <v>26166186.181470577</v>
      </c>
      <c r="S714" s="102">
        <f t="shared" si="281"/>
        <v>29690.626642426691</v>
      </c>
      <c r="T714" s="102">
        <f t="shared" si="281"/>
        <v>156555.02994893212</v>
      </c>
      <c r="U714" s="102"/>
      <c r="V714" s="102">
        <f>SUM(G714:T714)</f>
        <v>1486962671.9408755</v>
      </c>
      <c r="W714" s="98" t="str">
        <f>IF(ABS(F714-V714)&lt;0.01,"ok","err")</f>
        <v>ok</v>
      </c>
      <c r="X714" s="102" t="str">
        <f>IF(W714="err",V714-F714,"")</f>
        <v/>
      </c>
    </row>
    <row r="715" spans="1:24" ht="12" customHeight="1" x14ac:dyDescent="0.25"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98"/>
      <c r="X715" s="102"/>
    </row>
    <row r="716" spans="1:24" ht="12" customHeight="1" x14ac:dyDescent="0.25">
      <c r="A716" s="97" t="s">
        <v>521</v>
      </c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98"/>
    </row>
    <row r="717" spans="1:24" ht="12" hidden="1" customHeight="1" x14ac:dyDescent="0.25">
      <c r="B717" s="97" t="s">
        <v>2319</v>
      </c>
      <c r="F717" s="229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2">
        <f t="shared" ref="V717:V724" si="282">SUM(G717:T717)</f>
        <v>0</v>
      </c>
      <c r="W717" s="98" t="str">
        <f t="shared" ref="W717:W727" si="283">IF(ABS(F717-V717)&lt;0.01,"ok","err")</f>
        <v>ok</v>
      </c>
      <c r="X717" s="102" t="str">
        <f t="shared" ref="X717:X726" si="284">IF(W717="err",V717-F717,"")</f>
        <v/>
      </c>
    </row>
    <row r="718" spans="1:24" ht="12" hidden="1" customHeight="1" x14ac:dyDescent="0.25">
      <c r="B718" s="97" t="s">
        <v>2323</v>
      </c>
      <c r="F718" s="229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2">
        <f t="shared" si="282"/>
        <v>0</v>
      </c>
      <c r="W718" s="98" t="str">
        <f t="shared" si="283"/>
        <v>ok</v>
      </c>
      <c r="X718" s="102" t="str">
        <f t="shared" si="284"/>
        <v/>
      </c>
    </row>
    <row r="719" spans="1:24" ht="12" hidden="1" customHeight="1" x14ac:dyDescent="0.25">
      <c r="B719" s="97" t="s">
        <v>2320</v>
      </c>
      <c r="F719" s="229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2">
        <f t="shared" si="282"/>
        <v>0</v>
      </c>
      <c r="W719" s="98" t="str">
        <f t="shared" si="283"/>
        <v>ok</v>
      </c>
      <c r="X719" s="102" t="str">
        <f t="shared" si="284"/>
        <v/>
      </c>
    </row>
    <row r="720" spans="1:24" ht="12" hidden="1" customHeight="1" x14ac:dyDescent="0.25">
      <c r="B720" s="97" t="s">
        <v>2321</v>
      </c>
      <c r="F720" s="229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2">
        <f t="shared" si="282"/>
        <v>0</v>
      </c>
      <c r="W720" s="98" t="str">
        <f t="shared" si="283"/>
        <v>ok</v>
      </c>
      <c r="X720" s="102" t="str">
        <f t="shared" si="284"/>
        <v/>
      </c>
    </row>
    <row r="721" spans="1:24" ht="12" customHeight="1" x14ac:dyDescent="0.25">
      <c r="B721" s="97" t="s">
        <v>2322</v>
      </c>
      <c r="E721" s="97" t="s">
        <v>2431</v>
      </c>
      <c r="F721" s="229">
        <f>-1635232</f>
        <v>-1635232</v>
      </c>
      <c r="G721" s="100">
        <f t="shared" ref="G721:T726" si="285">IF(VLOOKUP($E721,$D$5:$AJ$967,3,)=0,0,(VLOOKUP($E721,$D$5:$AJ$967,G$1,)/VLOOKUP($E721,$D$5:$AJ$967,3,))*$F721)</f>
        <v>-609965.43393935554</v>
      </c>
      <c r="H721" s="100">
        <f t="shared" si="285"/>
        <v>-368765.56167765619</v>
      </c>
      <c r="I721" s="100">
        <f t="shared" si="285"/>
        <v>0</v>
      </c>
      <c r="J721" s="100">
        <f t="shared" si="285"/>
        <v>-23372.784947542106</v>
      </c>
      <c r="K721" s="100">
        <f t="shared" si="285"/>
        <v>0</v>
      </c>
      <c r="L721" s="100">
        <f t="shared" si="285"/>
        <v>-168729.68557332992</v>
      </c>
      <c r="M721" s="100">
        <f t="shared" si="285"/>
        <v>-13653.249062990584</v>
      </c>
      <c r="N721" s="100">
        <f t="shared" si="285"/>
        <v>-105681.79888788707</v>
      </c>
      <c r="O721" s="100">
        <f t="shared" si="285"/>
        <v>-210278.71484812399</v>
      </c>
      <c r="P721" s="100">
        <f t="shared" si="285"/>
        <v>-68614.131736137875</v>
      </c>
      <c r="Q721" s="100">
        <f t="shared" si="285"/>
        <v>-23718.864328387746</v>
      </c>
      <c r="R721" s="100">
        <f t="shared" si="285"/>
        <v>-42193.733198806258</v>
      </c>
      <c r="S721" s="100">
        <f t="shared" si="285"/>
        <v>-65.934718193416572</v>
      </c>
      <c r="T721" s="100">
        <f t="shared" si="285"/>
        <v>-192.10708158932405</v>
      </c>
      <c r="U721" s="100"/>
      <c r="V721" s="102">
        <f t="shared" si="282"/>
        <v>-1635231.9999999998</v>
      </c>
      <c r="W721" s="98" t="str">
        <f t="shared" si="283"/>
        <v>ok</v>
      </c>
      <c r="X721" s="102" t="str">
        <f t="shared" si="284"/>
        <v/>
      </c>
    </row>
    <row r="722" spans="1:24" ht="12" hidden="1" customHeight="1" x14ac:dyDescent="0.25">
      <c r="B722" s="97" t="s">
        <v>323</v>
      </c>
      <c r="E722" s="97" t="s">
        <v>1213</v>
      </c>
      <c r="F722" s="229">
        <v>0</v>
      </c>
      <c r="G722" s="100">
        <f t="shared" si="285"/>
        <v>0</v>
      </c>
      <c r="H722" s="100">
        <f t="shared" si="285"/>
        <v>0</v>
      </c>
      <c r="I722" s="100">
        <f t="shared" si="285"/>
        <v>0</v>
      </c>
      <c r="J722" s="100">
        <f t="shared" si="285"/>
        <v>0</v>
      </c>
      <c r="K722" s="100">
        <f t="shared" si="285"/>
        <v>0</v>
      </c>
      <c r="L722" s="100">
        <f t="shared" si="285"/>
        <v>0</v>
      </c>
      <c r="M722" s="100">
        <f t="shared" si="285"/>
        <v>0</v>
      </c>
      <c r="N722" s="100">
        <f t="shared" si="285"/>
        <v>0</v>
      </c>
      <c r="O722" s="100">
        <f t="shared" si="285"/>
        <v>0</v>
      </c>
      <c r="P722" s="100">
        <f t="shared" si="285"/>
        <v>0</v>
      </c>
      <c r="Q722" s="100">
        <f t="shared" si="285"/>
        <v>0</v>
      </c>
      <c r="R722" s="100">
        <f t="shared" si="285"/>
        <v>0</v>
      </c>
      <c r="S722" s="100">
        <f t="shared" si="285"/>
        <v>0</v>
      </c>
      <c r="T722" s="100">
        <f t="shared" si="285"/>
        <v>0</v>
      </c>
      <c r="U722" s="100"/>
      <c r="V722" s="102">
        <f t="shared" si="282"/>
        <v>0</v>
      </c>
      <c r="W722" s="98" t="str">
        <f t="shared" si="283"/>
        <v>ok</v>
      </c>
      <c r="X722" s="102" t="str">
        <f t="shared" si="284"/>
        <v/>
      </c>
    </row>
    <row r="723" spans="1:24" ht="12" hidden="1" customHeight="1" x14ac:dyDescent="0.25">
      <c r="B723" s="97" t="s">
        <v>2225</v>
      </c>
      <c r="E723" s="97" t="s">
        <v>1213</v>
      </c>
      <c r="F723" s="229">
        <v>0</v>
      </c>
      <c r="G723" s="100">
        <f t="shared" si="285"/>
        <v>0</v>
      </c>
      <c r="H723" s="100">
        <f t="shared" si="285"/>
        <v>0</v>
      </c>
      <c r="I723" s="100">
        <f t="shared" si="285"/>
        <v>0</v>
      </c>
      <c r="J723" s="100">
        <f t="shared" si="285"/>
        <v>0</v>
      </c>
      <c r="K723" s="100">
        <f t="shared" si="285"/>
        <v>0</v>
      </c>
      <c r="L723" s="100">
        <f t="shared" si="285"/>
        <v>0</v>
      </c>
      <c r="M723" s="100">
        <f t="shared" si="285"/>
        <v>0</v>
      </c>
      <c r="N723" s="100">
        <f t="shared" si="285"/>
        <v>0</v>
      </c>
      <c r="O723" s="100">
        <f t="shared" si="285"/>
        <v>0</v>
      </c>
      <c r="P723" s="100">
        <f t="shared" si="285"/>
        <v>0</v>
      </c>
      <c r="Q723" s="100">
        <f t="shared" si="285"/>
        <v>0</v>
      </c>
      <c r="R723" s="100">
        <f t="shared" si="285"/>
        <v>0</v>
      </c>
      <c r="S723" s="100">
        <f t="shared" si="285"/>
        <v>0</v>
      </c>
      <c r="T723" s="100">
        <f t="shared" si="285"/>
        <v>0</v>
      </c>
      <c r="U723" s="100"/>
      <c r="V723" s="102">
        <f>SUM(G723:T723)</f>
        <v>0</v>
      </c>
      <c r="W723" s="98" t="str">
        <f t="shared" si="283"/>
        <v>ok</v>
      </c>
      <c r="X723" s="102" t="str">
        <f t="shared" si="284"/>
        <v/>
      </c>
    </row>
    <row r="724" spans="1:24" ht="12" hidden="1" customHeight="1" x14ac:dyDescent="0.25">
      <c r="B724" s="97" t="s">
        <v>1945</v>
      </c>
      <c r="E724" s="97" t="s">
        <v>110</v>
      </c>
      <c r="F724" s="229">
        <v>0</v>
      </c>
      <c r="G724" s="100">
        <f t="shared" si="285"/>
        <v>0</v>
      </c>
      <c r="H724" s="100">
        <f t="shared" si="285"/>
        <v>0</v>
      </c>
      <c r="I724" s="100">
        <f t="shared" si="285"/>
        <v>0</v>
      </c>
      <c r="J724" s="100">
        <f t="shared" si="285"/>
        <v>0</v>
      </c>
      <c r="K724" s="100">
        <f t="shared" si="285"/>
        <v>0</v>
      </c>
      <c r="L724" s="100">
        <f t="shared" si="285"/>
        <v>0</v>
      </c>
      <c r="M724" s="100">
        <f t="shared" si="285"/>
        <v>0</v>
      </c>
      <c r="N724" s="100">
        <f t="shared" si="285"/>
        <v>0</v>
      </c>
      <c r="O724" s="100">
        <f t="shared" si="285"/>
        <v>0</v>
      </c>
      <c r="P724" s="100">
        <f t="shared" si="285"/>
        <v>0</v>
      </c>
      <c r="Q724" s="100">
        <f t="shared" si="285"/>
        <v>0</v>
      </c>
      <c r="R724" s="100">
        <f t="shared" si="285"/>
        <v>0</v>
      </c>
      <c r="S724" s="100">
        <f t="shared" si="285"/>
        <v>0</v>
      </c>
      <c r="T724" s="100">
        <f t="shared" si="285"/>
        <v>0</v>
      </c>
      <c r="U724" s="100"/>
      <c r="V724" s="102">
        <f t="shared" si="282"/>
        <v>0</v>
      </c>
      <c r="W724" s="98" t="str">
        <f t="shared" si="283"/>
        <v>ok</v>
      </c>
      <c r="X724" s="102" t="str">
        <f t="shared" si="284"/>
        <v/>
      </c>
    </row>
    <row r="725" spans="1:24" ht="12" hidden="1" customHeight="1" x14ac:dyDescent="0.25">
      <c r="B725" s="97" t="s">
        <v>1946</v>
      </c>
      <c r="D725" s="97" t="s">
        <v>846</v>
      </c>
      <c r="E725" s="97" t="s">
        <v>1885</v>
      </c>
      <c r="F725" s="229">
        <v>0</v>
      </c>
      <c r="G725" s="100">
        <f t="shared" si="285"/>
        <v>0</v>
      </c>
      <c r="H725" s="100">
        <f t="shared" si="285"/>
        <v>0</v>
      </c>
      <c r="I725" s="100">
        <f t="shared" si="285"/>
        <v>0</v>
      </c>
      <c r="J725" s="100">
        <f t="shared" si="285"/>
        <v>0</v>
      </c>
      <c r="K725" s="100">
        <f t="shared" si="285"/>
        <v>0</v>
      </c>
      <c r="L725" s="100">
        <f t="shared" si="285"/>
        <v>0</v>
      </c>
      <c r="M725" s="100">
        <f t="shared" si="285"/>
        <v>0</v>
      </c>
      <c r="N725" s="100">
        <f t="shared" si="285"/>
        <v>0</v>
      </c>
      <c r="O725" s="100">
        <f t="shared" si="285"/>
        <v>0</v>
      </c>
      <c r="P725" s="100">
        <f t="shared" si="285"/>
        <v>0</v>
      </c>
      <c r="Q725" s="100">
        <f t="shared" si="285"/>
        <v>0</v>
      </c>
      <c r="R725" s="100">
        <f t="shared" si="285"/>
        <v>0</v>
      </c>
      <c r="S725" s="100">
        <f t="shared" si="285"/>
        <v>0</v>
      </c>
      <c r="T725" s="100">
        <f t="shared" si="285"/>
        <v>0</v>
      </c>
      <c r="U725" s="100"/>
      <c r="V725" s="102">
        <f>SUM(G725:T725)</f>
        <v>0</v>
      </c>
      <c r="W725" s="98" t="str">
        <f t="shared" si="283"/>
        <v>ok</v>
      </c>
      <c r="X725" s="243" t="str">
        <f t="shared" si="284"/>
        <v/>
      </c>
    </row>
    <row r="726" spans="1:24" ht="12" hidden="1" customHeight="1" x14ac:dyDescent="0.25">
      <c r="B726" s="97" t="s">
        <v>324</v>
      </c>
      <c r="D726" s="97" t="s">
        <v>1516</v>
      </c>
      <c r="E726" s="97" t="s">
        <v>1886</v>
      </c>
      <c r="F726" s="229">
        <v>0</v>
      </c>
      <c r="G726" s="100">
        <f t="shared" si="285"/>
        <v>0</v>
      </c>
      <c r="H726" s="100">
        <f t="shared" si="285"/>
        <v>0</v>
      </c>
      <c r="I726" s="100">
        <f t="shared" si="285"/>
        <v>0</v>
      </c>
      <c r="J726" s="100">
        <f t="shared" si="285"/>
        <v>0</v>
      </c>
      <c r="K726" s="100">
        <f t="shared" si="285"/>
        <v>0</v>
      </c>
      <c r="L726" s="100">
        <f t="shared" si="285"/>
        <v>0</v>
      </c>
      <c r="M726" s="100">
        <f t="shared" si="285"/>
        <v>0</v>
      </c>
      <c r="N726" s="100">
        <f t="shared" si="285"/>
        <v>0</v>
      </c>
      <c r="O726" s="100">
        <f t="shared" si="285"/>
        <v>0</v>
      </c>
      <c r="P726" s="100">
        <f t="shared" si="285"/>
        <v>0</v>
      </c>
      <c r="Q726" s="100">
        <f t="shared" si="285"/>
        <v>0</v>
      </c>
      <c r="R726" s="100">
        <f t="shared" si="285"/>
        <v>0</v>
      </c>
      <c r="S726" s="100">
        <f t="shared" si="285"/>
        <v>0</v>
      </c>
      <c r="T726" s="100">
        <f t="shared" si="285"/>
        <v>0</v>
      </c>
      <c r="U726" s="100"/>
      <c r="V726" s="102">
        <f>SUM(G726:T726)</f>
        <v>0</v>
      </c>
      <c r="W726" s="98" t="str">
        <f t="shared" si="283"/>
        <v>ok</v>
      </c>
      <c r="X726" s="102" t="str">
        <f t="shared" si="284"/>
        <v/>
      </c>
    </row>
    <row r="727" spans="1:24" ht="12" hidden="1" customHeight="1" x14ac:dyDescent="0.25">
      <c r="B727" s="246" t="s">
        <v>2226</v>
      </c>
      <c r="E727" s="97" t="s">
        <v>422</v>
      </c>
      <c r="F727" s="229">
        <v>0</v>
      </c>
      <c r="G727" s="100">
        <f t="shared" ref="G727:T727" si="286">IF(VLOOKUP($E727,$D$5:$AJ$952,3,)=0,0,(VLOOKUP($E727,$D$5:$AJ$952,G$1,)/VLOOKUP($E727,$D$5:$AJ$952,3,))*$F727)</f>
        <v>0</v>
      </c>
      <c r="H727" s="100">
        <f t="shared" si="286"/>
        <v>0</v>
      </c>
      <c r="I727" s="100">
        <f t="shared" si="286"/>
        <v>0</v>
      </c>
      <c r="J727" s="100">
        <f t="shared" si="286"/>
        <v>0</v>
      </c>
      <c r="K727" s="100">
        <f t="shared" si="286"/>
        <v>0</v>
      </c>
      <c r="L727" s="100">
        <f t="shared" si="286"/>
        <v>0</v>
      </c>
      <c r="M727" s="100">
        <f t="shared" si="286"/>
        <v>0</v>
      </c>
      <c r="N727" s="100">
        <f t="shared" si="286"/>
        <v>0</v>
      </c>
      <c r="O727" s="100">
        <f t="shared" si="286"/>
        <v>0</v>
      </c>
      <c r="P727" s="100">
        <f t="shared" si="286"/>
        <v>0</v>
      </c>
      <c r="Q727" s="100">
        <f t="shared" si="286"/>
        <v>0</v>
      </c>
      <c r="R727" s="100">
        <f t="shared" si="286"/>
        <v>0</v>
      </c>
      <c r="S727" s="100">
        <f t="shared" si="286"/>
        <v>0</v>
      </c>
      <c r="T727" s="100">
        <f t="shared" si="286"/>
        <v>0</v>
      </c>
      <c r="U727" s="100"/>
      <c r="V727" s="102">
        <f>SUM(G727:T727)</f>
        <v>0</v>
      </c>
      <c r="W727" s="98" t="str">
        <f t="shared" si="283"/>
        <v>ok</v>
      </c>
      <c r="X727" s="243"/>
    </row>
    <row r="729" spans="1:24" ht="12" customHeight="1" x14ac:dyDescent="0.25">
      <c r="A729" s="97" t="s">
        <v>522</v>
      </c>
      <c r="E729" s="105"/>
      <c r="F729" s="102">
        <f t="shared" ref="F729:U729" si="287">SUM(F714:F727)</f>
        <v>1485327439.9408753</v>
      </c>
      <c r="G729" s="102">
        <f t="shared" si="287"/>
        <v>576948070.88843322</v>
      </c>
      <c r="H729" s="102">
        <f t="shared" si="287"/>
        <v>199263423.0355289</v>
      </c>
      <c r="I729" s="102">
        <f t="shared" si="287"/>
        <v>0</v>
      </c>
      <c r="J729" s="102">
        <f t="shared" si="287"/>
        <v>11974301.202798663</v>
      </c>
      <c r="K729" s="102">
        <f t="shared" si="287"/>
        <v>0</v>
      </c>
      <c r="L729" s="102">
        <f t="shared" si="287"/>
        <v>173715204.85514408</v>
      </c>
      <c r="M729" s="102">
        <f t="shared" si="287"/>
        <v>13895605.94844028</v>
      </c>
      <c r="N729" s="102">
        <f t="shared" si="287"/>
        <v>116367549.93095262</v>
      </c>
      <c r="O729" s="102">
        <f t="shared" si="287"/>
        <v>250618049.03936678</v>
      </c>
      <c r="P729" s="102">
        <f t="shared" si="287"/>
        <v>86370870.077902898</v>
      </c>
      <c r="Q729" s="102">
        <f t="shared" si="287"/>
        <v>29864384.899244361</v>
      </c>
      <c r="R729" s="102">
        <f t="shared" si="287"/>
        <v>26123992.44827177</v>
      </c>
      <c r="S729" s="102">
        <f t="shared" si="287"/>
        <v>29624.691924233273</v>
      </c>
      <c r="T729" s="102">
        <f t="shared" si="287"/>
        <v>156362.9228673428</v>
      </c>
      <c r="U729" s="102">
        <f t="shared" si="287"/>
        <v>0</v>
      </c>
      <c r="V729" s="102">
        <f>SUM(G729:T729)</f>
        <v>1485327439.9408748</v>
      </c>
      <c r="W729" s="98" t="str">
        <f>IF(ABS(F729-V729)&lt;0.01,"ok","err")</f>
        <v>ok</v>
      </c>
      <c r="X729" s="102" t="str">
        <f>IF(W729="err",V729-F729,"")</f>
        <v/>
      </c>
    </row>
    <row r="730" spans="1:24" ht="12" customHeight="1" x14ac:dyDescent="0.25">
      <c r="E730" s="102"/>
      <c r="F730" s="105"/>
    </row>
    <row r="732" spans="1:24" ht="12" customHeight="1" x14ac:dyDescent="0.25">
      <c r="A732" s="24" t="s">
        <v>435</v>
      </c>
      <c r="F732" s="102"/>
    </row>
    <row r="734" spans="1:24" ht="12" customHeight="1" x14ac:dyDescent="0.25">
      <c r="A734" s="107" t="s">
        <v>436</v>
      </c>
      <c r="F734" s="102">
        <f t="shared" ref="F734:T734" si="288">F231</f>
        <v>933774238.57748592</v>
      </c>
      <c r="G734" s="102">
        <f t="shared" si="288"/>
        <v>370519405.17287457</v>
      </c>
      <c r="H734" s="102">
        <f t="shared" si="288"/>
        <v>108753033.19473302</v>
      </c>
      <c r="I734" s="102">
        <f t="shared" si="288"/>
        <v>0</v>
      </c>
      <c r="J734" s="102">
        <f t="shared" si="288"/>
        <v>7668256.0483589973</v>
      </c>
      <c r="K734" s="102">
        <f t="shared" si="288"/>
        <v>0</v>
      </c>
      <c r="L734" s="102">
        <f t="shared" si="288"/>
        <v>99088940.765030891</v>
      </c>
      <c r="M734" s="102">
        <f t="shared" si="288"/>
        <v>7651162.2855686005</v>
      </c>
      <c r="N734" s="102">
        <f t="shared" si="288"/>
        <v>75124152.589057371</v>
      </c>
      <c r="O734" s="102">
        <f t="shared" si="288"/>
        <v>174786954.93278927</v>
      </c>
      <c r="P734" s="102">
        <f t="shared" si="288"/>
        <v>60688793.139909752</v>
      </c>
      <c r="Q734" s="102">
        <f t="shared" si="288"/>
        <v>21215963.597676735</v>
      </c>
      <c r="R734" s="102">
        <f t="shared" si="288"/>
        <v>8165872.7907812931</v>
      </c>
      <c r="S734" s="102">
        <f t="shared" si="288"/>
        <v>16912.945346934604</v>
      </c>
      <c r="T734" s="102">
        <f t="shared" si="288"/>
        <v>94791.115358423413</v>
      </c>
      <c r="U734" s="102"/>
      <c r="V734" s="102">
        <f>V231</f>
        <v>933774238.5774858</v>
      </c>
      <c r="W734" s="98" t="str">
        <f t="shared" ref="W734:W742" si="289">IF(ABS(F734-V734)&lt;0.01,"ok","err")</f>
        <v>ok</v>
      </c>
      <c r="X734" s="243" t="str">
        <f t="shared" ref="X734:X742" si="290">IF(W734="err",V734-F734,"")</f>
        <v/>
      </c>
    </row>
    <row r="735" spans="1:24" ht="12" customHeight="1" x14ac:dyDescent="0.25">
      <c r="A735" s="107" t="s">
        <v>437</v>
      </c>
      <c r="F735" s="101">
        <f t="shared" ref="F735:T735" si="291">F345</f>
        <v>228062836.53918952</v>
      </c>
      <c r="G735" s="101">
        <f t="shared" si="291"/>
        <v>105274952.74338102</v>
      </c>
      <c r="H735" s="101">
        <f t="shared" si="291"/>
        <v>27341782.225615479</v>
      </c>
      <c r="I735" s="101">
        <f t="shared" si="291"/>
        <v>0</v>
      </c>
      <c r="J735" s="101">
        <f t="shared" si="291"/>
        <v>1798932.0035182098</v>
      </c>
      <c r="K735" s="101">
        <f t="shared" si="291"/>
        <v>0</v>
      </c>
      <c r="L735" s="101">
        <f t="shared" si="291"/>
        <v>22530219.621316772</v>
      </c>
      <c r="M735" s="101">
        <f t="shared" si="291"/>
        <v>1641041.2910282558</v>
      </c>
      <c r="N735" s="101">
        <f t="shared" si="291"/>
        <v>16175658.255553182</v>
      </c>
      <c r="O735" s="101">
        <f t="shared" si="291"/>
        <v>34771889.749682277</v>
      </c>
      <c r="P735" s="101">
        <f t="shared" si="291"/>
        <v>11324624.823166879</v>
      </c>
      <c r="Q735" s="101">
        <f t="shared" si="291"/>
        <v>2947235.6735119577</v>
      </c>
      <c r="R735" s="101">
        <f t="shared" si="291"/>
        <v>4239593.4682664694</v>
      </c>
      <c r="S735" s="101">
        <f t="shared" si="291"/>
        <v>693.9480169763392</v>
      </c>
      <c r="T735" s="101">
        <f t="shared" si="291"/>
        <v>16212.736132054226</v>
      </c>
      <c r="U735" s="101"/>
      <c r="V735" s="101">
        <f>V345</f>
        <v>228062836.53918952</v>
      </c>
      <c r="W735" s="98" t="str">
        <f t="shared" si="289"/>
        <v>ok</v>
      </c>
      <c r="X735" s="243" t="str">
        <f t="shared" si="290"/>
        <v/>
      </c>
    </row>
    <row r="736" spans="1:24" ht="12" customHeight="1" x14ac:dyDescent="0.25">
      <c r="A736" s="107" t="s">
        <v>275</v>
      </c>
      <c r="F736" s="101">
        <f t="shared" ref="F736:T736" si="292">F402</f>
        <v>0</v>
      </c>
      <c r="G736" s="101">
        <f t="shared" si="292"/>
        <v>0</v>
      </c>
      <c r="H736" s="101">
        <f t="shared" si="292"/>
        <v>0</v>
      </c>
      <c r="I736" s="101">
        <f t="shared" si="292"/>
        <v>0</v>
      </c>
      <c r="J736" s="101">
        <f t="shared" si="292"/>
        <v>0</v>
      </c>
      <c r="K736" s="101">
        <f t="shared" si="292"/>
        <v>0</v>
      </c>
      <c r="L736" s="101">
        <f t="shared" si="292"/>
        <v>0</v>
      </c>
      <c r="M736" s="101">
        <f t="shared" si="292"/>
        <v>0</v>
      </c>
      <c r="N736" s="101">
        <f t="shared" si="292"/>
        <v>0</v>
      </c>
      <c r="O736" s="101">
        <f t="shared" si="292"/>
        <v>0</v>
      </c>
      <c r="P736" s="101">
        <f t="shared" si="292"/>
        <v>0</v>
      </c>
      <c r="Q736" s="101">
        <f t="shared" si="292"/>
        <v>0</v>
      </c>
      <c r="R736" s="101">
        <f t="shared" si="292"/>
        <v>0</v>
      </c>
      <c r="S736" s="101">
        <f t="shared" si="292"/>
        <v>0</v>
      </c>
      <c r="T736" s="101">
        <f t="shared" si="292"/>
        <v>0</v>
      </c>
      <c r="U736" s="101"/>
      <c r="V736" s="102">
        <f>SUM(G736:T736)</f>
        <v>0</v>
      </c>
      <c r="W736" s="98" t="str">
        <f t="shared" si="289"/>
        <v>ok</v>
      </c>
      <c r="X736" s="102" t="str">
        <f t="shared" si="290"/>
        <v/>
      </c>
    </row>
    <row r="737" spans="1:24" ht="12" customHeight="1" x14ac:dyDescent="0.25">
      <c r="A737" s="107" t="s">
        <v>438</v>
      </c>
      <c r="E737" s="97" t="s">
        <v>419</v>
      </c>
      <c r="F737" s="101">
        <f t="shared" ref="F737:T737" si="293">F674</f>
        <v>24894100.893674195</v>
      </c>
      <c r="G737" s="101">
        <f t="shared" si="293"/>
        <v>11724942.607902201</v>
      </c>
      <c r="H737" s="101">
        <f t="shared" si="293"/>
        <v>3012498.5580308898</v>
      </c>
      <c r="I737" s="101">
        <f t="shared" si="293"/>
        <v>0</v>
      </c>
      <c r="J737" s="101">
        <f t="shared" si="293"/>
        <v>193374.31487663536</v>
      </c>
      <c r="K737" s="101">
        <f t="shared" si="293"/>
        <v>0</v>
      </c>
      <c r="L737" s="101">
        <f t="shared" si="293"/>
        <v>2390314.0937590543</v>
      </c>
      <c r="M737" s="101">
        <f t="shared" si="293"/>
        <v>173696.72166999339</v>
      </c>
      <c r="N737" s="101">
        <f t="shared" si="293"/>
        <v>1709843.3931866884</v>
      </c>
      <c r="O737" s="101">
        <f t="shared" si="293"/>
        <v>3661590.8503487902</v>
      </c>
      <c r="P737" s="101">
        <f t="shared" si="293"/>
        <v>1174573.6077597258</v>
      </c>
      <c r="Q737" s="101">
        <f t="shared" si="293"/>
        <v>305405.7858130887</v>
      </c>
      <c r="R737" s="101">
        <f t="shared" si="293"/>
        <v>545912.63149363315</v>
      </c>
      <c r="S737" s="101">
        <f t="shared" si="293"/>
        <v>89.356442051092216</v>
      </c>
      <c r="T737" s="101">
        <f t="shared" si="293"/>
        <v>1858.9723914415033</v>
      </c>
      <c r="U737" s="101"/>
      <c r="V737" s="102">
        <f>SUM(G737:T737)</f>
        <v>24894100.893674191</v>
      </c>
      <c r="W737" s="98" t="str">
        <f t="shared" si="289"/>
        <v>ok</v>
      </c>
      <c r="X737" s="102" t="str">
        <f t="shared" si="290"/>
        <v/>
      </c>
    </row>
    <row r="738" spans="1:24" ht="12" customHeight="1" x14ac:dyDescent="0.25">
      <c r="A738" s="107" t="s">
        <v>439</v>
      </c>
      <c r="F738" s="101">
        <f t="shared" ref="F738:T738" si="294">F516</f>
        <v>12926774.348401168</v>
      </c>
      <c r="G738" s="101">
        <f t="shared" si="294"/>
        <v>6088417.8138291491</v>
      </c>
      <c r="H738" s="101">
        <f t="shared" si="294"/>
        <v>1564301.8902701035</v>
      </c>
      <c r="I738" s="101">
        <f t="shared" si="294"/>
        <v>0</v>
      </c>
      <c r="J738" s="101">
        <f t="shared" si="294"/>
        <v>100413.59372099827</v>
      </c>
      <c r="K738" s="101">
        <f t="shared" si="294"/>
        <v>0</v>
      </c>
      <c r="L738" s="101">
        <f t="shared" si="294"/>
        <v>1241219.7991725039</v>
      </c>
      <c r="M738" s="101">
        <f t="shared" si="294"/>
        <v>90195.59837389458</v>
      </c>
      <c r="N738" s="101">
        <f t="shared" si="294"/>
        <v>887871.38002021168</v>
      </c>
      <c r="O738" s="101">
        <f t="shared" si="294"/>
        <v>1901356.4249937129</v>
      </c>
      <c r="P738" s="101">
        <f t="shared" si="294"/>
        <v>609921.52510138182</v>
      </c>
      <c r="Q738" s="101">
        <f t="shared" si="294"/>
        <v>158588.24123690827</v>
      </c>
      <c r="R738" s="101">
        <f t="shared" si="294"/>
        <v>283476.37182804599</v>
      </c>
      <c r="S738" s="101">
        <f t="shared" si="294"/>
        <v>46.400171988696833</v>
      </c>
      <c r="T738" s="101">
        <f t="shared" si="294"/>
        <v>965.30968227008179</v>
      </c>
      <c r="U738" s="101"/>
      <c r="V738" s="102">
        <f>SUM(G738:T738)</f>
        <v>12926774.348401172</v>
      </c>
      <c r="W738" s="98" t="str">
        <f t="shared" si="289"/>
        <v>ok</v>
      </c>
      <c r="X738" s="102" t="str">
        <f t="shared" si="290"/>
        <v/>
      </c>
    </row>
    <row r="739" spans="1:24" ht="12" customHeight="1" x14ac:dyDescent="0.25">
      <c r="A739" s="97" t="s">
        <v>935</v>
      </c>
      <c r="F739" s="101">
        <f t="shared" ref="F739:T739" si="295">F676</f>
        <v>0</v>
      </c>
      <c r="G739" s="101">
        <f t="shared" si="295"/>
        <v>0</v>
      </c>
      <c r="H739" s="101">
        <f t="shared" si="295"/>
        <v>0</v>
      </c>
      <c r="I739" s="101">
        <f t="shared" si="295"/>
        <v>0</v>
      </c>
      <c r="J739" s="101">
        <f t="shared" si="295"/>
        <v>0</v>
      </c>
      <c r="K739" s="101">
        <f t="shared" si="295"/>
        <v>0</v>
      </c>
      <c r="L739" s="101">
        <f t="shared" si="295"/>
        <v>0</v>
      </c>
      <c r="M739" s="101">
        <f t="shared" si="295"/>
        <v>0</v>
      </c>
      <c r="N739" s="101">
        <f t="shared" si="295"/>
        <v>0</v>
      </c>
      <c r="O739" s="101">
        <f t="shared" si="295"/>
        <v>0</v>
      </c>
      <c r="P739" s="101">
        <f t="shared" si="295"/>
        <v>0</v>
      </c>
      <c r="Q739" s="101">
        <f t="shared" si="295"/>
        <v>0</v>
      </c>
      <c r="R739" s="101">
        <f t="shared" si="295"/>
        <v>0</v>
      </c>
      <c r="S739" s="101">
        <f t="shared" si="295"/>
        <v>0</v>
      </c>
      <c r="T739" s="101">
        <f t="shared" si="295"/>
        <v>0</v>
      </c>
      <c r="U739" s="101"/>
      <c r="V739" s="101">
        <f>V676</f>
        <v>0</v>
      </c>
      <c r="W739" s="98" t="str">
        <f t="shared" si="289"/>
        <v>ok</v>
      </c>
      <c r="X739" s="102" t="str">
        <f t="shared" si="290"/>
        <v/>
      </c>
    </row>
    <row r="740" spans="1:24" ht="12" customHeight="1" x14ac:dyDescent="0.25">
      <c r="A740" s="107" t="s">
        <v>1552</v>
      </c>
      <c r="E740" s="97" t="s">
        <v>1172</v>
      </c>
      <c r="F740" s="101">
        <f>F677</f>
        <v>84161734.359999999</v>
      </c>
      <c r="G740" s="100">
        <f t="shared" ref="G740:T740" si="296">IF(VLOOKUP($E740,$D$5:$AJ$967,3,)=0,0,(VLOOKUP($E740,$D$5:$AJ$967,G$1,)/VLOOKUP($E740,$D$5:$AJ$967,3,))*$F740)</f>
        <v>18153353.162271839</v>
      </c>
      <c r="H740" s="100">
        <f t="shared" si="296"/>
        <v>20304092.186474111</v>
      </c>
      <c r="I740" s="100">
        <f t="shared" si="296"/>
        <v>0</v>
      </c>
      <c r="J740" s="100">
        <f t="shared" si="296"/>
        <v>655828.60473441554</v>
      </c>
      <c r="K740" s="100">
        <f t="shared" si="296"/>
        <v>0</v>
      </c>
      <c r="L740" s="100">
        <f t="shared" si="296"/>
        <v>16884437.441701207</v>
      </c>
      <c r="M740" s="100">
        <f t="shared" si="296"/>
        <v>1569567.3810316068</v>
      </c>
      <c r="N740" s="100">
        <f t="shared" si="296"/>
        <v>6969485.2237654692</v>
      </c>
      <c r="O740" s="100">
        <f t="shared" si="296"/>
        <v>9638437.6168130934</v>
      </c>
      <c r="P740" s="100">
        <f t="shared" si="296"/>
        <v>3588565.9199093352</v>
      </c>
      <c r="Q740" s="100">
        <f t="shared" si="296"/>
        <v>1758728.6244708167</v>
      </c>
      <c r="R740" s="100">
        <f t="shared" si="296"/>
        <v>4619187.7149082264</v>
      </c>
      <c r="S740" s="100">
        <f t="shared" si="296"/>
        <v>4868.3256618346886</v>
      </c>
      <c r="T740" s="100">
        <f t="shared" si="296"/>
        <v>15182.576536994065</v>
      </c>
      <c r="U740" s="100"/>
      <c r="V740" s="102">
        <f>SUM(G740:T740)</f>
        <v>84161734.778278947</v>
      </c>
      <c r="W740" s="98" t="str">
        <f t="shared" si="289"/>
        <v>err</v>
      </c>
      <c r="X740" s="102">
        <f t="shared" si="290"/>
        <v>0.41827894747257233</v>
      </c>
    </row>
    <row r="741" spans="1:24" ht="12" customHeight="1" x14ac:dyDescent="0.25">
      <c r="A741" s="107" t="s">
        <v>945</v>
      </c>
      <c r="F741" s="101">
        <f t="shared" ref="F741:T741" si="297">-F930</f>
        <v>-1</v>
      </c>
      <c r="G741" s="101">
        <f t="shared" si="297"/>
        <v>-0.40935210621236828</v>
      </c>
      <c r="H741" s="101">
        <f t="shared" si="297"/>
        <v>-0.11362251359596974</v>
      </c>
      <c r="I741" s="101">
        <f t="shared" si="297"/>
        <v>0</v>
      </c>
      <c r="J741" s="101">
        <f t="shared" si="297"/>
        <v>-8.5558150654642239E-3</v>
      </c>
      <c r="K741" s="101">
        <f t="shared" si="297"/>
        <v>0</v>
      </c>
      <c r="L741" s="101">
        <f t="shared" si="297"/>
        <v>-0.11420877410668946</v>
      </c>
      <c r="M741" s="101">
        <f t="shared" si="297"/>
        <v>-8.40975402485797E-3</v>
      </c>
      <c r="N741" s="101">
        <f t="shared" si="297"/>
        <v>-8.3403421353758986E-2</v>
      </c>
      <c r="O741" s="101">
        <f t="shared" si="297"/>
        <v>-0.18240931993528153</v>
      </c>
      <c r="P741" s="101">
        <f t="shared" si="297"/>
        <v>-6.3420095832768281E-2</v>
      </c>
      <c r="Q741" s="101">
        <f t="shared" si="297"/>
        <v>-1.6567072618418759E-2</v>
      </c>
      <c r="R741" s="101">
        <f t="shared" si="297"/>
        <v>0</v>
      </c>
      <c r="S741" s="101">
        <f t="shared" si="297"/>
        <v>0</v>
      </c>
      <c r="T741" s="101">
        <f t="shared" si="297"/>
        <v>-5.1127254422720664E-5</v>
      </c>
      <c r="U741" s="101"/>
      <c r="V741" s="102">
        <f>SUM(G741:T741)</f>
        <v>-1</v>
      </c>
      <c r="W741" s="98" t="str">
        <f t="shared" si="289"/>
        <v>ok</v>
      </c>
      <c r="X741" s="102" t="str">
        <f t="shared" si="290"/>
        <v/>
      </c>
    </row>
    <row r="742" spans="1:24" ht="12" customHeight="1" x14ac:dyDescent="0.25">
      <c r="A742" s="107" t="s">
        <v>580</v>
      </c>
      <c r="E742" s="97" t="s">
        <v>582</v>
      </c>
      <c r="F742" s="100">
        <f>-F741</f>
        <v>1</v>
      </c>
      <c r="G742" s="100">
        <f t="shared" ref="G742:T742" si="298">IF(VLOOKUP($E742,$D$5:$AJ$1007,3,)=0,0,(VLOOKUP($E742,$D$5:$AJ$1007,G$1,)/VLOOKUP($E742,$D$5:$AJ$1007,3,))*$F742)</f>
        <v>0.40935210621236817</v>
      </c>
      <c r="H742" s="100">
        <f t="shared" si="298"/>
        <v>0.11362251359596973</v>
      </c>
      <c r="I742" s="100">
        <f t="shared" si="298"/>
        <v>0</v>
      </c>
      <c r="J742" s="100">
        <f t="shared" si="298"/>
        <v>8.5558150654642239E-3</v>
      </c>
      <c r="K742" s="100">
        <f t="shared" si="298"/>
        <v>0</v>
      </c>
      <c r="L742" s="100">
        <f t="shared" si="298"/>
        <v>0.11420877410668946</v>
      </c>
      <c r="M742" s="100">
        <f t="shared" si="298"/>
        <v>8.4097540248579683E-3</v>
      </c>
      <c r="N742" s="100">
        <f t="shared" si="298"/>
        <v>8.3403421353758972E-2</v>
      </c>
      <c r="O742" s="100">
        <f t="shared" si="298"/>
        <v>0.18240931993528151</v>
      </c>
      <c r="P742" s="100">
        <f t="shared" si="298"/>
        <v>6.3420095832768281E-2</v>
      </c>
      <c r="Q742" s="100">
        <f t="shared" si="298"/>
        <v>1.6567072618418756E-2</v>
      </c>
      <c r="R742" s="100">
        <f t="shared" si="298"/>
        <v>0</v>
      </c>
      <c r="S742" s="100">
        <f t="shared" si="298"/>
        <v>0</v>
      </c>
      <c r="T742" s="100">
        <f t="shared" si="298"/>
        <v>5.1127254422720664E-5</v>
      </c>
      <c r="U742" s="100"/>
      <c r="V742" s="102">
        <f>SUM(G742:T742)</f>
        <v>0.99999999999999989</v>
      </c>
      <c r="W742" s="98" t="str">
        <f t="shared" si="289"/>
        <v>ok</v>
      </c>
      <c r="X742" s="102" t="str">
        <f t="shared" si="290"/>
        <v/>
      </c>
    </row>
    <row r="743" spans="1:24" ht="12" customHeight="1" x14ac:dyDescent="0.25">
      <c r="A743" s="107"/>
      <c r="B743" s="102"/>
      <c r="D743" s="105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98"/>
    </row>
    <row r="744" spans="1:24" ht="12" customHeight="1" x14ac:dyDescent="0.25">
      <c r="A744" s="97" t="s">
        <v>1553</v>
      </c>
      <c r="D744" s="105"/>
      <c r="G744" s="105"/>
      <c r="V744" s="102"/>
      <c r="W744" s="98"/>
    </row>
    <row r="745" spans="1:24" ht="12" hidden="1" customHeight="1" x14ac:dyDescent="0.25">
      <c r="B745" s="97" t="s">
        <v>2324</v>
      </c>
      <c r="E745" s="97" t="s">
        <v>1732</v>
      </c>
      <c r="F745" s="101"/>
      <c r="G745" s="101">
        <f t="shared" ref="G745:T754" si="299">IF(VLOOKUP($E745,$D$5:$AJ$952,3,)=0,0,(VLOOKUP($E745,$D$5:$AJ$952,G$1,)/VLOOKUP($E745,$D$5:$AJ$952,3,))*$F745)</f>
        <v>0</v>
      </c>
      <c r="H745" s="101">
        <f t="shared" si="299"/>
        <v>0</v>
      </c>
      <c r="I745" s="101">
        <f t="shared" si="299"/>
        <v>0</v>
      </c>
      <c r="J745" s="101">
        <f t="shared" si="299"/>
        <v>0</v>
      </c>
      <c r="K745" s="101">
        <f t="shared" si="299"/>
        <v>0</v>
      </c>
      <c r="L745" s="101">
        <f t="shared" si="299"/>
        <v>0</v>
      </c>
      <c r="M745" s="101">
        <f t="shared" si="299"/>
        <v>0</v>
      </c>
      <c r="N745" s="101">
        <f t="shared" si="299"/>
        <v>0</v>
      </c>
      <c r="O745" s="101">
        <f t="shared" si="299"/>
        <v>0</v>
      </c>
      <c r="P745" s="101">
        <f t="shared" si="299"/>
        <v>0</v>
      </c>
      <c r="Q745" s="101">
        <f t="shared" si="299"/>
        <v>0</v>
      </c>
      <c r="R745" s="101">
        <f t="shared" si="299"/>
        <v>0</v>
      </c>
      <c r="S745" s="101">
        <f t="shared" si="299"/>
        <v>0</v>
      </c>
      <c r="T745" s="101">
        <f t="shared" si="299"/>
        <v>0</v>
      </c>
      <c r="U745" s="101"/>
      <c r="V745" s="101">
        <f t="shared" ref="V745:V756" si="300">SUM(G745:T745)</f>
        <v>0</v>
      </c>
      <c r="W745" s="98" t="str">
        <f t="shared" ref="W745:W764" si="301">IF(ABS(F745-V745)&lt;0.01,"ok","err")</f>
        <v>ok</v>
      </c>
      <c r="X745" s="102" t="str">
        <f t="shared" ref="X745:X752" si="302">IF(W745="err",V745-F745,"")</f>
        <v/>
      </c>
    </row>
    <row r="746" spans="1:24" ht="12" hidden="1" customHeight="1" x14ac:dyDescent="0.25">
      <c r="B746" s="97" t="s">
        <v>2325</v>
      </c>
      <c r="E746" s="97" t="s">
        <v>415</v>
      </c>
      <c r="F746" s="101"/>
      <c r="G746" s="101">
        <f t="shared" si="299"/>
        <v>0</v>
      </c>
      <c r="H746" s="101">
        <f t="shared" si="299"/>
        <v>0</v>
      </c>
      <c r="I746" s="101">
        <f t="shared" si="299"/>
        <v>0</v>
      </c>
      <c r="J746" s="101">
        <f t="shared" si="299"/>
        <v>0</v>
      </c>
      <c r="K746" s="101">
        <f t="shared" si="299"/>
        <v>0</v>
      </c>
      <c r="L746" s="101">
        <f t="shared" si="299"/>
        <v>0</v>
      </c>
      <c r="M746" s="101">
        <f t="shared" si="299"/>
        <v>0</v>
      </c>
      <c r="N746" s="101">
        <f t="shared" si="299"/>
        <v>0</v>
      </c>
      <c r="O746" s="101">
        <f t="shared" si="299"/>
        <v>0</v>
      </c>
      <c r="P746" s="101">
        <f t="shared" si="299"/>
        <v>0</v>
      </c>
      <c r="Q746" s="101">
        <f t="shared" si="299"/>
        <v>0</v>
      </c>
      <c r="R746" s="101">
        <f t="shared" si="299"/>
        <v>0</v>
      </c>
      <c r="S746" s="101">
        <f t="shared" si="299"/>
        <v>0</v>
      </c>
      <c r="T746" s="101">
        <f t="shared" si="299"/>
        <v>0</v>
      </c>
      <c r="U746" s="101"/>
      <c r="V746" s="101">
        <f>SUM(G746:T746)</f>
        <v>0</v>
      </c>
      <c r="W746" s="98" t="str">
        <f t="shared" si="301"/>
        <v>ok</v>
      </c>
      <c r="X746" s="102" t="str">
        <f t="shared" si="302"/>
        <v/>
      </c>
    </row>
    <row r="747" spans="1:24" ht="12" hidden="1" customHeight="1" x14ac:dyDescent="0.25">
      <c r="B747" s="97" t="s">
        <v>2329</v>
      </c>
      <c r="E747" s="97" t="s">
        <v>415</v>
      </c>
      <c r="F747" s="101"/>
      <c r="G747" s="101">
        <f t="shared" si="299"/>
        <v>0</v>
      </c>
      <c r="H747" s="101">
        <f t="shared" si="299"/>
        <v>0</v>
      </c>
      <c r="I747" s="101">
        <f t="shared" si="299"/>
        <v>0</v>
      </c>
      <c r="J747" s="101">
        <f t="shared" si="299"/>
        <v>0</v>
      </c>
      <c r="K747" s="101">
        <f t="shared" si="299"/>
        <v>0</v>
      </c>
      <c r="L747" s="101">
        <f t="shared" si="299"/>
        <v>0</v>
      </c>
      <c r="M747" s="101">
        <f t="shared" si="299"/>
        <v>0</v>
      </c>
      <c r="N747" s="101">
        <f t="shared" si="299"/>
        <v>0</v>
      </c>
      <c r="O747" s="101">
        <f t="shared" si="299"/>
        <v>0</v>
      </c>
      <c r="P747" s="101">
        <f t="shared" si="299"/>
        <v>0</v>
      </c>
      <c r="Q747" s="101">
        <f t="shared" si="299"/>
        <v>0</v>
      </c>
      <c r="R747" s="101">
        <f t="shared" si="299"/>
        <v>0</v>
      </c>
      <c r="S747" s="101">
        <f t="shared" si="299"/>
        <v>0</v>
      </c>
      <c r="T747" s="101">
        <f t="shared" si="299"/>
        <v>0</v>
      </c>
      <c r="U747" s="101"/>
      <c r="V747" s="101">
        <f>SUM(G747:T747)</f>
        <v>0</v>
      </c>
      <c r="W747" s="98" t="str">
        <f>IF(ABS(F747-V747)&lt;0.01,"ok","err")</f>
        <v>ok</v>
      </c>
      <c r="X747" s="102" t="str">
        <f>IF(W747="err",V747-F747,"")</f>
        <v/>
      </c>
    </row>
    <row r="748" spans="1:24" ht="12" hidden="1" customHeight="1" x14ac:dyDescent="0.25">
      <c r="B748" s="97" t="s">
        <v>2326</v>
      </c>
      <c r="E748" s="97" t="s">
        <v>415</v>
      </c>
      <c r="F748" s="101"/>
      <c r="G748" s="101">
        <f t="shared" si="299"/>
        <v>0</v>
      </c>
      <c r="H748" s="101">
        <f t="shared" si="299"/>
        <v>0</v>
      </c>
      <c r="I748" s="101">
        <f t="shared" si="299"/>
        <v>0</v>
      </c>
      <c r="J748" s="101">
        <f t="shared" si="299"/>
        <v>0</v>
      </c>
      <c r="K748" s="101">
        <f t="shared" si="299"/>
        <v>0</v>
      </c>
      <c r="L748" s="101">
        <f t="shared" si="299"/>
        <v>0</v>
      </c>
      <c r="M748" s="101">
        <f t="shared" si="299"/>
        <v>0</v>
      </c>
      <c r="N748" s="101">
        <f t="shared" si="299"/>
        <v>0</v>
      </c>
      <c r="O748" s="101">
        <f t="shared" si="299"/>
        <v>0</v>
      </c>
      <c r="P748" s="101">
        <f t="shared" si="299"/>
        <v>0</v>
      </c>
      <c r="Q748" s="101">
        <f t="shared" si="299"/>
        <v>0</v>
      </c>
      <c r="R748" s="101">
        <f t="shared" si="299"/>
        <v>0</v>
      </c>
      <c r="S748" s="101">
        <f t="shared" si="299"/>
        <v>0</v>
      </c>
      <c r="T748" s="101">
        <f t="shared" si="299"/>
        <v>0</v>
      </c>
      <c r="U748" s="101"/>
      <c r="V748" s="101">
        <f t="shared" si="300"/>
        <v>0</v>
      </c>
      <c r="W748" s="98" t="str">
        <f t="shared" si="301"/>
        <v>ok</v>
      </c>
      <c r="X748" s="102" t="str">
        <f t="shared" si="302"/>
        <v/>
      </c>
    </row>
    <row r="749" spans="1:24" ht="12" hidden="1" customHeight="1" x14ac:dyDescent="0.25">
      <c r="B749" s="97" t="s">
        <v>324</v>
      </c>
      <c r="E749" s="97" t="s">
        <v>1516</v>
      </c>
      <c r="F749" s="101">
        <v>0</v>
      </c>
      <c r="G749" s="101">
        <f t="shared" si="299"/>
        <v>0</v>
      </c>
      <c r="H749" s="101">
        <f t="shared" si="299"/>
        <v>0</v>
      </c>
      <c r="I749" s="101">
        <f t="shared" si="299"/>
        <v>0</v>
      </c>
      <c r="J749" s="101">
        <f t="shared" si="299"/>
        <v>0</v>
      </c>
      <c r="K749" s="101">
        <f t="shared" si="299"/>
        <v>0</v>
      </c>
      <c r="L749" s="101">
        <f t="shared" si="299"/>
        <v>0</v>
      </c>
      <c r="M749" s="101">
        <f t="shared" si="299"/>
        <v>0</v>
      </c>
      <c r="N749" s="101">
        <f t="shared" si="299"/>
        <v>0</v>
      </c>
      <c r="O749" s="101">
        <f t="shared" si="299"/>
        <v>0</v>
      </c>
      <c r="P749" s="101">
        <f t="shared" si="299"/>
        <v>0</v>
      </c>
      <c r="Q749" s="101">
        <f t="shared" si="299"/>
        <v>0</v>
      </c>
      <c r="R749" s="101">
        <f t="shared" si="299"/>
        <v>0</v>
      </c>
      <c r="S749" s="101">
        <f t="shared" si="299"/>
        <v>0</v>
      </c>
      <c r="T749" s="101">
        <f t="shared" si="299"/>
        <v>0</v>
      </c>
      <c r="U749" s="101"/>
      <c r="V749" s="101">
        <f t="shared" si="300"/>
        <v>0</v>
      </c>
      <c r="W749" s="98" t="str">
        <f t="shared" si="301"/>
        <v>ok</v>
      </c>
      <c r="X749" s="102" t="str">
        <f t="shared" si="302"/>
        <v/>
      </c>
    </row>
    <row r="750" spans="1:24" ht="12" hidden="1" customHeight="1" x14ac:dyDescent="0.25">
      <c r="B750" s="97" t="s">
        <v>1948</v>
      </c>
      <c r="E750" s="97" t="s">
        <v>1754</v>
      </c>
      <c r="F750" s="101">
        <v>0</v>
      </c>
      <c r="G750" s="101">
        <f t="shared" si="299"/>
        <v>0</v>
      </c>
      <c r="H750" s="101">
        <f t="shared" si="299"/>
        <v>0</v>
      </c>
      <c r="I750" s="101">
        <f t="shared" si="299"/>
        <v>0</v>
      </c>
      <c r="J750" s="101">
        <f t="shared" si="299"/>
        <v>0</v>
      </c>
      <c r="K750" s="101">
        <f t="shared" si="299"/>
        <v>0</v>
      </c>
      <c r="L750" s="101">
        <f t="shared" si="299"/>
        <v>0</v>
      </c>
      <c r="M750" s="101">
        <f t="shared" si="299"/>
        <v>0</v>
      </c>
      <c r="N750" s="101">
        <f t="shared" si="299"/>
        <v>0</v>
      </c>
      <c r="O750" s="101">
        <f t="shared" si="299"/>
        <v>0</v>
      </c>
      <c r="P750" s="101">
        <f t="shared" si="299"/>
        <v>0</v>
      </c>
      <c r="Q750" s="101">
        <f t="shared" si="299"/>
        <v>0</v>
      </c>
      <c r="R750" s="101">
        <f t="shared" si="299"/>
        <v>0</v>
      </c>
      <c r="S750" s="101">
        <f t="shared" si="299"/>
        <v>0</v>
      </c>
      <c r="T750" s="101">
        <f t="shared" si="299"/>
        <v>0</v>
      </c>
      <c r="U750" s="101"/>
      <c r="V750" s="101">
        <f t="shared" si="300"/>
        <v>0</v>
      </c>
      <c r="W750" s="98" t="str">
        <f t="shared" si="301"/>
        <v>ok</v>
      </c>
      <c r="X750" s="102" t="str">
        <f t="shared" si="302"/>
        <v/>
      </c>
    </row>
    <row r="751" spans="1:24" ht="12" hidden="1" customHeight="1" x14ac:dyDescent="0.25">
      <c r="B751" s="97" t="s">
        <v>276</v>
      </c>
      <c r="E751" s="97" t="s">
        <v>426</v>
      </c>
      <c r="F751" s="101">
        <v>0</v>
      </c>
      <c r="G751" s="101">
        <f t="shared" si="299"/>
        <v>0</v>
      </c>
      <c r="H751" s="101">
        <f t="shared" si="299"/>
        <v>0</v>
      </c>
      <c r="I751" s="101">
        <f t="shared" si="299"/>
        <v>0</v>
      </c>
      <c r="J751" s="101">
        <f t="shared" si="299"/>
        <v>0</v>
      </c>
      <c r="K751" s="101">
        <f t="shared" si="299"/>
        <v>0</v>
      </c>
      <c r="L751" s="101">
        <f t="shared" si="299"/>
        <v>0</v>
      </c>
      <c r="M751" s="101">
        <f t="shared" si="299"/>
        <v>0</v>
      </c>
      <c r="N751" s="101">
        <f t="shared" si="299"/>
        <v>0</v>
      </c>
      <c r="O751" s="101">
        <f t="shared" si="299"/>
        <v>0</v>
      </c>
      <c r="P751" s="101">
        <f t="shared" si="299"/>
        <v>0</v>
      </c>
      <c r="Q751" s="101">
        <f t="shared" si="299"/>
        <v>0</v>
      </c>
      <c r="R751" s="101">
        <f t="shared" si="299"/>
        <v>0</v>
      </c>
      <c r="S751" s="101">
        <f t="shared" si="299"/>
        <v>0</v>
      </c>
      <c r="T751" s="101">
        <f t="shared" si="299"/>
        <v>0</v>
      </c>
      <c r="U751" s="101"/>
      <c r="V751" s="101">
        <f t="shared" si="300"/>
        <v>0</v>
      </c>
      <c r="W751" s="98" t="str">
        <f t="shared" si="301"/>
        <v>ok</v>
      </c>
      <c r="X751" s="102" t="str">
        <f t="shared" si="302"/>
        <v/>
      </c>
    </row>
    <row r="752" spans="1:24" ht="12" hidden="1" customHeight="1" x14ac:dyDescent="0.25">
      <c r="B752" s="97" t="s">
        <v>1947</v>
      </c>
      <c r="E752" s="97" t="s">
        <v>426</v>
      </c>
      <c r="F752" s="101">
        <v>0</v>
      </c>
      <c r="G752" s="101">
        <f t="shared" si="299"/>
        <v>0</v>
      </c>
      <c r="H752" s="101">
        <f t="shared" si="299"/>
        <v>0</v>
      </c>
      <c r="I752" s="101">
        <f t="shared" si="299"/>
        <v>0</v>
      </c>
      <c r="J752" s="101">
        <f t="shared" si="299"/>
        <v>0</v>
      </c>
      <c r="K752" s="101">
        <f t="shared" si="299"/>
        <v>0</v>
      </c>
      <c r="L752" s="101">
        <f t="shared" si="299"/>
        <v>0</v>
      </c>
      <c r="M752" s="101">
        <f t="shared" si="299"/>
        <v>0</v>
      </c>
      <c r="N752" s="101">
        <f t="shared" si="299"/>
        <v>0</v>
      </c>
      <c r="O752" s="101">
        <f t="shared" si="299"/>
        <v>0</v>
      </c>
      <c r="P752" s="101">
        <f t="shared" si="299"/>
        <v>0</v>
      </c>
      <c r="Q752" s="101">
        <f t="shared" si="299"/>
        <v>0</v>
      </c>
      <c r="R752" s="101">
        <f t="shared" si="299"/>
        <v>0</v>
      </c>
      <c r="S752" s="101">
        <f t="shared" si="299"/>
        <v>0</v>
      </c>
      <c r="T752" s="101">
        <f t="shared" si="299"/>
        <v>0</v>
      </c>
      <c r="U752" s="101"/>
      <c r="V752" s="101">
        <f>SUM(G752:T752)</f>
        <v>0</v>
      </c>
      <c r="W752" s="98" t="str">
        <f t="shared" si="301"/>
        <v>ok</v>
      </c>
      <c r="X752" s="102" t="str">
        <f t="shared" si="302"/>
        <v/>
      </c>
    </row>
    <row r="753" spans="1:32" ht="12" hidden="1" customHeight="1" x14ac:dyDescent="0.25">
      <c r="B753" s="97" t="s">
        <v>1951</v>
      </c>
      <c r="E753" s="97" t="s">
        <v>254</v>
      </c>
      <c r="F753" s="101">
        <v>0</v>
      </c>
      <c r="G753" s="101">
        <f t="shared" si="299"/>
        <v>0</v>
      </c>
      <c r="H753" s="101">
        <f t="shared" si="299"/>
        <v>0</v>
      </c>
      <c r="I753" s="101">
        <f t="shared" si="299"/>
        <v>0</v>
      </c>
      <c r="J753" s="101">
        <f t="shared" si="299"/>
        <v>0</v>
      </c>
      <c r="K753" s="101">
        <f t="shared" si="299"/>
        <v>0</v>
      </c>
      <c r="L753" s="101">
        <f t="shared" si="299"/>
        <v>0</v>
      </c>
      <c r="M753" s="101">
        <f t="shared" si="299"/>
        <v>0</v>
      </c>
      <c r="N753" s="101">
        <f t="shared" si="299"/>
        <v>0</v>
      </c>
      <c r="O753" s="101">
        <f t="shared" si="299"/>
        <v>0</v>
      </c>
      <c r="P753" s="101">
        <f t="shared" si="299"/>
        <v>0</v>
      </c>
      <c r="Q753" s="101">
        <f t="shared" si="299"/>
        <v>0</v>
      </c>
      <c r="R753" s="101">
        <f t="shared" si="299"/>
        <v>0</v>
      </c>
      <c r="S753" s="101">
        <f t="shared" si="299"/>
        <v>0</v>
      </c>
      <c r="T753" s="101">
        <f t="shared" si="299"/>
        <v>0</v>
      </c>
      <c r="U753" s="101"/>
      <c r="V753" s="101">
        <f>SUM(G753:T753)</f>
        <v>0</v>
      </c>
      <c r="W753" s="98" t="str">
        <f t="shared" si="301"/>
        <v>ok</v>
      </c>
      <c r="X753" s="102"/>
    </row>
    <row r="754" spans="1:32" ht="12" hidden="1" customHeight="1" x14ac:dyDescent="0.25">
      <c r="B754" s="97" t="s">
        <v>1949</v>
      </c>
      <c r="E754" s="97" t="s">
        <v>422</v>
      </c>
      <c r="F754" s="101">
        <v>0</v>
      </c>
      <c r="G754" s="101">
        <f t="shared" si="299"/>
        <v>0</v>
      </c>
      <c r="H754" s="101">
        <f t="shared" si="299"/>
        <v>0</v>
      </c>
      <c r="I754" s="101">
        <f t="shared" si="299"/>
        <v>0</v>
      </c>
      <c r="J754" s="101">
        <f t="shared" si="299"/>
        <v>0</v>
      </c>
      <c r="K754" s="101">
        <f t="shared" si="299"/>
        <v>0</v>
      </c>
      <c r="L754" s="101">
        <f t="shared" si="299"/>
        <v>0</v>
      </c>
      <c r="M754" s="101">
        <f t="shared" si="299"/>
        <v>0</v>
      </c>
      <c r="N754" s="101">
        <f t="shared" si="299"/>
        <v>0</v>
      </c>
      <c r="O754" s="101">
        <f t="shared" si="299"/>
        <v>0</v>
      </c>
      <c r="P754" s="101">
        <f t="shared" si="299"/>
        <v>0</v>
      </c>
      <c r="Q754" s="101">
        <f t="shared" si="299"/>
        <v>0</v>
      </c>
      <c r="R754" s="101">
        <f t="shared" si="299"/>
        <v>0</v>
      </c>
      <c r="S754" s="101">
        <f t="shared" si="299"/>
        <v>0</v>
      </c>
      <c r="T754" s="101">
        <f t="shared" si="299"/>
        <v>0</v>
      </c>
      <c r="U754" s="101"/>
      <c r="V754" s="101">
        <f>SUM(G754:T754)</f>
        <v>0</v>
      </c>
      <c r="W754" s="98" t="str">
        <f t="shared" si="301"/>
        <v>ok</v>
      </c>
      <c r="X754" s="102"/>
    </row>
    <row r="755" spans="1:32" ht="12" customHeight="1" x14ac:dyDescent="0.25">
      <c r="B755" s="97" t="s">
        <v>2227</v>
      </c>
      <c r="E755" s="97" t="s">
        <v>432</v>
      </c>
      <c r="F755" s="101">
        <f>-838116</f>
        <v>-838116</v>
      </c>
      <c r="G755" s="101">
        <f t="shared" ref="G755:T763" si="303">IF(VLOOKUP($E755,$D$5:$AJ$952,3,)=0,0,(VLOOKUP($E755,$D$5:$AJ$952,G$1,)/VLOOKUP($E755,$D$5:$AJ$952,3,))*$F755)</f>
        <v>-317360.86960830563</v>
      </c>
      <c r="H755" s="101">
        <f t="shared" si="303"/>
        <v>-113447.81429056131</v>
      </c>
      <c r="I755" s="101">
        <f t="shared" si="303"/>
        <v>0</v>
      </c>
      <c r="J755" s="101">
        <f t="shared" si="303"/>
        <v>-6889.2511311629441</v>
      </c>
      <c r="K755" s="101">
        <f t="shared" si="303"/>
        <v>0</v>
      </c>
      <c r="L755" s="101">
        <f t="shared" si="303"/>
        <v>-99841.817563354634</v>
      </c>
      <c r="M755" s="101">
        <f t="shared" si="303"/>
        <v>-7983.8519718289754</v>
      </c>
      <c r="N755" s="101">
        <f t="shared" si="303"/>
        <v>-66889.507834115575</v>
      </c>
      <c r="O755" s="101">
        <f t="shared" si="303"/>
        <v>-143966.96952712012</v>
      </c>
      <c r="P755" s="101">
        <f t="shared" si="303"/>
        <v>-49624.312220352258</v>
      </c>
      <c r="Q755" s="101">
        <f t="shared" si="303"/>
        <v>-17107.026576327709</v>
      </c>
      <c r="R755" s="101">
        <f t="shared" si="303"/>
        <v>-14898.143186008507</v>
      </c>
      <c r="S755" s="101">
        <f t="shared" si="303"/>
        <v>-16.865457935246173</v>
      </c>
      <c r="T755" s="101">
        <f t="shared" si="303"/>
        <v>-89.57063292708682</v>
      </c>
      <c r="U755" s="101"/>
      <c r="V755" s="101">
        <f t="shared" si="300"/>
        <v>-838116</v>
      </c>
      <c r="W755" s="98" t="str">
        <f t="shared" si="301"/>
        <v>ok</v>
      </c>
      <c r="X755" s="102" t="str">
        <f>IF(W755="err",V755-F755,"")</f>
        <v/>
      </c>
    </row>
    <row r="756" spans="1:32" ht="12" hidden="1" customHeight="1" x14ac:dyDescent="0.25">
      <c r="B756" s="97" t="s">
        <v>2229</v>
      </c>
      <c r="E756" s="97" t="s">
        <v>148</v>
      </c>
      <c r="F756" s="101">
        <v>0</v>
      </c>
      <c r="G756" s="101">
        <f t="shared" si="303"/>
        <v>0</v>
      </c>
      <c r="H756" s="101">
        <f t="shared" si="303"/>
        <v>0</v>
      </c>
      <c r="I756" s="101">
        <f t="shared" si="303"/>
        <v>0</v>
      </c>
      <c r="J756" s="101">
        <f t="shared" si="303"/>
        <v>0</v>
      </c>
      <c r="K756" s="101">
        <f t="shared" si="303"/>
        <v>0</v>
      </c>
      <c r="L756" s="101">
        <f t="shared" si="303"/>
        <v>0</v>
      </c>
      <c r="M756" s="101">
        <f t="shared" si="303"/>
        <v>0</v>
      </c>
      <c r="N756" s="101">
        <f t="shared" si="303"/>
        <v>0</v>
      </c>
      <c r="O756" s="101">
        <f t="shared" si="303"/>
        <v>0</v>
      </c>
      <c r="P756" s="101">
        <f t="shared" si="303"/>
        <v>0</v>
      </c>
      <c r="Q756" s="101">
        <f t="shared" si="303"/>
        <v>0</v>
      </c>
      <c r="R756" s="101">
        <f t="shared" si="303"/>
        <v>0</v>
      </c>
      <c r="S756" s="101">
        <f t="shared" si="303"/>
        <v>0</v>
      </c>
      <c r="T756" s="101">
        <f t="shared" si="303"/>
        <v>0</v>
      </c>
      <c r="U756" s="101"/>
      <c r="V756" s="101">
        <f t="shared" si="300"/>
        <v>0</v>
      </c>
      <c r="W756" s="98" t="str">
        <f t="shared" si="301"/>
        <v>ok</v>
      </c>
      <c r="X756" s="102"/>
    </row>
    <row r="757" spans="1:32" ht="12" hidden="1" customHeight="1" x14ac:dyDescent="0.25">
      <c r="B757" s="97" t="s">
        <v>277</v>
      </c>
      <c r="E757" s="97" t="s">
        <v>424</v>
      </c>
      <c r="F757" s="101">
        <v>0</v>
      </c>
      <c r="G757" s="101">
        <f t="shared" si="303"/>
        <v>0</v>
      </c>
      <c r="H757" s="101">
        <f t="shared" si="303"/>
        <v>0</v>
      </c>
      <c r="I757" s="101">
        <f t="shared" si="303"/>
        <v>0</v>
      </c>
      <c r="J757" s="101">
        <f t="shared" si="303"/>
        <v>0</v>
      </c>
      <c r="K757" s="101">
        <f t="shared" si="303"/>
        <v>0</v>
      </c>
      <c r="L757" s="101">
        <f t="shared" si="303"/>
        <v>0</v>
      </c>
      <c r="M757" s="101">
        <f t="shared" si="303"/>
        <v>0</v>
      </c>
      <c r="N757" s="101">
        <f t="shared" si="303"/>
        <v>0</v>
      </c>
      <c r="O757" s="101">
        <f t="shared" si="303"/>
        <v>0</v>
      </c>
      <c r="P757" s="101">
        <f t="shared" si="303"/>
        <v>0</v>
      </c>
      <c r="Q757" s="101">
        <f t="shared" si="303"/>
        <v>0</v>
      </c>
      <c r="R757" s="101">
        <f t="shared" si="303"/>
        <v>0</v>
      </c>
      <c r="S757" s="101">
        <f t="shared" si="303"/>
        <v>0</v>
      </c>
      <c r="T757" s="101">
        <f t="shared" si="303"/>
        <v>0</v>
      </c>
      <c r="U757" s="101"/>
      <c r="V757" s="101">
        <f t="shared" ref="V757:V764" si="304">SUM(G757:T757)</f>
        <v>0</v>
      </c>
      <c r="W757" s="98" t="str">
        <f t="shared" si="301"/>
        <v>ok</v>
      </c>
      <c r="X757" s="243" t="str">
        <f>IF(W757="err",V757-F757,"")</f>
        <v/>
      </c>
    </row>
    <row r="758" spans="1:32" ht="12" hidden="1" customHeight="1" x14ac:dyDescent="0.25">
      <c r="B758" s="246" t="s">
        <v>2228</v>
      </c>
      <c r="E758" s="97" t="s">
        <v>254</v>
      </c>
      <c r="F758" s="101">
        <v>0</v>
      </c>
      <c r="G758" s="101">
        <f t="shared" si="303"/>
        <v>0</v>
      </c>
      <c r="H758" s="101">
        <f t="shared" si="303"/>
        <v>0</v>
      </c>
      <c r="I758" s="101">
        <f t="shared" si="303"/>
        <v>0</v>
      </c>
      <c r="J758" s="101">
        <f t="shared" si="303"/>
        <v>0</v>
      </c>
      <c r="K758" s="101">
        <f t="shared" si="303"/>
        <v>0</v>
      </c>
      <c r="L758" s="101">
        <f t="shared" si="303"/>
        <v>0</v>
      </c>
      <c r="M758" s="101">
        <f t="shared" si="303"/>
        <v>0</v>
      </c>
      <c r="N758" s="101">
        <f t="shared" si="303"/>
        <v>0</v>
      </c>
      <c r="O758" s="101">
        <f t="shared" si="303"/>
        <v>0</v>
      </c>
      <c r="P758" s="101">
        <f t="shared" si="303"/>
        <v>0</v>
      </c>
      <c r="Q758" s="101">
        <f t="shared" si="303"/>
        <v>0</v>
      </c>
      <c r="R758" s="101">
        <f t="shared" si="303"/>
        <v>0</v>
      </c>
      <c r="S758" s="101">
        <f t="shared" si="303"/>
        <v>0</v>
      </c>
      <c r="T758" s="101">
        <f t="shared" si="303"/>
        <v>0</v>
      </c>
      <c r="U758" s="101"/>
      <c r="V758" s="101">
        <f t="shared" si="304"/>
        <v>0</v>
      </c>
      <c r="W758" s="98" t="str">
        <f t="shared" si="301"/>
        <v>ok</v>
      </c>
      <c r="X758" s="102" t="str">
        <f>IF(W758="err",V758-F758,"")</f>
        <v/>
      </c>
    </row>
    <row r="759" spans="1:32" ht="12" hidden="1" customHeight="1" x14ac:dyDescent="0.25">
      <c r="B759" s="97" t="s">
        <v>1950</v>
      </c>
      <c r="E759" s="97" t="s">
        <v>148</v>
      </c>
      <c r="F759" s="101">
        <v>0</v>
      </c>
      <c r="G759" s="101">
        <f t="shared" si="303"/>
        <v>0</v>
      </c>
      <c r="H759" s="101">
        <f t="shared" si="303"/>
        <v>0</v>
      </c>
      <c r="I759" s="101">
        <f t="shared" si="303"/>
        <v>0</v>
      </c>
      <c r="J759" s="101">
        <f t="shared" si="303"/>
        <v>0</v>
      </c>
      <c r="K759" s="101">
        <f t="shared" si="303"/>
        <v>0</v>
      </c>
      <c r="L759" s="101">
        <f t="shared" si="303"/>
        <v>0</v>
      </c>
      <c r="M759" s="101">
        <f t="shared" si="303"/>
        <v>0</v>
      </c>
      <c r="N759" s="101">
        <f t="shared" si="303"/>
        <v>0</v>
      </c>
      <c r="O759" s="101">
        <f t="shared" si="303"/>
        <v>0</v>
      </c>
      <c r="P759" s="101">
        <f t="shared" si="303"/>
        <v>0</v>
      </c>
      <c r="Q759" s="101">
        <f t="shared" si="303"/>
        <v>0</v>
      </c>
      <c r="R759" s="101">
        <f t="shared" si="303"/>
        <v>0</v>
      </c>
      <c r="S759" s="101">
        <f t="shared" si="303"/>
        <v>0</v>
      </c>
      <c r="T759" s="101">
        <f t="shared" si="303"/>
        <v>0</v>
      </c>
      <c r="U759" s="101"/>
      <c r="V759" s="101">
        <f t="shared" si="304"/>
        <v>0</v>
      </c>
      <c r="W759" s="98" t="str">
        <f t="shared" si="301"/>
        <v>ok</v>
      </c>
      <c r="X759" s="102"/>
    </row>
    <row r="760" spans="1:32" ht="12" hidden="1" customHeight="1" x14ac:dyDescent="0.25">
      <c r="B760" s="97" t="s">
        <v>1952</v>
      </c>
      <c r="E760" s="97" t="s">
        <v>424</v>
      </c>
      <c r="F760" s="101">
        <v>0</v>
      </c>
      <c r="G760" s="101">
        <f t="shared" si="303"/>
        <v>0</v>
      </c>
      <c r="H760" s="101">
        <f t="shared" si="303"/>
        <v>0</v>
      </c>
      <c r="I760" s="101">
        <f t="shared" si="303"/>
        <v>0</v>
      </c>
      <c r="J760" s="101">
        <f t="shared" si="303"/>
        <v>0</v>
      </c>
      <c r="K760" s="101">
        <f t="shared" si="303"/>
        <v>0</v>
      </c>
      <c r="L760" s="101">
        <f t="shared" si="303"/>
        <v>0</v>
      </c>
      <c r="M760" s="101">
        <f t="shared" si="303"/>
        <v>0</v>
      </c>
      <c r="N760" s="101">
        <f t="shared" si="303"/>
        <v>0</v>
      </c>
      <c r="O760" s="101">
        <f t="shared" si="303"/>
        <v>0</v>
      </c>
      <c r="P760" s="101">
        <f t="shared" si="303"/>
        <v>0</v>
      </c>
      <c r="Q760" s="101">
        <f t="shared" si="303"/>
        <v>0</v>
      </c>
      <c r="R760" s="101">
        <f t="shared" si="303"/>
        <v>0</v>
      </c>
      <c r="S760" s="101">
        <f t="shared" si="303"/>
        <v>0</v>
      </c>
      <c r="T760" s="101">
        <f t="shared" si="303"/>
        <v>0</v>
      </c>
      <c r="U760" s="101"/>
      <c r="V760" s="101">
        <f t="shared" si="304"/>
        <v>0</v>
      </c>
      <c r="W760" s="98" t="str">
        <f t="shared" si="301"/>
        <v>ok</v>
      </c>
      <c r="X760" s="102" t="str">
        <f>IF(W760="err",V760-F760,"")</f>
        <v/>
      </c>
    </row>
    <row r="761" spans="1:32" ht="12" hidden="1" customHeight="1" x14ac:dyDescent="0.25">
      <c r="B761" s="97" t="s">
        <v>1877</v>
      </c>
      <c r="E761" s="97" t="s">
        <v>1172</v>
      </c>
      <c r="F761" s="101"/>
      <c r="G761" s="101">
        <f t="shared" si="303"/>
        <v>0</v>
      </c>
      <c r="H761" s="101">
        <f t="shared" si="303"/>
        <v>0</v>
      </c>
      <c r="I761" s="101">
        <f t="shared" si="303"/>
        <v>0</v>
      </c>
      <c r="J761" s="101">
        <f t="shared" si="303"/>
        <v>0</v>
      </c>
      <c r="K761" s="101">
        <f t="shared" si="303"/>
        <v>0</v>
      </c>
      <c r="L761" s="101">
        <f t="shared" si="303"/>
        <v>0</v>
      </c>
      <c r="M761" s="101">
        <f t="shared" si="303"/>
        <v>0</v>
      </c>
      <c r="N761" s="101">
        <f t="shared" si="303"/>
        <v>0</v>
      </c>
      <c r="O761" s="101">
        <f t="shared" si="303"/>
        <v>0</v>
      </c>
      <c r="P761" s="101">
        <f t="shared" si="303"/>
        <v>0</v>
      </c>
      <c r="Q761" s="101">
        <f t="shared" si="303"/>
        <v>0</v>
      </c>
      <c r="R761" s="101">
        <f t="shared" si="303"/>
        <v>0</v>
      </c>
      <c r="S761" s="101">
        <f t="shared" si="303"/>
        <v>0</v>
      </c>
      <c r="T761" s="101">
        <f t="shared" si="303"/>
        <v>0</v>
      </c>
      <c r="U761" s="101"/>
      <c r="V761" s="101">
        <f t="shared" si="304"/>
        <v>0</v>
      </c>
      <c r="W761" s="98" t="str">
        <f t="shared" si="301"/>
        <v>ok</v>
      </c>
      <c r="X761" s="102"/>
    </row>
    <row r="762" spans="1:32" ht="12" hidden="1" customHeight="1" x14ac:dyDescent="0.25">
      <c r="B762" s="107" t="s">
        <v>2251</v>
      </c>
      <c r="E762" s="97" t="s">
        <v>1172</v>
      </c>
      <c r="F762" s="101">
        <v>0</v>
      </c>
      <c r="G762" s="101">
        <f t="shared" si="303"/>
        <v>0</v>
      </c>
      <c r="H762" s="101">
        <f t="shared" si="303"/>
        <v>0</v>
      </c>
      <c r="I762" s="101">
        <f t="shared" si="303"/>
        <v>0</v>
      </c>
      <c r="J762" s="101">
        <f t="shared" si="303"/>
        <v>0</v>
      </c>
      <c r="K762" s="101">
        <f t="shared" si="303"/>
        <v>0</v>
      </c>
      <c r="L762" s="101">
        <f t="shared" si="303"/>
        <v>0</v>
      </c>
      <c r="M762" s="101">
        <f t="shared" si="303"/>
        <v>0</v>
      </c>
      <c r="N762" s="101">
        <f t="shared" si="303"/>
        <v>0</v>
      </c>
      <c r="O762" s="101">
        <f t="shared" si="303"/>
        <v>0</v>
      </c>
      <c r="P762" s="101">
        <f t="shared" si="303"/>
        <v>0</v>
      </c>
      <c r="Q762" s="101">
        <f t="shared" si="303"/>
        <v>0</v>
      </c>
      <c r="R762" s="101">
        <f t="shared" si="303"/>
        <v>0</v>
      </c>
      <c r="S762" s="101">
        <f t="shared" si="303"/>
        <v>0</v>
      </c>
      <c r="T762" s="101">
        <f t="shared" si="303"/>
        <v>0</v>
      </c>
      <c r="U762" s="101"/>
      <c r="V762" s="101">
        <f>SUM(G762:T762)</f>
        <v>0</v>
      </c>
      <c r="W762" s="98" t="str">
        <f t="shared" si="301"/>
        <v>ok</v>
      </c>
      <c r="X762" s="102"/>
    </row>
    <row r="763" spans="1:32" ht="12" customHeight="1" x14ac:dyDescent="0.25">
      <c r="B763" s="97" t="s">
        <v>1876</v>
      </c>
      <c r="E763" s="97" t="s">
        <v>1172</v>
      </c>
      <c r="F763" s="101">
        <f>-140151-24517</f>
        <v>-164668</v>
      </c>
      <c r="G763" s="101">
        <f t="shared" si="303"/>
        <v>-35518.236182472356</v>
      </c>
      <c r="H763" s="101">
        <f t="shared" si="303"/>
        <v>-39726.29934004035</v>
      </c>
      <c r="I763" s="101">
        <f t="shared" si="303"/>
        <v>0</v>
      </c>
      <c r="J763" s="101">
        <f t="shared" si="303"/>
        <v>-1283.1720437516747</v>
      </c>
      <c r="K763" s="101">
        <f t="shared" si="303"/>
        <v>0</v>
      </c>
      <c r="L763" s="101">
        <f t="shared" si="303"/>
        <v>-33035.518645056291</v>
      </c>
      <c r="M763" s="101">
        <f t="shared" si="303"/>
        <v>-3070.9623971645615</v>
      </c>
      <c r="N763" s="101">
        <f t="shared" si="303"/>
        <v>-13636.258824205775</v>
      </c>
      <c r="O763" s="101">
        <f t="shared" si="303"/>
        <v>-18858.240714199303</v>
      </c>
      <c r="P763" s="101">
        <f t="shared" si="303"/>
        <v>-7021.2665814605771</v>
      </c>
      <c r="Q763" s="101">
        <f t="shared" si="303"/>
        <v>-3441.0688816793581</v>
      </c>
      <c r="R763" s="101">
        <f t="shared" si="303"/>
        <v>-9037.7462919777681</v>
      </c>
      <c r="S763" s="101">
        <f t="shared" si="303"/>
        <v>-9.5252011639152077</v>
      </c>
      <c r="T763" s="101">
        <f t="shared" si="303"/>
        <v>-29.705715218506327</v>
      </c>
      <c r="U763" s="101"/>
      <c r="V763" s="101">
        <f t="shared" si="304"/>
        <v>-164668.00081839043</v>
      </c>
      <c r="W763" s="98" t="str">
        <f t="shared" si="301"/>
        <v>ok</v>
      </c>
      <c r="X763" s="102"/>
    </row>
    <row r="764" spans="1:32" ht="12" customHeight="1" x14ac:dyDescent="0.25">
      <c r="A764" s="97" t="s">
        <v>944</v>
      </c>
      <c r="F764" s="100">
        <f t="shared" ref="F764:T764" si="305">SUM(F745:F763)</f>
        <v>-1002784</v>
      </c>
      <c r="G764" s="100">
        <f t="shared" si="305"/>
        <v>-352879.10579077801</v>
      </c>
      <c r="H764" s="100">
        <f t="shared" si="305"/>
        <v>-153174.11363060167</v>
      </c>
      <c r="I764" s="100">
        <f t="shared" si="305"/>
        <v>0</v>
      </c>
      <c r="J764" s="100">
        <f t="shared" si="305"/>
        <v>-8172.4231749146184</v>
      </c>
      <c r="K764" s="100">
        <f t="shared" si="305"/>
        <v>0</v>
      </c>
      <c r="L764" s="100">
        <f t="shared" si="305"/>
        <v>-132877.33620841091</v>
      </c>
      <c r="M764" s="100">
        <f t="shared" si="305"/>
        <v>-11054.814368993537</v>
      </c>
      <c r="N764" s="100">
        <f t="shared" si="305"/>
        <v>-80525.766658321343</v>
      </c>
      <c r="O764" s="100">
        <f t="shared" si="305"/>
        <v>-162825.21024131944</v>
      </c>
      <c r="P764" s="100">
        <f t="shared" si="305"/>
        <v>-56645.578801812837</v>
      </c>
      <c r="Q764" s="100">
        <f t="shared" si="305"/>
        <v>-20548.095458007068</v>
      </c>
      <c r="R764" s="100">
        <f t="shared" si="305"/>
        <v>-23935.889477986275</v>
      </c>
      <c r="S764" s="100">
        <f t="shared" si="305"/>
        <v>-26.390659099161383</v>
      </c>
      <c r="T764" s="100">
        <f t="shared" si="305"/>
        <v>-119.27634814559315</v>
      </c>
      <c r="U764" s="100"/>
      <c r="V764" s="100">
        <f t="shared" si="304"/>
        <v>-1002784.0008183905</v>
      </c>
      <c r="W764" s="98" t="str">
        <f t="shared" si="301"/>
        <v>ok</v>
      </c>
      <c r="X764" s="243" t="str">
        <f>IF(W764="err",V764-F764,"")</f>
        <v/>
      </c>
    </row>
    <row r="765" spans="1:32" ht="12" customHeight="1" x14ac:dyDescent="0.25">
      <c r="F765" s="101"/>
      <c r="G765" s="101"/>
      <c r="H765" s="101"/>
      <c r="I765" s="101"/>
      <c r="J765" s="101"/>
      <c r="K765" s="101"/>
      <c r="L765" s="266"/>
      <c r="M765" s="266"/>
      <c r="N765" s="266"/>
      <c r="O765" s="266"/>
      <c r="P765" s="101"/>
      <c r="Q765" s="101"/>
      <c r="R765" s="101"/>
      <c r="S765" s="101"/>
      <c r="T765" s="101"/>
      <c r="U765" s="101"/>
      <c r="V765" s="102"/>
      <c r="W765" s="98"/>
      <c r="X765" s="243"/>
    </row>
    <row r="766" spans="1:32" ht="12" customHeight="1" x14ac:dyDescent="0.25"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2"/>
      <c r="W766" s="98"/>
      <c r="X766" s="243"/>
      <c r="AD766" s="256"/>
      <c r="AE766" s="256"/>
      <c r="AF766" s="256"/>
    </row>
    <row r="767" spans="1:32" ht="12" customHeight="1" x14ac:dyDescent="0.25">
      <c r="F767" s="105"/>
      <c r="G767" s="105"/>
      <c r="V767" s="102"/>
      <c r="W767" s="98"/>
    </row>
    <row r="768" spans="1:32" ht="12" customHeight="1" x14ac:dyDescent="0.25">
      <c r="A768" s="97" t="s">
        <v>440</v>
      </c>
      <c r="D768" s="97" t="s">
        <v>398</v>
      </c>
      <c r="F768" s="102">
        <f t="shared" ref="F768:T768" si="306">SUM(F734:F763)</f>
        <v>1282816900.7187505</v>
      </c>
      <c r="G768" s="102">
        <f t="shared" si="306"/>
        <v>511408192.39446807</v>
      </c>
      <c r="H768" s="102">
        <f t="shared" si="306"/>
        <v>160822533.94149303</v>
      </c>
      <c r="I768" s="102">
        <f t="shared" si="306"/>
        <v>0</v>
      </c>
      <c r="J768" s="102">
        <f t="shared" si="306"/>
        <v>10408632.142034343</v>
      </c>
      <c r="K768" s="102">
        <f t="shared" si="306"/>
        <v>0</v>
      </c>
      <c r="L768" s="102">
        <f t="shared" si="306"/>
        <v>142002254.38477203</v>
      </c>
      <c r="M768" s="102">
        <f t="shared" si="306"/>
        <v>11114608.463303357</v>
      </c>
      <c r="N768" s="102">
        <f t="shared" si="306"/>
        <v>100786485.0749246</v>
      </c>
      <c r="O768" s="102">
        <f t="shared" si="306"/>
        <v>224597404.36438584</v>
      </c>
      <c r="P768" s="102">
        <f t="shared" si="306"/>
        <v>77329833.437045261</v>
      </c>
      <c r="Q768" s="102">
        <f t="shared" si="306"/>
        <v>26365373.827251494</v>
      </c>
      <c r="R768" s="102">
        <f t="shared" si="306"/>
        <v>17830107.087799683</v>
      </c>
      <c r="S768" s="102">
        <f t="shared" si="306"/>
        <v>22584.584980686261</v>
      </c>
      <c r="T768" s="102">
        <f t="shared" si="306"/>
        <v>128891.43375303769</v>
      </c>
      <c r="U768" s="102"/>
      <c r="V768" s="102">
        <f>SUM(G768:T768)</f>
        <v>1282816901.1362116</v>
      </c>
      <c r="W768" s="98" t="str">
        <f>IF(ABS(F768-V768)&lt;0.01,"ok","err")</f>
        <v>err</v>
      </c>
      <c r="X768" s="243">
        <f>IF(W768="err",V768-F768,"")</f>
        <v>0.41746115684509277</v>
      </c>
      <c r="AD768" s="257"/>
      <c r="AE768" s="257"/>
      <c r="AF768" s="235"/>
    </row>
    <row r="769" spans="1:32" ht="12" customHeight="1" x14ac:dyDescent="0.25">
      <c r="F769" s="102"/>
      <c r="AD769" s="116"/>
      <c r="AE769" s="116"/>
      <c r="AF769" s="235"/>
    </row>
    <row r="770" spans="1:32" ht="12" customHeight="1" x14ac:dyDescent="0.25">
      <c r="A770" s="97" t="s">
        <v>937</v>
      </c>
      <c r="F770" s="102">
        <f t="shared" ref="F770:T770" si="307">F729-F768</f>
        <v>202510539.22212481</v>
      </c>
      <c r="G770" s="102">
        <f t="shared" si="307"/>
        <v>65539878.493965149</v>
      </c>
      <c r="H770" s="102">
        <f t="shared" si="307"/>
        <v>38440889.094035864</v>
      </c>
      <c r="I770" s="102">
        <f t="shared" si="307"/>
        <v>0</v>
      </c>
      <c r="J770" s="102">
        <f t="shared" si="307"/>
        <v>1565669.0607643202</v>
      </c>
      <c r="K770" s="102">
        <f t="shared" si="307"/>
        <v>0</v>
      </c>
      <c r="L770" s="102">
        <f t="shared" si="307"/>
        <v>31712950.470372051</v>
      </c>
      <c r="M770" s="102">
        <f t="shared" si="307"/>
        <v>2780997.4851369224</v>
      </c>
      <c r="N770" s="102">
        <f t="shared" si="307"/>
        <v>15581064.85602802</v>
      </c>
      <c r="O770" s="102">
        <f t="shared" si="307"/>
        <v>26020644.674980938</v>
      </c>
      <c r="P770" s="102">
        <f t="shared" si="307"/>
        <v>9041036.6408576369</v>
      </c>
      <c r="Q770" s="102">
        <f t="shared" si="307"/>
        <v>3499011.0719928667</v>
      </c>
      <c r="R770" s="102">
        <f t="shared" si="307"/>
        <v>8293885.3604720868</v>
      </c>
      <c r="S770" s="102">
        <f t="shared" si="307"/>
        <v>7040.1069435470126</v>
      </c>
      <c r="T770" s="102">
        <f t="shared" si="307"/>
        <v>27471.489114305106</v>
      </c>
      <c r="U770" s="102"/>
      <c r="V770" s="102">
        <f>V729-V768</f>
        <v>202510538.80466318</v>
      </c>
      <c r="W770" s="98" t="str">
        <f>IF(ABS(F770-V770)&lt;0.01,"ok","err")</f>
        <v>err</v>
      </c>
      <c r="X770" s="243">
        <f>IF(W770="err",V770-F770,"")</f>
        <v>-0.41746163368225098</v>
      </c>
      <c r="AA770" s="245"/>
      <c r="AD770" s="116"/>
      <c r="AE770" s="116"/>
      <c r="AF770" s="235"/>
    </row>
    <row r="771" spans="1:32" ht="12" customHeight="1" x14ac:dyDescent="0.25">
      <c r="AA771" s="246"/>
      <c r="AD771" s="116"/>
      <c r="AE771" s="116"/>
      <c r="AF771" s="235"/>
    </row>
    <row r="772" spans="1:32" ht="12" customHeight="1" x14ac:dyDescent="0.25">
      <c r="A772" s="24" t="s">
        <v>420</v>
      </c>
      <c r="F772" s="102">
        <f t="shared" ref="F772:T772" si="308">F685</f>
        <v>3639079759.3610182</v>
      </c>
      <c r="G772" s="102">
        <f t="shared" si="308"/>
        <v>1716633054.3461716</v>
      </c>
      <c r="H772" s="102">
        <f t="shared" si="308"/>
        <v>441219651.03133303</v>
      </c>
      <c r="I772" s="102">
        <f t="shared" si="308"/>
        <v>0</v>
      </c>
      <c r="J772" s="102">
        <f t="shared" si="308"/>
        <v>28182297.978403468</v>
      </c>
      <c r="K772" s="102">
        <f t="shared" si="308"/>
        <v>0</v>
      </c>
      <c r="L772" s="102">
        <f t="shared" si="308"/>
        <v>347387075.53153688</v>
      </c>
      <c r="M772" s="102">
        <f t="shared" si="308"/>
        <v>25275870.378223237</v>
      </c>
      <c r="N772" s="102">
        <f t="shared" si="308"/>
        <v>248673397.50148326</v>
      </c>
      <c r="O772" s="102">
        <f t="shared" si="308"/>
        <v>533415050.36546725</v>
      </c>
      <c r="P772" s="102">
        <f t="shared" si="308"/>
        <v>170797076.92138174</v>
      </c>
      <c r="Q772" s="102">
        <f t="shared" si="308"/>
        <v>45005985.731704071</v>
      </c>
      <c r="R772" s="102">
        <f t="shared" si="308"/>
        <v>82196367.310438812</v>
      </c>
      <c r="S772" s="102">
        <f t="shared" si="308"/>
        <v>15193.548301309937</v>
      </c>
      <c r="T772" s="102">
        <f t="shared" si="308"/>
        <v>278738.71657262801</v>
      </c>
      <c r="U772" s="102"/>
      <c r="V772" s="102">
        <f>SUM(G772:T772)</f>
        <v>3639079759.3610182</v>
      </c>
      <c r="W772" s="98" t="str">
        <f>IF(ABS(F772-V772)&lt;0.01,"ok","err")</f>
        <v>ok</v>
      </c>
      <c r="X772" s="243" t="str">
        <f>IF(W772="err",V772-F772,"")</f>
        <v/>
      </c>
      <c r="AD772" s="116"/>
      <c r="AE772" s="116"/>
      <c r="AF772" s="235"/>
    </row>
    <row r="773" spans="1:32" ht="12" hidden="1" customHeight="1" x14ac:dyDescent="0.25">
      <c r="A773" s="368" t="s">
        <v>2337</v>
      </c>
      <c r="E773" s="97" t="s">
        <v>411</v>
      </c>
      <c r="F773" s="102">
        <v>0</v>
      </c>
      <c r="G773" s="100">
        <f t="shared" ref="G773:T775" si="309">IF(VLOOKUP($E773,$D$5:$AJ$952,3,)=0,0,(VLOOKUP($E773,$D$5:$AJ$952,G$1,)/VLOOKUP($E773,$D$5:$AJ$952,3,))*$F773)</f>
        <v>0</v>
      </c>
      <c r="H773" s="100">
        <f t="shared" si="309"/>
        <v>0</v>
      </c>
      <c r="I773" s="100">
        <f t="shared" si="309"/>
        <v>0</v>
      </c>
      <c r="J773" s="100">
        <f t="shared" si="309"/>
        <v>0</v>
      </c>
      <c r="K773" s="100">
        <f t="shared" si="309"/>
        <v>0</v>
      </c>
      <c r="L773" s="100">
        <f t="shared" si="309"/>
        <v>0</v>
      </c>
      <c r="M773" s="100">
        <f t="shared" si="309"/>
        <v>0</v>
      </c>
      <c r="N773" s="100">
        <f t="shared" si="309"/>
        <v>0</v>
      </c>
      <c r="O773" s="100">
        <f t="shared" si="309"/>
        <v>0</v>
      </c>
      <c r="P773" s="100">
        <f t="shared" si="309"/>
        <v>0</v>
      </c>
      <c r="Q773" s="100">
        <f t="shared" si="309"/>
        <v>0</v>
      </c>
      <c r="R773" s="100">
        <f t="shared" si="309"/>
        <v>0</v>
      </c>
      <c r="S773" s="100">
        <f t="shared" si="309"/>
        <v>0</v>
      </c>
      <c r="T773" s="100">
        <f t="shared" si="309"/>
        <v>0</v>
      </c>
      <c r="U773" s="100"/>
      <c r="V773" s="102">
        <f>SUM(G773:T773)</f>
        <v>0</v>
      </c>
      <c r="W773" s="98" t="str">
        <f>IF(ABS(F773-V773)&lt;0.01,"ok","err")</f>
        <v>ok</v>
      </c>
      <c r="X773" s="243"/>
      <c r="AD773" s="116"/>
      <c r="AE773" s="116"/>
      <c r="AF773" s="235"/>
    </row>
    <row r="774" spans="1:32" ht="12" hidden="1" customHeight="1" x14ac:dyDescent="0.25">
      <c r="A774" s="368" t="s">
        <v>2337</v>
      </c>
      <c r="E774" s="97" t="s">
        <v>1754</v>
      </c>
      <c r="F774" s="102">
        <v>0</v>
      </c>
      <c r="G774" s="100">
        <f t="shared" si="309"/>
        <v>0</v>
      </c>
      <c r="H774" s="100">
        <f t="shared" si="309"/>
        <v>0</v>
      </c>
      <c r="I774" s="100">
        <f t="shared" si="309"/>
        <v>0</v>
      </c>
      <c r="J774" s="100">
        <f t="shared" si="309"/>
        <v>0</v>
      </c>
      <c r="K774" s="100">
        <f t="shared" si="309"/>
        <v>0</v>
      </c>
      <c r="L774" s="100">
        <f t="shared" si="309"/>
        <v>0</v>
      </c>
      <c r="M774" s="100">
        <f t="shared" si="309"/>
        <v>0</v>
      </c>
      <c r="N774" s="100">
        <f t="shared" si="309"/>
        <v>0</v>
      </c>
      <c r="O774" s="100">
        <f t="shared" si="309"/>
        <v>0</v>
      </c>
      <c r="P774" s="100">
        <f t="shared" si="309"/>
        <v>0</v>
      </c>
      <c r="Q774" s="100">
        <f t="shared" si="309"/>
        <v>0</v>
      </c>
      <c r="R774" s="100">
        <f t="shared" si="309"/>
        <v>0</v>
      </c>
      <c r="S774" s="100">
        <f t="shared" si="309"/>
        <v>0</v>
      </c>
      <c r="T774" s="100">
        <f t="shared" si="309"/>
        <v>0</v>
      </c>
      <c r="U774" s="100"/>
      <c r="V774" s="102">
        <f>SUM(G774:T774)</f>
        <v>0</v>
      </c>
      <c r="W774" s="98" t="str">
        <f>IF(ABS(F774-V774)&lt;0.01,"ok","err")</f>
        <v>ok</v>
      </c>
      <c r="X774" s="243"/>
      <c r="AD774" s="116"/>
      <c r="AE774" s="116"/>
      <c r="AF774" s="235"/>
    </row>
    <row r="775" spans="1:32" ht="12" hidden="1" customHeight="1" x14ac:dyDescent="0.25">
      <c r="A775" s="368" t="s">
        <v>2337</v>
      </c>
      <c r="E775" s="97" t="s">
        <v>532</v>
      </c>
      <c r="F775" s="102">
        <v>0</v>
      </c>
      <c r="G775" s="100">
        <f t="shared" si="309"/>
        <v>0</v>
      </c>
      <c r="H775" s="100">
        <f t="shared" si="309"/>
        <v>0</v>
      </c>
      <c r="I775" s="100">
        <f t="shared" si="309"/>
        <v>0</v>
      </c>
      <c r="J775" s="100">
        <f t="shared" si="309"/>
        <v>0</v>
      </c>
      <c r="K775" s="100">
        <f t="shared" si="309"/>
        <v>0</v>
      </c>
      <c r="L775" s="100">
        <f t="shared" si="309"/>
        <v>0</v>
      </c>
      <c r="M775" s="100">
        <f t="shared" si="309"/>
        <v>0</v>
      </c>
      <c r="N775" s="100">
        <f t="shared" si="309"/>
        <v>0</v>
      </c>
      <c r="O775" s="100">
        <f t="shared" si="309"/>
        <v>0</v>
      </c>
      <c r="P775" s="100">
        <f t="shared" si="309"/>
        <v>0</v>
      </c>
      <c r="Q775" s="100">
        <f t="shared" si="309"/>
        <v>0</v>
      </c>
      <c r="R775" s="100">
        <f t="shared" si="309"/>
        <v>0</v>
      </c>
      <c r="S775" s="100">
        <f t="shared" si="309"/>
        <v>0</v>
      </c>
      <c r="T775" s="100">
        <f t="shared" si="309"/>
        <v>0</v>
      </c>
      <c r="U775" s="100"/>
      <c r="V775" s="102">
        <f>SUM(G775:T775)</f>
        <v>0</v>
      </c>
      <c r="W775" s="98" t="str">
        <f>IF(ABS(F775-V775)&lt;0.01,"ok","err")</f>
        <v>ok</v>
      </c>
      <c r="X775" s="243"/>
      <c r="AD775" s="116"/>
      <c r="AE775" s="116"/>
      <c r="AF775" s="235"/>
    </row>
    <row r="776" spans="1:32" ht="12" hidden="1" customHeight="1" x14ac:dyDescent="0.25">
      <c r="A776" s="3" t="s">
        <v>731</v>
      </c>
      <c r="B776" s="123"/>
      <c r="C776" s="123"/>
      <c r="D776" s="123"/>
      <c r="E776" s="123"/>
      <c r="F776" s="102">
        <f t="shared" ref="F776:U776" si="310">SUM(F772:F775)</f>
        <v>3639079759.3610182</v>
      </c>
      <c r="G776" s="127">
        <f t="shared" si="310"/>
        <v>1716633054.3461716</v>
      </c>
      <c r="H776" s="127">
        <f t="shared" si="310"/>
        <v>441219651.03133303</v>
      </c>
      <c r="I776" s="127">
        <f>SUM(I772:I775)</f>
        <v>0</v>
      </c>
      <c r="J776" s="127">
        <f t="shared" si="310"/>
        <v>28182297.978403468</v>
      </c>
      <c r="K776" s="127">
        <f>SUM(K772:K775)</f>
        <v>0</v>
      </c>
      <c r="L776" s="102">
        <f t="shared" si="310"/>
        <v>347387075.53153688</v>
      </c>
      <c r="M776" s="102">
        <f t="shared" si="310"/>
        <v>25275870.378223237</v>
      </c>
      <c r="N776" s="102">
        <f t="shared" si="310"/>
        <v>248673397.50148326</v>
      </c>
      <c r="O776" s="102">
        <f t="shared" si="310"/>
        <v>533415050.36546725</v>
      </c>
      <c r="P776" s="102">
        <f t="shared" si="310"/>
        <v>170797076.92138174</v>
      </c>
      <c r="Q776" s="127">
        <f t="shared" si="310"/>
        <v>45005985.731704071</v>
      </c>
      <c r="R776" s="127">
        <f t="shared" si="310"/>
        <v>82196367.310438812</v>
      </c>
      <c r="S776" s="127">
        <f t="shared" si="310"/>
        <v>15193.548301309937</v>
      </c>
      <c r="T776" s="127">
        <f t="shared" si="310"/>
        <v>278738.71657262801</v>
      </c>
      <c r="U776" s="127">
        <f t="shared" si="310"/>
        <v>0</v>
      </c>
      <c r="V776" s="102">
        <f>SUM(G776:T776)</f>
        <v>3639079759.3610182</v>
      </c>
      <c r="W776" s="98" t="str">
        <f>IF(ABS(F776-V776)&lt;0.01,"ok","err")</f>
        <v>ok</v>
      </c>
      <c r="X776" s="243" t="str">
        <f>IF(W776="err",V776-F776,"")</f>
        <v/>
      </c>
      <c r="AD776" s="116"/>
      <c r="AE776" s="116"/>
      <c r="AF776" s="235"/>
    </row>
    <row r="777" spans="1:32" ht="12" customHeight="1" thickBot="1" x14ac:dyDescent="0.3">
      <c r="AD777" s="256"/>
      <c r="AE777" s="256"/>
    </row>
    <row r="778" spans="1:32" ht="15" customHeight="1" thickBot="1" x14ac:dyDescent="0.3">
      <c r="A778" s="230" t="s">
        <v>441</v>
      </c>
      <c r="B778" s="231"/>
      <c r="C778" s="231"/>
      <c r="D778" s="231"/>
      <c r="E778" s="231"/>
      <c r="F778" s="232">
        <f t="shared" ref="F778:T778" si="311">F770/F776</f>
        <v>5.5648832290964519E-2</v>
      </c>
      <c r="G778" s="232">
        <f t="shared" si="311"/>
        <v>3.8179317547236601E-2</v>
      </c>
      <c r="H778" s="232">
        <f t="shared" si="311"/>
        <v>8.712415461138652E-2</v>
      </c>
      <c r="I778" s="232" t="e">
        <f>I770/I776</f>
        <v>#DIV/0!</v>
      </c>
      <c r="J778" s="232">
        <f t="shared" si="311"/>
        <v>5.5555053103338727E-2</v>
      </c>
      <c r="K778" s="232" t="e">
        <f>K770/K776</f>
        <v>#DIV/0!</v>
      </c>
      <c r="L778" s="232">
        <f t="shared" si="311"/>
        <v>9.1289954935278098E-2</v>
      </c>
      <c r="M778" s="232">
        <f t="shared" si="311"/>
        <v>0.11002578520630997</v>
      </c>
      <c r="N778" s="232">
        <f t="shared" si="311"/>
        <v>6.2656741784915232E-2</v>
      </c>
      <c r="O778" s="232">
        <f t="shared" si="311"/>
        <v>4.8781234532383359E-2</v>
      </c>
      <c r="P778" s="232">
        <f t="shared" si="311"/>
        <v>5.2934375715453522E-2</v>
      </c>
      <c r="Q778" s="232">
        <f t="shared" si="311"/>
        <v>7.7745460189488066E-2</v>
      </c>
      <c r="R778" s="232">
        <f t="shared" si="311"/>
        <v>0.10090330791807117</v>
      </c>
      <c r="S778" s="232">
        <f t="shared" si="311"/>
        <v>0.46336160611935778</v>
      </c>
      <c r="T778" s="232">
        <f t="shared" si="311"/>
        <v>9.8556416747894254E-2</v>
      </c>
      <c r="U778" s="232"/>
      <c r="V778" s="232">
        <f>V770/V776</f>
        <v>5.5648832176248254E-2</v>
      </c>
      <c r="W778" s="232"/>
      <c r="X778" s="232"/>
      <c r="AD778" s="257"/>
      <c r="AE778" s="257"/>
      <c r="AF778" s="235"/>
    </row>
    <row r="781" spans="1:32" ht="12" customHeight="1" x14ac:dyDescent="0.25">
      <c r="A781" s="23" t="s">
        <v>1203</v>
      </c>
    </row>
    <row r="783" spans="1:32" ht="12" customHeight="1" x14ac:dyDescent="0.25">
      <c r="A783" s="97" t="s">
        <v>1168</v>
      </c>
      <c r="F783" s="102">
        <f t="shared" ref="F783:T783" si="312">F729</f>
        <v>1485327439.9408753</v>
      </c>
      <c r="G783" s="102">
        <f t="shared" si="312"/>
        <v>576948070.88843322</v>
      </c>
      <c r="H783" s="102">
        <f t="shared" si="312"/>
        <v>199263423.0355289</v>
      </c>
      <c r="I783" s="102">
        <f t="shared" si="312"/>
        <v>0</v>
      </c>
      <c r="J783" s="102">
        <f t="shared" si="312"/>
        <v>11974301.202798663</v>
      </c>
      <c r="K783" s="102">
        <f t="shared" si="312"/>
        <v>0</v>
      </c>
      <c r="L783" s="102">
        <f t="shared" si="312"/>
        <v>173715204.85514408</v>
      </c>
      <c r="M783" s="102">
        <f t="shared" si="312"/>
        <v>13895605.94844028</v>
      </c>
      <c r="N783" s="102">
        <f t="shared" si="312"/>
        <v>116367549.93095262</v>
      </c>
      <c r="O783" s="102">
        <f t="shared" si="312"/>
        <v>250618049.03936678</v>
      </c>
      <c r="P783" s="102">
        <f t="shared" si="312"/>
        <v>86370870.077902898</v>
      </c>
      <c r="Q783" s="102">
        <f t="shared" si="312"/>
        <v>29864384.899244361</v>
      </c>
      <c r="R783" s="102">
        <f t="shared" si="312"/>
        <v>26123992.44827177</v>
      </c>
      <c r="S783" s="102">
        <f t="shared" si="312"/>
        <v>29624.691924233273</v>
      </c>
      <c r="T783" s="102">
        <f t="shared" si="312"/>
        <v>156362.9228673428</v>
      </c>
      <c r="U783" s="102"/>
      <c r="V783" s="102">
        <f>SUM(G783:T783)</f>
        <v>1485327439.9408748</v>
      </c>
      <c r="W783" s="98" t="str">
        <f>IF(ABS(F783-V783)&lt;0.01,"ok","err")</f>
        <v>ok</v>
      </c>
      <c r="X783" s="102" t="str">
        <f>IF(W783="err",V783-F783,"")</f>
        <v/>
      </c>
    </row>
    <row r="785" spans="1:24" ht="12" customHeight="1" x14ac:dyDescent="0.25">
      <c r="A785" s="97" t="s">
        <v>435</v>
      </c>
      <c r="F785" s="102">
        <f t="shared" ref="F785:T785" si="313">F734+F735+F736+F737+F738+F739+F741+F742+F764</f>
        <v>1198655166.3587506</v>
      </c>
      <c r="G785" s="102">
        <f t="shared" si="313"/>
        <v>493254839.23219615</v>
      </c>
      <c r="H785" s="102">
        <f t="shared" si="313"/>
        <v>140518441.75501892</v>
      </c>
      <c r="I785" s="102">
        <f t="shared" si="313"/>
        <v>0</v>
      </c>
      <c r="J785" s="102">
        <f t="shared" si="313"/>
        <v>9752803.5372999273</v>
      </c>
      <c r="K785" s="102">
        <f t="shared" si="313"/>
        <v>0</v>
      </c>
      <c r="L785" s="102">
        <f t="shared" si="313"/>
        <v>125117816.94307081</v>
      </c>
      <c r="M785" s="102">
        <f t="shared" si="313"/>
        <v>9545041.082271751</v>
      </c>
      <c r="N785" s="102">
        <f t="shared" si="313"/>
        <v>93816999.85115914</v>
      </c>
      <c r="O785" s="102">
        <f t="shared" si="313"/>
        <v>214958966.74757275</v>
      </c>
      <c r="P785" s="102">
        <f t="shared" si="313"/>
        <v>73741267.517135933</v>
      </c>
      <c r="Q785" s="102">
        <f t="shared" si="313"/>
        <v>24606645.202780679</v>
      </c>
      <c r="R785" s="102">
        <f t="shared" si="313"/>
        <v>13210919.372891454</v>
      </c>
      <c r="S785" s="102">
        <f t="shared" si="313"/>
        <v>17716.259318851575</v>
      </c>
      <c r="T785" s="102">
        <f t="shared" si="313"/>
        <v>113708.85721604363</v>
      </c>
      <c r="U785" s="102"/>
      <c r="V785" s="102">
        <f>SUM(G785:T785)</f>
        <v>1198655166.3579321</v>
      </c>
      <c r="W785" s="98" t="str">
        <f>IF(ABS(F785-V785)&lt;0.01,"ok","err")</f>
        <v>ok</v>
      </c>
      <c r="X785" s="243" t="str">
        <f>IF(W785="err",V785-F785,"")</f>
        <v/>
      </c>
    </row>
    <row r="787" spans="1:24" ht="12" customHeight="1" x14ac:dyDescent="0.25">
      <c r="A787" s="97" t="s">
        <v>1169</v>
      </c>
      <c r="D787" s="97" t="s">
        <v>1170</v>
      </c>
      <c r="F787" s="227">
        <f t="shared" ref="F787:T787" si="314">F636</f>
        <v>86095200.491145507</v>
      </c>
      <c r="G787" s="227">
        <f t="shared" si="314"/>
        <v>40550220.668183573</v>
      </c>
      <c r="H787" s="227">
        <f t="shared" si="314"/>
        <v>10418599.508402497</v>
      </c>
      <c r="I787" s="227">
        <f t="shared" si="314"/>
        <v>0</v>
      </c>
      <c r="J787" s="227">
        <f t="shared" si="314"/>
        <v>668776.93154093286</v>
      </c>
      <c r="K787" s="227">
        <f t="shared" si="314"/>
        <v>0</v>
      </c>
      <c r="L787" s="227">
        <f t="shared" si="314"/>
        <v>8266800.717887775</v>
      </c>
      <c r="M787" s="227">
        <f t="shared" si="314"/>
        <v>600722.80339447141</v>
      </c>
      <c r="N787" s="227">
        <f t="shared" si="314"/>
        <v>5913421.431592077</v>
      </c>
      <c r="O787" s="227">
        <f t="shared" si="314"/>
        <v>12663457.890034882</v>
      </c>
      <c r="P787" s="227">
        <f t="shared" si="314"/>
        <v>4062213.4008213338</v>
      </c>
      <c r="Q787" s="227">
        <f t="shared" si="314"/>
        <v>1056233.0599140152</v>
      </c>
      <c r="R787" s="227">
        <f t="shared" si="314"/>
        <v>1888015.8660816066</v>
      </c>
      <c r="S787" s="227">
        <f t="shared" si="314"/>
        <v>309.03549505252892</v>
      </c>
      <c r="T787" s="227">
        <f t="shared" si="314"/>
        <v>6429.1777972720492</v>
      </c>
      <c r="U787" s="227"/>
      <c r="V787" s="227">
        <f>SUM(G787:T787)</f>
        <v>86095200.491145507</v>
      </c>
      <c r="W787" s="98" t="str">
        <f>IF(ABS(F787-V787)&lt;0.01,"ok","err")</f>
        <v>ok</v>
      </c>
      <c r="X787" s="102" t="str">
        <f>IF(W787="err",V787-F787,"")</f>
        <v/>
      </c>
    </row>
    <row r="788" spans="1:24" ht="12" customHeight="1" x14ac:dyDescent="0.25">
      <c r="F788" s="227"/>
      <c r="G788" s="227"/>
      <c r="H788" s="227"/>
      <c r="I788" s="227"/>
      <c r="J788" s="227"/>
      <c r="K788" s="227"/>
      <c r="L788" s="227"/>
      <c r="M788" s="227"/>
      <c r="N788" s="227"/>
      <c r="O788" s="227"/>
      <c r="P788" s="227"/>
      <c r="Q788" s="227"/>
      <c r="R788" s="227"/>
      <c r="S788" s="227"/>
      <c r="T788" s="227"/>
      <c r="U788" s="227"/>
      <c r="V788" s="227"/>
      <c r="W788" s="98"/>
    </row>
    <row r="789" spans="1:24" ht="12" customHeight="1" x14ac:dyDescent="0.25">
      <c r="A789" s="97" t="s">
        <v>1204</v>
      </c>
      <c r="E789" s="97" t="s">
        <v>1170</v>
      </c>
      <c r="F789" s="251">
        <v>7411055.1259653997</v>
      </c>
      <c r="G789" s="253">
        <f t="shared" ref="G789:T789" si="315">IF(VLOOKUP($E789,$D$5:$AJ$979,3,)=0,0,(VLOOKUP($E789,$D$5:$AJ$979,G$1,)/VLOOKUP($E789,$D$5:$AJ$979,3,))*$F789)</f>
        <v>3490553.7013399145</v>
      </c>
      <c r="H789" s="253">
        <f t="shared" si="315"/>
        <v>896830.65782590164</v>
      </c>
      <c r="I789" s="253">
        <f t="shared" si="315"/>
        <v>0</v>
      </c>
      <c r="J789" s="253">
        <f t="shared" si="315"/>
        <v>57568.164988866927</v>
      </c>
      <c r="K789" s="253">
        <f t="shared" si="315"/>
        <v>0</v>
      </c>
      <c r="L789" s="253">
        <f t="shared" si="315"/>
        <v>711604.31111299328</v>
      </c>
      <c r="M789" s="253">
        <f t="shared" si="315"/>
        <v>51710.081235466416</v>
      </c>
      <c r="N789" s="253">
        <f t="shared" si="315"/>
        <v>509025.96152385155</v>
      </c>
      <c r="O789" s="253">
        <f t="shared" si="315"/>
        <v>1090067.5528137251</v>
      </c>
      <c r="P789" s="253">
        <f t="shared" si="315"/>
        <v>349674.39851677301</v>
      </c>
      <c r="Q789" s="253">
        <f t="shared" si="315"/>
        <v>90920.299717461428</v>
      </c>
      <c r="R789" s="253">
        <f t="shared" si="315"/>
        <v>162519.97303458428</v>
      </c>
      <c r="S789" s="253">
        <f t="shared" si="315"/>
        <v>26.601704585725937</v>
      </c>
      <c r="T789" s="253">
        <f t="shared" si="315"/>
        <v>553.42215127446309</v>
      </c>
      <c r="U789" s="253"/>
      <c r="V789" s="251">
        <f>SUM(G789:T789)</f>
        <v>7411055.1259653978</v>
      </c>
      <c r="W789" s="98" t="str">
        <f>IF(ABS(F789-V789)&lt;0.01,"ok","err")</f>
        <v>ok</v>
      </c>
      <c r="X789" s="102" t="str">
        <f>IF(W789="err",V789-F789,"")</f>
        <v/>
      </c>
    </row>
    <row r="791" spans="1:24" ht="12" customHeight="1" x14ac:dyDescent="0.25">
      <c r="A791" s="97" t="s">
        <v>1171</v>
      </c>
      <c r="D791" s="97" t="s">
        <v>1205</v>
      </c>
      <c r="F791" s="102">
        <f>F783-F785-F787-F789</f>
        <v>193166017.96501383</v>
      </c>
      <c r="G791" s="102">
        <f t="shared" ref="G791:T791" si="316">G783-G785-G787-G789</f>
        <v>39652457.286713578</v>
      </c>
      <c r="H791" s="102">
        <f t="shared" si="316"/>
        <v>47429551.11428158</v>
      </c>
      <c r="I791" s="102">
        <f>I783-I785-I787-I789</f>
        <v>0</v>
      </c>
      <c r="J791" s="102">
        <f>J783-J785-J787-J789</f>
        <v>1495152.5689689354</v>
      </c>
      <c r="K791" s="102">
        <f>K783-K785-K787-K789</f>
        <v>0</v>
      </c>
      <c r="L791" s="102">
        <f t="shared" si="316"/>
        <v>39618982.883072503</v>
      </c>
      <c r="M791" s="102">
        <f t="shared" si="316"/>
        <v>3698131.981538591</v>
      </c>
      <c r="N791" s="102">
        <f t="shared" si="316"/>
        <v>16128102.686677555</v>
      </c>
      <c r="O791" s="102">
        <f>O783-O785-O787-O789</f>
        <v>21905556.848945424</v>
      </c>
      <c r="P791" s="102">
        <f>P783-P785-P787-P789</f>
        <v>8217714.7614288582</v>
      </c>
      <c r="Q791" s="102">
        <f t="shared" si="316"/>
        <v>4110586.3368322053</v>
      </c>
      <c r="R791" s="102">
        <f t="shared" si="316"/>
        <v>10862537.236264125</v>
      </c>
      <c r="S791" s="102">
        <f t="shared" si="316"/>
        <v>11572.795405743444</v>
      </c>
      <c r="T791" s="102">
        <f t="shared" si="316"/>
        <v>35671.465702752655</v>
      </c>
      <c r="U791" s="102"/>
      <c r="V791" s="102">
        <f>SUM(G791:T791)</f>
        <v>193166017.96583185</v>
      </c>
      <c r="W791" s="98" t="str">
        <f>IF(ABS(F791-V791)&lt;0.01,"ok","err")</f>
        <v>ok</v>
      </c>
      <c r="X791" s="258" t="str">
        <f>IF(W791="err",V791-F791,"")</f>
        <v/>
      </c>
    </row>
    <row r="792" spans="1:24" ht="12" customHeight="1" x14ac:dyDescent="0.25"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98"/>
      <c r="X792" s="258"/>
    </row>
    <row r="794" spans="1:24" ht="12" customHeight="1" x14ac:dyDescent="0.25">
      <c r="A794" s="7" t="s">
        <v>1943</v>
      </c>
    </row>
    <row r="795" spans="1:24" ht="12" customHeight="1" x14ac:dyDescent="0.25">
      <c r="A795" s="7"/>
    </row>
    <row r="796" spans="1:24" ht="12" customHeight="1" x14ac:dyDescent="0.25">
      <c r="B796" s="24"/>
    </row>
    <row r="798" spans="1:24" ht="12" customHeight="1" x14ac:dyDescent="0.25">
      <c r="A798" s="24" t="s">
        <v>206</v>
      </c>
    </row>
    <row r="800" spans="1:24" ht="12" customHeight="1" x14ac:dyDescent="0.25">
      <c r="A800" s="97" t="s">
        <v>1168</v>
      </c>
      <c r="F800" s="102">
        <f t="shared" ref="F800:U800" si="317">F729</f>
        <v>1485327439.9408753</v>
      </c>
      <c r="G800" s="102">
        <f t="shared" si="317"/>
        <v>576948070.88843322</v>
      </c>
      <c r="H800" s="102">
        <f t="shared" si="317"/>
        <v>199263423.0355289</v>
      </c>
      <c r="I800" s="102">
        <f t="shared" si="317"/>
        <v>0</v>
      </c>
      <c r="J800" s="102">
        <f t="shared" si="317"/>
        <v>11974301.202798663</v>
      </c>
      <c r="K800" s="102">
        <f t="shared" si="317"/>
        <v>0</v>
      </c>
      <c r="L800" s="102">
        <f t="shared" si="317"/>
        <v>173715204.85514408</v>
      </c>
      <c r="M800" s="102">
        <f t="shared" si="317"/>
        <v>13895605.94844028</v>
      </c>
      <c r="N800" s="102">
        <f t="shared" si="317"/>
        <v>116367549.93095262</v>
      </c>
      <c r="O800" s="102">
        <f t="shared" si="317"/>
        <v>250618049.03936678</v>
      </c>
      <c r="P800" s="102">
        <f t="shared" si="317"/>
        <v>86370870.077902898</v>
      </c>
      <c r="Q800" s="102">
        <f t="shared" si="317"/>
        <v>29864384.899244361</v>
      </c>
      <c r="R800" s="102">
        <f t="shared" si="317"/>
        <v>26123992.44827177</v>
      </c>
      <c r="S800" s="102">
        <f t="shared" si="317"/>
        <v>29624.691924233273</v>
      </c>
      <c r="T800" s="102">
        <f t="shared" si="317"/>
        <v>156362.9228673428</v>
      </c>
      <c r="U800" s="102">
        <f t="shared" si="317"/>
        <v>0</v>
      </c>
      <c r="V800" s="102">
        <f>ROUND(SUM(G800:T800),2)</f>
        <v>1485327439.9400001</v>
      </c>
      <c r="W800" s="98" t="str">
        <f>IF(ABS(F800-V800)&lt;0.01,"ok","err")</f>
        <v>ok</v>
      </c>
    </row>
    <row r="801" spans="1:23" ht="12" customHeight="1" x14ac:dyDescent="0.25">
      <c r="A801" s="97" t="s">
        <v>939</v>
      </c>
      <c r="E801" s="259"/>
      <c r="F801" s="102">
        <v>94389823</v>
      </c>
      <c r="G801" s="100">
        <f>36998263+1799</f>
        <v>37000062</v>
      </c>
      <c r="H801" s="100">
        <v>12094455</v>
      </c>
      <c r="I801" s="100"/>
      <c r="J801" s="100">
        <v>777151</v>
      </c>
      <c r="K801" s="100"/>
      <c r="L801" s="100">
        <v>9478307</v>
      </c>
      <c r="M801" s="100">
        <v>705851</v>
      </c>
      <c r="N801" s="100">
        <v>6865949</v>
      </c>
      <c r="O801" s="100">
        <v>17335551</v>
      </c>
      <c r="P801" s="100">
        <v>6022823</v>
      </c>
      <c r="Q801" s="100">
        <v>2235015</v>
      </c>
      <c r="R801" s="100">
        <v>1866484</v>
      </c>
      <c r="S801" s="100">
        <v>0</v>
      </c>
      <c r="T801" s="100">
        <v>8175</v>
      </c>
      <c r="U801" s="259"/>
      <c r="V801" s="102">
        <f>SUM(G801:T801)</f>
        <v>94389823</v>
      </c>
      <c r="W801" s="98" t="str">
        <f>IF(ABS(F801-V801)&lt;0.01,"ok","err")</f>
        <v>ok</v>
      </c>
    </row>
    <row r="802" spans="1:23" ht="12" customHeight="1" x14ac:dyDescent="0.25">
      <c r="A802" s="97" t="s">
        <v>2438</v>
      </c>
      <c r="E802" s="259" t="s">
        <v>582</v>
      </c>
      <c r="F802" s="100">
        <v>8688375</v>
      </c>
      <c r="G802" s="100">
        <f t="shared" ref="G802:T803" si="318">IF(VLOOKUP($E802,$D$5:$AJ$952,3,)=0,0,(VLOOKUP($E802,$D$5:$AJ$952,G$1,)/VLOOKUP($E802,$D$5:$AJ$952,3,))*$F802)</f>
        <v>3556604.6058128844</v>
      </c>
      <c r="H802" s="100">
        <f t="shared" si="318"/>
        <v>987195.00656438351</v>
      </c>
      <c r="I802" s="100">
        <f t="shared" si="318"/>
        <v>0</v>
      </c>
      <c r="J802" s="100">
        <f t="shared" si="318"/>
        <v>74336.129719402728</v>
      </c>
      <c r="K802" s="100">
        <f t="shared" si="318"/>
        <v>0</v>
      </c>
      <c r="L802" s="100">
        <f t="shared" si="318"/>
        <v>992288.657729208</v>
      </c>
      <c r="M802" s="100">
        <f t="shared" si="318"/>
        <v>73067.096625725346</v>
      </c>
      <c r="N802" s="100">
        <f t="shared" si="318"/>
        <v>724640.20100446558</v>
      </c>
      <c r="O802" s="100">
        <f t="shared" si="318"/>
        <v>1584840.5750927015</v>
      </c>
      <c r="P802" s="100">
        <f t="shared" si="318"/>
        <v>551017.57513102808</v>
      </c>
      <c r="Q802" s="100">
        <f t="shared" si="318"/>
        <v>143940.93956105405</v>
      </c>
      <c r="R802" s="100">
        <f t="shared" si="318"/>
        <v>0</v>
      </c>
      <c r="S802" s="100">
        <f t="shared" si="318"/>
        <v>0</v>
      </c>
      <c r="T802" s="100">
        <f t="shared" si="318"/>
        <v>444.21275914500563</v>
      </c>
      <c r="U802" s="100"/>
      <c r="V802" s="102">
        <f>SUM(G802:T802)</f>
        <v>8688374.9999999981</v>
      </c>
      <c r="W802" s="98" t="str">
        <f>IF(ABS(F802-V802)&lt;0.01,"ok","err")</f>
        <v>ok</v>
      </c>
    </row>
    <row r="803" spans="1:23" ht="12" customHeight="1" x14ac:dyDescent="0.25">
      <c r="A803" s="97" t="s">
        <v>946</v>
      </c>
      <c r="E803" s="259" t="s">
        <v>2230</v>
      </c>
      <c r="F803" s="100">
        <v>19720</v>
      </c>
      <c r="G803" s="100">
        <f t="shared" si="318"/>
        <v>18400.728721546326</v>
      </c>
      <c r="H803" s="100">
        <f t="shared" si="318"/>
        <v>1280.2771944444455</v>
      </c>
      <c r="I803" s="100">
        <f t="shared" si="318"/>
        <v>0</v>
      </c>
      <c r="J803" s="100">
        <f t="shared" si="318"/>
        <v>7.9772672995770479</v>
      </c>
      <c r="K803" s="100">
        <f t="shared" si="318"/>
        <v>0</v>
      </c>
      <c r="L803" s="100">
        <f t="shared" si="318"/>
        <v>12.49009501926276</v>
      </c>
      <c r="M803" s="100">
        <f t="shared" si="318"/>
        <v>0.47848570695994946</v>
      </c>
      <c r="N803" s="100">
        <f t="shared" si="318"/>
        <v>9.1840993389111567</v>
      </c>
      <c r="O803" s="100">
        <f t="shared" si="318"/>
        <v>4.1074055272283623</v>
      </c>
      <c r="P803" s="100">
        <f t="shared" si="318"/>
        <v>0.44564978595606092</v>
      </c>
      <c r="Q803" s="100">
        <f t="shared" si="318"/>
        <v>0</v>
      </c>
      <c r="R803" s="100">
        <f t="shared" si="318"/>
        <v>4.3110813313328897</v>
      </c>
      <c r="S803" s="100">
        <f t="shared" si="318"/>
        <v>0</v>
      </c>
      <c r="T803" s="100">
        <f t="shared" si="318"/>
        <v>0</v>
      </c>
      <c r="U803" s="100"/>
      <c r="V803" s="102">
        <f>SUM(G803:T803)</f>
        <v>19720.000000000007</v>
      </c>
      <c r="W803" s="98" t="str">
        <f>IF(ABS(F803-V803)&lt;0.01,"ok","err")</f>
        <v>ok</v>
      </c>
    </row>
    <row r="804" spans="1:23" ht="12" customHeight="1" x14ac:dyDescent="0.25">
      <c r="E804" s="259"/>
      <c r="F804" s="100"/>
      <c r="G804" s="100">
        <v>0</v>
      </c>
      <c r="H804" s="100">
        <v>0</v>
      </c>
      <c r="I804" s="100">
        <v>0</v>
      </c>
      <c r="J804" s="100">
        <v>0</v>
      </c>
      <c r="K804" s="100">
        <v>0</v>
      </c>
      <c r="L804" s="100">
        <v>0</v>
      </c>
      <c r="M804" s="100">
        <v>0</v>
      </c>
      <c r="N804" s="100">
        <v>0</v>
      </c>
      <c r="O804" s="100">
        <v>0</v>
      </c>
      <c r="P804" s="100">
        <v>0</v>
      </c>
      <c r="Q804" s="100">
        <v>0</v>
      </c>
      <c r="R804" s="100">
        <v>0</v>
      </c>
      <c r="S804" s="100">
        <v>0</v>
      </c>
      <c r="T804" s="100">
        <v>0</v>
      </c>
      <c r="U804" s="100">
        <v>0</v>
      </c>
      <c r="V804" s="102">
        <f>SUM(G804:T804)</f>
        <v>0</v>
      </c>
      <c r="W804" s="98" t="str">
        <f>IF(ABS(F804-V804)&lt;0.01,"ok","err")</f>
        <v>ok</v>
      </c>
    </row>
    <row r="805" spans="1:23" ht="12" customHeight="1" x14ac:dyDescent="0.25">
      <c r="E805" s="259"/>
      <c r="F805" s="100"/>
      <c r="G805" s="100"/>
      <c r="H805" s="259"/>
      <c r="I805" s="259"/>
      <c r="J805" s="259"/>
      <c r="K805" s="259"/>
      <c r="L805" s="259"/>
      <c r="M805" s="259"/>
      <c r="N805" s="259"/>
      <c r="O805" s="259"/>
      <c r="P805" s="259"/>
      <c r="Q805" s="259"/>
      <c r="R805" s="259"/>
      <c r="S805" s="259"/>
      <c r="T805" s="259"/>
      <c r="U805" s="259"/>
      <c r="V805" s="102"/>
      <c r="W805" s="98"/>
    </row>
    <row r="806" spans="1:23" ht="12" customHeight="1" x14ac:dyDescent="0.25">
      <c r="A806" s="97" t="s">
        <v>522</v>
      </c>
      <c r="E806" s="235"/>
      <c r="F806" s="100">
        <f t="shared" ref="F806:T806" si="319">SUM(F800:F805)</f>
        <v>1588425357.9408753</v>
      </c>
      <c r="G806" s="100">
        <f t="shared" si="319"/>
        <v>617523138.22296762</v>
      </c>
      <c r="H806" s="100">
        <f t="shared" si="319"/>
        <v>212346353.31928772</v>
      </c>
      <c r="I806" s="100">
        <f t="shared" si="319"/>
        <v>0</v>
      </c>
      <c r="J806" s="100">
        <f t="shared" si="319"/>
        <v>12825796.309785364</v>
      </c>
      <c r="K806" s="100">
        <f t="shared" si="319"/>
        <v>0</v>
      </c>
      <c r="L806" s="100">
        <f t="shared" si="319"/>
        <v>184185813.00296831</v>
      </c>
      <c r="M806" s="100">
        <f t="shared" si="319"/>
        <v>14674524.523551712</v>
      </c>
      <c r="N806" s="100">
        <f t="shared" si="319"/>
        <v>123958148.31605642</v>
      </c>
      <c r="O806" s="100">
        <f t="shared" si="319"/>
        <v>269538444.721865</v>
      </c>
      <c r="P806" s="100">
        <f t="shared" si="319"/>
        <v>92944711.098683715</v>
      </c>
      <c r="Q806" s="100">
        <f t="shared" si="319"/>
        <v>32243340.838805415</v>
      </c>
      <c r="R806" s="100">
        <f t="shared" si="319"/>
        <v>27990480.759353101</v>
      </c>
      <c r="S806" s="100">
        <f t="shared" si="319"/>
        <v>29624.691924233273</v>
      </c>
      <c r="T806" s="100">
        <f t="shared" si="319"/>
        <v>164982.13562648781</v>
      </c>
      <c r="U806" s="100"/>
      <c r="V806" s="100">
        <f>SUM(V800:V805)</f>
        <v>1588425357.9400001</v>
      </c>
      <c r="W806" s="98" t="str">
        <f>IF(ABS(F806-V806)&lt;0.01,"ok","err")</f>
        <v>ok</v>
      </c>
    </row>
    <row r="807" spans="1:23" ht="12" customHeight="1" x14ac:dyDescent="0.25">
      <c r="A807" s="24"/>
      <c r="E807" s="259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2"/>
      <c r="W807" s="98"/>
    </row>
    <row r="808" spans="1:23" ht="12" customHeight="1" x14ac:dyDescent="0.25">
      <c r="A808" s="24"/>
      <c r="E808" s="259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2"/>
      <c r="W808" s="98"/>
    </row>
    <row r="809" spans="1:23" ht="12" customHeight="1" x14ac:dyDescent="0.25">
      <c r="A809" s="24" t="s">
        <v>435</v>
      </c>
      <c r="E809" s="259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2"/>
      <c r="W809" s="98"/>
    </row>
    <row r="810" spans="1:23" ht="12" customHeight="1" x14ac:dyDescent="0.25">
      <c r="A810" s="24"/>
      <c r="E810" s="259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2"/>
      <c r="W810" s="98"/>
    </row>
    <row r="811" spans="1:23" ht="12" customHeight="1" x14ac:dyDescent="0.25">
      <c r="A811" s="97" t="s">
        <v>440</v>
      </c>
      <c r="E811" s="259"/>
      <c r="F811" s="100">
        <f t="shared" ref="F811:U811" si="320">F681</f>
        <v>1283819684.7187505</v>
      </c>
      <c r="G811" s="100">
        <f t="shared" si="320"/>
        <v>511761071.09090668</v>
      </c>
      <c r="H811" s="100">
        <f t="shared" si="320"/>
        <v>160975707.94150111</v>
      </c>
      <c r="I811" s="100">
        <f t="shared" si="320"/>
        <v>0</v>
      </c>
      <c r="J811" s="100">
        <f t="shared" si="320"/>
        <v>10416804.556653442</v>
      </c>
      <c r="K811" s="100">
        <f t="shared" si="320"/>
        <v>0</v>
      </c>
      <c r="L811" s="100">
        <f t="shared" si="320"/>
        <v>142135131.60677165</v>
      </c>
      <c r="M811" s="100">
        <f t="shared" si="320"/>
        <v>11125663.269262597</v>
      </c>
      <c r="N811" s="100">
        <f t="shared" si="320"/>
        <v>100867010.7581795</v>
      </c>
      <c r="O811" s="100">
        <f t="shared" si="320"/>
        <v>224760229.39221784</v>
      </c>
      <c r="P811" s="100">
        <f t="shared" si="320"/>
        <v>77386478.95242697</v>
      </c>
      <c r="Q811" s="100">
        <f t="shared" si="320"/>
        <v>26385921.906142429</v>
      </c>
      <c r="R811" s="100">
        <f t="shared" si="320"/>
        <v>17854042.977277666</v>
      </c>
      <c r="S811" s="100">
        <f t="shared" si="320"/>
        <v>22610.975639785425</v>
      </c>
      <c r="T811" s="100">
        <f t="shared" si="320"/>
        <v>129010.71005005603</v>
      </c>
      <c r="U811" s="100">
        <f t="shared" si="320"/>
        <v>0</v>
      </c>
      <c r="V811" s="102">
        <f>SUM(G811:T811)</f>
        <v>1283819684.1370299</v>
      </c>
      <c r="W811" s="260" t="str">
        <f>IF(ABS(F811-V811)&lt;0.01,"ok","err")</f>
        <v>err</v>
      </c>
    </row>
    <row r="812" spans="1:23" ht="12" customHeight="1" x14ac:dyDescent="0.25">
      <c r="E812" s="259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2"/>
      <c r="W812" s="260"/>
    </row>
    <row r="813" spans="1:23" ht="12" customHeight="1" x14ac:dyDescent="0.25">
      <c r="A813" s="97" t="s">
        <v>207</v>
      </c>
      <c r="E813" s="259"/>
      <c r="F813" s="100">
        <f t="shared" ref="F813:U813" si="321">F764</f>
        <v>-1002784</v>
      </c>
      <c r="G813" s="100">
        <f t="shared" si="321"/>
        <v>-352879.10579077801</v>
      </c>
      <c r="H813" s="100">
        <f t="shared" si="321"/>
        <v>-153174.11363060167</v>
      </c>
      <c r="I813" s="100">
        <f t="shared" si="321"/>
        <v>0</v>
      </c>
      <c r="J813" s="100">
        <f t="shared" si="321"/>
        <v>-8172.4231749146184</v>
      </c>
      <c r="K813" s="100">
        <f t="shared" si="321"/>
        <v>0</v>
      </c>
      <c r="L813" s="100">
        <f t="shared" si="321"/>
        <v>-132877.33620841091</v>
      </c>
      <c r="M813" s="100">
        <f t="shared" si="321"/>
        <v>-11054.814368993537</v>
      </c>
      <c r="N813" s="100">
        <f t="shared" si="321"/>
        <v>-80525.766658321343</v>
      </c>
      <c r="O813" s="100">
        <f t="shared" si="321"/>
        <v>-162825.21024131944</v>
      </c>
      <c r="P813" s="100">
        <f t="shared" si="321"/>
        <v>-56645.578801812837</v>
      </c>
      <c r="Q813" s="100">
        <f t="shared" si="321"/>
        <v>-20548.095458007068</v>
      </c>
      <c r="R813" s="100">
        <f t="shared" si="321"/>
        <v>-23935.889477986275</v>
      </c>
      <c r="S813" s="100">
        <f t="shared" si="321"/>
        <v>-26.390659099161383</v>
      </c>
      <c r="T813" s="100">
        <f t="shared" si="321"/>
        <v>-119.27634814559315</v>
      </c>
      <c r="U813" s="100">
        <f t="shared" si="321"/>
        <v>0</v>
      </c>
      <c r="V813" s="102">
        <f>SUM(G813:T813)</f>
        <v>-1002784.0008183905</v>
      </c>
      <c r="W813" s="260" t="str">
        <f>IF(ABS(F813-V813)&lt;0.01,"ok","err")</f>
        <v>ok</v>
      </c>
    </row>
    <row r="814" spans="1:23" ht="12" customHeight="1" x14ac:dyDescent="0.25">
      <c r="A814" s="97" t="s">
        <v>2333</v>
      </c>
      <c r="E814" s="259" t="s">
        <v>517</v>
      </c>
      <c r="F814" s="100">
        <v>362905</v>
      </c>
      <c r="G814" s="100">
        <f t="shared" ref="G814:T815" si="322">IF(VLOOKUP($E814,$D$5:$AJ$952,3,)=0,0,(VLOOKUP($E814,$D$5:$AJ$952,G$1,)/VLOOKUP($E814,$D$5:$AJ$952,3,))*$F814)</f>
        <v>226685.47879299489</v>
      </c>
      <c r="H814" s="100">
        <f t="shared" si="322"/>
        <v>43862.298416690595</v>
      </c>
      <c r="I814" s="100">
        <f t="shared" si="322"/>
        <v>0</v>
      </c>
      <c r="J814" s="100">
        <f t="shared" si="322"/>
        <v>312.14034683120553</v>
      </c>
      <c r="K814" s="100">
        <f t="shared" si="322"/>
        <v>0</v>
      </c>
      <c r="L814" s="100">
        <f t="shared" si="322"/>
        <v>2370.2664110976702</v>
      </c>
      <c r="M814" s="100">
        <f t="shared" si="322"/>
        <v>91.062866782122356</v>
      </c>
      <c r="N814" s="100">
        <f t="shared" si="322"/>
        <v>325.29972064365097</v>
      </c>
      <c r="O814" s="100">
        <f t="shared" si="322"/>
        <v>145.80586184189534</v>
      </c>
      <c r="P814" s="100">
        <f t="shared" si="322"/>
        <v>15.791248574934512</v>
      </c>
      <c r="Q814" s="100">
        <f t="shared" si="322"/>
        <v>0.52637495249781707</v>
      </c>
      <c r="R814" s="100">
        <f t="shared" si="322"/>
        <v>88685.757496642211</v>
      </c>
      <c r="S814" s="100">
        <f t="shared" si="322"/>
        <v>2.1054998099912683</v>
      </c>
      <c r="T814" s="100">
        <f t="shared" si="322"/>
        <v>408.46696313830608</v>
      </c>
      <c r="U814" s="100"/>
      <c r="V814" s="102">
        <f>SUM(G814:T814)</f>
        <v>362905.00000000006</v>
      </c>
      <c r="W814" s="98" t="str">
        <f>IF(ABS(F814-V814)&lt;0.01,"ok","err")</f>
        <v>ok</v>
      </c>
    </row>
    <row r="815" spans="1:23" ht="12" customHeight="1" x14ac:dyDescent="0.25">
      <c r="A815" s="97" t="s">
        <v>2334</v>
      </c>
      <c r="E815" s="259" t="s">
        <v>516</v>
      </c>
      <c r="F815" s="100">
        <v>200113</v>
      </c>
      <c r="G815" s="100">
        <f t="shared" si="322"/>
        <v>75774.75635822113</v>
      </c>
      <c r="H815" s="100">
        <f t="shared" si="322"/>
        <v>27087.398953279848</v>
      </c>
      <c r="I815" s="100">
        <f t="shared" si="322"/>
        <v>0</v>
      </c>
      <c r="J815" s="100">
        <f t="shared" si="322"/>
        <v>1644.9139637119567</v>
      </c>
      <c r="K815" s="100">
        <f t="shared" si="322"/>
        <v>0</v>
      </c>
      <c r="L815" s="100">
        <f t="shared" si="322"/>
        <v>23838.759357959501</v>
      </c>
      <c r="M815" s="100">
        <f t="shared" si="322"/>
        <v>1906.2666380770822</v>
      </c>
      <c r="N815" s="100">
        <f t="shared" si="322"/>
        <v>15970.891954345663</v>
      </c>
      <c r="O815" s="100">
        <f t="shared" si="322"/>
        <v>34374.31354726624</v>
      </c>
      <c r="P815" s="100">
        <f t="shared" si="322"/>
        <v>11848.562718467791</v>
      </c>
      <c r="Q815" s="100">
        <f t="shared" si="322"/>
        <v>4084.5639616337917</v>
      </c>
      <c r="R815" s="100">
        <f t="shared" si="322"/>
        <v>3557.1593041795172</v>
      </c>
      <c r="S815" s="100">
        <f t="shared" si="322"/>
        <v>4.0268857578138553</v>
      </c>
      <c r="T815" s="100">
        <f t="shared" si="322"/>
        <v>21.386357099659385</v>
      </c>
      <c r="U815" s="100"/>
      <c r="V815" s="102">
        <f>SUM(G815:T815)</f>
        <v>200112.99999999997</v>
      </c>
      <c r="W815" s="98" t="str">
        <f>IF(ABS(F815-V815)&lt;0.01,"ok","err")</f>
        <v>ok</v>
      </c>
    </row>
    <row r="817" spans="1:23" ht="12" customHeight="1" x14ac:dyDescent="0.25">
      <c r="A817" s="97" t="s">
        <v>948</v>
      </c>
      <c r="E817" s="97">
        <v>0.385574631</v>
      </c>
      <c r="F817" s="100">
        <f t="shared" ref="F817:T817" si="323">SUM(F801:F804)*$E$817</f>
        <v>39751941.689718261</v>
      </c>
      <c r="G817" s="100">
        <f t="shared" si="323"/>
        <v>15644716.615313265</v>
      </c>
      <c r="H817" s="100">
        <f t="shared" si="323"/>
        <v>5044446.0165590355</v>
      </c>
      <c r="I817" s="100">
        <f t="shared" si="323"/>
        <v>0</v>
      </c>
      <c r="J817" s="100">
        <f t="shared" si="323"/>
        <v>328314.91167470324</v>
      </c>
      <c r="K817" s="100">
        <f t="shared" si="323"/>
        <v>0</v>
      </c>
      <c r="L817" s="100">
        <f t="shared" si="323"/>
        <v>4037200.8729429203</v>
      </c>
      <c r="M817" s="100">
        <f t="shared" si="323"/>
        <v>300331.2421776363</v>
      </c>
      <c r="N817" s="100">
        <f t="shared" si="323"/>
        <v>2926742.1714055957</v>
      </c>
      <c r="O817" s="100">
        <f t="shared" si="323"/>
        <v>7295224.5836532488</v>
      </c>
      <c r="P817" s="100">
        <f t="shared" si="323"/>
        <v>2534706.3258402254</v>
      </c>
      <c r="Q817" s="100">
        <f t="shared" si="323"/>
        <v>917265.05856151169</v>
      </c>
      <c r="R817" s="100">
        <f t="shared" si="323"/>
        <v>719670.54181099753</v>
      </c>
      <c r="S817" s="100">
        <f t="shared" si="323"/>
        <v>0</v>
      </c>
      <c r="T817" s="100">
        <f t="shared" si="323"/>
        <v>3323.3497791178274</v>
      </c>
      <c r="U817" s="100">
        <f>SUM(U801:U804)*0.367473</f>
        <v>0</v>
      </c>
      <c r="V817" s="102">
        <f>ROUND(SUM(G817:T817),2)</f>
        <v>39751941.689999998</v>
      </c>
      <c r="W817" s="260" t="str">
        <f>IF(ABS(F817-V817)&lt;0.01,"ok","err")</f>
        <v>ok</v>
      </c>
    </row>
    <row r="818" spans="1:23" ht="12" customHeight="1" x14ac:dyDescent="0.25"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2"/>
      <c r="W818" s="260"/>
    </row>
    <row r="819" spans="1:23" ht="12" customHeight="1" x14ac:dyDescent="0.25">
      <c r="A819" s="97" t="s">
        <v>208</v>
      </c>
      <c r="F819" s="100">
        <f>SUM(F811:F817)</f>
        <v>1323131860.4084687</v>
      </c>
      <c r="G819" s="100">
        <f t="shared" ref="G819:T819" si="324">SUM(G811:G817)</f>
        <v>527355368.83558035</v>
      </c>
      <c r="H819" s="100">
        <f t="shared" si="324"/>
        <v>165937929.54179955</v>
      </c>
      <c r="I819" s="100">
        <f t="shared" si="324"/>
        <v>0</v>
      </c>
      <c r="J819" s="100">
        <f t="shared" si="324"/>
        <v>10738904.099463774</v>
      </c>
      <c r="K819" s="100">
        <f t="shared" si="324"/>
        <v>0</v>
      </c>
      <c r="L819" s="100">
        <f t="shared" si="324"/>
        <v>146065664.16927522</v>
      </c>
      <c r="M819" s="100">
        <f t="shared" si="324"/>
        <v>11416937.0265761</v>
      </c>
      <c r="N819" s="100">
        <f t="shared" si="324"/>
        <v>103729523.35460177</v>
      </c>
      <c r="O819" s="100">
        <f t="shared" si="324"/>
        <v>231927148.88503885</v>
      </c>
      <c r="P819" s="100">
        <f t="shared" si="324"/>
        <v>79876404.05343242</v>
      </c>
      <c r="Q819" s="100">
        <f t="shared" si="324"/>
        <v>27286723.959582515</v>
      </c>
      <c r="R819" s="100">
        <f t="shared" si="324"/>
        <v>18642020.546411499</v>
      </c>
      <c r="S819" s="100">
        <f t="shared" si="324"/>
        <v>22590.717366254066</v>
      </c>
      <c r="T819" s="100">
        <f t="shared" si="324"/>
        <v>132644.63680126623</v>
      </c>
      <c r="U819" s="100"/>
      <c r="V819" s="102">
        <f>ROUND(SUM(G819:T819),2)</f>
        <v>1323131859.8299999</v>
      </c>
      <c r="W819" s="260" t="str">
        <f>IF(ABS(F819-V819)&lt;0.01,"ok","err")</f>
        <v>err</v>
      </c>
    </row>
    <row r="820" spans="1:23" ht="12" customHeight="1" x14ac:dyDescent="0.25">
      <c r="E820" s="102"/>
    </row>
    <row r="821" spans="1:23" ht="12" customHeight="1" x14ac:dyDescent="0.25">
      <c r="A821" s="97" t="s">
        <v>947</v>
      </c>
      <c r="F821" s="100">
        <f>F806-F819</f>
        <v>265293497.53240657</v>
      </c>
      <c r="G821" s="100">
        <f t="shared" ref="G821:T821" si="325">G806-G819</f>
        <v>90167769.387387276</v>
      </c>
      <c r="H821" s="100">
        <f t="shared" si="325"/>
        <v>46408423.777488172</v>
      </c>
      <c r="I821" s="100">
        <f>I806-I819</f>
        <v>0</v>
      </c>
      <c r="J821" s="100">
        <f t="shared" si="325"/>
        <v>2086892.2103215903</v>
      </c>
      <c r="K821" s="100">
        <f>K806-K819</f>
        <v>0</v>
      </c>
      <c r="L821" s="100">
        <f t="shared" si="325"/>
        <v>38120148.833693087</v>
      </c>
      <c r="M821" s="100">
        <f t="shared" si="325"/>
        <v>3257587.4969756119</v>
      </c>
      <c r="N821" s="100">
        <f t="shared" si="325"/>
        <v>20228624.961454645</v>
      </c>
      <c r="O821" s="100">
        <f t="shared" si="325"/>
        <v>37611295.836826146</v>
      </c>
      <c r="P821" s="100">
        <f t="shared" si="325"/>
        <v>13068307.045251295</v>
      </c>
      <c r="Q821" s="100">
        <f t="shared" si="325"/>
        <v>4956616.8792228997</v>
      </c>
      <c r="R821" s="100">
        <f t="shared" si="325"/>
        <v>9348460.2129416019</v>
      </c>
      <c r="S821" s="100">
        <f t="shared" si="325"/>
        <v>7033.974557979207</v>
      </c>
      <c r="T821" s="100">
        <f t="shared" si="325"/>
        <v>32337.498825221584</v>
      </c>
      <c r="U821" s="100"/>
      <c r="V821" s="102">
        <f>ROUND(SUM(G821:T821),2)</f>
        <v>265293498.11000001</v>
      </c>
      <c r="W821" s="98" t="str">
        <f>IF(ABS(F821-V821)&lt;0.01,"ok","err")</f>
        <v>err</v>
      </c>
    </row>
    <row r="823" spans="1:23" ht="12" customHeight="1" x14ac:dyDescent="0.25">
      <c r="A823" s="24" t="s">
        <v>420</v>
      </c>
      <c r="F823" s="102">
        <f t="shared" ref="F823:V823" si="326">F776</f>
        <v>3639079759.3610182</v>
      </c>
      <c r="G823" s="102">
        <f t="shared" si="326"/>
        <v>1716633054.3461716</v>
      </c>
      <c r="H823" s="102">
        <f t="shared" si="326"/>
        <v>441219651.03133303</v>
      </c>
      <c r="I823" s="102">
        <f t="shared" si="326"/>
        <v>0</v>
      </c>
      <c r="J823" s="102">
        <f t="shared" si="326"/>
        <v>28182297.978403468</v>
      </c>
      <c r="K823" s="102">
        <f t="shared" si="326"/>
        <v>0</v>
      </c>
      <c r="L823" s="102">
        <f t="shared" si="326"/>
        <v>347387075.53153688</v>
      </c>
      <c r="M823" s="102">
        <f t="shared" si="326"/>
        <v>25275870.378223237</v>
      </c>
      <c r="N823" s="102">
        <f t="shared" si="326"/>
        <v>248673397.50148326</v>
      </c>
      <c r="O823" s="102">
        <f t="shared" si="326"/>
        <v>533415050.36546725</v>
      </c>
      <c r="P823" s="102">
        <f t="shared" si="326"/>
        <v>170797076.92138174</v>
      </c>
      <c r="Q823" s="102">
        <f t="shared" si="326"/>
        <v>45005985.731704071</v>
      </c>
      <c r="R823" s="102">
        <f t="shared" si="326"/>
        <v>82196367.310438812</v>
      </c>
      <c r="S823" s="102">
        <f t="shared" si="326"/>
        <v>15193.548301309937</v>
      </c>
      <c r="T823" s="102">
        <f t="shared" si="326"/>
        <v>278738.71657262801</v>
      </c>
      <c r="U823" s="102">
        <f t="shared" si="326"/>
        <v>0</v>
      </c>
      <c r="V823" s="102">
        <f t="shared" si="326"/>
        <v>3639079759.3610182</v>
      </c>
      <c r="W823" s="98" t="str">
        <f>IF(ABS(F823-V823)&lt;0.01,"ok","err")</f>
        <v>ok</v>
      </c>
    </row>
    <row r="824" spans="1:23" ht="12" customHeight="1" thickBot="1" x14ac:dyDescent="0.3"/>
    <row r="825" spans="1:23" ht="12" customHeight="1" thickBot="1" x14ac:dyDescent="0.3">
      <c r="A825" s="230" t="s">
        <v>441</v>
      </c>
      <c r="B825" s="231"/>
      <c r="C825" s="231"/>
      <c r="D825" s="231"/>
      <c r="E825" s="231"/>
      <c r="F825" s="232">
        <f t="shared" ref="F825:P825" si="327">F821/F823</f>
        <v>7.2901259404929655E-2</v>
      </c>
      <c r="G825" s="232">
        <f t="shared" si="327"/>
        <v>5.2525942663809548E-2</v>
      </c>
      <c r="H825" s="232">
        <f t="shared" si="327"/>
        <v>0.10518213245717947</v>
      </c>
      <c r="I825" s="232" t="e">
        <f>I821/I823</f>
        <v>#DIV/0!</v>
      </c>
      <c r="J825" s="232">
        <f t="shared" si="327"/>
        <v>7.40497532146175E-2</v>
      </c>
      <c r="K825" s="232" t="e">
        <f>K821/K823</f>
        <v>#DIV/0!</v>
      </c>
      <c r="L825" s="232">
        <f t="shared" si="327"/>
        <v>0.10973392943697015</v>
      </c>
      <c r="M825" s="232">
        <f t="shared" si="327"/>
        <v>0.12888131835737809</v>
      </c>
      <c r="N825" s="232">
        <f t="shared" si="327"/>
        <v>8.1346155900467745E-2</v>
      </c>
      <c r="O825" s="232">
        <f t="shared" si="327"/>
        <v>7.0510376134038419E-2</v>
      </c>
      <c r="P825" s="232">
        <f t="shared" si="327"/>
        <v>7.6513645788368292E-2</v>
      </c>
      <c r="Q825" s="232">
        <f>Q821/Q823</f>
        <v>0.11013239236156214</v>
      </c>
      <c r="R825" s="232">
        <f>R821/R823</f>
        <v>0.1137332526829852</v>
      </c>
      <c r="S825" s="232">
        <f>S821/S823</f>
        <v>0.4629579883833167</v>
      </c>
      <c r="T825" s="232">
        <f>T821/T823</f>
        <v>0.11601366047330473</v>
      </c>
      <c r="U825" s="232"/>
      <c r="V825" s="234"/>
      <c r="W825" s="234"/>
    </row>
    <row r="826" spans="1:23" ht="12" customHeight="1" x14ac:dyDescent="0.25">
      <c r="L826" s="112"/>
      <c r="M826" s="112"/>
      <c r="N826" s="112"/>
      <c r="R826" s="261"/>
    </row>
    <row r="827" spans="1:23" ht="12" customHeight="1" x14ac:dyDescent="0.25">
      <c r="A827" s="237"/>
      <c r="S827" s="235"/>
    </row>
    <row r="828" spans="1:23" ht="12" customHeight="1" x14ac:dyDescent="0.25">
      <c r="A828" s="237"/>
      <c r="S828" s="235"/>
    </row>
    <row r="829" spans="1:23" ht="12" customHeight="1" x14ac:dyDescent="0.25">
      <c r="R829" s="261"/>
      <c r="S829" s="262"/>
    </row>
    <row r="830" spans="1:23" ht="12" customHeight="1" x14ac:dyDescent="0.25">
      <c r="A830" s="23" t="s">
        <v>519</v>
      </c>
    </row>
    <row r="832" spans="1:23" ht="12" customHeight="1" x14ac:dyDescent="0.25">
      <c r="A832" s="23" t="s">
        <v>444</v>
      </c>
    </row>
    <row r="833" spans="1:24" ht="12" customHeight="1" x14ac:dyDescent="0.25">
      <c r="A833" s="97" t="s">
        <v>445</v>
      </c>
      <c r="D833" s="97" t="s">
        <v>410</v>
      </c>
      <c r="E833" s="97" t="s">
        <v>110</v>
      </c>
      <c r="F833" s="118">
        <v>1</v>
      </c>
      <c r="G833" s="118">
        <f t="shared" ref="G833:T833" si="328">IF(VLOOKUP($E833,$D$5:$AJ$945,3,)=0,0,(VLOOKUP($E833,$D$5:$AJ$945,G$1,)/VLOOKUP($E833,$D$5:$AJ$945,3,))*$F833)</f>
        <v>0.33594300556396001</v>
      </c>
      <c r="H833" s="118">
        <f t="shared" si="328"/>
        <v>9.9525121824362031E-2</v>
      </c>
      <c r="I833" s="118">
        <f t="shared" si="328"/>
        <v>0</v>
      </c>
      <c r="J833" s="118">
        <f t="shared" si="328"/>
        <v>8.3748731797780151E-3</v>
      </c>
      <c r="K833" s="118">
        <f t="shared" si="328"/>
        <v>0</v>
      </c>
      <c r="L833" s="118">
        <f t="shared" si="328"/>
        <v>0.11838097751537099</v>
      </c>
      <c r="M833" s="118">
        <f t="shared" si="328"/>
        <v>9.1354123048661435E-3</v>
      </c>
      <c r="N833" s="118">
        <f t="shared" si="328"/>
        <v>9.2159998131657095E-2</v>
      </c>
      <c r="O833" s="118">
        <f t="shared" si="328"/>
        <v>0.22153374839300388</v>
      </c>
      <c r="P833" s="118">
        <f t="shared" si="328"/>
        <v>7.8895628353916614E-2</v>
      </c>
      <c r="Q833" s="118">
        <f t="shared" si="328"/>
        <v>2.9126237153218538E-2</v>
      </c>
      <c r="R833" s="118">
        <f t="shared" si="328"/>
        <v>6.8182386460638039E-3</v>
      </c>
      <c r="S833" s="118">
        <f t="shared" si="328"/>
        <v>2.4635895468511432E-5</v>
      </c>
      <c r="T833" s="118">
        <f t="shared" si="328"/>
        <v>8.212303833418759E-5</v>
      </c>
      <c r="U833" s="118"/>
      <c r="V833" s="118">
        <f>SUM(G833:T833)</f>
        <v>0.99999999999999978</v>
      </c>
      <c r="W833" s="98" t="str">
        <f>IF(ABS(F833-V833)&lt;0.01,"ok","err")</f>
        <v>ok</v>
      </c>
      <c r="X833" s="263" t="str">
        <f>IF(W833="err",V833-F833,"")</f>
        <v/>
      </c>
    </row>
    <row r="835" spans="1:24" ht="12" customHeight="1" x14ac:dyDescent="0.25">
      <c r="A835" s="23" t="s">
        <v>446</v>
      </c>
    </row>
    <row r="836" spans="1:24" ht="12" customHeight="1" x14ac:dyDescent="0.25">
      <c r="A836" s="97" t="s">
        <v>454</v>
      </c>
      <c r="D836" s="97" t="s">
        <v>848</v>
      </c>
      <c r="E836" s="97" t="s">
        <v>941</v>
      </c>
      <c r="F836" s="114">
        <v>1</v>
      </c>
      <c r="G836" s="117">
        <f t="shared" ref="G836:T836" si="329">IF(VLOOKUP($E836,$D$5:$AJ$945,3,)=0,0,(VLOOKUP($E836,$D$5:$AJ$945,G$1,)/VLOOKUP($E836,$D$5:$AJ$945,3,))*$F836)</f>
        <v>0.79905504220417012</v>
      </c>
      <c r="H836" s="117">
        <f t="shared" si="329"/>
        <v>0.15461242113583362</v>
      </c>
      <c r="I836" s="117">
        <f t="shared" si="329"/>
        <v>0</v>
      </c>
      <c r="J836" s="117">
        <f t="shared" si="329"/>
        <v>1.1002792033211648E-3</v>
      </c>
      <c r="K836" s="117">
        <f t="shared" si="329"/>
        <v>0</v>
      </c>
      <c r="L836" s="117">
        <f t="shared" si="329"/>
        <v>8.3550712522010209E-3</v>
      </c>
      <c r="M836" s="117">
        <f t="shared" si="329"/>
        <v>3.2099207786603966E-4</v>
      </c>
      <c r="N836" s="117">
        <f t="shared" si="329"/>
        <v>1.1466653417411127E-3</v>
      </c>
      <c r="O836" s="117">
        <f t="shared" si="329"/>
        <v>5.13958413693023E-4</v>
      </c>
      <c r="P836" s="117">
        <f t="shared" si="329"/>
        <v>0</v>
      </c>
      <c r="Q836" s="117">
        <f t="shared" si="329"/>
        <v>0</v>
      </c>
      <c r="R836" s="117">
        <f t="shared" si="329"/>
        <v>3.4734765091317808E-2</v>
      </c>
      <c r="S836" s="117">
        <f t="shared" si="329"/>
        <v>8.2464246079907413E-7</v>
      </c>
      <c r="T836" s="117">
        <f t="shared" si="329"/>
        <v>1.5998063739502041E-4</v>
      </c>
      <c r="U836" s="117"/>
      <c r="V836" s="117">
        <f t="shared" ref="V836:V841" si="330">SUM(G836:T836)</f>
        <v>0.99999999999999967</v>
      </c>
      <c r="W836" s="98" t="str">
        <f>IF(ABS(F836-V836)&lt;0.01,"ok","err")</f>
        <v>ok</v>
      </c>
      <c r="X836" s="102" t="str">
        <f t="shared" ref="X836:X841" si="331">IF(W836="err",V836-F836,"")</f>
        <v/>
      </c>
    </row>
    <row r="837" spans="1:24" ht="12" customHeight="1" x14ac:dyDescent="0.25">
      <c r="A837" s="97" t="s">
        <v>1539</v>
      </c>
      <c r="D837" s="97" t="s">
        <v>413</v>
      </c>
      <c r="F837" s="114">
        <v>1</v>
      </c>
      <c r="G837" s="118">
        <f>Services!F10</f>
        <v>0.7013044355841298</v>
      </c>
      <c r="H837" s="118">
        <f>Services!F12+Services!F14</f>
        <v>0.27471752752919298</v>
      </c>
      <c r="I837" s="118">
        <v>0</v>
      </c>
      <c r="J837" s="118">
        <f>Services!F16+Services!F18</f>
        <v>2.6016993089106434E-3</v>
      </c>
      <c r="K837" s="118">
        <v>0</v>
      </c>
      <c r="L837" s="118">
        <f>Services!F20</f>
        <v>1.8664619795691735E-2</v>
      </c>
      <c r="M837" s="118">
        <f>Services!F22</f>
        <v>0</v>
      </c>
      <c r="N837" s="118">
        <f>Services!F24</f>
        <v>2.7117177820747494E-3</v>
      </c>
      <c r="O837" s="118">
        <f>Services!F26</f>
        <v>0</v>
      </c>
      <c r="P837" s="118">
        <f>Services!F28</f>
        <v>0</v>
      </c>
      <c r="Q837" s="118">
        <f>Services!F30</f>
        <v>0</v>
      </c>
      <c r="R837" s="118">
        <f>Services!F32</f>
        <v>0</v>
      </c>
      <c r="S837" s="118">
        <f>Services!F34</f>
        <v>0</v>
      </c>
      <c r="T837" s="118">
        <f>Services!F36</f>
        <v>0</v>
      </c>
      <c r="U837" s="118"/>
      <c r="V837" s="117">
        <f t="shared" si="330"/>
        <v>1</v>
      </c>
      <c r="W837" s="98" t="str">
        <f>IF(ABS(F837-V837)&lt;0.01,"ok","err")</f>
        <v>ok</v>
      </c>
      <c r="X837" s="102" t="str">
        <f t="shared" si="331"/>
        <v/>
      </c>
    </row>
    <row r="838" spans="1:24" ht="12" customHeight="1" x14ac:dyDescent="0.25">
      <c r="A838" s="97" t="s">
        <v>455</v>
      </c>
      <c r="D838" s="97" t="s">
        <v>414</v>
      </c>
      <c r="F838" s="114">
        <v>1</v>
      </c>
      <c r="G838" s="118">
        <f>Meters!$F$10</f>
        <v>0.62144936543786311</v>
      </c>
      <c r="H838" s="118">
        <f>Meters!$F$12+Meters!$F$14</f>
        <v>0.23162575775624267</v>
      </c>
      <c r="I838" s="118">
        <v>0</v>
      </c>
      <c r="J838" s="118">
        <f>Meters!$F$16+Meters!$F$18</f>
        <v>4.9131537808948618E-3</v>
      </c>
      <c r="K838" s="118">
        <v>0</v>
      </c>
      <c r="L838" s="118">
        <f>Meters!$F$20</f>
        <v>6.2782068314748418E-2</v>
      </c>
      <c r="M838" s="118">
        <f>Meters!$F$22</f>
        <v>1.3842125125717716E-2</v>
      </c>
      <c r="N838" s="118">
        <f>Meters!$F$24</f>
        <v>1.1643112116332852E-2</v>
      </c>
      <c r="O838" s="118">
        <f>Meters!$F$26</f>
        <v>3.075547924135584E-2</v>
      </c>
      <c r="P838" s="118">
        <f>Meters!$F$28</f>
        <v>2.0975591195930589E-2</v>
      </c>
      <c r="Q838" s="118">
        <f>Meters!$F$30</f>
        <v>8.877791331425005E-4</v>
      </c>
      <c r="R838" s="118">
        <f>Meters!$F$32</f>
        <v>0</v>
      </c>
      <c r="S838" s="118">
        <f>Meters!$F$34</f>
        <v>5.772143065494824E-6</v>
      </c>
      <c r="T838" s="118">
        <f>Meters!$F$36</f>
        <v>1.1197957547059959E-3</v>
      </c>
      <c r="U838" s="118">
        <v>0</v>
      </c>
      <c r="V838" s="117">
        <f t="shared" si="330"/>
        <v>1</v>
      </c>
      <c r="W838" s="98" t="str">
        <f>IF(ABS(F838-V838)&lt;0.01,"ok","err")</f>
        <v>ok</v>
      </c>
      <c r="X838" s="102" t="str">
        <f t="shared" si="331"/>
        <v/>
      </c>
    </row>
    <row r="839" spans="1:24" ht="12" customHeight="1" x14ac:dyDescent="0.25">
      <c r="A839" s="97" t="s">
        <v>456</v>
      </c>
      <c r="D839" s="97" t="s">
        <v>415</v>
      </c>
      <c r="E839" s="97" t="s">
        <v>518</v>
      </c>
      <c r="F839" s="114">
        <v>1</v>
      </c>
      <c r="G839" s="117">
        <f t="shared" ref="G839:P840" si="332">IF(VLOOKUP($E839,$D$5:$AJ$945,3,)=0,0,(VLOOKUP($E839,$D$5:$AJ$945,G$1,)/VLOOKUP($E839,$D$5:$AJ$945,3,))*$F839)</f>
        <v>0</v>
      </c>
      <c r="H839" s="117">
        <f t="shared" si="332"/>
        <v>0</v>
      </c>
      <c r="I839" s="117">
        <f t="shared" si="332"/>
        <v>0</v>
      </c>
      <c r="J839" s="117">
        <f t="shared" si="332"/>
        <v>0</v>
      </c>
      <c r="K839" s="117">
        <f t="shared" si="332"/>
        <v>0</v>
      </c>
      <c r="L839" s="117">
        <f t="shared" si="332"/>
        <v>0</v>
      </c>
      <c r="M839" s="117">
        <f t="shared" si="332"/>
        <v>0</v>
      </c>
      <c r="N839" s="117">
        <f t="shared" si="332"/>
        <v>0</v>
      </c>
      <c r="O839" s="117">
        <f t="shared" si="332"/>
        <v>0</v>
      </c>
      <c r="P839" s="117">
        <f t="shared" si="332"/>
        <v>0</v>
      </c>
      <c r="Q839" s="117">
        <v>0</v>
      </c>
      <c r="R839" s="117">
        <v>1</v>
      </c>
      <c r="S839" s="117">
        <f>IF(VLOOKUP($E839,$D$5:$AJ$945,3,)=0,0,(VLOOKUP($E839,$D$5:$AJ$945,S$1,)/VLOOKUP($E839,$D$5:$AJ$945,3,))*$F839)</f>
        <v>0</v>
      </c>
      <c r="T839" s="117">
        <f>IF(VLOOKUP($E839,$D$5:$AJ$945,3,)=0,0,(VLOOKUP($E839,$D$5:$AJ$945,T$1,)/VLOOKUP($E839,$D$5:$AJ$945,3,))*$F839)</f>
        <v>0</v>
      </c>
      <c r="U839" s="117"/>
      <c r="V839" s="117">
        <f t="shared" si="330"/>
        <v>1</v>
      </c>
      <c r="W839" s="98" t="str">
        <f>IF(ABS(F839-V839)&lt;0.01,"ok","err")</f>
        <v>ok</v>
      </c>
      <c r="X839" s="102" t="str">
        <f t="shared" si="331"/>
        <v/>
      </c>
    </row>
    <row r="840" spans="1:24" ht="12" customHeight="1" x14ac:dyDescent="0.25">
      <c r="A840" s="97" t="s">
        <v>457</v>
      </c>
      <c r="D840" s="97" t="s">
        <v>416</v>
      </c>
      <c r="E840" s="97" t="s">
        <v>885</v>
      </c>
      <c r="F840" s="114">
        <v>1</v>
      </c>
      <c r="G840" s="117">
        <f t="shared" si="332"/>
        <v>0.64425471947915558</v>
      </c>
      <c r="H840" s="117">
        <f t="shared" si="332"/>
        <v>0.24931894987381312</v>
      </c>
      <c r="I840" s="117">
        <f t="shared" si="332"/>
        <v>0</v>
      </c>
      <c r="J840" s="117">
        <f t="shared" si="332"/>
        <v>8.8712295404463747E-3</v>
      </c>
      <c r="K840" s="117">
        <f t="shared" si="332"/>
        <v>0</v>
      </c>
      <c r="L840" s="117">
        <f t="shared" si="332"/>
        <v>3.3682248415371013E-2</v>
      </c>
      <c r="M840" s="117">
        <f t="shared" si="332"/>
        <v>1.2940326395423462E-3</v>
      </c>
      <c r="N840" s="117">
        <f t="shared" si="332"/>
        <v>2.3113068532866186E-2</v>
      </c>
      <c r="O840" s="117">
        <f t="shared" si="332"/>
        <v>1.0359741073792773E-2</v>
      </c>
      <c r="P840" s="117">
        <f t="shared" si="332"/>
        <v>8.9759489448024024E-4</v>
      </c>
      <c r="Q840" s="117">
        <f>IF(VLOOKUP($E840,$D$5:$AJ$945,3,)=0,0,(VLOOKUP($E840,$D$5:$AJ$945,Q$1,)/VLOOKUP($E840,$D$5:$AJ$945,3,))*$F840)</f>
        <v>7.4799574540020011E-5</v>
      </c>
      <c r="R840" s="117">
        <f>IF(VLOOKUP($E840,$D$5:$AJ$945,3,)=0,0,(VLOOKUP($E840,$D$5:$AJ$945,R$1,)/VLOOKUP($E840,$D$5:$AJ$945,3,))*$F840)</f>
        <v>2.8004960707783494E-2</v>
      </c>
      <c r="S840" s="117">
        <f>IF(VLOOKUP($E840,$D$5:$AJ$945,3,)=0,0,(VLOOKUP($E840,$D$5:$AJ$945,S$1,)/VLOOKUP($E840,$D$5:$AJ$945,3,))*$F840)</f>
        <v>0</v>
      </c>
      <c r="T840" s="117">
        <f>IF(VLOOKUP($E840,$D$5:$AJ$945,3,)=0,0,(VLOOKUP($E840,$D$5:$AJ$945,T$1,)/VLOOKUP($E840,$D$5:$AJ$945,3,))*$F840)</f>
        <v>1.2865526820883444E-4</v>
      </c>
      <c r="U840" s="117"/>
      <c r="V840" s="117">
        <f t="shared" si="330"/>
        <v>1</v>
      </c>
      <c r="W840" s="98" t="str">
        <f>IF(ABS(F840-V840)&lt;0.01,"ok","err")</f>
        <v>ok</v>
      </c>
      <c r="X840" s="102" t="str">
        <f t="shared" si="331"/>
        <v/>
      </c>
    </row>
    <row r="841" spans="1:24" ht="12" customHeight="1" x14ac:dyDescent="0.25">
      <c r="A841" s="97" t="s">
        <v>970</v>
      </c>
      <c r="D841" s="97" t="s">
        <v>417</v>
      </c>
      <c r="E841" s="97" t="s">
        <v>886</v>
      </c>
      <c r="F841" s="114">
        <v>1</v>
      </c>
      <c r="G841" s="117">
        <f t="shared" ref="G841:T841" si="333">IF(VLOOKUP($E841,$D$5:$AJ$945,3,)=0,0,ROUND((VLOOKUP($E841,$D$5:$AJ$945,G$1,)/VLOOKUP($E841,$D$5:$AJ$945,3,))*$F841,10))</f>
        <v>0.7990107313</v>
      </c>
      <c r="H841" s="117">
        <f t="shared" si="333"/>
        <v>0.15460384720000001</v>
      </c>
      <c r="I841" s="117">
        <f t="shared" si="333"/>
        <v>0</v>
      </c>
      <c r="J841" s="117">
        <f t="shared" si="333"/>
        <v>1.1002182000000001E-3</v>
      </c>
      <c r="K841" s="117">
        <f t="shared" si="333"/>
        <v>0</v>
      </c>
      <c r="L841" s="117">
        <f t="shared" si="333"/>
        <v>8.3546078999999999E-3</v>
      </c>
      <c r="M841" s="117">
        <f t="shared" si="333"/>
        <v>3.2097430000000001E-4</v>
      </c>
      <c r="N841" s="117">
        <f t="shared" si="333"/>
        <v>1.1466018E-3</v>
      </c>
      <c r="O841" s="117">
        <f t="shared" si="333"/>
        <v>5.1392989999999997E-4</v>
      </c>
      <c r="P841" s="117">
        <f t="shared" si="333"/>
        <v>5.56603E-5</v>
      </c>
      <c r="Q841" s="117">
        <f t="shared" si="333"/>
        <v>1.8553E-6</v>
      </c>
      <c r="R841" s="117">
        <f t="shared" si="333"/>
        <v>3.4732014300000003E-2</v>
      </c>
      <c r="S841" s="117">
        <f t="shared" si="333"/>
        <v>0</v>
      </c>
      <c r="T841" s="117">
        <f t="shared" si="333"/>
        <v>1.5955949999999999E-4</v>
      </c>
      <c r="U841" s="117"/>
      <c r="V841" s="117">
        <f t="shared" si="330"/>
        <v>0.99999999999999989</v>
      </c>
      <c r="W841" s="98" t="str">
        <f>IF(ABS(F841-V841)&lt;0.000000001,"ok","err")</f>
        <v>ok</v>
      </c>
      <c r="X841" s="264" t="str">
        <f t="shared" si="331"/>
        <v/>
      </c>
    </row>
    <row r="842" spans="1:24" ht="12" customHeight="1" x14ac:dyDescent="0.25">
      <c r="F842" s="114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  <c r="V842" s="117"/>
      <c r="W842" s="98"/>
    </row>
    <row r="843" spans="1:24" ht="12" customHeight="1" x14ac:dyDescent="0.25">
      <c r="A843" s="97" t="s">
        <v>365</v>
      </c>
      <c r="D843" s="97" t="s">
        <v>516</v>
      </c>
      <c r="F843" s="101">
        <f>'Billing Det'!D38</f>
        <v>1464489053</v>
      </c>
      <c r="G843" s="101">
        <f>'Billing Det'!D8</f>
        <v>554543189</v>
      </c>
      <c r="H843" s="101">
        <f>'Billing Det'!D10+'Billing Det'!D12</f>
        <v>198233994</v>
      </c>
      <c r="I843" s="101">
        <v>0</v>
      </c>
      <c r="J843" s="101">
        <f>'Billing Det'!D14+'Billing Det'!D16</f>
        <v>12037991</v>
      </c>
      <c r="K843" s="101">
        <v>0</v>
      </c>
      <c r="L843" s="101">
        <f>'Billing Det'!D18</f>
        <v>174459441</v>
      </c>
      <c r="M843" s="101">
        <f>'Billing Det'!D20</f>
        <v>13950651</v>
      </c>
      <c r="N843" s="101">
        <f>'Billing Det'!D22</f>
        <v>116879945</v>
      </c>
      <c r="O843" s="101">
        <f>'Billing Det'!D24</f>
        <v>251561897</v>
      </c>
      <c r="P843" s="101">
        <f>'Billing Det'!D28</f>
        <v>86711460</v>
      </c>
      <c r="Q843" s="101">
        <f>'Billing Det'!D30</f>
        <v>29892107</v>
      </c>
      <c r="R843" s="101">
        <f>'Billing Det'!D32</f>
        <v>26032396</v>
      </c>
      <c r="S843" s="101">
        <f>'Billing Det'!D34</f>
        <v>29470</v>
      </c>
      <c r="T843" s="101">
        <f>'Billing Det'!D36</f>
        <v>156512</v>
      </c>
      <c r="U843" s="101"/>
      <c r="V843" s="101">
        <f>SUM(G843:T843)</f>
        <v>1464489053</v>
      </c>
      <c r="W843" s="98" t="str">
        <f>IF(ABS(F843-V843)&lt;0.01,"ok","err")</f>
        <v>ok</v>
      </c>
      <c r="X843" s="332" t="str">
        <f>IF(W843="err",V843-F843,"")</f>
        <v/>
      </c>
    </row>
    <row r="844" spans="1:24" ht="12" customHeight="1" x14ac:dyDescent="0.25">
      <c r="A844" s="97" t="s">
        <v>1941</v>
      </c>
      <c r="F844" s="101">
        <v>18329917453.787018</v>
      </c>
      <c r="G844" s="101">
        <f>'Billing Det'!C8</f>
        <v>6091631440</v>
      </c>
      <c r="H844" s="101">
        <f>'Billing Det'!C10+'Billing Det'!C12</f>
        <v>1804682196.485518</v>
      </c>
      <c r="I844" s="101">
        <v>0</v>
      </c>
      <c r="J844" s="101">
        <f>'Billing Det'!C14+'Billing Det'!C16</f>
        <v>151861000</v>
      </c>
      <c r="K844" s="101">
        <v>0</v>
      </c>
      <c r="L844" s="101">
        <f>'Billing Det'!C18</f>
        <v>2146594132.2992384</v>
      </c>
      <c r="M844" s="101">
        <f>'Billing Det'!C20</f>
        <v>169814470.8207581</v>
      </c>
      <c r="N844" s="101">
        <f>'Billing Det'!C22</f>
        <v>1671130914.5630004</v>
      </c>
      <c r="O844" s="101">
        <f>'Billing Det'!C24</f>
        <v>4118000917.4033823</v>
      </c>
      <c r="P844" s="101">
        <f>'Billing Det'!C28</f>
        <v>1497714279.3066747</v>
      </c>
      <c r="Q844" s="101">
        <f>'Billing Det'!C30</f>
        <v>552917597.55256987</v>
      </c>
      <c r="R844" s="101">
        <f>'Billing Det'!C32</f>
        <v>123634652.94376437</v>
      </c>
      <c r="S844" s="101">
        <f>'Billing Det'!C34</f>
        <v>446721</v>
      </c>
      <c r="T844" s="101">
        <f>'Billing Det'!C36</f>
        <v>1489131.4121127534</v>
      </c>
      <c r="U844" s="101"/>
      <c r="V844" s="101">
        <f>SUM(G844:T844)</f>
        <v>18329917453.787018</v>
      </c>
      <c r="W844" s="98" t="str">
        <f>IF(ABS(F844-V844)&lt;0.01,"ok","err")</f>
        <v>ok</v>
      </c>
      <c r="X844" s="102" t="str">
        <f>IF(W844="err",V844-F844,"")</f>
        <v/>
      </c>
    </row>
    <row r="845" spans="1:24" ht="12" customHeight="1" x14ac:dyDescent="0.25">
      <c r="A845" s="97" t="s">
        <v>1940</v>
      </c>
      <c r="D845" s="97" t="s">
        <v>110</v>
      </c>
      <c r="F845" s="116">
        <v>19414689070.637196</v>
      </c>
      <c r="G845" s="101">
        <f t="shared" ref="G845:L845" si="334">G844/0.93398</f>
        <v>6522228998.4796247</v>
      </c>
      <c r="H845" s="101">
        <f t="shared" si="334"/>
        <v>1932249294.9372768</v>
      </c>
      <c r="I845" s="101">
        <f t="shared" si="334"/>
        <v>0</v>
      </c>
      <c r="J845" s="101">
        <f t="shared" si="334"/>
        <v>162595558.79140881</v>
      </c>
      <c r="K845" s="101">
        <f t="shared" si="334"/>
        <v>0</v>
      </c>
      <c r="L845" s="101">
        <f t="shared" si="334"/>
        <v>2298329870.3390207</v>
      </c>
      <c r="M845" s="101">
        <f>M844/0.95745</f>
        <v>177361189.43104926</v>
      </c>
      <c r="N845" s="101">
        <f>N844/0.93398</f>
        <v>1789257708.4766273</v>
      </c>
      <c r="O845" s="101">
        <f>O844/0.95745</f>
        <v>4301008843.7029428</v>
      </c>
      <c r="P845" s="101">
        <f>P844/0.97779</f>
        <v>1531734093.523839</v>
      </c>
      <c r="Q845" s="101">
        <f>Q844/0.97779</f>
        <v>565476838.12737894</v>
      </c>
      <c r="R845" s="101">
        <f>R844/0.93398</f>
        <v>132373983.32273108</v>
      </c>
      <c r="S845" s="101">
        <f>S844/0.93398</f>
        <v>478298.25049786933</v>
      </c>
      <c r="T845" s="101">
        <f>T844/0.93398</f>
        <v>1594393.2547942712</v>
      </c>
      <c r="U845" s="101"/>
      <c r="V845" s="116">
        <f>SUM(G845:T845)</f>
        <v>19414689070.637196</v>
      </c>
      <c r="W845" s="98" t="str">
        <f>IF(ABS(F845-V845)&lt;0.01,"ok","err")</f>
        <v>ok</v>
      </c>
      <c r="X845" s="102" t="str">
        <f>IF(W845="err",V845-F845,"")</f>
        <v/>
      </c>
    </row>
    <row r="846" spans="1:24" ht="12" customHeight="1" x14ac:dyDescent="0.25"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16"/>
      <c r="W846" s="98"/>
    </row>
    <row r="847" spans="1:24" ht="12" customHeight="1" x14ac:dyDescent="0.25">
      <c r="A847" s="24" t="s">
        <v>576</v>
      </c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16"/>
      <c r="W847" s="98"/>
    </row>
    <row r="848" spans="1:24" ht="12" customHeight="1" x14ac:dyDescent="0.25">
      <c r="A848" s="97" t="s">
        <v>513</v>
      </c>
      <c r="F848" s="265">
        <v>8273298</v>
      </c>
      <c r="G848" s="101">
        <f>'Billing Det'!B8*12</f>
        <v>5167850</v>
      </c>
      <c r="H848" s="101">
        <f>('Billing Det'!B10+'Billing Det'!B12)*12</f>
        <v>999948</v>
      </c>
      <c r="I848" s="101">
        <v>0</v>
      </c>
      <c r="J848" s="101">
        <f>('Billing Det'!B14+'Billing Det'!B16)*12</f>
        <v>7118.0000000000009</v>
      </c>
      <c r="K848" s="101">
        <v>0</v>
      </c>
      <c r="L848" s="101">
        <f>'Billing Det'!B18*12</f>
        <v>54034</v>
      </c>
      <c r="M848" s="101">
        <f>'Billing Det'!B20*12</f>
        <v>2070</v>
      </c>
      <c r="N848" s="101">
        <f>'Billing Det'!B22*12</f>
        <v>7419</v>
      </c>
      <c r="O848" s="101">
        <f>'Billing Det'!B24*12</f>
        <v>3318</v>
      </c>
      <c r="P848" s="101">
        <f>'Billing Det'!B28*12</f>
        <v>360</v>
      </c>
      <c r="Q848" s="101">
        <f>'Billing Det'!B30*12</f>
        <v>12</v>
      </c>
      <c r="R848" s="101">
        <f>'Billing Det'!B32*12</f>
        <v>2021809</v>
      </c>
      <c r="S848" s="101">
        <f>'Billing Det'!B34*12</f>
        <v>48</v>
      </c>
      <c r="T848" s="101">
        <f>'Billing Det'!B36*12</f>
        <v>9312</v>
      </c>
      <c r="U848" s="101"/>
      <c r="V848" s="101">
        <f t="shared" ref="V848:V855" si="335">SUM(G848:T848)</f>
        <v>8273298</v>
      </c>
      <c r="W848" s="98" t="str">
        <f t="shared" ref="W848:W853" si="336">IF(ABS(F848-V848)&lt;0.01,"ok","err")</f>
        <v>ok</v>
      </c>
      <c r="X848" s="102" t="str">
        <f t="shared" ref="X848:X856" si="337">IF(W848="err",V848-F848,"")</f>
        <v/>
      </c>
    </row>
    <row r="849" spans="1:24" ht="12" customHeight="1" x14ac:dyDescent="0.25">
      <c r="A849" s="97" t="s">
        <v>514</v>
      </c>
      <c r="F849" s="265">
        <v>689442</v>
      </c>
      <c r="G849" s="101">
        <f>ROUND(+G848/12,0)</f>
        <v>430654</v>
      </c>
      <c r="H849" s="101">
        <f t="shared" ref="H849:T849" si="338">ROUND(+H848/12,0)</f>
        <v>83329</v>
      </c>
      <c r="I849" s="101">
        <f>ROUND(+I848/12,0)</f>
        <v>0</v>
      </c>
      <c r="J849" s="101">
        <f t="shared" si="338"/>
        <v>593</v>
      </c>
      <c r="K849" s="101">
        <f>ROUND(+K848/12,0)</f>
        <v>0</v>
      </c>
      <c r="L849" s="101">
        <f t="shared" si="338"/>
        <v>4503</v>
      </c>
      <c r="M849" s="101">
        <f t="shared" si="338"/>
        <v>173</v>
      </c>
      <c r="N849" s="101">
        <f t="shared" si="338"/>
        <v>618</v>
      </c>
      <c r="O849" s="101">
        <f t="shared" si="338"/>
        <v>277</v>
      </c>
      <c r="P849" s="101">
        <f t="shared" si="338"/>
        <v>30</v>
      </c>
      <c r="Q849" s="101">
        <f t="shared" si="338"/>
        <v>1</v>
      </c>
      <c r="R849" s="101">
        <f t="shared" si="338"/>
        <v>168484</v>
      </c>
      <c r="S849" s="101">
        <f t="shared" si="338"/>
        <v>4</v>
      </c>
      <c r="T849" s="101">
        <f t="shared" si="338"/>
        <v>776</v>
      </c>
      <c r="U849" s="101"/>
      <c r="V849" s="101">
        <f t="shared" si="335"/>
        <v>689442</v>
      </c>
      <c r="W849" s="98" t="str">
        <f t="shared" si="336"/>
        <v>ok</v>
      </c>
      <c r="X849" s="102" t="str">
        <f t="shared" si="337"/>
        <v/>
      </c>
    </row>
    <row r="850" spans="1:24" ht="12" customHeight="1" x14ac:dyDescent="0.25">
      <c r="A850" s="97" t="s">
        <v>515</v>
      </c>
      <c r="F850" s="101">
        <v>689442</v>
      </c>
      <c r="G850" s="101">
        <f t="shared" ref="G850:T850" si="339">G849</f>
        <v>430654</v>
      </c>
      <c r="H850" s="101">
        <f t="shared" si="339"/>
        <v>83329</v>
      </c>
      <c r="I850" s="101">
        <f>I849</f>
        <v>0</v>
      </c>
      <c r="J850" s="101">
        <f>J849</f>
        <v>593</v>
      </c>
      <c r="K850" s="101">
        <f>K849</f>
        <v>0</v>
      </c>
      <c r="L850" s="101">
        <f t="shared" si="339"/>
        <v>4503</v>
      </c>
      <c r="M850" s="101">
        <f t="shared" si="339"/>
        <v>173</v>
      </c>
      <c r="N850" s="101">
        <f t="shared" si="339"/>
        <v>618</v>
      </c>
      <c r="O850" s="101">
        <f t="shared" si="339"/>
        <v>277</v>
      </c>
      <c r="P850" s="101">
        <f>P849</f>
        <v>30</v>
      </c>
      <c r="Q850" s="101">
        <f t="shared" si="339"/>
        <v>1</v>
      </c>
      <c r="R850" s="101">
        <f t="shared" si="339"/>
        <v>168484</v>
      </c>
      <c r="S850" s="101">
        <f t="shared" si="339"/>
        <v>4</v>
      </c>
      <c r="T850" s="101">
        <f t="shared" si="339"/>
        <v>776</v>
      </c>
      <c r="U850" s="101"/>
      <c r="V850" s="101">
        <f t="shared" si="335"/>
        <v>689442</v>
      </c>
      <c r="W850" s="98" t="str">
        <f t="shared" si="336"/>
        <v>ok</v>
      </c>
      <c r="X850" s="102" t="str">
        <f t="shared" si="337"/>
        <v/>
      </c>
    </row>
    <row r="851" spans="1:24" ht="12" customHeight="1" x14ac:dyDescent="0.25">
      <c r="A851" s="97" t="s">
        <v>789</v>
      </c>
      <c r="D851" s="97" t="s">
        <v>885</v>
      </c>
      <c r="F851" s="101">
        <v>668453</v>
      </c>
      <c r="G851" s="101">
        <f>ROUND(G850,0)</f>
        <v>430654</v>
      </c>
      <c r="H851" s="101">
        <f>ROUND(H850*2,0)</f>
        <v>166658</v>
      </c>
      <c r="I851" s="101">
        <f>ROUND(I850*2,0)</f>
        <v>0</v>
      </c>
      <c r="J851" s="101">
        <f>ROUND(J850*10,0)</f>
        <v>5930</v>
      </c>
      <c r="K851" s="101">
        <f>ROUND(K850*10,0)</f>
        <v>0</v>
      </c>
      <c r="L851" s="101">
        <f>ROUND(L850*5,0)</f>
        <v>22515</v>
      </c>
      <c r="M851" s="101">
        <f>ROUND(M850*5,0)</f>
        <v>865</v>
      </c>
      <c r="N851" s="101">
        <f>ROUND(N850*25,0)</f>
        <v>15450</v>
      </c>
      <c r="O851" s="101">
        <f>ROUND(O850*25,0)</f>
        <v>6925</v>
      </c>
      <c r="P851" s="101">
        <f>ROUND(P850*20,0)</f>
        <v>600</v>
      </c>
      <c r="Q851" s="101">
        <f>ROUND(Q850*50,0)</f>
        <v>50</v>
      </c>
      <c r="R851" s="101">
        <f>ROUND(R850*1/9,0)</f>
        <v>18720</v>
      </c>
      <c r="S851" s="101">
        <f>ROUND(S850*1/9,0)</f>
        <v>0</v>
      </c>
      <c r="T851" s="101">
        <f>ROUND(T850*1/9,0)</f>
        <v>86</v>
      </c>
      <c r="U851" s="105"/>
      <c r="V851" s="101">
        <f t="shared" si="335"/>
        <v>668453</v>
      </c>
      <c r="W851" s="98" t="str">
        <f t="shared" si="336"/>
        <v>ok</v>
      </c>
      <c r="X851" s="102" t="str">
        <f t="shared" si="337"/>
        <v/>
      </c>
    </row>
    <row r="852" spans="1:24" ht="12" customHeight="1" x14ac:dyDescent="0.25">
      <c r="A852" s="97" t="s">
        <v>405</v>
      </c>
      <c r="D852" s="97" t="s">
        <v>518</v>
      </c>
      <c r="F852" s="101">
        <f>'Functional Assignment'!F43</f>
        <v>114827799.3</v>
      </c>
      <c r="G852" s="105">
        <v>0</v>
      </c>
      <c r="H852" s="105">
        <v>0</v>
      </c>
      <c r="I852" s="105">
        <v>0</v>
      </c>
      <c r="J852" s="105">
        <v>0</v>
      </c>
      <c r="K852" s="105">
        <v>0</v>
      </c>
      <c r="L852" s="105">
        <v>0</v>
      </c>
      <c r="M852" s="105">
        <v>0</v>
      </c>
      <c r="N852" s="101">
        <v>0</v>
      </c>
      <c r="O852" s="105">
        <v>0</v>
      </c>
      <c r="P852" s="105">
        <v>0</v>
      </c>
      <c r="Q852" s="105">
        <v>0</v>
      </c>
      <c r="R852" s="105">
        <f>F852</f>
        <v>114827799.3</v>
      </c>
      <c r="S852" s="105">
        <v>0</v>
      </c>
      <c r="T852" s="105">
        <v>0</v>
      </c>
      <c r="U852" s="105"/>
      <c r="V852" s="101">
        <f t="shared" si="335"/>
        <v>114827799.3</v>
      </c>
      <c r="W852" s="98" t="str">
        <f t="shared" si="336"/>
        <v>ok</v>
      </c>
      <c r="X852" s="102" t="str">
        <f t="shared" si="337"/>
        <v/>
      </c>
    </row>
    <row r="853" spans="1:24" ht="12" customHeight="1" x14ac:dyDescent="0.25">
      <c r="A853" s="97" t="s">
        <v>884</v>
      </c>
      <c r="D853" s="97" t="s">
        <v>517</v>
      </c>
      <c r="F853" s="101">
        <v>689442</v>
      </c>
      <c r="G853" s="101">
        <f>G850</f>
        <v>430654</v>
      </c>
      <c r="H853" s="101">
        <f t="shared" ref="H853:T853" si="340">H850</f>
        <v>83329</v>
      </c>
      <c r="I853" s="101">
        <f>I850</f>
        <v>0</v>
      </c>
      <c r="J853" s="101">
        <f>J850</f>
        <v>593</v>
      </c>
      <c r="K853" s="101">
        <f>K850</f>
        <v>0</v>
      </c>
      <c r="L853" s="101">
        <f t="shared" si="340"/>
        <v>4503</v>
      </c>
      <c r="M853" s="101">
        <f t="shared" si="340"/>
        <v>173</v>
      </c>
      <c r="N853" s="101">
        <f t="shared" si="340"/>
        <v>618</v>
      </c>
      <c r="O853" s="101">
        <f>O850</f>
        <v>277</v>
      </c>
      <c r="P853" s="101">
        <f>P850</f>
        <v>30</v>
      </c>
      <c r="Q853" s="101">
        <f t="shared" si="340"/>
        <v>1</v>
      </c>
      <c r="R853" s="101">
        <f t="shared" si="340"/>
        <v>168484</v>
      </c>
      <c r="S853" s="101">
        <f t="shared" si="340"/>
        <v>4</v>
      </c>
      <c r="T853" s="101">
        <f t="shared" si="340"/>
        <v>776</v>
      </c>
      <c r="U853" s="101"/>
      <c r="V853" s="101">
        <f t="shared" si="335"/>
        <v>689442</v>
      </c>
      <c r="W853" s="98" t="str">
        <f t="shared" si="336"/>
        <v>ok</v>
      </c>
      <c r="X853" s="102" t="str">
        <f t="shared" si="337"/>
        <v/>
      </c>
    </row>
    <row r="854" spans="1:24" ht="12" customHeight="1" x14ac:dyDescent="0.25">
      <c r="A854" s="97" t="s">
        <v>790</v>
      </c>
      <c r="D854" s="97" t="s">
        <v>886</v>
      </c>
      <c r="F854" s="101">
        <v>538984</v>
      </c>
      <c r="G854" s="101">
        <f t="shared" ref="G854:Q854" si="341">G850</f>
        <v>430654</v>
      </c>
      <c r="H854" s="101">
        <f t="shared" si="341"/>
        <v>83329</v>
      </c>
      <c r="I854" s="101">
        <f>I850</f>
        <v>0</v>
      </c>
      <c r="J854" s="101">
        <f t="shared" si="341"/>
        <v>593</v>
      </c>
      <c r="K854" s="101">
        <f>K850</f>
        <v>0</v>
      </c>
      <c r="L854" s="101">
        <f t="shared" si="341"/>
        <v>4503</v>
      </c>
      <c r="M854" s="101">
        <f t="shared" si="341"/>
        <v>173</v>
      </c>
      <c r="N854" s="101">
        <f t="shared" si="341"/>
        <v>618</v>
      </c>
      <c r="O854" s="101">
        <f t="shared" si="341"/>
        <v>277</v>
      </c>
      <c r="P854" s="101">
        <f t="shared" si="341"/>
        <v>30</v>
      </c>
      <c r="Q854" s="101">
        <f t="shared" si="341"/>
        <v>1</v>
      </c>
      <c r="R854" s="101">
        <f>ROUND(R850/9,0)</f>
        <v>18720</v>
      </c>
      <c r="S854" s="101">
        <f>ROUND(S850/9,0)</f>
        <v>0</v>
      </c>
      <c r="T854" s="101">
        <f>ROUND(T850/9,0)</f>
        <v>86</v>
      </c>
      <c r="U854" s="105"/>
      <c r="V854" s="101">
        <f t="shared" si="335"/>
        <v>538984</v>
      </c>
      <c r="W854" s="98" t="str">
        <f>IF(ABS(F854-V854)=0,"ok","err")</f>
        <v>ok</v>
      </c>
      <c r="X854" s="243" t="str">
        <f t="shared" si="337"/>
        <v/>
      </c>
    </row>
    <row r="855" spans="1:24" ht="12" customHeight="1" x14ac:dyDescent="0.25">
      <c r="A855" s="97" t="s">
        <v>791</v>
      </c>
      <c r="D855" s="97" t="s">
        <v>940</v>
      </c>
      <c r="F855" s="101">
        <v>533383.11111111124</v>
      </c>
      <c r="G855" s="101">
        <f>G850</f>
        <v>430654</v>
      </c>
      <c r="H855" s="101">
        <f>H854</f>
        <v>83329</v>
      </c>
      <c r="I855" s="101">
        <f>I854</f>
        <v>0</v>
      </c>
      <c r="J855" s="101">
        <f>J854</f>
        <v>593</v>
      </c>
      <c r="K855" s="101">
        <f>K854</f>
        <v>0</v>
      </c>
      <c r="L855" s="101">
        <v>0</v>
      </c>
      <c r="M855" s="101">
        <v>0</v>
      </c>
      <c r="N855" s="101">
        <v>0</v>
      </c>
      <c r="O855" s="101">
        <v>0</v>
      </c>
      <c r="P855" s="101">
        <v>0</v>
      </c>
      <c r="Q855" s="101">
        <v>0</v>
      </c>
      <c r="R855" s="101">
        <f>R853/9</f>
        <v>18720.444444444445</v>
      </c>
      <c r="S855" s="101">
        <f>S853/9</f>
        <v>0.44444444444444442</v>
      </c>
      <c r="T855" s="101">
        <f>T853/9</f>
        <v>86.222222222222229</v>
      </c>
      <c r="U855" s="105"/>
      <c r="V855" s="101">
        <f t="shared" si="335"/>
        <v>533383.11111111124</v>
      </c>
      <c r="W855" s="98" t="str">
        <f>IF(ABS(F855-V855)&lt;0.01,"ok","err")</f>
        <v>ok</v>
      </c>
      <c r="X855" s="102" t="str">
        <f t="shared" si="337"/>
        <v/>
      </c>
    </row>
    <row r="856" spans="1:24" ht="12" customHeight="1" x14ac:dyDescent="0.25">
      <c r="A856" s="97" t="s">
        <v>792</v>
      </c>
      <c r="D856" s="97" t="s">
        <v>941</v>
      </c>
      <c r="F856" s="101">
        <v>538954.11111111124</v>
      </c>
      <c r="G856" s="101">
        <f>G850</f>
        <v>430654</v>
      </c>
      <c r="H856" s="101">
        <f t="shared" ref="H856:O856" si="342">H850</f>
        <v>83329</v>
      </c>
      <c r="I856" s="101">
        <f>I850</f>
        <v>0</v>
      </c>
      <c r="J856" s="101">
        <f t="shared" si="342"/>
        <v>593</v>
      </c>
      <c r="K856" s="101">
        <f>K850</f>
        <v>0</v>
      </c>
      <c r="L856" s="101">
        <f t="shared" si="342"/>
        <v>4503</v>
      </c>
      <c r="M856" s="101">
        <f t="shared" si="342"/>
        <v>173</v>
      </c>
      <c r="N856" s="101">
        <f t="shared" si="342"/>
        <v>618</v>
      </c>
      <c r="O856" s="101">
        <f t="shared" si="342"/>
        <v>277</v>
      </c>
      <c r="P856" s="101">
        <v>0</v>
      </c>
      <c r="Q856" s="101">
        <v>0</v>
      </c>
      <c r="R856" s="101">
        <f>R855</f>
        <v>18720.444444444445</v>
      </c>
      <c r="S856" s="101">
        <f>S855</f>
        <v>0.44444444444444442</v>
      </c>
      <c r="T856" s="101">
        <f>T855</f>
        <v>86.222222222222229</v>
      </c>
      <c r="U856" s="101"/>
      <c r="V856" s="101">
        <f>SUM(G856:U856)</f>
        <v>538954.11111111124</v>
      </c>
      <c r="W856" s="98" t="str">
        <f>IF(ABS(F856-V856)&lt;0.01,"ok","err")</f>
        <v>ok</v>
      </c>
      <c r="X856" s="102" t="str">
        <f t="shared" si="337"/>
        <v/>
      </c>
    </row>
    <row r="857" spans="1:24" ht="12" customHeight="1" x14ac:dyDescent="0.25">
      <c r="A857" s="97" t="s">
        <v>2330</v>
      </c>
      <c r="D857" s="97" t="s">
        <v>2331</v>
      </c>
      <c r="F857" s="101">
        <v>538504.11111111124</v>
      </c>
      <c r="G857" s="101">
        <f>G855</f>
        <v>430654</v>
      </c>
      <c r="H857" s="101">
        <f t="shared" ref="H857:T857" si="343">H855</f>
        <v>83329</v>
      </c>
      <c r="I857" s="101">
        <f t="shared" si="343"/>
        <v>0</v>
      </c>
      <c r="J857" s="101">
        <f t="shared" si="343"/>
        <v>593</v>
      </c>
      <c r="K857" s="101">
        <f t="shared" si="343"/>
        <v>0</v>
      </c>
      <c r="L857" s="101">
        <f>L856</f>
        <v>4503</v>
      </c>
      <c r="M857" s="101">
        <f t="shared" si="343"/>
        <v>0</v>
      </c>
      <c r="N857" s="101">
        <f>N856</f>
        <v>618</v>
      </c>
      <c r="O857" s="101">
        <f t="shared" si="343"/>
        <v>0</v>
      </c>
      <c r="P857" s="101">
        <f t="shared" si="343"/>
        <v>0</v>
      </c>
      <c r="Q857" s="101">
        <f t="shared" si="343"/>
        <v>0</v>
      </c>
      <c r="R857" s="101">
        <f t="shared" si="343"/>
        <v>18720.444444444445</v>
      </c>
      <c r="S857" s="101">
        <f t="shared" si="343"/>
        <v>0.44444444444444442</v>
      </c>
      <c r="T857" s="101">
        <f t="shared" si="343"/>
        <v>86.222222222222229</v>
      </c>
      <c r="U857" s="101"/>
      <c r="V857" s="101">
        <f>SUM(G857:U857)</f>
        <v>538504.11111111124</v>
      </c>
      <c r="W857" s="98" t="str">
        <f>IF(ABS(F857-V857)&lt;0.01,"ok","err")</f>
        <v>ok</v>
      </c>
      <c r="X857" s="102"/>
    </row>
    <row r="858" spans="1:24" ht="12" customHeight="1" x14ac:dyDescent="0.25">
      <c r="F858" s="266"/>
      <c r="G858" s="266"/>
      <c r="H858" s="266"/>
      <c r="I858" s="266"/>
      <c r="J858" s="266"/>
      <c r="K858" s="266"/>
      <c r="L858" s="266"/>
      <c r="M858" s="266"/>
      <c r="N858" s="266"/>
      <c r="O858" s="266"/>
      <c r="P858" s="266"/>
      <c r="Q858" s="266"/>
      <c r="R858" s="266"/>
      <c r="S858" s="266"/>
      <c r="T858" s="266"/>
      <c r="U858" s="266"/>
      <c r="V858" s="266"/>
      <c r="W858" s="267"/>
      <c r="X858" s="109"/>
    </row>
    <row r="859" spans="1:24" ht="12" customHeight="1" x14ac:dyDescent="0.25">
      <c r="A859" s="24" t="s">
        <v>577</v>
      </c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266"/>
      <c r="R859" s="266"/>
      <c r="S859" s="266">
        <f>S852/(SUM($Q$852:$T$852))</f>
        <v>0</v>
      </c>
      <c r="T859" s="266">
        <f>T852/(SUM($Q$852:$T$852))</f>
        <v>0</v>
      </c>
      <c r="U859" s="101"/>
      <c r="V859" s="116"/>
      <c r="W859" s="98"/>
    </row>
    <row r="860" spans="1:24" ht="12" customHeight="1" x14ac:dyDescent="0.25">
      <c r="A860" s="97" t="s">
        <v>513</v>
      </c>
      <c r="F860" s="265">
        <f>F848</f>
        <v>8273298</v>
      </c>
      <c r="G860" s="265">
        <f t="shared" ref="G860:T860" si="344">G848</f>
        <v>5167850</v>
      </c>
      <c r="H860" s="265">
        <f t="shared" si="344"/>
        <v>999948</v>
      </c>
      <c r="I860" s="265">
        <f t="shared" si="344"/>
        <v>0</v>
      </c>
      <c r="J860" s="265">
        <f t="shared" si="344"/>
        <v>7118.0000000000009</v>
      </c>
      <c r="K860" s="265">
        <f t="shared" si="344"/>
        <v>0</v>
      </c>
      <c r="L860" s="265">
        <f t="shared" si="344"/>
        <v>54034</v>
      </c>
      <c r="M860" s="265">
        <f t="shared" si="344"/>
        <v>2070</v>
      </c>
      <c r="N860" s="265">
        <f t="shared" si="344"/>
        <v>7419</v>
      </c>
      <c r="O860" s="265">
        <f t="shared" si="344"/>
        <v>3318</v>
      </c>
      <c r="P860" s="265">
        <f t="shared" si="344"/>
        <v>360</v>
      </c>
      <c r="Q860" s="265">
        <f t="shared" si="344"/>
        <v>12</v>
      </c>
      <c r="R860" s="265">
        <f t="shared" si="344"/>
        <v>2021809</v>
      </c>
      <c r="S860" s="265">
        <f t="shared" si="344"/>
        <v>48</v>
      </c>
      <c r="T860" s="265">
        <f t="shared" si="344"/>
        <v>9312</v>
      </c>
      <c r="U860" s="101"/>
      <c r="V860" s="101">
        <f t="shared" ref="V860:V867" si="345">SUM(G860:T860)</f>
        <v>8273298</v>
      </c>
      <c r="W860" s="98" t="str">
        <f t="shared" ref="W860:W867" si="346">IF(ABS(F860-V860)&lt;0.01,"ok","err")</f>
        <v>ok</v>
      </c>
      <c r="X860" s="102" t="str">
        <f t="shared" ref="X860:X867" si="347">IF(W860="err",V860-F860,"")</f>
        <v/>
      </c>
    </row>
    <row r="861" spans="1:24" ht="12" customHeight="1" x14ac:dyDescent="0.25">
      <c r="A861" s="97" t="s">
        <v>514</v>
      </c>
      <c r="F861" s="265">
        <f t="shared" ref="F861:T868" si="348">F849</f>
        <v>689442</v>
      </c>
      <c r="G861" s="265">
        <f t="shared" si="348"/>
        <v>430654</v>
      </c>
      <c r="H861" s="265">
        <f t="shared" si="348"/>
        <v>83329</v>
      </c>
      <c r="I861" s="265">
        <f t="shared" si="348"/>
        <v>0</v>
      </c>
      <c r="J861" s="265">
        <f t="shared" si="348"/>
        <v>593</v>
      </c>
      <c r="K861" s="265">
        <f t="shared" si="348"/>
        <v>0</v>
      </c>
      <c r="L861" s="265">
        <f t="shared" si="348"/>
        <v>4503</v>
      </c>
      <c r="M861" s="265">
        <f t="shared" si="348"/>
        <v>173</v>
      </c>
      <c r="N861" s="265">
        <f t="shared" si="348"/>
        <v>618</v>
      </c>
      <c r="O861" s="265">
        <f t="shared" si="348"/>
        <v>277</v>
      </c>
      <c r="P861" s="265">
        <f t="shared" si="348"/>
        <v>30</v>
      </c>
      <c r="Q861" s="265">
        <f t="shared" si="348"/>
        <v>1</v>
      </c>
      <c r="R861" s="265">
        <f t="shared" si="348"/>
        <v>168484</v>
      </c>
      <c r="S861" s="265">
        <f t="shared" si="348"/>
        <v>4</v>
      </c>
      <c r="T861" s="265">
        <f t="shared" si="348"/>
        <v>776</v>
      </c>
      <c r="U861" s="105"/>
      <c r="V861" s="101">
        <f t="shared" si="345"/>
        <v>689442</v>
      </c>
      <c r="W861" s="98" t="str">
        <f t="shared" si="346"/>
        <v>ok</v>
      </c>
      <c r="X861" s="102" t="str">
        <f t="shared" si="347"/>
        <v/>
      </c>
    </row>
    <row r="862" spans="1:24" ht="12" customHeight="1" x14ac:dyDescent="0.25">
      <c r="A862" s="97" t="s">
        <v>515</v>
      </c>
      <c r="F862" s="265">
        <f t="shared" si="348"/>
        <v>689442</v>
      </c>
      <c r="G862" s="265">
        <f t="shared" si="348"/>
        <v>430654</v>
      </c>
      <c r="H862" s="265">
        <f t="shared" si="348"/>
        <v>83329</v>
      </c>
      <c r="I862" s="265">
        <f t="shared" si="348"/>
        <v>0</v>
      </c>
      <c r="J862" s="265">
        <f t="shared" si="348"/>
        <v>593</v>
      </c>
      <c r="K862" s="265">
        <f t="shared" si="348"/>
        <v>0</v>
      </c>
      <c r="L862" s="265">
        <f t="shared" si="348"/>
        <v>4503</v>
      </c>
      <c r="M862" s="265">
        <f t="shared" si="348"/>
        <v>173</v>
      </c>
      <c r="N862" s="265">
        <f t="shared" si="348"/>
        <v>618</v>
      </c>
      <c r="O862" s="265">
        <f t="shared" si="348"/>
        <v>277</v>
      </c>
      <c r="P862" s="265">
        <f t="shared" si="348"/>
        <v>30</v>
      </c>
      <c r="Q862" s="265">
        <f t="shared" si="348"/>
        <v>1</v>
      </c>
      <c r="R862" s="265">
        <f t="shared" si="348"/>
        <v>168484</v>
      </c>
      <c r="S862" s="265">
        <f t="shared" si="348"/>
        <v>4</v>
      </c>
      <c r="T862" s="265">
        <f t="shared" si="348"/>
        <v>776</v>
      </c>
      <c r="U862" s="105"/>
      <c r="V862" s="101">
        <f t="shared" si="345"/>
        <v>689442</v>
      </c>
      <c r="W862" s="98" t="str">
        <f t="shared" si="346"/>
        <v>ok</v>
      </c>
      <c r="X862" s="106" t="str">
        <f t="shared" si="347"/>
        <v/>
      </c>
    </row>
    <row r="863" spans="1:24" ht="12" customHeight="1" x14ac:dyDescent="0.25">
      <c r="A863" s="97" t="s">
        <v>789</v>
      </c>
      <c r="F863" s="265">
        <f t="shared" si="348"/>
        <v>668453</v>
      </c>
      <c r="G863" s="265">
        <f t="shared" si="348"/>
        <v>430654</v>
      </c>
      <c r="H863" s="265">
        <f t="shared" si="348"/>
        <v>166658</v>
      </c>
      <c r="I863" s="265">
        <f t="shared" si="348"/>
        <v>0</v>
      </c>
      <c r="J863" s="265">
        <f t="shared" si="348"/>
        <v>5930</v>
      </c>
      <c r="K863" s="265">
        <f t="shared" si="348"/>
        <v>0</v>
      </c>
      <c r="L863" s="265">
        <f t="shared" si="348"/>
        <v>22515</v>
      </c>
      <c r="M863" s="265">
        <f t="shared" si="348"/>
        <v>865</v>
      </c>
      <c r="N863" s="265">
        <f t="shared" si="348"/>
        <v>15450</v>
      </c>
      <c r="O863" s="265">
        <f t="shared" si="348"/>
        <v>6925</v>
      </c>
      <c r="P863" s="265">
        <f t="shared" si="348"/>
        <v>600</v>
      </c>
      <c r="Q863" s="265">
        <f t="shared" si="348"/>
        <v>50</v>
      </c>
      <c r="R863" s="265">
        <f t="shared" si="348"/>
        <v>18720</v>
      </c>
      <c r="S863" s="265">
        <f t="shared" si="348"/>
        <v>0</v>
      </c>
      <c r="T863" s="265">
        <f t="shared" si="348"/>
        <v>86</v>
      </c>
      <c r="U863" s="105"/>
      <c r="V863" s="101">
        <f t="shared" si="345"/>
        <v>668453</v>
      </c>
      <c r="W863" s="98" t="str">
        <f t="shared" si="346"/>
        <v>ok</v>
      </c>
      <c r="X863" s="106" t="str">
        <f t="shared" si="347"/>
        <v/>
      </c>
    </row>
    <row r="864" spans="1:24" ht="12" customHeight="1" x14ac:dyDescent="0.25">
      <c r="A864" s="97" t="s">
        <v>405</v>
      </c>
      <c r="F864" s="265">
        <f t="shared" si="348"/>
        <v>114827799.3</v>
      </c>
      <c r="G864" s="265">
        <f t="shared" si="348"/>
        <v>0</v>
      </c>
      <c r="H864" s="265">
        <f t="shared" si="348"/>
        <v>0</v>
      </c>
      <c r="I864" s="265">
        <f t="shared" si="348"/>
        <v>0</v>
      </c>
      <c r="J864" s="265">
        <f t="shared" si="348"/>
        <v>0</v>
      </c>
      <c r="K864" s="265">
        <f t="shared" si="348"/>
        <v>0</v>
      </c>
      <c r="L864" s="265">
        <f t="shared" si="348"/>
        <v>0</v>
      </c>
      <c r="M864" s="265">
        <f t="shared" si="348"/>
        <v>0</v>
      </c>
      <c r="N864" s="265">
        <f t="shared" si="348"/>
        <v>0</v>
      </c>
      <c r="O864" s="265">
        <f t="shared" si="348"/>
        <v>0</v>
      </c>
      <c r="P864" s="265">
        <f t="shared" si="348"/>
        <v>0</v>
      </c>
      <c r="Q864" s="265">
        <f t="shared" si="348"/>
        <v>0</v>
      </c>
      <c r="R864" s="265">
        <f t="shared" si="348"/>
        <v>114827799.3</v>
      </c>
      <c r="S864" s="265">
        <f t="shared" si="348"/>
        <v>0</v>
      </c>
      <c r="T864" s="265">
        <f t="shared" si="348"/>
        <v>0</v>
      </c>
      <c r="U864" s="101"/>
      <c r="V864" s="101">
        <f t="shared" si="345"/>
        <v>114827799.3</v>
      </c>
      <c r="W864" s="98" t="str">
        <f t="shared" si="346"/>
        <v>ok</v>
      </c>
      <c r="X864" s="102" t="str">
        <f t="shared" si="347"/>
        <v/>
      </c>
    </row>
    <row r="865" spans="1:24" ht="12" customHeight="1" x14ac:dyDescent="0.25">
      <c r="A865" s="97" t="s">
        <v>884</v>
      </c>
      <c r="F865" s="265">
        <f t="shared" si="348"/>
        <v>689442</v>
      </c>
      <c r="G865" s="265">
        <f t="shared" si="348"/>
        <v>430654</v>
      </c>
      <c r="H865" s="265">
        <f t="shared" si="348"/>
        <v>83329</v>
      </c>
      <c r="I865" s="265">
        <f t="shared" si="348"/>
        <v>0</v>
      </c>
      <c r="J865" s="265">
        <f t="shared" si="348"/>
        <v>593</v>
      </c>
      <c r="K865" s="265">
        <f t="shared" si="348"/>
        <v>0</v>
      </c>
      <c r="L865" s="265">
        <f t="shared" si="348"/>
        <v>4503</v>
      </c>
      <c r="M865" s="265">
        <f t="shared" si="348"/>
        <v>173</v>
      </c>
      <c r="N865" s="265">
        <f t="shared" si="348"/>
        <v>618</v>
      </c>
      <c r="O865" s="265">
        <f t="shared" si="348"/>
        <v>277</v>
      </c>
      <c r="P865" s="265">
        <f t="shared" si="348"/>
        <v>30</v>
      </c>
      <c r="Q865" s="265">
        <f t="shared" si="348"/>
        <v>1</v>
      </c>
      <c r="R865" s="265">
        <f t="shared" si="348"/>
        <v>168484</v>
      </c>
      <c r="S865" s="265">
        <f t="shared" si="348"/>
        <v>4</v>
      </c>
      <c r="T865" s="265">
        <f t="shared" si="348"/>
        <v>776</v>
      </c>
      <c r="U865" s="105"/>
      <c r="V865" s="101">
        <f t="shared" si="345"/>
        <v>689442</v>
      </c>
      <c r="W865" s="98" t="str">
        <f t="shared" si="346"/>
        <v>ok</v>
      </c>
      <c r="X865" s="102" t="str">
        <f t="shared" si="347"/>
        <v/>
      </c>
    </row>
    <row r="866" spans="1:24" ht="12" customHeight="1" x14ac:dyDescent="0.25">
      <c r="A866" s="97" t="s">
        <v>790</v>
      </c>
      <c r="F866" s="265">
        <f t="shared" si="348"/>
        <v>538984</v>
      </c>
      <c r="G866" s="265">
        <f t="shared" si="348"/>
        <v>430654</v>
      </c>
      <c r="H866" s="265">
        <f t="shared" si="348"/>
        <v>83329</v>
      </c>
      <c r="I866" s="265">
        <f t="shared" si="348"/>
        <v>0</v>
      </c>
      <c r="J866" s="265">
        <f t="shared" si="348"/>
        <v>593</v>
      </c>
      <c r="K866" s="265">
        <f t="shared" si="348"/>
        <v>0</v>
      </c>
      <c r="L866" s="265">
        <f t="shared" si="348"/>
        <v>4503</v>
      </c>
      <c r="M866" s="265">
        <f t="shared" si="348"/>
        <v>173</v>
      </c>
      <c r="N866" s="265">
        <f t="shared" si="348"/>
        <v>618</v>
      </c>
      <c r="O866" s="265">
        <f t="shared" si="348"/>
        <v>277</v>
      </c>
      <c r="P866" s="265">
        <f t="shared" si="348"/>
        <v>30</v>
      </c>
      <c r="Q866" s="265">
        <f t="shared" si="348"/>
        <v>1</v>
      </c>
      <c r="R866" s="265">
        <f t="shared" si="348"/>
        <v>18720</v>
      </c>
      <c r="S866" s="265">
        <f t="shared" si="348"/>
        <v>0</v>
      </c>
      <c r="T866" s="265">
        <f t="shared" si="348"/>
        <v>86</v>
      </c>
      <c r="U866" s="105"/>
      <c r="V866" s="101">
        <f t="shared" si="345"/>
        <v>538984</v>
      </c>
      <c r="W866" s="98" t="str">
        <f t="shared" si="346"/>
        <v>ok</v>
      </c>
      <c r="X866" s="102" t="str">
        <f t="shared" si="347"/>
        <v/>
      </c>
    </row>
    <row r="867" spans="1:24" ht="12" customHeight="1" x14ac:dyDescent="0.25">
      <c r="A867" s="97" t="s">
        <v>791</v>
      </c>
      <c r="F867" s="265">
        <f t="shared" si="348"/>
        <v>533383.11111111124</v>
      </c>
      <c r="G867" s="265">
        <f t="shared" si="348"/>
        <v>430654</v>
      </c>
      <c r="H867" s="265">
        <f t="shared" si="348"/>
        <v>83329</v>
      </c>
      <c r="I867" s="265">
        <f t="shared" si="348"/>
        <v>0</v>
      </c>
      <c r="J867" s="265">
        <f t="shared" si="348"/>
        <v>593</v>
      </c>
      <c r="K867" s="265">
        <f t="shared" si="348"/>
        <v>0</v>
      </c>
      <c r="L867" s="265">
        <f t="shared" si="348"/>
        <v>0</v>
      </c>
      <c r="M867" s="265">
        <f t="shared" si="348"/>
        <v>0</v>
      </c>
      <c r="N867" s="265">
        <f t="shared" si="348"/>
        <v>0</v>
      </c>
      <c r="O867" s="265">
        <f t="shared" si="348"/>
        <v>0</v>
      </c>
      <c r="P867" s="265">
        <f t="shared" si="348"/>
        <v>0</v>
      </c>
      <c r="Q867" s="265">
        <f t="shared" si="348"/>
        <v>0</v>
      </c>
      <c r="R867" s="265">
        <f t="shared" si="348"/>
        <v>18720.444444444445</v>
      </c>
      <c r="S867" s="265">
        <f t="shared" si="348"/>
        <v>0.44444444444444442</v>
      </c>
      <c r="T867" s="265">
        <f t="shared" si="348"/>
        <v>86.222222222222229</v>
      </c>
      <c r="U867" s="101"/>
      <c r="V867" s="101">
        <f t="shared" si="345"/>
        <v>533383.11111111124</v>
      </c>
      <c r="W867" s="98" t="str">
        <f t="shared" si="346"/>
        <v>ok</v>
      </c>
      <c r="X867" s="102" t="str">
        <f t="shared" si="347"/>
        <v/>
      </c>
    </row>
    <row r="868" spans="1:24" ht="12" customHeight="1" x14ac:dyDescent="0.25">
      <c r="A868" s="97" t="s">
        <v>792</v>
      </c>
      <c r="F868" s="265">
        <f t="shared" si="348"/>
        <v>538954.11111111124</v>
      </c>
      <c r="G868" s="265">
        <f t="shared" si="348"/>
        <v>430654</v>
      </c>
      <c r="H868" s="265">
        <f t="shared" si="348"/>
        <v>83329</v>
      </c>
      <c r="I868" s="265">
        <f t="shared" si="348"/>
        <v>0</v>
      </c>
      <c r="J868" s="265">
        <f t="shared" si="348"/>
        <v>593</v>
      </c>
      <c r="K868" s="265">
        <f t="shared" si="348"/>
        <v>0</v>
      </c>
      <c r="L868" s="265">
        <f t="shared" si="348"/>
        <v>4503</v>
      </c>
      <c r="M868" s="265">
        <f t="shared" si="348"/>
        <v>173</v>
      </c>
      <c r="N868" s="265">
        <f t="shared" si="348"/>
        <v>618</v>
      </c>
      <c r="O868" s="265">
        <f t="shared" si="348"/>
        <v>277</v>
      </c>
      <c r="P868" s="265">
        <f t="shared" si="348"/>
        <v>0</v>
      </c>
      <c r="Q868" s="265">
        <f t="shared" si="348"/>
        <v>0</v>
      </c>
      <c r="R868" s="265">
        <f t="shared" si="348"/>
        <v>18720.444444444445</v>
      </c>
      <c r="S868" s="265">
        <f t="shared" si="348"/>
        <v>0.44444444444444442</v>
      </c>
      <c r="T868" s="265">
        <f t="shared" si="348"/>
        <v>86.222222222222229</v>
      </c>
      <c r="U868" s="101"/>
      <c r="V868" s="101">
        <f>SUM(G868:T868)</f>
        <v>538954.11111111124</v>
      </c>
      <c r="W868" s="98" t="str">
        <f>IF(ABS(F868-V868)&lt;0.01,"ok","err")</f>
        <v>ok</v>
      </c>
      <c r="X868" s="102" t="str">
        <f>IF(W868="err",V868-F868,"")</f>
        <v/>
      </c>
    </row>
    <row r="869" spans="1:24" ht="12" customHeight="1" x14ac:dyDescent="0.25">
      <c r="A869" s="97" t="s">
        <v>2330</v>
      </c>
      <c r="F869" s="101">
        <f>F857</f>
        <v>538504.11111111124</v>
      </c>
      <c r="G869" s="101">
        <f t="shared" ref="G869:T869" si="349">G857</f>
        <v>430654</v>
      </c>
      <c r="H869" s="101">
        <f t="shared" si="349"/>
        <v>83329</v>
      </c>
      <c r="I869" s="101">
        <f t="shared" si="349"/>
        <v>0</v>
      </c>
      <c r="J869" s="101">
        <f t="shared" si="349"/>
        <v>593</v>
      </c>
      <c r="K869" s="101">
        <f t="shared" si="349"/>
        <v>0</v>
      </c>
      <c r="L869" s="101">
        <f t="shared" si="349"/>
        <v>4503</v>
      </c>
      <c r="M869" s="101">
        <f t="shared" si="349"/>
        <v>0</v>
      </c>
      <c r="N869" s="101">
        <f t="shared" si="349"/>
        <v>618</v>
      </c>
      <c r="O869" s="101">
        <f t="shared" si="349"/>
        <v>0</v>
      </c>
      <c r="P869" s="101">
        <f t="shared" si="349"/>
        <v>0</v>
      </c>
      <c r="Q869" s="101">
        <f t="shared" si="349"/>
        <v>0</v>
      </c>
      <c r="R869" s="101">
        <f t="shared" si="349"/>
        <v>18720.444444444445</v>
      </c>
      <c r="S869" s="101">
        <f t="shared" si="349"/>
        <v>0.44444444444444442</v>
      </c>
      <c r="T869" s="101">
        <f t="shared" si="349"/>
        <v>86.222222222222229</v>
      </c>
      <c r="U869" s="101"/>
      <c r="V869" s="101">
        <f>SUM(G869:U869)</f>
        <v>538504.11111111124</v>
      </c>
      <c r="W869" s="98" t="str">
        <f>IF(ABS(F869-V869)&lt;0.01,"ok","err")</f>
        <v>ok</v>
      </c>
      <c r="X869" s="102"/>
    </row>
    <row r="870" spans="1:24" ht="12" customHeight="1" x14ac:dyDescent="0.25"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5"/>
      <c r="U870" s="105"/>
      <c r="V870" s="101"/>
      <c r="W870" s="98"/>
    </row>
    <row r="871" spans="1:24" ht="12" customHeight="1" x14ac:dyDescent="0.25">
      <c r="A871" s="23" t="s">
        <v>793</v>
      </c>
    </row>
    <row r="872" spans="1:24" ht="12" customHeight="1" x14ac:dyDescent="0.25">
      <c r="A872" s="97" t="s">
        <v>2428</v>
      </c>
      <c r="D872" s="97" t="s">
        <v>2425</v>
      </c>
      <c r="F872" s="101">
        <v>4686905.0191343417</v>
      </c>
      <c r="G872" s="101">
        <f>'Billing Det'!E8</f>
        <v>2051123.053201586</v>
      </c>
      <c r="H872" s="101">
        <f>'Billing Det'!E10</f>
        <v>499710.97063738306</v>
      </c>
      <c r="I872" s="101">
        <v>0</v>
      </c>
      <c r="J872" s="101">
        <f>'Billing Det'!E14</f>
        <v>52333.388582496336</v>
      </c>
      <c r="K872" s="101">
        <v>0</v>
      </c>
      <c r="L872" s="101">
        <f>'Billing Det'!E18</f>
        <v>466981.22960042412</v>
      </c>
      <c r="M872" s="101">
        <f>'Billing Det'!E20</f>
        <v>36098.457687557748</v>
      </c>
      <c r="N872" s="101">
        <f>'Billing Det'!E22</f>
        <v>328697.70162994531</v>
      </c>
      <c r="O872" s="101">
        <f>'Billing Det'!E24</f>
        <v>751868.84558161651</v>
      </c>
      <c r="P872" s="101">
        <f>'Billing Det'!E28</f>
        <v>294031.57298089442</v>
      </c>
      <c r="Q872" s="101">
        <f>'Billing Det'!E30</f>
        <v>168627.35312117345</v>
      </c>
      <c r="R872" s="101">
        <f>'Billing Det'!E32</f>
        <v>37037.047301538805</v>
      </c>
      <c r="S872" s="101">
        <f>'Billing Det'!E34</f>
        <v>155.13525415746221</v>
      </c>
      <c r="T872" s="101">
        <f>'Billing Det'!E36</f>
        <v>240.26355556795608</v>
      </c>
      <c r="U872" s="101"/>
      <c r="V872" s="101">
        <f t="shared" ref="V872:V877" si="350">SUM(G872:T872)</f>
        <v>4686905.0191343417</v>
      </c>
      <c r="W872" s="98" t="str">
        <f t="shared" ref="W872:W877" si="351">IF(ABS(F872-V872)&lt;0.01,"ok","err")</f>
        <v>ok</v>
      </c>
      <c r="X872" s="102" t="str">
        <f>IF(W872="err",V872-F872,"")</f>
        <v/>
      </c>
    </row>
    <row r="873" spans="1:24" ht="12" customHeight="1" x14ac:dyDescent="0.25">
      <c r="A873" s="97" t="s">
        <v>2427</v>
      </c>
      <c r="D873" s="97" t="s">
        <v>2429</v>
      </c>
      <c r="F873" s="101">
        <v>4224246.0930322735</v>
      </c>
      <c r="G873" s="101">
        <f>'Billing Det'!E8</f>
        <v>2051123.053201586</v>
      </c>
      <c r="H873" s="101">
        <f>'Billing Det'!E10+'Billing Det'!E12</f>
        <v>499710.97063738306</v>
      </c>
      <c r="I873" s="101">
        <v>0</v>
      </c>
      <c r="J873" s="101">
        <f>'Billing Det'!E14+'Billing Det'!E16</f>
        <v>52333.388582496336</v>
      </c>
      <c r="K873" s="101">
        <v>0</v>
      </c>
      <c r="L873" s="101">
        <f>'Billing Det'!E18</f>
        <v>466981.22960042412</v>
      </c>
      <c r="M873" s="101">
        <f>'Billing Det'!E20</f>
        <v>36098.457687557748</v>
      </c>
      <c r="N873" s="101">
        <f>'Billing Det'!E22</f>
        <v>328697.70162994531</v>
      </c>
      <c r="O873" s="101">
        <f>'Billing Det'!E24+'Billing Det'!E26</f>
        <v>751868.84558161651</v>
      </c>
      <c r="P873" s="101">
        <v>0</v>
      </c>
      <c r="Q873" s="101">
        <v>0</v>
      </c>
      <c r="R873" s="101">
        <f>'Billing Det'!E32</f>
        <v>37037.047301538805</v>
      </c>
      <c r="S873" s="101">
        <f>'Billing Det'!E34</f>
        <v>155.13525415746221</v>
      </c>
      <c r="T873" s="101">
        <f>'Billing Det'!E36</f>
        <v>240.26355556795608</v>
      </c>
      <c r="U873" s="101"/>
      <c r="V873" s="101">
        <f t="shared" si="350"/>
        <v>4224246.0930322735</v>
      </c>
      <c r="W873" s="98" t="str">
        <f t="shared" si="351"/>
        <v>ok</v>
      </c>
      <c r="X873" s="102" t="str">
        <f>IF(W873="err",V873-F873,"")</f>
        <v/>
      </c>
    </row>
    <row r="874" spans="1:24" ht="12" customHeight="1" x14ac:dyDescent="0.25">
      <c r="A874" s="97" t="s">
        <v>2426</v>
      </c>
      <c r="D874" s="97" t="s">
        <v>2332</v>
      </c>
      <c r="F874" s="101">
        <v>6160441.2084077764</v>
      </c>
      <c r="G874" s="101">
        <f>G875</f>
        <v>4304609.8439723067</v>
      </c>
      <c r="H874" s="101">
        <f>H875</f>
        <v>746971.4312416797</v>
      </c>
      <c r="I874" s="101">
        <f>I875</f>
        <v>0</v>
      </c>
      <c r="J874" s="101">
        <f>J875</f>
        <v>57026.216936198616</v>
      </c>
      <c r="K874" s="101">
        <f>K875</f>
        <v>0</v>
      </c>
      <c r="L874" s="101">
        <f>'Billing Det'!I18</f>
        <v>621881.65359877655</v>
      </c>
      <c r="M874" s="101">
        <v>0</v>
      </c>
      <c r="N874" s="101">
        <f>'Billing Det'!I22</f>
        <v>395414.9569991008</v>
      </c>
      <c r="O874" s="101">
        <v>0</v>
      </c>
      <c r="P874" s="101">
        <v>0</v>
      </c>
      <c r="Q874" s="101">
        <v>0</v>
      </c>
      <c r="R874" s="101">
        <f>R875</f>
        <v>34172.535127711366</v>
      </c>
      <c r="S874" s="101">
        <f>S875</f>
        <v>143.13681323138437</v>
      </c>
      <c r="T874" s="101">
        <f>T875</f>
        <v>221.43371877082163</v>
      </c>
      <c r="U874" s="101"/>
      <c r="V874" s="101">
        <f t="shared" si="350"/>
        <v>6160441.2084077764</v>
      </c>
      <c r="W874" s="98" t="str">
        <f t="shared" si="351"/>
        <v>ok</v>
      </c>
      <c r="X874" s="102"/>
    </row>
    <row r="875" spans="1:24" ht="12" customHeight="1" x14ac:dyDescent="0.25">
      <c r="A875" s="97" t="s">
        <v>761</v>
      </c>
      <c r="D875" s="97" t="s">
        <v>760</v>
      </c>
      <c r="F875" s="101">
        <v>5143144.5978098996</v>
      </c>
      <c r="G875" s="101">
        <f>'Billing Det'!I8</f>
        <v>4304609.8439723067</v>
      </c>
      <c r="H875" s="101">
        <f>'Billing Det'!I10+'Billing Det'!I12</f>
        <v>746971.4312416797</v>
      </c>
      <c r="I875" s="101">
        <v>0</v>
      </c>
      <c r="J875" s="101">
        <f>'Billing Det'!I14+'Billing Det'!I16</f>
        <v>57026.216936198616</v>
      </c>
      <c r="K875" s="101">
        <v>0</v>
      </c>
      <c r="L875" s="101">
        <v>0</v>
      </c>
      <c r="M875" s="101">
        <v>0</v>
      </c>
      <c r="N875" s="101">
        <v>0</v>
      </c>
      <c r="O875" s="101">
        <v>0</v>
      </c>
      <c r="P875" s="101">
        <v>0</v>
      </c>
      <c r="Q875" s="101">
        <v>0</v>
      </c>
      <c r="R875" s="101">
        <f>'Billing Det'!I32</f>
        <v>34172.535127711366</v>
      </c>
      <c r="S875" s="101">
        <f>'Billing Det'!I34</f>
        <v>143.13681323138437</v>
      </c>
      <c r="T875" s="101">
        <f>'Billing Det'!I36</f>
        <v>221.43371877082163</v>
      </c>
      <c r="U875" s="101"/>
      <c r="V875" s="101">
        <f t="shared" si="350"/>
        <v>5143144.5978098996</v>
      </c>
      <c r="W875" s="98" t="str">
        <f t="shared" si="351"/>
        <v>ok</v>
      </c>
      <c r="X875" s="102" t="str">
        <f>IF(W875="err",V875-F875,"")</f>
        <v/>
      </c>
    </row>
    <row r="876" spans="1:24" ht="12" customHeight="1" x14ac:dyDescent="0.25">
      <c r="A876" s="97" t="s">
        <v>1215</v>
      </c>
      <c r="D876" s="97" t="s">
        <v>549</v>
      </c>
      <c r="F876" s="101">
        <v>3580836.9697062937</v>
      </c>
      <c r="G876" s="101">
        <f>'Billing Det'!H8</f>
        <v>1461985.8675600674</v>
      </c>
      <c r="H876" s="101">
        <f>'Billing Det'!H10+'Billing Det'!H12</f>
        <v>393704.18183345284</v>
      </c>
      <c r="I876" s="101">
        <v>0</v>
      </c>
      <c r="J876" s="101">
        <f>'Billing Det'!H14+'Billing Det'!H16</f>
        <v>24095.46073589458</v>
      </c>
      <c r="K876" s="101">
        <v>0</v>
      </c>
      <c r="L876" s="101">
        <f>'Billing Det'!H18</f>
        <v>408665.04815701587</v>
      </c>
      <c r="M876" s="101">
        <f>'Billing Det'!H20</f>
        <v>29863.807891820055</v>
      </c>
      <c r="N876" s="101">
        <f>'Billing Det'!H22</f>
        <v>291986.14657000959</v>
      </c>
      <c r="O876" s="101">
        <f>'Billing Det'!H24+'Billing Det'!H26</f>
        <v>637992.48876148975</v>
      </c>
      <c r="P876" s="101">
        <f>'Billing Det'!H28</f>
        <v>226896.36310292233</v>
      </c>
      <c r="Q876" s="101">
        <f>'Billing Det'!H30</f>
        <v>105477.34137232017</v>
      </c>
      <c r="R876" s="101">
        <f>'Billing Det'!H32</f>
        <v>0</v>
      </c>
      <c r="S876" s="101">
        <f>'Billing Det'!H34</f>
        <v>0</v>
      </c>
      <c r="T876" s="101">
        <f>'Billing Det'!H36</f>
        <v>170.2637213014211</v>
      </c>
      <c r="U876" s="101"/>
      <c r="V876" s="101">
        <f t="shared" si="350"/>
        <v>3580836.9697062937</v>
      </c>
      <c r="W876" s="98" t="str">
        <f t="shared" si="351"/>
        <v>ok</v>
      </c>
      <c r="X876" s="102" t="str">
        <f>IF(W876="err",V876-F876,"")</f>
        <v/>
      </c>
    </row>
    <row r="877" spans="1:24" ht="12" customHeight="1" x14ac:dyDescent="0.25">
      <c r="A877" s="97" t="s">
        <v>1216</v>
      </c>
      <c r="D877" s="97" t="s">
        <v>550</v>
      </c>
      <c r="F877" s="101">
        <v>3809382.3536371626</v>
      </c>
      <c r="G877" s="101">
        <f>'Billing Det'!G8</f>
        <v>1736721.2305075389</v>
      </c>
      <c r="H877" s="101">
        <f>'Billing Det'!G10+'Billing Det'!G12</f>
        <v>446957.3292942206</v>
      </c>
      <c r="I877" s="101">
        <v>0</v>
      </c>
      <c r="J877" s="101">
        <f>'Billing Det'!G14+'Billing Det'!G16</f>
        <v>45898.648536442292</v>
      </c>
      <c r="K877" s="101">
        <v>0</v>
      </c>
      <c r="L877" s="101">
        <f>'Billing Det'!G18</f>
        <v>403338.8331908831</v>
      </c>
      <c r="M877" s="101">
        <f>'Billing Det'!G20</f>
        <v>25411.817641778871</v>
      </c>
      <c r="N877" s="101">
        <f>'Billing Det'!G22</f>
        <v>270395.51178289962</v>
      </c>
      <c r="O877" s="101">
        <f>'Billing Det'!G24+'Billing Det'!G26</f>
        <v>577385.3554235308</v>
      </c>
      <c r="P877" s="101">
        <f>'Billing Det'!G28</f>
        <v>212909.89240199357</v>
      </c>
      <c r="Q877" s="101">
        <f>'Billing Det'!G30</f>
        <v>90162.676268678813</v>
      </c>
      <c r="R877" s="101">
        <f>'Billing Det'!G32</f>
        <v>0</v>
      </c>
      <c r="S877" s="101">
        <f>'Billing Det'!G34</f>
        <v>0</v>
      </c>
      <c r="T877" s="101">
        <f>'Billing Det'!G36</f>
        <v>201.05858919599709</v>
      </c>
      <c r="U877" s="101"/>
      <c r="V877" s="101">
        <f t="shared" si="350"/>
        <v>3809382.3536371626</v>
      </c>
      <c r="W877" s="98" t="str">
        <f t="shared" si="351"/>
        <v>ok</v>
      </c>
      <c r="X877" s="102" t="str">
        <f>IF(W877="err",V877-F877,"")</f>
        <v/>
      </c>
    </row>
    <row r="878" spans="1:24" ht="12" customHeight="1" x14ac:dyDescent="0.25">
      <c r="A878" s="97" t="s">
        <v>1217</v>
      </c>
      <c r="D878" s="97" t="s">
        <v>1218</v>
      </c>
      <c r="F878" s="101">
        <v>2210233.27</v>
      </c>
      <c r="G878" s="101">
        <f t="shared" ref="G878:T878" si="352">ROUND(G845/8784,2)</f>
        <v>742512.41</v>
      </c>
      <c r="H878" s="101">
        <f t="shared" si="352"/>
        <v>219973.74</v>
      </c>
      <c r="I878" s="101">
        <f t="shared" si="352"/>
        <v>0</v>
      </c>
      <c r="J878" s="101">
        <f t="shared" si="352"/>
        <v>18510.419999999998</v>
      </c>
      <c r="K878" s="101">
        <f t="shared" si="352"/>
        <v>0</v>
      </c>
      <c r="L878" s="101">
        <f t="shared" si="352"/>
        <v>261649.58</v>
      </c>
      <c r="M878" s="101">
        <f t="shared" si="352"/>
        <v>20191.39</v>
      </c>
      <c r="N878" s="101">
        <f t="shared" si="352"/>
        <v>203695.09</v>
      </c>
      <c r="O878" s="101">
        <f t="shared" si="352"/>
        <v>489641.26</v>
      </c>
      <c r="P878" s="101">
        <f t="shared" si="352"/>
        <v>174377.74</v>
      </c>
      <c r="Q878" s="101">
        <f t="shared" si="352"/>
        <v>64375.78</v>
      </c>
      <c r="R878" s="101">
        <f t="shared" si="352"/>
        <v>15069.9</v>
      </c>
      <c r="S878" s="101">
        <f t="shared" si="352"/>
        <v>54.45</v>
      </c>
      <c r="T878" s="101">
        <f t="shared" si="352"/>
        <v>181.51</v>
      </c>
      <c r="U878" s="101"/>
      <c r="V878" s="101">
        <f>ROUND(SUM(G878:T878),2)</f>
        <v>2210233.27</v>
      </c>
      <c r="W878" s="98" t="str">
        <f>IF(ABS(F878-V878)=0,"ok","err")</f>
        <v>ok</v>
      </c>
      <c r="X878" s="243" t="str">
        <f>IF(W878="err",V878-F878,"")</f>
        <v/>
      </c>
    </row>
    <row r="879" spans="1:24" ht="12" customHeight="1" x14ac:dyDescent="0.25"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98"/>
      <c r="X879" s="243"/>
    </row>
    <row r="880" spans="1:24" ht="12" customHeight="1" x14ac:dyDescent="0.25">
      <c r="A880" s="92" t="s">
        <v>818</v>
      </c>
      <c r="F880" s="118"/>
      <c r="G880" s="117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117"/>
      <c r="W880" s="98"/>
    </row>
    <row r="881" spans="1:24" ht="12" customHeight="1" x14ac:dyDescent="0.25">
      <c r="A881" s="97" t="s">
        <v>855</v>
      </c>
      <c r="D881" s="97" t="s">
        <v>53</v>
      </c>
      <c r="F881" s="101">
        <f>F877</f>
        <v>3809382.3536371626</v>
      </c>
      <c r="G881" s="101">
        <f>G877</f>
        <v>1736721.2305075389</v>
      </c>
      <c r="H881" s="101">
        <f t="shared" ref="H881:T881" si="353">H877</f>
        <v>446957.3292942206</v>
      </c>
      <c r="I881" s="101">
        <f>I877</f>
        <v>0</v>
      </c>
      <c r="J881" s="101">
        <f>J877</f>
        <v>45898.648536442292</v>
      </c>
      <c r="K881" s="101">
        <f>K877</f>
        <v>0</v>
      </c>
      <c r="L881" s="101">
        <f t="shared" si="353"/>
        <v>403338.8331908831</v>
      </c>
      <c r="M881" s="101">
        <f t="shared" si="353"/>
        <v>25411.817641778871</v>
      </c>
      <c r="N881" s="101">
        <f t="shared" si="353"/>
        <v>270395.51178289962</v>
      </c>
      <c r="O881" s="101">
        <f>O877</f>
        <v>577385.3554235308</v>
      </c>
      <c r="P881" s="101">
        <f>P877</f>
        <v>212909.89240199357</v>
      </c>
      <c r="Q881" s="101">
        <f t="shared" si="353"/>
        <v>90162.676268678813</v>
      </c>
      <c r="R881" s="101">
        <f t="shared" si="353"/>
        <v>0</v>
      </c>
      <c r="S881" s="101">
        <f t="shared" si="353"/>
        <v>0</v>
      </c>
      <c r="T881" s="101">
        <f t="shared" si="353"/>
        <v>201.05858919599709</v>
      </c>
      <c r="U881" s="101"/>
      <c r="V881" s="101">
        <f>SUM(G881:T881)</f>
        <v>3809382.3536371626</v>
      </c>
      <c r="W881" s="98" t="str">
        <f t="shared" ref="W881:W886" si="354">IF(ABS(F881-V881)&lt;0.01,"ok","err")</f>
        <v>ok</v>
      </c>
      <c r="X881" s="102" t="str">
        <f t="shared" ref="X881:X886" si="355">IF(W881="err",V881-F881,"")</f>
        <v/>
      </c>
    </row>
    <row r="882" spans="1:24" ht="12" customHeight="1" x14ac:dyDescent="0.25">
      <c r="A882" s="97" t="s">
        <v>856</v>
      </c>
      <c r="F882" s="102">
        <f t="shared" ref="F882:T882" si="356">F181</f>
        <v>35951279.322969064</v>
      </c>
      <c r="G882" s="102">
        <f t="shared" si="356"/>
        <v>14716731.911886552</v>
      </c>
      <c r="H882" s="102">
        <f t="shared" si="356"/>
        <v>4084874.7236665585</v>
      </c>
      <c r="I882" s="102">
        <f t="shared" si="356"/>
        <v>0</v>
      </c>
      <c r="J882" s="102">
        <f t="shared" si="356"/>
        <v>307592.49725417118</v>
      </c>
      <c r="K882" s="102">
        <f t="shared" si="356"/>
        <v>0</v>
      </c>
      <c r="L882" s="102">
        <f t="shared" si="356"/>
        <v>4105951.5390434694</v>
      </c>
      <c r="M882" s="102">
        <f t="shared" si="356"/>
        <v>302341.41598513222</v>
      </c>
      <c r="N882" s="102">
        <f t="shared" si="356"/>
        <v>2998459.6975802719</v>
      </c>
      <c r="O882" s="102">
        <f t="shared" si="356"/>
        <v>6557848.4121061359</v>
      </c>
      <c r="P882" s="102">
        <f t="shared" si="356"/>
        <v>2280033.5799733186</v>
      </c>
      <c r="Q882" s="102">
        <f t="shared" si="356"/>
        <v>595607.45526868524</v>
      </c>
      <c r="R882" s="102">
        <f t="shared" si="356"/>
        <v>0</v>
      </c>
      <c r="S882" s="102">
        <f t="shared" si="356"/>
        <v>0</v>
      </c>
      <c r="T882" s="102">
        <f t="shared" si="356"/>
        <v>1838.0902047677359</v>
      </c>
      <c r="U882" s="102"/>
      <c r="V882" s="102">
        <f>F882</f>
        <v>35951279.322969064</v>
      </c>
      <c r="W882" s="98" t="str">
        <f t="shared" si="354"/>
        <v>ok</v>
      </c>
      <c r="X882" s="102" t="str">
        <f t="shared" si="355"/>
        <v/>
      </c>
    </row>
    <row r="883" spans="1:24" ht="12" customHeight="1" x14ac:dyDescent="0.25">
      <c r="A883" s="97" t="s">
        <v>883</v>
      </c>
      <c r="F883" s="102">
        <v>0</v>
      </c>
      <c r="H883" s="101">
        <v>0</v>
      </c>
      <c r="I883" s="101">
        <v>0</v>
      </c>
      <c r="J883" s="97">
        <v>0</v>
      </c>
      <c r="K883" s="97">
        <v>0</v>
      </c>
      <c r="L883" s="101">
        <v>0</v>
      </c>
      <c r="M883" s="101">
        <v>0</v>
      </c>
      <c r="N883" s="105">
        <v>0</v>
      </c>
      <c r="O883" s="101">
        <v>0</v>
      </c>
      <c r="P883" s="101">
        <v>0</v>
      </c>
      <c r="Q883" s="101">
        <v>0</v>
      </c>
      <c r="R883" s="101">
        <v>0</v>
      </c>
      <c r="V883" s="102">
        <f>SUM(G883:T883)</f>
        <v>0</v>
      </c>
      <c r="W883" s="98" t="str">
        <f t="shared" si="354"/>
        <v>ok</v>
      </c>
      <c r="X883" s="102" t="str">
        <f t="shared" si="355"/>
        <v/>
      </c>
    </row>
    <row r="884" spans="1:24" ht="12" customHeight="1" x14ac:dyDescent="0.25">
      <c r="A884" s="97" t="s">
        <v>1219</v>
      </c>
      <c r="E884" s="97" t="s">
        <v>53</v>
      </c>
      <c r="F884" s="102">
        <f>F882-F883</f>
        <v>35951279.322969064</v>
      </c>
      <c r="G884" s="100">
        <f t="shared" ref="G884:T884" si="357">IF(VLOOKUP($E884,$D$5:$AJ$945,3,)=0,0,(VLOOKUP($E884,$D$5:$AJ$945,G$1,)/VLOOKUP($E884,$D$5:$AJ$945,3,))*$F884)</f>
        <v>16390413.003434133</v>
      </c>
      <c r="H884" s="100">
        <f t="shared" si="357"/>
        <v>4218187.1755568348</v>
      </c>
      <c r="I884" s="100">
        <f t="shared" si="357"/>
        <v>0</v>
      </c>
      <c r="J884" s="100">
        <f t="shared" si="357"/>
        <v>433171.30728683813</v>
      </c>
      <c r="K884" s="100">
        <f t="shared" si="357"/>
        <v>0</v>
      </c>
      <c r="L884" s="100">
        <f t="shared" si="357"/>
        <v>3806534.9465382174</v>
      </c>
      <c r="M884" s="100">
        <f t="shared" si="357"/>
        <v>239825.58570726315</v>
      </c>
      <c r="N884" s="100">
        <f t="shared" si="357"/>
        <v>2551874.2067208388</v>
      </c>
      <c r="O884" s="100">
        <f t="shared" si="357"/>
        <v>5449109.6620962257</v>
      </c>
      <c r="P884" s="100">
        <f t="shared" si="357"/>
        <v>2009350.1522783677</v>
      </c>
      <c r="Q884" s="100">
        <f t="shared" si="357"/>
        <v>850915.78059807699</v>
      </c>
      <c r="R884" s="100">
        <f t="shared" si="357"/>
        <v>0</v>
      </c>
      <c r="S884" s="100">
        <f t="shared" si="357"/>
        <v>0</v>
      </c>
      <c r="T884" s="100">
        <f t="shared" si="357"/>
        <v>1897.502752267925</v>
      </c>
      <c r="U884" s="100"/>
      <c r="V884" s="102">
        <f>SUM(G884:T884)</f>
        <v>35951279.322969064</v>
      </c>
      <c r="W884" s="98" t="str">
        <f t="shared" si="354"/>
        <v>ok</v>
      </c>
      <c r="X884" s="102" t="str">
        <f t="shared" si="355"/>
        <v/>
      </c>
    </row>
    <row r="885" spans="1:24" ht="12" customHeight="1" x14ac:dyDescent="0.25">
      <c r="A885" s="97" t="s">
        <v>1220</v>
      </c>
      <c r="D885" s="97" t="s">
        <v>54</v>
      </c>
      <c r="F885" s="102">
        <f t="shared" ref="F885:T885" si="358">F883+F884</f>
        <v>35951279.322969064</v>
      </c>
      <c r="G885" s="102">
        <f t="shared" si="358"/>
        <v>16390413.003434133</v>
      </c>
      <c r="H885" s="102">
        <f t="shared" si="358"/>
        <v>4218187.1755568348</v>
      </c>
      <c r="I885" s="102">
        <f>I883+I884</f>
        <v>0</v>
      </c>
      <c r="J885" s="102">
        <f>J883+J884</f>
        <v>433171.30728683813</v>
      </c>
      <c r="K885" s="102">
        <f>K883+K884</f>
        <v>0</v>
      </c>
      <c r="L885" s="102">
        <f t="shared" si="358"/>
        <v>3806534.9465382174</v>
      </c>
      <c r="M885" s="102">
        <f t="shared" si="358"/>
        <v>239825.58570726315</v>
      </c>
      <c r="N885" s="102">
        <f t="shared" si="358"/>
        <v>2551874.2067208388</v>
      </c>
      <c r="O885" s="102">
        <f t="shared" si="358"/>
        <v>5449109.6620962257</v>
      </c>
      <c r="P885" s="102">
        <f>P883+P884</f>
        <v>2009350.1522783677</v>
      </c>
      <c r="Q885" s="102">
        <f t="shared" si="358"/>
        <v>850915.78059807699</v>
      </c>
      <c r="R885" s="102">
        <f t="shared" si="358"/>
        <v>0</v>
      </c>
      <c r="S885" s="102">
        <f t="shared" si="358"/>
        <v>0</v>
      </c>
      <c r="T885" s="102">
        <f t="shared" si="358"/>
        <v>1897.502752267925</v>
      </c>
      <c r="U885" s="102"/>
      <c r="V885" s="102">
        <f>SUM(G885:T885)</f>
        <v>35951279.322969064</v>
      </c>
      <c r="W885" s="98" t="str">
        <f t="shared" si="354"/>
        <v>ok</v>
      </c>
      <c r="X885" s="102" t="str">
        <f t="shared" si="355"/>
        <v/>
      </c>
    </row>
    <row r="886" spans="1:24" ht="12" customHeight="1" x14ac:dyDescent="0.25">
      <c r="A886" s="97" t="s">
        <v>1221</v>
      </c>
      <c r="D886" s="97" t="s">
        <v>55</v>
      </c>
      <c r="E886" s="97" t="s">
        <v>54</v>
      </c>
      <c r="F886" s="118">
        <v>1</v>
      </c>
      <c r="G886" s="117">
        <f t="shared" ref="G886:T886" si="359">IF(VLOOKUP($E886,$D$5:$AJ$945,3,)=0,0,(VLOOKUP($E886,$D$5:$AJ$945,G$1,)/VLOOKUP($E886,$D$5:$AJ$945,3,))*$F886)</f>
        <v>0.45590625179678634</v>
      </c>
      <c r="H886" s="117">
        <f t="shared" si="359"/>
        <v>0.11733065568161463</v>
      </c>
      <c r="I886" s="117">
        <f t="shared" si="359"/>
        <v>0</v>
      </c>
      <c r="J886" s="117">
        <f t="shared" si="359"/>
        <v>1.2048842640492281E-2</v>
      </c>
      <c r="K886" s="117">
        <f t="shared" si="359"/>
        <v>0</v>
      </c>
      <c r="L886" s="117">
        <f t="shared" si="359"/>
        <v>0.10588037528072733</v>
      </c>
      <c r="M886" s="117">
        <f t="shared" si="359"/>
        <v>6.6708498340986707E-3</v>
      </c>
      <c r="N886" s="117">
        <f t="shared" si="359"/>
        <v>7.0981457538576695E-2</v>
      </c>
      <c r="O886" s="117">
        <f t="shared" si="359"/>
        <v>0.1515692838951303</v>
      </c>
      <c r="P886" s="117">
        <f t="shared" si="359"/>
        <v>5.5890922106758119E-2</v>
      </c>
      <c r="Q886" s="117">
        <f t="shared" si="359"/>
        <v>2.3668581386321677E-2</v>
      </c>
      <c r="R886" s="117">
        <f t="shared" si="359"/>
        <v>0</v>
      </c>
      <c r="S886" s="117">
        <f t="shared" si="359"/>
        <v>0</v>
      </c>
      <c r="T886" s="117">
        <f t="shared" si="359"/>
        <v>5.2779839493934821E-5</v>
      </c>
      <c r="U886" s="117"/>
      <c r="V886" s="117">
        <f>SUM(G886:T886)</f>
        <v>1.0000000000000002</v>
      </c>
      <c r="W886" s="98" t="str">
        <f t="shared" si="354"/>
        <v>ok</v>
      </c>
      <c r="X886" s="102" t="str">
        <f t="shared" si="355"/>
        <v/>
      </c>
    </row>
    <row r="887" spans="1:24" ht="12" customHeight="1" x14ac:dyDescent="0.25">
      <c r="F887" s="118"/>
      <c r="G887" s="117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117"/>
      <c r="W887" s="98"/>
    </row>
    <row r="888" spans="1:24" ht="12" customHeight="1" x14ac:dyDescent="0.25">
      <c r="A888" s="97" t="s">
        <v>1222</v>
      </c>
      <c r="D888" s="97" t="s">
        <v>56</v>
      </c>
      <c r="F888" s="101">
        <f>F876</f>
        <v>3580836.9697062937</v>
      </c>
      <c r="G888" s="101">
        <f t="shared" ref="G888:T888" si="360">G876</f>
        <v>1461985.8675600674</v>
      </c>
      <c r="H888" s="101">
        <f t="shared" si="360"/>
        <v>393704.18183345284</v>
      </c>
      <c r="I888" s="101">
        <f>I876</f>
        <v>0</v>
      </c>
      <c r="J888" s="101">
        <f>J876</f>
        <v>24095.46073589458</v>
      </c>
      <c r="K888" s="101">
        <f>K876</f>
        <v>0</v>
      </c>
      <c r="L888" s="101">
        <f t="shared" si="360"/>
        <v>408665.04815701587</v>
      </c>
      <c r="M888" s="101">
        <f t="shared" si="360"/>
        <v>29863.807891820055</v>
      </c>
      <c r="N888" s="101">
        <f t="shared" si="360"/>
        <v>291986.14657000959</v>
      </c>
      <c r="O888" s="101">
        <f>O876</f>
        <v>637992.48876148975</v>
      </c>
      <c r="P888" s="101">
        <f>P876</f>
        <v>226896.36310292233</v>
      </c>
      <c r="Q888" s="101">
        <f t="shared" si="360"/>
        <v>105477.34137232017</v>
      </c>
      <c r="R888" s="101">
        <f t="shared" si="360"/>
        <v>0</v>
      </c>
      <c r="S888" s="101">
        <f t="shared" si="360"/>
        <v>0</v>
      </c>
      <c r="T888" s="101">
        <f t="shared" si="360"/>
        <v>170.2637213014211</v>
      </c>
      <c r="U888" s="101"/>
      <c r="V888" s="101">
        <f>SUM(G888:T888)</f>
        <v>3580836.9697062937</v>
      </c>
      <c r="W888" s="98" t="str">
        <f t="shared" ref="W888:W900" si="361">IF(ABS(F888-V888)&lt;0.01,"ok","err")</f>
        <v>ok</v>
      </c>
      <c r="X888" s="102" t="str">
        <f t="shared" ref="X888:X893" si="362">IF(W888="err",V888-F888,"")</f>
        <v/>
      </c>
    </row>
    <row r="889" spans="1:24" ht="12" customHeight="1" x14ac:dyDescent="0.25">
      <c r="A889" s="97" t="s">
        <v>1223</v>
      </c>
      <c r="F889" s="102">
        <f t="shared" ref="F889:T889" si="363">F182</f>
        <v>35933655.745627098</v>
      </c>
      <c r="G889" s="102">
        <f t="shared" si="363"/>
        <v>14709517.663382621</v>
      </c>
      <c r="H889" s="102">
        <f t="shared" si="363"/>
        <v>4082872.288510411</v>
      </c>
      <c r="I889" s="102">
        <f t="shared" si="363"/>
        <v>0</v>
      </c>
      <c r="J889" s="102">
        <f t="shared" si="363"/>
        <v>307441.71318564139</v>
      </c>
      <c r="K889" s="102">
        <f t="shared" si="363"/>
        <v>0</v>
      </c>
      <c r="L889" s="102">
        <f t="shared" si="363"/>
        <v>4103938.771879869</v>
      </c>
      <c r="M889" s="102">
        <f t="shared" si="363"/>
        <v>302193.20603464823</v>
      </c>
      <c r="N889" s="102">
        <f t="shared" si="363"/>
        <v>2996989.8309334596</v>
      </c>
      <c r="O889" s="102">
        <f t="shared" si="363"/>
        <v>6554633.7073483607</v>
      </c>
      <c r="P889" s="102">
        <f t="shared" si="363"/>
        <v>2278915.891009375</v>
      </c>
      <c r="Q889" s="102">
        <f t="shared" si="363"/>
        <v>595315.48418306466</v>
      </c>
      <c r="R889" s="102">
        <f t="shared" si="363"/>
        <v>0</v>
      </c>
      <c r="S889" s="102">
        <f t="shared" si="363"/>
        <v>0</v>
      </c>
      <c r="T889" s="102">
        <f t="shared" si="363"/>
        <v>1837.1891596451349</v>
      </c>
      <c r="V889" s="102">
        <f>F889</f>
        <v>35933655.745627098</v>
      </c>
      <c r="W889" s="98" t="str">
        <f t="shared" si="361"/>
        <v>ok</v>
      </c>
      <c r="X889" s="102" t="str">
        <f t="shared" si="362"/>
        <v/>
      </c>
    </row>
    <row r="890" spans="1:24" ht="12" customHeight="1" x14ac:dyDescent="0.25">
      <c r="A890" s="97" t="s">
        <v>883</v>
      </c>
      <c r="F890" s="102">
        <v>0</v>
      </c>
      <c r="H890" s="101">
        <v>0</v>
      </c>
      <c r="I890" s="101">
        <v>0</v>
      </c>
      <c r="J890" s="97">
        <v>0</v>
      </c>
      <c r="K890" s="97">
        <v>0</v>
      </c>
      <c r="L890" s="101">
        <v>0</v>
      </c>
      <c r="M890" s="101">
        <v>0</v>
      </c>
      <c r="N890" s="105">
        <v>0</v>
      </c>
      <c r="O890" s="101">
        <v>0</v>
      </c>
      <c r="P890" s="101">
        <v>0</v>
      </c>
      <c r="Q890" s="101">
        <v>0</v>
      </c>
      <c r="R890" s="101">
        <v>0</v>
      </c>
      <c r="V890" s="102">
        <f>SUM(G890:T890)</f>
        <v>0</v>
      </c>
      <c r="W890" s="98" t="str">
        <f t="shared" si="361"/>
        <v>ok</v>
      </c>
      <c r="X890" s="102" t="str">
        <f t="shared" si="362"/>
        <v/>
      </c>
    </row>
    <row r="891" spans="1:24" ht="12" customHeight="1" x14ac:dyDescent="0.25">
      <c r="A891" s="97" t="s">
        <v>1224</v>
      </c>
      <c r="E891" s="97" t="s">
        <v>56</v>
      </c>
      <c r="F891" s="102">
        <f>F889-F890</f>
        <v>35933655.745627098</v>
      </c>
      <c r="G891" s="101">
        <f t="shared" ref="G891:T891" si="364">IF(VLOOKUP($E891,$D$5:$AJ$945,3,)=0,0,(VLOOKUP($E891,$D$5:$AJ$945,G$1,)/VLOOKUP($E891,$D$5:$AJ$945,3,))*$F891)</f>
        <v>14671010.524722213</v>
      </c>
      <c r="H891" s="101">
        <f t="shared" si="364"/>
        <v>3950816.7099764524</v>
      </c>
      <c r="I891" s="101">
        <f t="shared" si="364"/>
        <v>0</v>
      </c>
      <c r="J891" s="101">
        <f t="shared" si="364"/>
        <v>241797.6574864641</v>
      </c>
      <c r="K891" s="101">
        <f t="shared" si="364"/>
        <v>0</v>
      </c>
      <c r="L891" s="101">
        <f t="shared" si="364"/>
        <v>4100948.8228526646</v>
      </c>
      <c r="M891" s="101">
        <f t="shared" si="364"/>
        <v>299682.95153247996</v>
      </c>
      <c r="N891" s="101">
        <f t="shared" si="364"/>
        <v>2930077.454545361</v>
      </c>
      <c r="O891" s="101">
        <f t="shared" si="364"/>
        <v>6402246.9197561983</v>
      </c>
      <c r="P891" s="101">
        <f t="shared" si="364"/>
        <v>2276902.2635353203</v>
      </c>
      <c r="Q891" s="101">
        <f t="shared" si="364"/>
        <v>1058463.8468329434</v>
      </c>
      <c r="R891" s="101">
        <f t="shared" si="364"/>
        <v>0</v>
      </c>
      <c r="S891" s="101">
        <f t="shared" si="364"/>
        <v>0</v>
      </c>
      <c r="T891" s="101">
        <f t="shared" si="364"/>
        <v>1708.5943870034625</v>
      </c>
      <c r="U891" s="100"/>
      <c r="V891" s="102">
        <f>SUM(G891:T891)</f>
        <v>35933655.745627098</v>
      </c>
      <c r="W891" s="98" t="str">
        <f t="shared" si="361"/>
        <v>ok</v>
      </c>
      <c r="X891" s="102" t="str">
        <f t="shared" si="362"/>
        <v/>
      </c>
    </row>
    <row r="892" spans="1:24" ht="12" customHeight="1" x14ac:dyDescent="0.25">
      <c r="A892" s="97" t="s">
        <v>1225</v>
      </c>
      <c r="D892" s="97" t="s">
        <v>57</v>
      </c>
      <c r="F892" s="102">
        <f t="shared" ref="F892:T892" si="365">F890+F891</f>
        <v>35933655.745627098</v>
      </c>
      <c r="G892" s="102">
        <f t="shared" si="365"/>
        <v>14671010.524722213</v>
      </c>
      <c r="H892" s="102">
        <f t="shared" si="365"/>
        <v>3950816.7099764524</v>
      </c>
      <c r="I892" s="102">
        <f>I890+I891</f>
        <v>0</v>
      </c>
      <c r="J892" s="102">
        <f>J890+J891</f>
        <v>241797.6574864641</v>
      </c>
      <c r="K892" s="102">
        <f>K890+K891</f>
        <v>0</v>
      </c>
      <c r="L892" s="102">
        <f t="shared" si="365"/>
        <v>4100948.8228526646</v>
      </c>
      <c r="M892" s="102">
        <f t="shared" si="365"/>
        <v>299682.95153247996</v>
      </c>
      <c r="N892" s="102">
        <f t="shared" si="365"/>
        <v>2930077.454545361</v>
      </c>
      <c r="O892" s="102">
        <f t="shared" si="365"/>
        <v>6402246.9197561983</v>
      </c>
      <c r="P892" s="102">
        <f>P890+P891</f>
        <v>2276902.2635353203</v>
      </c>
      <c r="Q892" s="102">
        <f t="shared" si="365"/>
        <v>1058463.8468329434</v>
      </c>
      <c r="R892" s="102">
        <f t="shared" si="365"/>
        <v>0</v>
      </c>
      <c r="S892" s="102">
        <f t="shared" si="365"/>
        <v>0</v>
      </c>
      <c r="T892" s="102">
        <f t="shared" si="365"/>
        <v>1708.5943870034625</v>
      </c>
      <c r="U892" s="102"/>
      <c r="V892" s="102">
        <f>SUM(G892:T892)</f>
        <v>35933655.745627098</v>
      </c>
      <c r="W892" s="98" t="str">
        <f t="shared" si="361"/>
        <v>ok</v>
      </c>
      <c r="X892" s="102" t="str">
        <f t="shared" si="362"/>
        <v/>
      </c>
    </row>
    <row r="893" spans="1:24" ht="12" customHeight="1" x14ac:dyDescent="0.25">
      <c r="A893" s="97" t="s">
        <v>817</v>
      </c>
      <c r="D893" s="97" t="s">
        <v>58</v>
      </c>
      <c r="E893" s="97" t="s">
        <v>57</v>
      </c>
      <c r="F893" s="118">
        <v>1</v>
      </c>
      <c r="G893" s="117">
        <f t="shared" ref="G893:T893" si="366">IF(VLOOKUP($E893,$D$5:$AJ$945,3,)=0,0,(VLOOKUP($E893,$D$5:$AJ$945,G$1,)/VLOOKUP($E893,$D$5:$AJ$945,3,))*$F893)</f>
        <v>0.40828048859202376</v>
      </c>
      <c r="H893" s="117">
        <f t="shared" si="366"/>
        <v>0.1099475304696</v>
      </c>
      <c r="I893" s="117">
        <f t="shared" si="366"/>
        <v>0</v>
      </c>
      <c r="J893" s="117">
        <f t="shared" si="366"/>
        <v>6.7290024482379411E-3</v>
      </c>
      <c r="K893" s="117">
        <f t="shared" si="366"/>
        <v>0</v>
      </c>
      <c r="L893" s="117">
        <f t="shared" si="366"/>
        <v>0.11412556662431221</v>
      </c>
      <c r="M893" s="117">
        <f t="shared" si="366"/>
        <v>8.339895992044993E-3</v>
      </c>
      <c r="N893" s="117">
        <f t="shared" si="366"/>
        <v>8.1541312559102283E-2</v>
      </c>
      <c r="O893" s="117">
        <f t="shared" si="366"/>
        <v>0.17816853829394499</v>
      </c>
      <c r="P893" s="117">
        <f t="shared" si="366"/>
        <v>6.3364058465228801E-2</v>
      </c>
      <c r="Q893" s="117">
        <f t="shared" si="366"/>
        <v>2.9456057973220602E-2</v>
      </c>
      <c r="R893" s="117">
        <f t="shared" si="366"/>
        <v>0</v>
      </c>
      <c r="S893" s="117">
        <f t="shared" si="366"/>
        <v>0</v>
      </c>
      <c r="T893" s="117">
        <f t="shared" si="366"/>
        <v>4.7548582284489322E-5</v>
      </c>
      <c r="U893" s="117"/>
      <c r="V893" s="117">
        <f>SUM(G893:T893)</f>
        <v>0.99999999999999989</v>
      </c>
      <c r="W893" s="98" t="str">
        <f t="shared" si="361"/>
        <v>ok</v>
      </c>
      <c r="X893" s="102" t="str">
        <f t="shared" si="362"/>
        <v/>
      </c>
    </row>
    <row r="894" spans="1:24" ht="12" customHeight="1" x14ac:dyDescent="0.25">
      <c r="F894" s="118"/>
      <c r="G894" s="117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  <c r="V894" s="117"/>
      <c r="W894" s="98"/>
    </row>
    <row r="895" spans="1:24" ht="12" customHeight="1" x14ac:dyDescent="0.25">
      <c r="A895" s="97" t="s">
        <v>2257</v>
      </c>
      <c r="D895" s="97" t="s">
        <v>2258</v>
      </c>
      <c r="F895" s="101">
        <f>F878</f>
        <v>2210233.27</v>
      </c>
      <c r="G895" s="101">
        <f t="shared" ref="G895:T895" si="367">G878</f>
        <v>742512.41</v>
      </c>
      <c r="H895" s="101">
        <f t="shared" si="367"/>
        <v>219973.74</v>
      </c>
      <c r="I895" s="101">
        <f>I878</f>
        <v>0</v>
      </c>
      <c r="J895" s="101">
        <f t="shared" si="367"/>
        <v>18510.419999999998</v>
      </c>
      <c r="K895" s="101">
        <f>K878</f>
        <v>0</v>
      </c>
      <c r="L895" s="101">
        <f t="shared" si="367"/>
        <v>261649.58</v>
      </c>
      <c r="M895" s="101">
        <f t="shared" si="367"/>
        <v>20191.39</v>
      </c>
      <c r="N895" s="101">
        <f t="shared" si="367"/>
        <v>203695.09</v>
      </c>
      <c r="O895" s="101">
        <f t="shared" si="367"/>
        <v>489641.26</v>
      </c>
      <c r="P895" s="101">
        <f t="shared" si="367"/>
        <v>174377.74</v>
      </c>
      <c r="Q895" s="101">
        <f t="shared" si="367"/>
        <v>64375.78</v>
      </c>
      <c r="R895" s="101">
        <f t="shared" si="367"/>
        <v>15069.9</v>
      </c>
      <c r="S895" s="101">
        <f t="shared" si="367"/>
        <v>54.45</v>
      </c>
      <c r="T895" s="101">
        <f t="shared" si="367"/>
        <v>181.51</v>
      </c>
      <c r="U895" s="101">
        <f>U876</f>
        <v>0</v>
      </c>
      <c r="V895" s="101">
        <f>V878</f>
        <v>2210233.27</v>
      </c>
      <c r="W895" s="98" t="str">
        <f t="shared" si="361"/>
        <v>ok</v>
      </c>
      <c r="X895" s="102"/>
    </row>
    <row r="896" spans="1:24" ht="12" customHeight="1" x14ac:dyDescent="0.25">
      <c r="A896" s="97" t="s">
        <v>2259</v>
      </c>
      <c r="F896" s="102">
        <f>F180</f>
        <v>37625250.163491994</v>
      </c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V896" s="102">
        <f>F896</f>
        <v>37625250.163491994</v>
      </c>
      <c r="W896" s="98" t="str">
        <f t="shared" si="361"/>
        <v>ok</v>
      </c>
      <c r="X896" s="102"/>
    </row>
    <row r="897" spans="1:36" ht="12" customHeight="1" x14ac:dyDescent="0.25">
      <c r="A897" s="97" t="s">
        <v>883</v>
      </c>
      <c r="F897" s="102">
        <v>0</v>
      </c>
      <c r="G897" s="97">
        <v>0</v>
      </c>
      <c r="H897" s="101">
        <v>0</v>
      </c>
      <c r="I897" s="101">
        <v>0</v>
      </c>
      <c r="J897" s="97">
        <v>0</v>
      </c>
      <c r="K897" s="97">
        <v>0</v>
      </c>
      <c r="L897" s="101">
        <v>0</v>
      </c>
      <c r="M897" s="101">
        <v>0</v>
      </c>
      <c r="N897" s="105">
        <v>0</v>
      </c>
      <c r="O897" s="101">
        <v>0</v>
      </c>
      <c r="P897" s="101">
        <v>0</v>
      </c>
      <c r="Q897" s="101">
        <v>0</v>
      </c>
      <c r="R897" s="101">
        <v>0</v>
      </c>
      <c r="S897" s="97">
        <v>0</v>
      </c>
      <c r="T897" s="97">
        <v>0</v>
      </c>
      <c r="V897" s="102">
        <f>F897</f>
        <v>0</v>
      </c>
      <c r="W897" s="98" t="str">
        <f t="shared" si="361"/>
        <v>ok</v>
      </c>
      <c r="X897" s="102"/>
    </row>
    <row r="898" spans="1:36" ht="12" customHeight="1" x14ac:dyDescent="0.25">
      <c r="A898" s="97" t="s">
        <v>2260</v>
      </c>
      <c r="E898" s="97" t="s">
        <v>2258</v>
      </c>
      <c r="F898" s="102">
        <f>F896-F897</f>
        <v>37625250.163491994</v>
      </c>
      <c r="G898" s="101">
        <f t="shared" ref="G898:T898" si="368">IF(VLOOKUP($E898,$D$5:$AJ$945,3,)=0,0,(VLOOKUP($E898,$D$5:$AJ$945,G$1,)/VLOOKUP($E898,$D$5:$AJ$945,3,))*$F898)</f>
        <v>12639939.66381084</v>
      </c>
      <c r="H898" s="101">
        <f t="shared" si="368"/>
        <v>3744657.683529913</v>
      </c>
      <c r="I898" s="101">
        <f t="shared" si="368"/>
        <v>0</v>
      </c>
      <c r="J898" s="101">
        <f t="shared" si="368"/>
        <v>315106.64172171539</v>
      </c>
      <c r="K898" s="101">
        <f t="shared" si="368"/>
        <v>0</v>
      </c>
      <c r="L898" s="101">
        <f t="shared" si="368"/>
        <v>4454113.9780565379</v>
      </c>
      <c r="M898" s="101">
        <f t="shared" si="368"/>
        <v>343722.13567241729</v>
      </c>
      <c r="N898" s="101">
        <f t="shared" si="368"/>
        <v>3467542.9161036094</v>
      </c>
      <c r="O898" s="101">
        <f t="shared" si="368"/>
        <v>8335262.6837742906</v>
      </c>
      <c r="P898" s="101">
        <f t="shared" si="368"/>
        <v>2968467.7085891319</v>
      </c>
      <c r="Q898" s="101">
        <f t="shared" si="368"/>
        <v>1095881.9866872807</v>
      </c>
      <c r="R898" s="101">
        <f t="shared" si="368"/>
        <v>256537.97050969556</v>
      </c>
      <c r="S898" s="101">
        <f t="shared" si="368"/>
        <v>926.91341642963289</v>
      </c>
      <c r="T898" s="101">
        <f t="shared" si="368"/>
        <v>3089.8816201311779</v>
      </c>
      <c r="U898" s="100"/>
      <c r="V898" s="102">
        <f>SUM(G898:T898)</f>
        <v>37625250.163491987</v>
      </c>
      <c r="W898" s="98" t="str">
        <f t="shared" si="361"/>
        <v>ok</v>
      </c>
      <c r="X898" s="102"/>
    </row>
    <row r="899" spans="1:36" ht="12" customHeight="1" x14ac:dyDescent="0.25">
      <c r="A899" s="97" t="s">
        <v>2261</v>
      </c>
      <c r="D899" s="97" t="s">
        <v>2262</v>
      </c>
      <c r="F899" s="102">
        <f t="shared" ref="F899:T899" si="369">F897+F898</f>
        <v>37625250.163491994</v>
      </c>
      <c r="G899" s="102">
        <f t="shared" si="369"/>
        <v>12639939.66381084</v>
      </c>
      <c r="H899" s="102">
        <f t="shared" si="369"/>
        <v>3744657.683529913</v>
      </c>
      <c r="I899" s="102">
        <f>I897+I898</f>
        <v>0</v>
      </c>
      <c r="J899" s="102">
        <f t="shared" si="369"/>
        <v>315106.64172171539</v>
      </c>
      <c r="K899" s="102">
        <f>K897+K898</f>
        <v>0</v>
      </c>
      <c r="L899" s="102">
        <f t="shared" si="369"/>
        <v>4454113.9780565379</v>
      </c>
      <c r="M899" s="102">
        <f t="shared" si="369"/>
        <v>343722.13567241729</v>
      </c>
      <c r="N899" s="102">
        <f t="shared" si="369"/>
        <v>3467542.9161036094</v>
      </c>
      <c r="O899" s="102">
        <f t="shared" si="369"/>
        <v>8335262.6837742906</v>
      </c>
      <c r="P899" s="102">
        <f t="shared" si="369"/>
        <v>2968467.7085891319</v>
      </c>
      <c r="Q899" s="102">
        <f>Q897+Q898</f>
        <v>1095881.9866872807</v>
      </c>
      <c r="R899" s="102">
        <f t="shared" si="369"/>
        <v>256537.97050969556</v>
      </c>
      <c r="S899" s="102">
        <f t="shared" si="369"/>
        <v>926.91341642963289</v>
      </c>
      <c r="T899" s="102">
        <f t="shared" si="369"/>
        <v>3089.8816201311779</v>
      </c>
      <c r="U899" s="102"/>
      <c r="V899" s="102">
        <f>SUM(G899:T899)</f>
        <v>37625250.163491987</v>
      </c>
      <c r="W899" s="98" t="str">
        <f t="shared" si="361"/>
        <v>ok</v>
      </c>
      <c r="X899" s="102"/>
    </row>
    <row r="900" spans="1:36" ht="12" customHeight="1" x14ac:dyDescent="0.25">
      <c r="A900" s="97" t="s">
        <v>2263</v>
      </c>
      <c r="D900" s="97" t="s">
        <v>2264</v>
      </c>
      <c r="E900" s="97" t="s">
        <v>2262</v>
      </c>
      <c r="F900" s="118">
        <v>1</v>
      </c>
      <c r="G900" s="117">
        <f t="shared" ref="G900:T900" si="370">IF(VLOOKUP($E900,$D$5:$AJ$945,3,)=0,0,(VLOOKUP($E900,$D$5:$AJ$945,G$1,)/VLOOKUP($E900,$D$5:$AJ$945,3,))*$F900)</f>
        <v>0.33594300659495546</v>
      </c>
      <c r="H900" s="117">
        <f t="shared" si="370"/>
        <v>9.9525123879797533E-2</v>
      </c>
      <c r="I900" s="117">
        <f t="shared" si="370"/>
        <v>0</v>
      </c>
      <c r="J900" s="117">
        <f t="shared" si="370"/>
        <v>8.3748716713507795E-3</v>
      </c>
      <c r="K900" s="117">
        <f t="shared" si="370"/>
        <v>0</v>
      </c>
      <c r="L900" s="117">
        <f t="shared" si="370"/>
        <v>0.11838097975966128</v>
      </c>
      <c r="M900" s="117">
        <f t="shared" si="370"/>
        <v>9.1354113043461693E-3</v>
      </c>
      <c r="N900" s="117">
        <f t="shared" si="370"/>
        <v>9.2159996306634184E-2</v>
      </c>
      <c r="O900" s="117">
        <f t="shared" si="370"/>
        <v>0.22153374788354355</v>
      </c>
      <c r="P900" s="117">
        <f t="shared" si="370"/>
        <v>7.8895627157037587E-2</v>
      </c>
      <c r="Q900" s="117">
        <f t="shared" si="370"/>
        <v>2.9126237883479154E-2</v>
      </c>
      <c r="R900" s="117">
        <f t="shared" si="370"/>
        <v>6.8182395969453484E-3</v>
      </c>
      <c r="S900" s="117">
        <f t="shared" si="370"/>
        <v>2.4635408732219474E-5</v>
      </c>
      <c r="T900" s="117">
        <f t="shared" si="370"/>
        <v>8.2122553516715451E-5</v>
      </c>
      <c r="U900" s="117"/>
      <c r="V900" s="117">
        <f>SUM(G900:T900)</f>
        <v>0.99999999999999989</v>
      </c>
      <c r="W900" s="98" t="str">
        <f t="shared" si="361"/>
        <v>ok</v>
      </c>
      <c r="X900" s="102"/>
    </row>
    <row r="901" spans="1:36" ht="12" customHeight="1" x14ac:dyDescent="0.25">
      <c r="F901" s="118"/>
      <c r="G901" s="117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  <c r="V901" s="117"/>
      <c r="W901" s="98"/>
    </row>
    <row r="902" spans="1:36" ht="12" customHeight="1" x14ac:dyDescent="0.25">
      <c r="A902" s="24" t="s">
        <v>943</v>
      </c>
      <c r="F902" s="118"/>
      <c r="G902" s="117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  <c r="V902" s="117"/>
      <c r="W902" s="98"/>
      <c r="AA902" s="105"/>
      <c r="AB902" s="105"/>
      <c r="AC902" s="105"/>
      <c r="AD902" s="105"/>
      <c r="AE902" s="105"/>
      <c r="AF902" s="105"/>
    </row>
    <row r="903" spans="1:36" ht="12" customHeight="1" x14ac:dyDescent="0.25">
      <c r="A903" s="97" t="s">
        <v>942</v>
      </c>
      <c r="D903" s="97" t="s">
        <v>2431</v>
      </c>
      <c r="F903" s="101">
        <v>183699328</v>
      </c>
      <c r="G903" s="101">
        <f>41335082+27187452</f>
        <v>68522534</v>
      </c>
      <c r="H903" s="101">
        <f>22964630+18461899</f>
        <v>41426529</v>
      </c>
      <c r="I903" s="101">
        <v>0</v>
      </c>
      <c r="J903" s="101">
        <f>895056+1730605</f>
        <v>2625661</v>
      </c>
      <c r="K903" s="101">
        <v>0</v>
      </c>
      <c r="L903" s="101">
        <f>3221732+15733089</f>
        <v>18954821</v>
      </c>
      <c r="M903" s="101">
        <f>278001+1255783</f>
        <v>1533784</v>
      </c>
      <c r="N903" s="101">
        <f>8764109+3108014</f>
        <v>11872123</v>
      </c>
      <c r="O903" s="101">
        <f>15414378+8207994</f>
        <v>23622372</v>
      </c>
      <c r="P903" s="101">
        <f>2866305+4841696</f>
        <v>7708001</v>
      </c>
      <c r="Q903" s="101">
        <f>1050248+1614291</f>
        <v>2664539</v>
      </c>
      <c r="R903" s="101">
        <f>2365174+384460+1723271+267071</f>
        <v>4739976</v>
      </c>
      <c r="S903" s="101">
        <f>4141+3266</f>
        <v>7407</v>
      </c>
      <c r="T903" s="101">
        <f>10886+10695</f>
        <v>21581</v>
      </c>
      <c r="U903" s="101"/>
      <c r="V903" s="101">
        <f t="shared" ref="V903:V908" si="371">SUM(G903:T903)</f>
        <v>183699328</v>
      </c>
      <c r="W903" s="268" t="str">
        <f t="shared" ref="W903:W912" si="372">IF(ABS(F903-V903)&lt;0.01,"ok","err")</f>
        <v>ok</v>
      </c>
      <c r="X903" s="102" t="str">
        <f t="shared" ref="X903:X912" si="373">IF(W903="err",V903-F903,"")</f>
        <v/>
      </c>
      <c r="Y903" s="105"/>
      <c r="Z903" s="105"/>
      <c r="AG903" s="105"/>
      <c r="AH903" s="105"/>
      <c r="AI903" s="105"/>
      <c r="AJ903" s="105"/>
    </row>
    <row r="904" spans="1:36" ht="12" hidden="1" customHeight="1" x14ac:dyDescent="0.25">
      <c r="A904" s="97" t="s">
        <v>2327</v>
      </c>
      <c r="D904" s="97" t="s">
        <v>2328</v>
      </c>
      <c r="F904" s="101">
        <f t="shared" ref="F904:T904" si="374">F717+F718+F720</f>
        <v>0</v>
      </c>
      <c r="G904" s="101">
        <f t="shared" si="374"/>
        <v>0</v>
      </c>
      <c r="H904" s="101">
        <f t="shared" si="374"/>
        <v>0</v>
      </c>
      <c r="I904" s="101">
        <f t="shared" si="374"/>
        <v>0</v>
      </c>
      <c r="J904" s="101">
        <f t="shared" si="374"/>
        <v>0</v>
      </c>
      <c r="K904" s="101">
        <f t="shared" si="374"/>
        <v>0</v>
      </c>
      <c r="L904" s="101">
        <f t="shared" si="374"/>
        <v>0</v>
      </c>
      <c r="M904" s="101">
        <f t="shared" si="374"/>
        <v>0</v>
      </c>
      <c r="N904" s="101">
        <f t="shared" si="374"/>
        <v>0</v>
      </c>
      <c r="O904" s="101">
        <f t="shared" si="374"/>
        <v>0</v>
      </c>
      <c r="P904" s="101">
        <f t="shared" si="374"/>
        <v>0</v>
      </c>
      <c r="Q904" s="101">
        <f t="shared" si="374"/>
        <v>0</v>
      </c>
      <c r="R904" s="101">
        <f t="shared" si="374"/>
        <v>0</v>
      </c>
      <c r="S904" s="101">
        <f t="shared" si="374"/>
        <v>0</v>
      </c>
      <c r="T904" s="101">
        <f t="shared" si="374"/>
        <v>0</v>
      </c>
      <c r="U904" s="101">
        <v>0</v>
      </c>
      <c r="V904" s="101">
        <f t="shared" si="371"/>
        <v>0</v>
      </c>
      <c r="W904" s="268" t="str">
        <f t="shared" si="372"/>
        <v>ok</v>
      </c>
      <c r="X904" s="102" t="str">
        <f t="shared" si="373"/>
        <v/>
      </c>
      <c r="Y904" s="105"/>
      <c r="Z904" s="105"/>
      <c r="AG904" s="105"/>
      <c r="AH904" s="105"/>
      <c r="AI904" s="105"/>
      <c r="AJ904" s="105"/>
    </row>
    <row r="905" spans="1:36" ht="12" customHeight="1" x14ac:dyDescent="0.25">
      <c r="A905" s="97" t="s">
        <v>581</v>
      </c>
      <c r="D905" s="97" t="s">
        <v>582</v>
      </c>
      <c r="F905" s="101">
        <f t="shared" ref="F905:T905" si="375">F9+F10</f>
        <v>2787666237.791626</v>
      </c>
      <c r="G905" s="101">
        <f t="shared" si="375"/>
        <v>1141137045.8571105</v>
      </c>
      <c r="H905" s="101">
        <f t="shared" si="375"/>
        <v>316741645.0045048</v>
      </c>
      <c r="I905" s="101">
        <f t="shared" si="375"/>
        <v>0</v>
      </c>
      <c r="J905" s="101">
        <f t="shared" si="375"/>
        <v>23850756.794783566</v>
      </c>
      <c r="K905" s="101">
        <f t="shared" si="375"/>
        <v>0</v>
      </c>
      <c r="L905" s="101">
        <f t="shared" si="375"/>
        <v>318375943.63678867</v>
      </c>
      <c r="M905" s="101">
        <f t="shared" si="375"/>
        <v>23443587.363228798</v>
      </c>
      <c r="N905" s="101">
        <f t="shared" si="375"/>
        <v>232500901.82418305</v>
      </c>
      <c r="O905" s="101">
        <f t="shared" si="375"/>
        <v>508496302.64211524</v>
      </c>
      <c r="P905" s="101">
        <f t="shared" si="375"/>
        <v>176794059.95051754</v>
      </c>
      <c r="Q905" s="101">
        <f t="shared" si="375"/>
        <v>46183468.997408077</v>
      </c>
      <c r="R905" s="101">
        <f t="shared" si="375"/>
        <v>0</v>
      </c>
      <c r="S905" s="101">
        <f t="shared" si="375"/>
        <v>0</v>
      </c>
      <c r="T905" s="101">
        <f t="shared" si="375"/>
        <v>142525.72098520098</v>
      </c>
      <c r="U905" s="101"/>
      <c r="V905" s="101">
        <f t="shared" si="371"/>
        <v>2787666237.7916255</v>
      </c>
      <c r="W905" s="268" t="str">
        <f t="shared" si="372"/>
        <v>ok</v>
      </c>
      <c r="X905" s="102" t="str">
        <f t="shared" si="373"/>
        <v/>
      </c>
      <c r="Y905" s="105"/>
      <c r="Z905" s="105"/>
      <c r="AG905" s="105"/>
      <c r="AH905" s="105"/>
      <c r="AI905" s="105"/>
      <c r="AJ905" s="105"/>
    </row>
    <row r="906" spans="1:36" ht="12" hidden="1" customHeight="1" x14ac:dyDescent="0.25">
      <c r="A906" s="97" t="s">
        <v>578</v>
      </c>
      <c r="D906" s="97" t="s">
        <v>1886</v>
      </c>
      <c r="F906" s="101">
        <v>0</v>
      </c>
      <c r="G906" s="101">
        <v>0</v>
      </c>
      <c r="H906" s="101">
        <v>0</v>
      </c>
      <c r="I906" s="101">
        <v>0</v>
      </c>
      <c r="J906" s="101">
        <v>0</v>
      </c>
      <c r="K906" s="101">
        <v>0</v>
      </c>
      <c r="L906" s="101">
        <v>0</v>
      </c>
      <c r="M906" s="101">
        <v>0</v>
      </c>
      <c r="N906" s="101">
        <v>0</v>
      </c>
      <c r="O906" s="101">
        <v>0</v>
      </c>
      <c r="P906" s="101">
        <v>0</v>
      </c>
      <c r="Q906" s="101">
        <v>0</v>
      </c>
      <c r="R906" s="101">
        <v>0</v>
      </c>
      <c r="S906" s="101">
        <v>0</v>
      </c>
      <c r="T906" s="101">
        <v>0</v>
      </c>
      <c r="U906" s="101"/>
      <c r="V906" s="101">
        <f t="shared" si="371"/>
        <v>0</v>
      </c>
      <c r="W906" s="268" t="str">
        <f t="shared" si="372"/>
        <v>ok</v>
      </c>
      <c r="X906" s="102" t="str">
        <f t="shared" si="373"/>
        <v/>
      </c>
      <c r="Y906" s="105"/>
      <c r="Z906" s="105"/>
      <c r="AG906" s="105"/>
      <c r="AH906" s="105"/>
      <c r="AI906" s="105"/>
      <c r="AJ906" s="105"/>
    </row>
    <row r="907" spans="1:36" ht="12" hidden="1" customHeight="1" x14ac:dyDescent="0.25">
      <c r="A907" s="97" t="s">
        <v>1887</v>
      </c>
      <c r="D907" s="97" t="s">
        <v>1885</v>
      </c>
      <c r="F907" s="101">
        <v>0</v>
      </c>
      <c r="G907" s="101">
        <v>0</v>
      </c>
      <c r="H907" s="101">
        <v>0</v>
      </c>
      <c r="I907" s="101">
        <v>0</v>
      </c>
      <c r="J907" s="101">
        <v>0</v>
      </c>
      <c r="K907" s="101">
        <v>0</v>
      </c>
      <c r="L907" s="101">
        <v>0</v>
      </c>
      <c r="M907" s="101">
        <v>0</v>
      </c>
      <c r="N907" s="101">
        <v>0</v>
      </c>
      <c r="O907" s="101">
        <v>0</v>
      </c>
      <c r="P907" s="101">
        <v>0</v>
      </c>
      <c r="Q907" s="101">
        <v>0</v>
      </c>
      <c r="R907" s="101">
        <v>0</v>
      </c>
      <c r="S907" s="101">
        <v>0</v>
      </c>
      <c r="T907" s="101">
        <v>0</v>
      </c>
      <c r="U907" s="101"/>
      <c r="V907" s="101">
        <f t="shared" si="371"/>
        <v>0</v>
      </c>
      <c r="W907" s="268" t="str">
        <f t="shared" si="372"/>
        <v>ok</v>
      </c>
      <c r="X907" s="102" t="str">
        <f t="shared" si="373"/>
        <v/>
      </c>
      <c r="Y907" s="105"/>
      <c r="Z907" s="105"/>
      <c r="AG907" s="105"/>
      <c r="AH907" s="105"/>
      <c r="AI907" s="105"/>
      <c r="AJ907" s="105"/>
    </row>
    <row r="908" spans="1:36" ht="12" customHeight="1" x14ac:dyDescent="0.25">
      <c r="A908" s="97" t="s">
        <v>584</v>
      </c>
      <c r="F908" s="101">
        <f>'Billing Det'!D38</f>
        <v>1464489053</v>
      </c>
      <c r="G908" s="101">
        <f>'Billing Det'!D8</f>
        <v>554543189</v>
      </c>
      <c r="H908" s="101">
        <f>'Billing Det'!D10+'Billing Det'!D12</f>
        <v>198233994</v>
      </c>
      <c r="I908" s="101">
        <v>0</v>
      </c>
      <c r="J908" s="101">
        <f>'Billing Det'!D14+'Billing Det'!D16</f>
        <v>12037991</v>
      </c>
      <c r="K908" s="101">
        <v>0</v>
      </c>
      <c r="L908" s="101">
        <f>'Billing Det'!D18</f>
        <v>174459441</v>
      </c>
      <c r="M908" s="101">
        <f>'Billing Det'!D20</f>
        <v>13950651</v>
      </c>
      <c r="N908" s="101">
        <f>'Billing Det'!D22</f>
        <v>116879945</v>
      </c>
      <c r="O908" s="101">
        <f>'Billing Det'!D24</f>
        <v>251561897</v>
      </c>
      <c r="P908" s="101">
        <f>'Billing Det'!D28</f>
        <v>86711460</v>
      </c>
      <c r="Q908" s="101">
        <f>'Billing Det'!D30</f>
        <v>29892107</v>
      </c>
      <c r="R908" s="101">
        <f>'Billing Det'!D32</f>
        <v>26032396</v>
      </c>
      <c r="S908" s="101">
        <f>'Billing Det'!D34</f>
        <v>29470</v>
      </c>
      <c r="T908" s="101">
        <f>'Billing Det'!D36</f>
        <v>156512</v>
      </c>
      <c r="U908" s="117"/>
      <c r="V908" s="101">
        <f t="shared" si="371"/>
        <v>1464489053</v>
      </c>
      <c r="W908" s="268" t="str">
        <f t="shared" si="372"/>
        <v>ok</v>
      </c>
      <c r="X908" s="102" t="str">
        <f t="shared" si="373"/>
        <v/>
      </c>
    </row>
    <row r="909" spans="1:36" ht="12" customHeight="1" x14ac:dyDescent="0.25">
      <c r="A909" s="97" t="s">
        <v>1932</v>
      </c>
      <c r="D909" s="97" t="s">
        <v>1931</v>
      </c>
      <c r="F909" s="101">
        <v>3719777.0999999992</v>
      </c>
      <c r="G909" s="101">
        <v>2905325.8299999996</v>
      </c>
      <c r="H909" s="101">
        <v>548011.4</v>
      </c>
      <c r="I909" s="101">
        <v>0</v>
      </c>
      <c r="J909" s="101">
        <v>3616.45</v>
      </c>
      <c r="K909" s="101">
        <v>0</v>
      </c>
      <c r="L909" s="101">
        <v>95129.090000000011</v>
      </c>
      <c r="M909" s="101">
        <v>5337.130000000001</v>
      </c>
      <c r="N909" s="101">
        <v>40272.870000000003</v>
      </c>
      <c r="O909" s="101">
        <v>104033.55</v>
      </c>
      <c r="P909" s="101">
        <v>18018.8</v>
      </c>
      <c r="Q909" s="101">
        <v>0</v>
      </c>
      <c r="R909" s="101">
        <v>31.98</v>
      </c>
      <c r="S909" s="101">
        <v>0</v>
      </c>
      <c r="T909" s="101">
        <v>0</v>
      </c>
      <c r="U909" s="101"/>
      <c r="V909" s="101">
        <f>SUM(G909:T909)</f>
        <v>3719777.0999999992</v>
      </c>
      <c r="W909" s="268" t="str">
        <f t="shared" si="372"/>
        <v>ok</v>
      </c>
      <c r="X909" s="243" t="str">
        <f t="shared" si="373"/>
        <v/>
      </c>
    </row>
    <row r="910" spans="1:36" ht="12" customHeight="1" x14ac:dyDescent="0.25">
      <c r="A910" s="97" t="s">
        <v>1515</v>
      </c>
      <c r="D910" s="97" t="s">
        <v>2230</v>
      </c>
      <c r="F910" s="101">
        <v>2232238.1</v>
      </c>
      <c r="G910" s="101">
        <f>2082901</f>
        <v>2082901</v>
      </c>
      <c r="H910" s="101">
        <v>144923.1</v>
      </c>
      <c r="I910" s="106">
        <v>0</v>
      </c>
      <c r="J910" s="101">
        <v>903</v>
      </c>
      <c r="K910" s="101">
        <v>0</v>
      </c>
      <c r="L910" s="101">
        <f>(L860/($L$860+$M$860))*1468</f>
        <v>1413.8370169684872</v>
      </c>
      <c r="M910" s="101">
        <f>(M860/($L$860+$M$860))*1468</f>
        <v>54.162983031512901</v>
      </c>
      <c r="N910" s="101">
        <f>(N860/($N$860+$O$860+$P$860))*1555</f>
        <v>1039.6093538794269</v>
      </c>
      <c r="O910" s="101">
        <f>(O860/($N$860+$O$860+$P$860))*1555</f>
        <v>464.94457961611243</v>
      </c>
      <c r="P910" s="101">
        <f>(P860/($N$860+$O$860+$P$860))*1555</f>
        <v>50.44606650446066</v>
      </c>
      <c r="Q910" s="106">
        <v>0</v>
      </c>
      <c r="R910" s="101">
        <v>488</v>
      </c>
      <c r="S910" s="106">
        <v>0</v>
      </c>
      <c r="T910" s="106">
        <v>0</v>
      </c>
      <c r="U910" s="101"/>
      <c r="V910" s="101">
        <f>SUM(G910:T910)</f>
        <v>2232238.1</v>
      </c>
      <c r="W910" s="98" t="str">
        <f>IF(ABS(F910-V910)&lt;0.00001,"ok","err")</f>
        <v>ok</v>
      </c>
      <c r="X910" s="269" t="str">
        <f>IF(W910="err",V910-F910,"")</f>
        <v/>
      </c>
    </row>
    <row r="911" spans="1:36" ht="12" hidden="1" customHeight="1" x14ac:dyDescent="0.25">
      <c r="A911" s="97" t="s">
        <v>1937</v>
      </c>
      <c r="D911" s="97" t="s">
        <v>1936</v>
      </c>
      <c r="F911" s="101">
        <v>0</v>
      </c>
      <c r="G911" s="101">
        <v>0</v>
      </c>
      <c r="H911" s="101">
        <v>0</v>
      </c>
      <c r="I911" s="101">
        <v>0</v>
      </c>
      <c r="J911" s="101">
        <v>0</v>
      </c>
      <c r="K911" s="101">
        <v>0</v>
      </c>
      <c r="L911" s="101">
        <v>0</v>
      </c>
      <c r="M911" s="101">
        <v>0</v>
      </c>
      <c r="N911" s="101">
        <v>0</v>
      </c>
      <c r="O911" s="101">
        <v>0</v>
      </c>
      <c r="P911" s="101">
        <v>0</v>
      </c>
      <c r="Q911" s="101">
        <v>0</v>
      </c>
      <c r="R911" s="101">
        <v>0</v>
      </c>
      <c r="S911" s="101">
        <v>0</v>
      </c>
      <c r="T911" s="101">
        <v>0</v>
      </c>
      <c r="U911" s="101"/>
      <c r="V911" s="101">
        <f>SUM(G911:T911)</f>
        <v>0</v>
      </c>
      <c r="W911" s="268" t="str">
        <f t="shared" si="372"/>
        <v>ok</v>
      </c>
      <c r="X911" s="102" t="str">
        <f t="shared" si="373"/>
        <v/>
      </c>
    </row>
    <row r="912" spans="1:36" ht="12" hidden="1" customHeight="1" x14ac:dyDescent="0.25">
      <c r="A912" s="97" t="s">
        <v>1939</v>
      </c>
      <c r="D912" s="97" t="s">
        <v>1938</v>
      </c>
      <c r="F912" s="101">
        <v>0</v>
      </c>
      <c r="G912" s="101">
        <v>0</v>
      </c>
      <c r="H912" s="101">
        <v>0</v>
      </c>
      <c r="I912" s="101">
        <v>0</v>
      </c>
      <c r="J912" s="101">
        <v>0</v>
      </c>
      <c r="K912" s="101">
        <v>0</v>
      </c>
      <c r="L912" s="101">
        <v>0</v>
      </c>
      <c r="M912" s="101">
        <v>0</v>
      </c>
      <c r="N912" s="101">
        <v>0</v>
      </c>
      <c r="O912" s="101">
        <v>0</v>
      </c>
      <c r="P912" s="101">
        <v>0</v>
      </c>
      <c r="Q912" s="101">
        <v>0</v>
      </c>
      <c r="R912" s="101">
        <v>0</v>
      </c>
      <c r="S912" s="101">
        <v>0</v>
      </c>
      <c r="T912" s="101">
        <v>0</v>
      </c>
      <c r="U912" s="101"/>
      <c r="V912" s="101">
        <f>SUM(G912:T912)</f>
        <v>0</v>
      </c>
      <c r="W912" s="268" t="str">
        <f t="shared" si="372"/>
        <v>ok</v>
      </c>
      <c r="X912" s="102" t="str">
        <f t="shared" si="373"/>
        <v/>
      </c>
    </row>
    <row r="913" spans="1:24" ht="12" customHeight="1" x14ac:dyDescent="0.25"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17"/>
      <c r="V913" s="101"/>
      <c r="W913" s="268"/>
    </row>
    <row r="914" spans="1:24" ht="12" customHeight="1" x14ac:dyDescent="0.25">
      <c r="A914" s="97" t="s">
        <v>585</v>
      </c>
      <c r="D914" s="97" t="s">
        <v>532</v>
      </c>
      <c r="F914" s="106">
        <f t="shared" ref="F914:T914" si="376">F231-F183</f>
        <v>293386691.80935371</v>
      </c>
      <c r="G914" s="106">
        <f t="shared" si="376"/>
        <v>155385687.98585722</v>
      </c>
      <c r="H914" s="106">
        <f t="shared" si="376"/>
        <v>45018384.587830327</v>
      </c>
      <c r="I914" s="106">
        <f t="shared" si="376"/>
        <v>0</v>
      </c>
      <c r="J914" s="106">
        <f t="shared" si="376"/>
        <v>2305091.5582667273</v>
      </c>
      <c r="K914" s="106">
        <f t="shared" si="376"/>
        <v>0</v>
      </c>
      <c r="L914" s="106">
        <f t="shared" si="376"/>
        <v>23279236.989949048</v>
      </c>
      <c r="M914" s="106">
        <f t="shared" si="376"/>
        <v>1800958.0109399622</v>
      </c>
      <c r="N914" s="106">
        <f t="shared" si="376"/>
        <v>16106037.475369833</v>
      </c>
      <c r="O914" s="106">
        <f t="shared" si="376"/>
        <v>32919501.273044854</v>
      </c>
      <c r="P914" s="106">
        <f t="shared" si="376"/>
        <v>10165015.247614801</v>
      </c>
      <c r="Q914" s="106">
        <f t="shared" si="376"/>
        <v>2563884.0405402891</v>
      </c>
      <c r="R914" s="106">
        <f t="shared" si="376"/>
        <v>3799557.6709488221</v>
      </c>
      <c r="S914" s="106">
        <f t="shared" si="376"/>
        <v>1136.4246854184239</v>
      </c>
      <c r="T914" s="106">
        <f t="shared" si="376"/>
        <v>42200.544306447744</v>
      </c>
      <c r="U914" s="106"/>
      <c r="V914" s="101">
        <f>SUM(G914:T914)</f>
        <v>293386691.80935377</v>
      </c>
      <c r="W914" s="98" t="str">
        <f>IF(ABS(F914-V914)&lt;0.01,"ok","err")</f>
        <v>ok</v>
      </c>
      <c r="X914" s="243" t="str">
        <f>IF(W914="err",V914-F914,"")</f>
        <v/>
      </c>
    </row>
    <row r="915" spans="1:24" ht="12" hidden="1" customHeight="1" x14ac:dyDescent="0.25"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1"/>
      <c r="W915" s="98"/>
    </row>
    <row r="916" spans="1:24" ht="12" hidden="1" customHeight="1" x14ac:dyDescent="0.25">
      <c r="A916" s="24" t="s">
        <v>1206</v>
      </c>
      <c r="F916" s="118"/>
      <c r="G916" s="117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  <c r="V916" s="117"/>
      <c r="W916" s="98"/>
    </row>
    <row r="917" spans="1:24" ht="12" hidden="1" customHeight="1" x14ac:dyDescent="0.25">
      <c r="G917" s="117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  <c r="V917" s="117"/>
      <c r="W917" s="98"/>
    </row>
    <row r="918" spans="1:24" ht="12" hidden="1" customHeight="1" x14ac:dyDescent="0.25">
      <c r="A918" s="97" t="s">
        <v>1207</v>
      </c>
      <c r="E918" s="97" t="s">
        <v>421</v>
      </c>
      <c r="F918" s="100">
        <f>F653</f>
        <v>0</v>
      </c>
      <c r="G918" s="100">
        <f t="shared" ref="G918:T918" si="377">IF(VLOOKUP($E918,$D$5:$AJ$959,3,)=0,0,(VLOOKUP($E918,$D$5:$AJ$959,G$1,)/VLOOKUP($E918,$D$5:$AJ$959,3,))*$F918)</f>
        <v>0</v>
      </c>
      <c r="H918" s="100">
        <f t="shared" si="377"/>
        <v>0</v>
      </c>
      <c r="I918" s="100">
        <f t="shared" si="377"/>
        <v>0</v>
      </c>
      <c r="J918" s="100">
        <f t="shared" si="377"/>
        <v>0</v>
      </c>
      <c r="K918" s="100">
        <f t="shared" si="377"/>
        <v>0</v>
      </c>
      <c r="L918" s="100">
        <f t="shared" si="377"/>
        <v>0</v>
      </c>
      <c r="M918" s="100">
        <f t="shared" si="377"/>
        <v>0</v>
      </c>
      <c r="N918" s="100">
        <f t="shared" si="377"/>
        <v>0</v>
      </c>
      <c r="O918" s="100">
        <f t="shared" si="377"/>
        <v>0</v>
      </c>
      <c r="P918" s="100">
        <f t="shared" si="377"/>
        <v>0</v>
      </c>
      <c r="Q918" s="100">
        <f t="shared" si="377"/>
        <v>0</v>
      </c>
      <c r="R918" s="100">
        <f t="shared" si="377"/>
        <v>0</v>
      </c>
      <c r="S918" s="100">
        <f t="shared" si="377"/>
        <v>0</v>
      </c>
      <c r="T918" s="100">
        <f t="shared" si="377"/>
        <v>0</v>
      </c>
      <c r="U918" s="100"/>
      <c r="V918" s="102">
        <f>SUM(G918:T918)</f>
        <v>0</v>
      </c>
      <c r="W918" s="98" t="str">
        <f>IF(ABS(F918-V918)&lt;0.01,"ok","err")</f>
        <v>ok</v>
      </c>
      <c r="X918" s="102" t="str">
        <f>IF(W918="err",V918-F918,"")</f>
        <v/>
      </c>
    </row>
    <row r="919" spans="1:24" ht="12" hidden="1" customHeight="1" x14ac:dyDescent="0.25">
      <c r="G919" s="117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  <c r="V919" s="117"/>
      <c r="W919" s="98"/>
    </row>
    <row r="920" spans="1:24" ht="12" hidden="1" customHeight="1" x14ac:dyDescent="0.25">
      <c r="A920" s="97" t="s">
        <v>1208</v>
      </c>
      <c r="G920" s="117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  <c r="V920" s="117"/>
      <c r="W920" s="98"/>
    </row>
    <row r="921" spans="1:24" ht="12" hidden="1" customHeight="1" x14ac:dyDescent="0.25">
      <c r="A921" s="97" t="s">
        <v>1209</v>
      </c>
      <c r="E921" s="97" t="s">
        <v>110</v>
      </c>
      <c r="F921" s="100">
        <v>0</v>
      </c>
      <c r="G921" s="100">
        <f t="shared" ref="G921:T922" si="378">IF(VLOOKUP($E921,$D$5:$AJ$959,3,)=0,0,(VLOOKUP($E921,$D$5:$AJ$959,G$1,)/VLOOKUP($E921,$D$5:$AJ$959,3,))*$F921)</f>
        <v>0</v>
      </c>
      <c r="H921" s="100">
        <f t="shared" si="378"/>
        <v>0</v>
      </c>
      <c r="I921" s="100">
        <f t="shared" si="378"/>
        <v>0</v>
      </c>
      <c r="J921" s="100">
        <f t="shared" si="378"/>
        <v>0</v>
      </c>
      <c r="K921" s="100">
        <f t="shared" si="378"/>
        <v>0</v>
      </c>
      <c r="L921" s="100">
        <f t="shared" si="378"/>
        <v>0</v>
      </c>
      <c r="M921" s="100">
        <f t="shared" si="378"/>
        <v>0</v>
      </c>
      <c r="N921" s="100">
        <f t="shared" si="378"/>
        <v>0</v>
      </c>
      <c r="O921" s="100">
        <f t="shared" si="378"/>
        <v>0</v>
      </c>
      <c r="P921" s="100">
        <f t="shared" si="378"/>
        <v>0</v>
      </c>
      <c r="Q921" s="100">
        <f t="shared" si="378"/>
        <v>0</v>
      </c>
      <c r="R921" s="100">
        <f t="shared" si="378"/>
        <v>0</v>
      </c>
      <c r="S921" s="100">
        <f t="shared" si="378"/>
        <v>0</v>
      </c>
      <c r="T921" s="100">
        <f t="shared" si="378"/>
        <v>0</v>
      </c>
      <c r="U921" s="100"/>
      <c r="V921" s="102">
        <f>SUM(G921:T921)</f>
        <v>0</v>
      </c>
      <c r="W921" s="98" t="str">
        <f>IF(ABS(F921-V921)&lt;0.01,"ok","err")</f>
        <v>ok</v>
      </c>
      <c r="X921" s="102" t="str">
        <f>IF(W921="err",V921-F921,"")</f>
        <v/>
      </c>
    </row>
    <row r="922" spans="1:24" ht="12" hidden="1" customHeight="1" x14ac:dyDescent="0.25">
      <c r="A922" s="97" t="s">
        <v>1210</v>
      </c>
      <c r="E922" s="97" t="s">
        <v>421</v>
      </c>
      <c r="F922" s="100">
        <f>-F921</f>
        <v>0</v>
      </c>
      <c r="G922" s="100">
        <f t="shared" si="378"/>
        <v>0</v>
      </c>
      <c r="H922" s="100">
        <f t="shared" si="378"/>
        <v>0</v>
      </c>
      <c r="I922" s="100">
        <f t="shared" si="378"/>
        <v>0</v>
      </c>
      <c r="J922" s="100">
        <f t="shared" si="378"/>
        <v>0</v>
      </c>
      <c r="K922" s="100">
        <f t="shared" si="378"/>
        <v>0</v>
      </c>
      <c r="L922" s="100">
        <f t="shared" si="378"/>
        <v>0</v>
      </c>
      <c r="M922" s="100">
        <f t="shared" si="378"/>
        <v>0</v>
      </c>
      <c r="N922" s="100">
        <f t="shared" si="378"/>
        <v>0</v>
      </c>
      <c r="O922" s="100">
        <f t="shared" si="378"/>
        <v>0</v>
      </c>
      <c r="P922" s="100">
        <f t="shared" si="378"/>
        <v>0</v>
      </c>
      <c r="Q922" s="100">
        <f t="shared" si="378"/>
        <v>0</v>
      </c>
      <c r="R922" s="100">
        <f t="shared" si="378"/>
        <v>0</v>
      </c>
      <c r="S922" s="100">
        <f t="shared" si="378"/>
        <v>0</v>
      </c>
      <c r="T922" s="100">
        <f t="shared" si="378"/>
        <v>0</v>
      </c>
      <c r="U922" s="100"/>
      <c r="V922" s="102">
        <f>SUM(G922:T922)</f>
        <v>0</v>
      </c>
      <c r="W922" s="98" t="str">
        <f>IF(ABS(F922-V922)&lt;0.01,"ok","err")</f>
        <v>ok</v>
      </c>
      <c r="X922" s="102" t="str">
        <f>IF(W922="err",V922-F922,"")</f>
        <v/>
      </c>
    </row>
    <row r="923" spans="1:24" ht="12" hidden="1" customHeight="1" x14ac:dyDescent="0.25">
      <c r="A923" s="97" t="s">
        <v>1211</v>
      </c>
      <c r="F923" s="100">
        <f>F921+F922</f>
        <v>0</v>
      </c>
      <c r="G923" s="100">
        <f t="shared" ref="G923:T923" si="379">G921+G922</f>
        <v>0</v>
      </c>
      <c r="H923" s="100">
        <f t="shared" si="379"/>
        <v>0</v>
      </c>
      <c r="I923" s="100">
        <f>I921+I922</f>
        <v>0</v>
      </c>
      <c r="J923" s="100">
        <f>J921+J922</f>
        <v>0</v>
      </c>
      <c r="K923" s="100">
        <f>K921+K922</f>
        <v>0</v>
      </c>
      <c r="L923" s="100">
        <f t="shared" si="379"/>
        <v>0</v>
      </c>
      <c r="M923" s="100">
        <f t="shared" si="379"/>
        <v>0</v>
      </c>
      <c r="N923" s="100">
        <f t="shared" si="379"/>
        <v>0</v>
      </c>
      <c r="O923" s="100">
        <f t="shared" si="379"/>
        <v>0</v>
      </c>
      <c r="P923" s="100">
        <f>P921+P922</f>
        <v>0</v>
      </c>
      <c r="Q923" s="100">
        <f t="shared" si="379"/>
        <v>0</v>
      </c>
      <c r="R923" s="100">
        <f t="shared" si="379"/>
        <v>0</v>
      </c>
      <c r="S923" s="100">
        <f t="shared" si="379"/>
        <v>0</v>
      </c>
      <c r="T923" s="100">
        <f t="shared" si="379"/>
        <v>0</v>
      </c>
      <c r="U923" s="100"/>
      <c r="V923" s="117"/>
      <c r="W923" s="98"/>
    </row>
    <row r="924" spans="1:24" ht="12" hidden="1" customHeight="1" x14ac:dyDescent="0.25">
      <c r="F924" s="118"/>
      <c r="G924" s="117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  <c r="V924" s="117"/>
      <c r="W924" s="98"/>
    </row>
    <row r="925" spans="1:24" ht="12" hidden="1" customHeight="1" x14ac:dyDescent="0.25">
      <c r="A925" s="97" t="s">
        <v>1212</v>
      </c>
      <c r="D925" s="97" t="s">
        <v>1213</v>
      </c>
      <c r="F925" s="100">
        <f>F918-F923</f>
        <v>0</v>
      </c>
      <c r="G925" s="100">
        <f t="shared" ref="G925:T925" si="380">G918-G923</f>
        <v>0</v>
      </c>
      <c r="H925" s="100">
        <f t="shared" si="380"/>
        <v>0</v>
      </c>
      <c r="I925" s="100">
        <f>I918-I923</f>
        <v>0</v>
      </c>
      <c r="J925" s="100">
        <f>J918-J923</f>
        <v>0</v>
      </c>
      <c r="K925" s="100">
        <f>K918-K923</f>
        <v>0</v>
      </c>
      <c r="L925" s="100">
        <f t="shared" si="380"/>
        <v>0</v>
      </c>
      <c r="M925" s="100">
        <f t="shared" si="380"/>
        <v>0</v>
      </c>
      <c r="N925" s="100">
        <f t="shared" si="380"/>
        <v>0</v>
      </c>
      <c r="O925" s="100">
        <f>O918-O923</f>
        <v>0</v>
      </c>
      <c r="P925" s="100">
        <f>P918-P923</f>
        <v>0</v>
      </c>
      <c r="Q925" s="100">
        <f t="shared" si="380"/>
        <v>0</v>
      </c>
      <c r="R925" s="100">
        <f t="shared" si="380"/>
        <v>0</v>
      </c>
      <c r="S925" s="100">
        <f t="shared" si="380"/>
        <v>0</v>
      </c>
      <c r="T925" s="100">
        <f t="shared" si="380"/>
        <v>0</v>
      </c>
      <c r="U925" s="100"/>
      <c r="V925" s="102">
        <f>SUM(G925:T925)</f>
        <v>0</v>
      </c>
      <c r="W925" s="98" t="str">
        <f>IF(ABS(F925-V925)&lt;0.01,"ok","err")</f>
        <v>ok</v>
      </c>
      <c r="X925" s="102" t="str">
        <f>IF(W925="err",V925-F925,"")</f>
        <v/>
      </c>
    </row>
    <row r="926" spans="1:24" ht="12" customHeight="1" x14ac:dyDescent="0.25"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1"/>
      <c r="W926" s="98"/>
    </row>
    <row r="927" spans="1:24" ht="12" customHeight="1" x14ac:dyDescent="0.25"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98"/>
      <c r="X927" s="269"/>
    </row>
    <row r="928" spans="1:24" ht="12" customHeight="1" x14ac:dyDescent="0.25">
      <c r="A928" s="24"/>
      <c r="F928" s="118"/>
      <c r="G928" s="118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  <c r="R928" s="118"/>
      <c r="S928" s="118"/>
      <c r="T928" s="118"/>
      <c r="U928" s="118"/>
      <c r="V928" s="269"/>
      <c r="W928" s="98"/>
    </row>
    <row r="929" spans="1:32" ht="12" customHeight="1" x14ac:dyDescent="0.25">
      <c r="F929" s="101"/>
      <c r="G929" s="118"/>
      <c r="H929" s="118"/>
      <c r="I929" s="118"/>
      <c r="J929" s="118"/>
      <c r="K929" s="118"/>
      <c r="L929" s="118"/>
      <c r="M929" s="101"/>
      <c r="N929" s="118"/>
      <c r="O929" s="101"/>
      <c r="P929" s="101"/>
      <c r="Q929" s="101"/>
      <c r="R929" s="118"/>
      <c r="S929" s="118"/>
      <c r="T929" s="118"/>
      <c r="U929" s="118"/>
      <c r="V929" s="101"/>
      <c r="W929" s="98"/>
    </row>
    <row r="930" spans="1:32" ht="12" customHeight="1" x14ac:dyDescent="0.3">
      <c r="A930" s="393" t="s">
        <v>2454</v>
      </c>
      <c r="B930" s="394"/>
      <c r="C930" s="394"/>
      <c r="D930" s="394" t="s">
        <v>2455</v>
      </c>
      <c r="E930" s="394"/>
      <c r="F930" s="395">
        <f t="shared" ref="F930" si="381">SUM(G930:H930,J930,L930:T930)</f>
        <v>1</v>
      </c>
      <c r="G930" s="396">
        <v>0.40935210621236828</v>
      </c>
      <c r="H930" s="396">
        <v>0.11362251359596974</v>
      </c>
      <c r="I930" s="396"/>
      <c r="J930" s="396">
        <v>8.5558150654642239E-3</v>
      </c>
      <c r="K930" s="396"/>
      <c r="L930" s="396">
        <v>0.11420877410668946</v>
      </c>
      <c r="M930" s="396">
        <v>8.40975402485797E-3</v>
      </c>
      <c r="N930" s="396">
        <v>8.3403421353758986E-2</v>
      </c>
      <c r="O930" s="396">
        <v>0.18240931993528153</v>
      </c>
      <c r="P930" s="396">
        <v>6.3420095832768281E-2</v>
      </c>
      <c r="Q930" s="396">
        <v>1.6567072618418759E-2</v>
      </c>
      <c r="R930" s="396">
        <v>0</v>
      </c>
      <c r="S930" s="396">
        <v>0</v>
      </c>
      <c r="T930" s="396">
        <v>5.1127254422720664E-5</v>
      </c>
      <c r="U930" s="118"/>
      <c r="V930" s="101"/>
      <c r="W930" s="98"/>
      <c r="AA930" s="105"/>
      <c r="AB930" s="105"/>
      <c r="AC930" s="105"/>
      <c r="AD930" s="105"/>
      <c r="AE930" s="105"/>
      <c r="AF930" s="105"/>
    </row>
    <row r="931" spans="1:32" ht="12" customHeight="1" x14ac:dyDescent="0.25">
      <c r="F931" s="118"/>
      <c r="G931" s="118"/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  <c r="R931" s="118"/>
      <c r="S931" s="118"/>
      <c r="T931" s="118"/>
      <c r="U931" s="118"/>
      <c r="V931" s="269"/>
      <c r="W931" s="98"/>
    </row>
    <row r="932" spans="1:32" ht="12" customHeight="1" x14ac:dyDescent="0.25">
      <c r="AA932" s="252"/>
      <c r="AB932" s="252"/>
      <c r="AC932" s="252"/>
      <c r="AD932" s="252"/>
      <c r="AE932" s="252"/>
      <c r="AF932" s="252"/>
    </row>
    <row r="933" spans="1:32" s="343" customFormat="1" ht="12" customHeight="1" x14ac:dyDescent="0.25">
      <c r="A933" s="342"/>
      <c r="F933" s="227"/>
      <c r="L933" s="112"/>
      <c r="M933" s="112"/>
      <c r="N933" s="112"/>
      <c r="O933" s="271"/>
      <c r="P933" s="112"/>
    </row>
    <row r="934" spans="1:32" s="343" customFormat="1" ht="12" customHeight="1" x14ac:dyDescent="0.25">
      <c r="A934" s="342"/>
      <c r="F934" s="227"/>
      <c r="L934" s="112"/>
      <c r="M934" s="112"/>
      <c r="N934" s="112"/>
      <c r="O934" s="112"/>
      <c r="P934" s="112"/>
    </row>
    <row r="935" spans="1:32" s="343" customFormat="1" ht="12" customHeight="1" x14ac:dyDescent="0.25">
      <c r="A935" s="342"/>
      <c r="F935" s="112"/>
      <c r="G935" s="255"/>
      <c r="H935" s="255"/>
      <c r="I935" s="255"/>
      <c r="J935" s="255"/>
      <c r="K935" s="255"/>
      <c r="L935" s="227"/>
      <c r="M935" s="227"/>
      <c r="N935" s="112"/>
      <c r="O935" s="227"/>
      <c r="P935" s="227"/>
      <c r="Q935" s="255"/>
      <c r="R935" s="255"/>
      <c r="S935" s="255"/>
      <c r="T935" s="255"/>
      <c r="U935" s="255"/>
      <c r="V935" s="255"/>
      <c r="W935" s="344"/>
    </row>
    <row r="936" spans="1:32" s="343" customFormat="1" ht="12" customHeight="1" x14ac:dyDescent="0.25">
      <c r="F936" s="228"/>
      <c r="G936" s="254"/>
      <c r="H936" s="254"/>
      <c r="I936" s="254"/>
      <c r="J936" s="254"/>
      <c r="K936" s="254"/>
      <c r="L936" s="228"/>
      <c r="M936" s="228"/>
      <c r="N936" s="228"/>
      <c r="O936" s="228"/>
      <c r="P936" s="228"/>
      <c r="Q936" s="254"/>
      <c r="R936" s="254"/>
      <c r="S936" s="254"/>
      <c r="T936" s="254"/>
      <c r="U936" s="254"/>
      <c r="V936" s="270"/>
      <c r="W936" s="344"/>
      <c r="X936" s="255"/>
    </row>
    <row r="937" spans="1:32" s="343" customFormat="1" ht="12" customHeight="1" x14ac:dyDescent="0.25">
      <c r="F937" s="228"/>
      <c r="G937" s="254"/>
      <c r="H937" s="254"/>
      <c r="I937" s="254"/>
      <c r="J937" s="254"/>
      <c r="K937" s="254"/>
      <c r="L937" s="228"/>
      <c r="M937" s="228"/>
      <c r="N937" s="228"/>
      <c r="O937" s="228"/>
      <c r="P937" s="228"/>
      <c r="Q937" s="254"/>
      <c r="R937" s="254"/>
      <c r="S937" s="254"/>
      <c r="T937" s="254"/>
      <c r="U937" s="254"/>
      <c r="V937" s="270"/>
      <c r="W937" s="344"/>
      <c r="X937" s="255"/>
    </row>
    <row r="938" spans="1:32" s="343" customFormat="1" ht="12" customHeight="1" x14ac:dyDescent="0.25">
      <c r="F938" s="271"/>
      <c r="G938" s="270"/>
      <c r="H938" s="270"/>
      <c r="I938" s="270"/>
      <c r="J938" s="270"/>
      <c r="K938" s="270"/>
      <c r="L938" s="271"/>
      <c r="M938" s="271"/>
      <c r="N938" s="271"/>
      <c r="O938" s="271"/>
      <c r="P938" s="271"/>
      <c r="Q938" s="270"/>
      <c r="R938" s="270"/>
      <c r="S938" s="270"/>
      <c r="T938" s="270"/>
      <c r="U938" s="270"/>
      <c r="V938" s="270"/>
      <c r="W938" s="344"/>
      <c r="X938" s="255"/>
      <c r="Y938" s="255"/>
    </row>
    <row r="939" spans="1:32" s="343" customFormat="1" ht="12" customHeight="1" x14ac:dyDescent="0.25">
      <c r="F939" s="271"/>
      <c r="G939" s="270"/>
      <c r="H939" s="270"/>
      <c r="I939" s="270"/>
      <c r="J939" s="270"/>
      <c r="K939" s="270"/>
      <c r="L939" s="271"/>
      <c r="M939" s="271"/>
      <c r="N939" s="271"/>
      <c r="O939" s="271"/>
      <c r="P939" s="271"/>
      <c r="Q939" s="270"/>
      <c r="R939" s="270"/>
      <c r="S939" s="270"/>
      <c r="T939" s="270"/>
      <c r="U939" s="270"/>
      <c r="V939" s="270"/>
      <c r="W939" s="344"/>
      <c r="X939" s="255"/>
      <c r="Y939" s="255"/>
    </row>
    <row r="940" spans="1:32" s="343" customFormat="1" ht="12" customHeight="1" x14ac:dyDescent="0.25">
      <c r="F940" s="271"/>
      <c r="G940" s="270"/>
      <c r="H940" s="270"/>
      <c r="I940" s="270"/>
      <c r="J940" s="270"/>
      <c r="K940" s="270"/>
      <c r="L940" s="271"/>
      <c r="M940" s="271"/>
      <c r="N940" s="271"/>
      <c r="O940" s="271"/>
      <c r="P940" s="271"/>
      <c r="Q940" s="270"/>
      <c r="R940" s="270"/>
      <c r="S940" s="270"/>
      <c r="T940" s="270"/>
      <c r="U940" s="270"/>
      <c r="V940" s="270"/>
      <c r="W940" s="344"/>
      <c r="X940" s="255"/>
    </row>
    <row r="941" spans="1:32" s="343" customFormat="1" ht="12" customHeight="1" x14ac:dyDescent="0.25">
      <c r="F941" s="271"/>
      <c r="G941" s="270"/>
      <c r="H941" s="270"/>
      <c r="I941" s="270"/>
      <c r="J941" s="270"/>
      <c r="K941" s="270"/>
      <c r="L941" s="271"/>
      <c r="M941" s="271"/>
      <c r="N941" s="271"/>
      <c r="O941" s="271"/>
      <c r="P941" s="271"/>
      <c r="Q941" s="270"/>
      <c r="R941" s="270"/>
      <c r="S941" s="270"/>
      <c r="T941" s="270"/>
      <c r="U941" s="270"/>
      <c r="V941" s="270"/>
      <c r="W941" s="344"/>
      <c r="X941" s="255"/>
    </row>
    <row r="942" spans="1:32" s="343" customFormat="1" ht="12" customHeight="1" x14ac:dyDescent="0.25">
      <c r="F942" s="271"/>
      <c r="G942" s="270"/>
      <c r="H942" s="270"/>
      <c r="I942" s="270"/>
      <c r="J942" s="270"/>
      <c r="K942" s="270"/>
      <c r="L942" s="271"/>
      <c r="M942" s="271"/>
      <c r="N942" s="271"/>
      <c r="O942" s="271"/>
      <c r="P942" s="271"/>
      <c r="Q942" s="270"/>
      <c r="R942" s="270"/>
      <c r="S942" s="270"/>
      <c r="T942" s="270"/>
      <c r="U942" s="270"/>
      <c r="V942" s="270"/>
      <c r="W942" s="344"/>
      <c r="X942" s="255"/>
    </row>
    <row r="943" spans="1:32" s="343" customFormat="1" ht="12" customHeight="1" x14ac:dyDescent="0.25">
      <c r="F943" s="271"/>
      <c r="G943" s="270"/>
      <c r="H943" s="270"/>
      <c r="I943" s="270"/>
      <c r="J943" s="270"/>
      <c r="K943" s="270"/>
      <c r="L943" s="271"/>
      <c r="M943" s="271"/>
      <c r="N943" s="271"/>
      <c r="O943" s="271"/>
      <c r="P943" s="271"/>
      <c r="Q943" s="270"/>
      <c r="R943" s="270"/>
      <c r="S943" s="270"/>
      <c r="T943" s="270"/>
      <c r="U943" s="270"/>
      <c r="V943" s="270"/>
      <c r="W943" s="344"/>
      <c r="X943" s="255"/>
    </row>
    <row r="944" spans="1:32" s="343" customFormat="1" ht="12" customHeight="1" x14ac:dyDescent="0.25">
      <c r="F944" s="271"/>
      <c r="G944" s="270"/>
      <c r="H944" s="270"/>
      <c r="I944" s="270"/>
      <c r="J944" s="270"/>
      <c r="K944" s="270"/>
      <c r="L944" s="271"/>
      <c r="M944" s="271"/>
      <c r="N944" s="271"/>
      <c r="O944" s="271"/>
      <c r="P944" s="271"/>
      <c r="Q944" s="270"/>
      <c r="R944" s="270"/>
      <c r="S944" s="270"/>
      <c r="T944" s="270"/>
      <c r="U944" s="270"/>
      <c r="V944" s="270"/>
      <c r="W944" s="344"/>
      <c r="X944" s="255"/>
    </row>
    <row r="945" spans="1:24" s="343" customFormat="1" ht="12" customHeight="1" x14ac:dyDescent="0.25">
      <c r="F945" s="227"/>
      <c r="G945" s="255"/>
      <c r="H945" s="255"/>
      <c r="I945" s="255"/>
      <c r="J945" s="255"/>
      <c r="K945" s="255"/>
      <c r="L945" s="227"/>
      <c r="M945" s="227"/>
      <c r="N945" s="227"/>
      <c r="O945" s="227"/>
      <c r="P945" s="227"/>
      <c r="Q945" s="255"/>
      <c r="R945" s="255"/>
      <c r="S945" s="255"/>
      <c r="T945" s="255"/>
      <c r="U945" s="255"/>
      <c r="V945" s="255"/>
      <c r="W945" s="344"/>
      <c r="X945" s="255"/>
    </row>
    <row r="946" spans="1:24" s="343" customFormat="1" ht="12" customHeight="1" x14ac:dyDescent="0.25">
      <c r="F946" s="112"/>
      <c r="L946" s="112"/>
      <c r="M946" s="112"/>
      <c r="N946" s="112"/>
      <c r="O946" s="112"/>
      <c r="P946" s="112"/>
    </row>
    <row r="947" spans="1:24" s="343" customFormat="1" ht="12" customHeight="1" x14ac:dyDescent="0.25">
      <c r="A947" s="342"/>
      <c r="F947" s="112"/>
      <c r="L947" s="112"/>
      <c r="M947" s="112"/>
      <c r="N947" s="112"/>
      <c r="O947" s="112"/>
      <c r="P947" s="112"/>
    </row>
    <row r="948" spans="1:24" s="343" customFormat="1" ht="12" customHeight="1" x14ac:dyDescent="0.25">
      <c r="F948" s="227"/>
      <c r="G948" s="255"/>
      <c r="H948" s="255"/>
      <c r="I948" s="255"/>
      <c r="J948" s="255"/>
      <c r="K948" s="255"/>
      <c r="L948" s="227"/>
      <c r="M948" s="227"/>
      <c r="N948" s="227"/>
      <c r="O948" s="227"/>
      <c r="P948" s="227"/>
      <c r="Q948" s="255"/>
      <c r="R948" s="255"/>
      <c r="S948" s="255"/>
      <c r="T948" s="255"/>
      <c r="U948" s="255"/>
      <c r="V948" s="270"/>
      <c r="W948" s="344"/>
      <c r="X948" s="255"/>
    </row>
    <row r="949" spans="1:24" s="343" customFormat="1" ht="12" customHeight="1" x14ac:dyDescent="0.25">
      <c r="F949" s="227"/>
      <c r="G949" s="255"/>
      <c r="H949" s="255"/>
      <c r="I949" s="255"/>
      <c r="J949" s="255"/>
      <c r="K949" s="255"/>
      <c r="L949" s="227"/>
      <c r="M949" s="227"/>
      <c r="N949" s="227"/>
      <c r="O949" s="227"/>
      <c r="P949" s="227"/>
      <c r="Q949" s="255"/>
      <c r="R949" s="255"/>
      <c r="S949" s="255"/>
      <c r="T949" s="255"/>
      <c r="U949" s="255"/>
      <c r="V949" s="270"/>
      <c r="W949" s="344"/>
      <c r="X949" s="255"/>
    </row>
    <row r="950" spans="1:24" s="343" customFormat="1" ht="12" customHeight="1" x14ac:dyDescent="0.25">
      <c r="F950" s="227"/>
      <c r="G950" s="255"/>
      <c r="H950" s="255"/>
      <c r="I950" s="255"/>
      <c r="J950" s="255"/>
      <c r="K950" s="255"/>
      <c r="L950" s="227"/>
      <c r="M950" s="227"/>
      <c r="N950" s="227"/>
      <c r="O950" s="227"/>
      <c r="P950" s="227"/>
      <c r="Q950" s="255"/>
      <c r="R950" s="255"/>
      <c r="S950" s="255"/>
      <c r="T950" s="255"/>
      <c r="U950" s="255"/>
      <c r="V950" s="270"/>
      <c r="W950" s="344"/>
      <c r="X950" s="255"/>
    </row>
    <row r="951" spans="1:24" s="343" customFormat="1" ht="12" customHeight="1" x14ac:dyDescent="0.25">
      <c r="F951" s="227"/>
      <c r="G951" s="255"/>
      <c r="H951" s="255"/>
      <c r="I951" s="255"/>
      <c r="J951" s="255"/>
      <c r="K951" s="255"/>
      <c r="L951" s="227"/>
      <c r="M951" s="227"/>
      <c r="N951" s="227"/>
      <c r="O951" s="227"/>
      <c r="P951" s="227"/>
      <c r="Q951" s="255"/>
      <c r="R951" s="255"/>
      <c r="S951" s="255"/>
      <c r="T951" s="255"/>
      <c r="U951" s="255"/>
      <c r="V951" s="270"/>
      <c r="W951" s="344"/>
      <c r="X951" s="255"/>
    </row>
    <row r="952" spans="1:24" s="343" customFormat="1" ht="12" customHeight="1" x14ac:dyDescent="0.25">
      <c r="F952" s="227"/>
      <c r="G952" s="255"/>
      <c r="H952" s="255"/>
      <c r="I952" s="255"/>
      <c r="J952" s="255"/>
      <c r="K952" s="255"/>
      <c r="L952" s="227"/>
      <c r="M952" s="227"/>
      <c r="N952" s="227"/>
      <c r="O952" s="227"/>
      <c r="P952" s="227"/>
      <c r="Q952" s="255"/>
      <c r="R952" s="255"/>
      <c r="S952" s="255"/>
      <c r="T952" s="255"/>
      <c r="U952" s="255"/>
      <c r="V952" s="270"/>
      <c r="W952" s="344"/>
      <c r="X952" s="255"/>
    </row>
    <row r="953" spans="1:24" s="343" customFormat="1" ht="12" customHeight="1" x14ac:dyDescent="0.25">
      <c r="F953" s="227"/>
      <c r="G953" s="255"/>
      <c r="H953" s="255"/>
      <c r="I953" s="255"/>
      <c r="J953" s="255"/>
      <c r="K953" s="255"/>
      <c r="L953" s="227"/>
      <c r="M953" s="227"/>
      <c r="N953" s="227"/>
      <c r="O953" s="227"/>
      <c r="P953" s="227"/>
      <c r="Q953" s="255"/>
      <c r="R953" s="255"/>
      <c r="S953" s="255"/>
      <c r="T953" s="255"/>
      <c r="U953" s="255"/>
      <c r="V953" s="270"/>
      <c r="W953" s="344"/>
      <c r="X953" s="255"/>
    </row>
    <row r="954" spans="1:24" s="343" customFormat="1" ht="12" customHeight="1" x14ac:dyDescent="0.25">
      <c r="F954" s="227"/>
      <c r="G954" s="255"/>
      <c r="H954" s="255"/>
      <c r="I954" s="255"/>
      <c r="J954" s="255"/>
      <c r="K954" s="255"/>
      <c r="L954" s="227"/>
      <c r="M954" s="227"/>
      <c r="N954" s="227"/>
      <c r="O954" s="227"/>
      <c r="P954" s="227"/>
      <c r="Q954" s="255"/>
      <c r="R954" s="255"/>
      <c r="S954" s="255"/>
      <c r="T954" s="255"/>
      <c r="U954" s="255"/>
      <c r="V954" s="270"/>
      <c r="W954" s="344"/>
      <c r="X954" s="255"/>
    </row>
    <row r="955" spans="1:24" s="343" customFormat="1" ht="12" customHeight="1" x14ac:dyDescent="0.25">
      <c r="F955" s="227"/>
      <c r="G955" s="255"/>
      <c r="H955" s="255"/>
      <c r="I955" s="255"/>
      <c r="J955" s="255"/>
      <c r="K955" s="255"/>
      <c r="L955" s="227"/>
      <c r="M955" s="227"/>
      <c r="N955" s="227"/>
      <c r="O955" s="227"/>
      <c r="P955" s="227"/>
      <c r="Q955" s="255"/>
      <c r="R955" s="255"/>
      <c r="S955" s="255"/>
      <c r="T955" s="255"/>
      <c r="U955" s="255"/>
      <c r="V955" s="270"/>
      <c r="W955" s="344"/>
      <c r="X955" s="255"/>
    </row>
    <row r="956" spans="1:24" s="343" customFormat="1" ht="12" customHeight="1" x14ac:dyDescent="0.25">
      <c r="F956" s="227"/>
      <c r="G956" s="255"/>
      <c r="H956" s="255"/>
      <c r="I956" s="255"/>
      <c r="J956" s="255"/>
      <c r="K956" s="255"/>
      <c r="L956" s="227"/>
      <c r="M956" s="227"/>
      <c r="N956" s="227"/>
      <c r="O956" s="227"/>
      <c r="P956" s="227"/>
      <c r="Q956" s="255"/>
      <c r="R956" s="255"/>
      <c r="S956" s="255"/>
      <c r="T956" s="255"/>
      <c r="U956" s="255"/>
      <c r="V956" s="270"/>
      <c r="W956" s="344"/>
      <c r="X956" s="255"/>
    </row>
    <row r="957" spans="1:24" s="343" customFormat="1" ht="12" customHeight="1" x14ac:dyDescent="0.25">
      <c r="F957" s="227"/>
      <c r="G957" s="255"/>
      <c r="H957" s="255"/>
      <c r="I957" s="255"/>
      <c r="J957" s="255"/>
      <c r="K957" s="255"/>
      <c r="L957" s="227"/>
      <c r="M957" s="227"/>
      <c r="N957" s="227"/>
      <c r="O957" s="227"/>
      <c r="P957" s="227"/>
      <c r="Q957" s="255"/>
      <c r="R957" s="255"/>
      <c r="S957" s="255"/>
      <c r="T957" s="255"/>
      <c r="U957" s="255"/>
      <c r="V957" s="270"/>
      <c r="W957" s="344"/>
      <c r="X957" s="255"/>
    </row>
    <row r="958" spans="1:24" s="343" customFormat="1" ht="12" customHeight="1" x14ac:dyDescent="0.25">
      <c r="E958" s="255"/>
      <c r="F958" s="271"/>
      <c r="G958" s="270"/>
      <c r="H958" s="270"/>
      <c r="I958" s="270"/>
      <c r="J958" s="270"/>
      <c r="K958" s="270"/>
      <c r="L958" s="271"/>
      <c r="M958" s="271"/>
      <c r="N958" s="271"/>
      <c r="O958" s="271"/>
      <c r="P958" s="271"/>
      <c r="Q958" s="270"/>
      <c r="R958" s="270"/>
      <c r="S958" s="270"/>
      <c r="T958" s="270"/>
      <c r="U958" s="270"/>
      <c r="V958" s="270"/>
      <c r="W958" s="344"/>
      <c r="X958" s="255"/>
    </row>
    <row r="959" spans="1:24" s="343" customFormat="1" ht="12" customHeight="1" x14ac:dyDescent="0.25">
      <c r="E959" s="345"/>
      <c r="F959" s="112"/>
      <c r="L959" s="112"/>
      <c r="M959" s="112"/>
      <c r="N959" s="112"/>
      <c r="O959" s="112"/>
      <c r="P959" s="112"/>
      <c r="V959" s="345"/>
    </row>
    <row r="960" spans="1:24" s="343" customFormat="1" ht="12" customHeight="1" x14ac:dyDescent="0.25">
      <c r="A960" s="342"/>
      <c r="F960" s="112"/>
      <c r="L960" s="112"/>
      <c r="M960" s="112"/>
      <c r="N960" s="112"/>
      <c r="O960" s="112"/>
      <c r="P960" s="112"/>
    </row>
    <row r="961" spans="1:24" s="343" customFormat="1" ht="12" customHeight="1" x14ac:dyDescent="0.25">
      <c r="F961" s="227"/>
      <c r="G961" s="255"/>
      <c r="H961" s="255"/>
      <c r="I961" s="255"/>
      <c r="J961" s="255"/>
      <c r="K961" s="255"/>
      <c r="L961" s="227"/>
      <c r="M961" s="227"/>
      <c r="N961" s="227"/>
      <c r="O961" s="227"/>
      <c r="P961" s="227"/>
      <c r="Q961" s="255"/>
      <c r="R961" s="255"/>
      <c r="S961" s="255"/>
      <c r="T961" s="255"/>
      <c r="V961" s="270"/>
      <c r="W961" s="344"/>
      <c r="X961" s="255"/>
    </row>
    <row r="962" spans="1:24" s="343" customFormat="1" ht="12" customHeight="1" x14ac:dyDescent="0.25">
      <c r="F962" s="227"/>
      <c r="G962" s="255"/>
      <c r="H962" s="255"/>
      <c r="I962" s="255"/>
      <c r="J962" s="255"/>
      <c r="K962" s="255"/>
      <c r="L962" s="227"/>
      <c r="M962" s="227"/>
      <c r="N962" s="227"/>
      <c r="O962" s="227"/>
      <c r="P962" s="227"/>
      <c r="Q962" s="255"/>
      <c r="R962" s="255"/>
      <c r="S962" s="255"/>
      <c r="T962" s="255"/>
      <c r="U962" s="255"/>
      <c r="V962" s="270"/>
      <c r="W962" s="344"/>
      <c r="X962" s="255"/>
    </row>
    <row r="963" spans="1:24" s="343" customFormat="1" ht="12" customHeight="1" x14ac:dyDescent="0.25">
      <c r="F963" s="227"/>
      <c r="G963" s="255"/>
      <c r="H963" s="255"/>
      <c r="I963" s="255"/>
      <c r="J963" s="255"/>
      <c r="K963" s="255"/>
      <c r="L963" s="227"/>
      <c r="M963" s="227"/>
      <c r="N963" s="227"/>
      <c r="O963" s="227"/>
      <c r="P963" s="227"/>
      <c r="Q963" s="255"/>
      <c r="R963" s="255"/>
      <c r="S963" s="255"/>
      <c r="T963" s="255"/>
      <c r="U963" s="255"/>
      <c r="V963" s="270"/>
      <c r="W963" s="344"/>
      <c r="X963" s="255"/>
    </row>
    <row r="964" spans="1:24" s="343" customFormat="1" ht="12" customHeight="1" x14ac:dyDescent="0.25">
      <c r="F964" s="227"/>
      <c r="G964" s="255"/>
      <c r="H964" s="255"/>
      <c r="I964" s="255"/>
      <c r="J964" s="255"/>
      <c r="K964" s="255"/>
      <c r="L964" s="227"/>
      <c r="M964" s="227"/>
      <c r="N964" s="227"/>
      <c r="O964" s="227"/>
      <c r="P964" s="227"/>
      <c r="Q964" s="255"/>
      <c r="R964" s="255"/>
      <c r="S964" s="255"/>
      <c r="T964" s="255"/>
      <c r="U964" s="255"/>
      <c r="V964" s="270"/>
      <c r="W964" s="344"/>
      <c r="X964" s="255"/>
    </row>
    <row r="965" spans="1:24" s="343" customFormat="1" ht="12" customHeight="1" x14ac:dyDescent="0.25">
      <c r="F965" s="227"/>
      <c r="G965" s="255"/>
      <c r="H965" s="255"/>
      <c r="I965" s="255"/>
      <c r="J965" s="255"/>
      <c r="K965" s="255"/>
      <c r="L965" s="227"/>
      <c r="M965" s="227"/>
      <c r="N965" s="227"/>
      <c r="O965" s="227"/>
      <c r="P965" s="227"/>
      <c r="Q965" s="255"/>
      <c r="R965" s="255"/>
      <c r="S965" s="255"/>
      <c r="T965" s="255"/>
      <c r="U965" s="255"/>
      <c r="V965" s="270"/>
      <c r="W965" s="344"/>
      <c r="X965" s="255"/>
    </row>
    <row r="966" spans="1:24" s="343" customFormat="1" ht="12" customHeight="1" x14ac:dyDescent="0.25">
      <c r="F966" s="227"/>
      <c r="G966" s="255"/>
      <c r="H966" s="255"/>
      <c r="I966" s="255"/>
      <c r="J966" s="255"/>
      <c r="K966" s="255"/>
      <c r="L966" s="227"/>
      <c r="M966" s="227"/>
      <c r="N966" s="227"/>
      <c r="O966" s="227"/>
      <c r="P966" s="227"/>
      <c r="Q966" s="255"/>
      <c r="R966" s="255"/>
      <c r="S966" s="255"/>
      <c r="T966" s="255"/>
      <c r="U966" s="255"/>
      <c r="V966" s="270"/>
      <c r="W966" s="344"/>
      <c r="X966" s="255"/>
    </row>
    <row r="967" spans="1:24" s="343" customFormat="1" ht="12" customHeight="1" x14ac:dyDescent="0.25">
      <c r="F967" s="227"/>
      <c r="G967" s="255"/>
      <c r="H967" s="255"/>
      <c r="I967" s="255"/>
      <c r="J967" s="255"/>
      <c r="K967" s="255"/>
      <c r="L967" s="227"/>
      <c r="M967" s="227"/>
      <c r="N967" s="227"/>
      <c r="O967" s="227"/>
      <c r="P967" s="227"/>
      <c r="Q967" s="255"/>
      <c r="R967" s="255"/>
      <c r="S967" s="255"/>
      <c r="T967" s="255"/>
      <c r="U967" s="255"/>
      <c r="V967" s="270"/>
      <c r="W967" s="344"/>
      <c r="X967" s="255"/>
    </row>
    <row r="968" spans="1:24" s="343" customFormat="1" ht="12" customHeight="1" x14ac:dyDescent="0.25">
      <c r="F968" s="227"/>
      <c r="G968" s="255"/>
      <c r="H968" s="255"/>
      <c r="I968" s="255"/>
      <c r="J968" s="255"/>
      <c r="K968" s="255"/>
      <c r="L968" s="227"/>
      <c r="M968" s="227"/>
      <c r="N968" s="227"/>
      <c r="O968" s="227"/>
      <c r="P968" s="227"/>
      <c r="Q968" s="255"/>
      <c r="R968" s="255"/>
      <c r="S968" s="255"/>
      <c r="T968" s="255"/>
      <c r="U968" s="255"/>
      <c r="V968" s="270"/>
      <c r="W968" s="344"/>
      <c r="X968" s="255"/>
    </row>
    <row r="969" spans="1:24" s="343" customFormat="1" ht="12" customHeight="1" x14ac:dyDescent="0.25">
      <c r="F969" s="227"/>
      <c r="G969" s="255"/>
      <c r="H969" s="255"/>
      <c r="I969" s="255"/>
      <c r="J969" s="255"/>
      <c r="K969" s="255"/>
      <c r="L969" s="227"/>
      <c r="M969" s="227"/>
      <c r="N969" s="227"/>
      <c r="O969" s="227"/>
      <c r="P969" s="227"/>
      <c r="Q969" s="255"/>
      <c r="R969" s="255"/>
      <c r="S969" s="255"/>
      <c r="T969" s="255"/>
      <c r="U969" s="255"/>
      <c r="V969" s="270"/>
      <c r="W969" s="344"/>
      <c r="X969" s="255"/>
    </row>
    <row r="970" spans="1:24" s="343" customFormat="1" ht="12" customHeight="1" x14ac:dyDescent="0.25">
      <c r="F970" s="227"/>
      <c r="G970" s="255"/>
      <c r="H970" s="255"/>
      <c r="I970" s="255"/>
      <c r="J970" s="255"/>
      <c r="K970" s="255"/>
      <c r="L970" s="227"/>
      <c r="M970" s="227"/>
      <c r="N970" s="227"/>
      <c r="O970" s="227"/>
      <c r="P970" s="227"/>
      <c r="Q970" s="255"/>
      <c r="R970" s="255"/>
      <c r="S970" s="255"/>
      <c r="T970" s="255"/>
      <c r="U970" s="255"/>
      <c r="V970" s="255"/>
      <c r="W970" s="344"/>
      <c r="X970" s="255"/>
    </row>
    <row r="971" spans="1:24" s="343" customFormat="1" ht="12" customHeight="1" x14ac:dyDescent="0.25">
      <c r="F971" s="112"/>
      <c r="L971" s="112"/>
      <c r="M971" s="112"/>
      <c r="N971" s="112"/>
      <c r="O971" s="112"/>
      <c r="P971" s="112"/>
    </row>
    <row r="972" spans="1:24" s="343" customFormat="1" ht="12" customHeight="1" x14ac:dyDescent="0.25">
      <c r="F972" s="112"/>
      <c r="L972" s="112"/>
      <c r="M972" s="112"/>
      <c r="N972" s="112"/>
      <c r="O972" s="112"/>
      <c r="P972" s="112"/>
    </row>
    <row r="973" spans="1:24" s="343" customFormat="1" ht="12" customHeight="1" x14ac:dyDescent="0.25">
      <c r="A973" s="342"/>
      <c r="F973" s="112"/>
      <c r="L973" s="112"/>
      <c r="M973" s="112"/>
      <c r="N973" s="112"/>
      <c r="O973" s="112"/>
      <c r="P973" s="112"/>
    </row>
    <row r="974" spans="1:24" s="343" customFormat="1" ht="12" customHeight="1" x14ac:dyDescent="0.25">
      <c r="F974" s="112"/>
      <c r="G974" s="274"/>
      <c r="H974" s="274"/>
      <c r="I974" s="274"/>
      <c r="J974" s="274"/>
      <c r="K974" s="274"/>
      <c r="L974" s="346"/>
      <c r="M974" s="346"/>
      <c r="N974" s="346"/>
      <c r="O974" s="346"/>
      <c r="P974" s="346"/>
      <c r="Q974" s="274"/>
      <c r="R974" s="274"/>
      <c r="S974" s="274"/>
      <c r="T974" s="274"/>
      <c r="U974" s="274"/>
    </row>
    <row r="975" spans="1:24" s="343" customFormat="1" ht="12" customHeight="1" x14ac:dyDescent="0.25">
      <c r="F975" s="112"/>
      <c r="G975" s="274"/>
      <c r="H975" s="274"/>
      <c r="I975" s="274"/>
      <c r="J975" s="274"/>
      <c r="K975" s="274"/>
      <c r="L975" s="346"/>
      <c r="M975" s="346"/>
      <c r="N975" s="346"/>
      <c r="O975" s="346"/>
      <c r="P975" s="346"/>
      <c r="Q975" s="274"/>
      <c r="R975" s="274"/>
      <c r="S975" s="274"/>
      <c r="T975" s="274"/>
    </row>
    <row r="976" spans="1:24" s="343" customFormat="1" ht="12" customHeight="1" x14ac:dyDescent="0.25">
      <c r="F976" s="112"/>
      <c r="G976" s="274"/>
      <c r="H976" s="274"/>
      <c r="I976" s="274"/>
      <c r="J976" s="274"/>
      <c r="K976" s="274"/>
      <c r="L976" s="346"/>
      <c r="M976" s="346"/>
      <c r="N976" s="346"/>
      <c r="O976" s="346"/>
      <c r="P976" s="346"/>
      <c r="Q976" s="274"/>
      <c r="R976" s="274"/>
      <c r="S976" s="274"/>
      <c r="T976" s="274"/>
    </row>
    <row r="977" spans="1:21" s="343" customFormat="1" ht="12" customHeight="1" x14ac:dyDescent="0.25">
      <c r="F977" s="112"/>
      <c r="G977" s="274"/>
      <c r="H977" s="274"/>
      <c r="I977" s="274"/>
      <c r="J977" s="274"/>
      <c r="K977" s="274"/>
      <c r="L977" s="346"/>
      <c r="M977" s="346"/>
      <c r="N977" s="346"/>
      <c r="O977" s="346"/>
      <c r="P977" s="346"/>
      <c r="Q977" s="274"/>
      <c r="R977" s="274"/>
      <c r="S977" s="274"/>
      <c r="T977" s="274"/>
    </row>
    <row r="978" spans="1:21" s="343" customFormat="1" ht="12" customHeight="1" x14ac:dyDescent="0.25">
      <c r="F978" s="112"/>
      <c r="G978" s="274"/>
      <c r="H978" s="274"/>
      <c r="I978" s="274"/>
      <c r="J978" s="274"/>
      <c r="K978" s="274"/>
      <c r="L978" s="346"/>
      <c r="M978" s="346"/>
      <c r="N978" s="346"/>
      <c r="O978" s="346"/>
      <c r="P978" s="346"/>
      <c r="Q978" s="274"/>
      <c r="R978" s="274"/>
      <c r="S978" s="274"/>
      <c r="T978" s="274"/>
    </row>
    <row r="979" spans="1:21" s="343" customFormat="1" ht="12" customHeight="1" x14ac:dyDescent="0.25">
      <c r="F979" s="112"/>
      <c r="G979" s="274"/>
      <c r="H979" s="274"/>
      <c r="I979" s="274"/>
      <c r="J979" s="274"/>
      <c r="K979" s="274"/>
      <c r="L979" s="346"/>
      <c r="M979" s="346"/>
      <c r="N979" s="346"/>
      <c r="O979" s="346"/>
      <c r="P979" s="346"/>
      <c r="Q979" s="274"/>
      <c r="R979" s="274"/>
      <c r="S979" s="274"/>
      <c r="T979" s="274"/>
    </row>
    <row r="980" spans="1:21" s="343" customFormat="1" ht="12" customHeight="1" x14ac:dyDescent="0.25">
      <c r="F980" s="112"/>
      <c r="G980" s="274"/>
      <c r="H980" s="274"/>
      <c r="I980" s="274"/>
      <c r="J980" s="274"/>
      <c r="K980" s="274"/>
      <c r="L980" s="275"/>
      <c r="M980" s="275"/>
      <c r="N980" s="275"/>
      <c r="O980" s="275"/>
      <c r="P980" s="275"/>
      <c r="Q980" s="274"/>
      <c r="R980" s="274"/>
      <c r="S980" s="274"/>
      <c r="T980" s="274"/>
    </row>
    <row r="981" spans="1:21" s="343" customFormat="1" ht="12" customHeight="1" x14ac:dyDescent="0.25">
      <c r="F981" s="112"/>
      <c r="G981" s="274"/>
      <c r="H981" s="274"/>
      <c r="I981" s="274"/>
      <c r="J981" s="274"/>
      <c r="K981" s="274"/>
      <c r="L981" s="346"/>
      <c r="M981" s="346"/>
      <c r="N981" s="346"/>
      <c r="O981" s="346"/>
      <c r="P981" s="346"/>
      <c r="Q981" s="274"/>
      <c r="R981" s="274"/>
      <c r="S981" s="274"/>
      <c r="T981" s="274"/>
    </row>
    <row r="982" spans="1:21" s="343" customFormat="1" ht="12" customHeight="1" x14ac:dyDescent="0.25">
      <c r="F982" s="112"/>
      <c r="G982" s="276"/>
      <c r="H982" s="276"/>
      <c r="I982" s="276"/>
      <c r="J982" s="276"/>
      <c r="K982" s="276"/>
      <c r="L982" s="277"/>
      <c r="M982" s="277"/>
      <c r="N982" s="277"/>
      <c r="O982" s="277"/>
      <c r="P982" s="277"/>
      <c r="Q982" s="276"/>
      <c r="R982" s="276"/>
      <c r="S982" s="276"/>
      <c r="T982" s="276"/>
      <c r="U982" s="276"/>
    </row>
    <row r="983" spans="1:21" s="343" customFormat="1" ht="12" customHeight="1" x14ac:dyDescent="0.25">
      <c r="F983" s="112"/>
      <c r="G983" s="276"/>
      <c r="H983" s="276"/>
      <c r="I983" s="276"/>
      <c r="J983" s="276"/>
      <c r="K983" s="276"/>
      <c r="L983" s="277"/>
      <c r="M983" s="277"/>
      <c r="N983" s="277"/>
      <c r="O983" s="277"/>
      <c r="P983" s="277"/>
      <c r="Q983" s="276"/>
      <c r="R983" s="276"/>
      <c r="S983" s="276"/>
      <c r="T983" s="276"/>
      <c r="U983" s="276"/>
    </row>
    <row r="984" spans="1:21" s="343" customFormat="1" ht="12" customHeight="1" x14ac:dyDescent="0.25">
      <c r="F984" s="112"/>
      <c r="L984" s="112"/>
      <c r="M984" s="112"/>
      <c r="N984" s="112"/>
      <c r="O984" s="112"/>
      <c r="P984" s="112"/>
    </row>
    <row r="985" spans="1:21" s="343" customFormat="1" ht="12" customHeight="1" x14ac:dyDescent="0.25">
      <c r="F985" s="112"/>
      <c r="L985" s="112"/>
      <c r="M985" s="112"/>
      <c r="N985" s="112"/>
      <c r="O985" s="112"/>
      <c r="P985" s="112"/>
    </row>
    <row r="986" spans="1:21" s="343" customFormat="1" ht="12" customHeight="1" x14ac:dyDescent="0.25">
      <c r="A986" s="342"/>
      <c r="F986" s="112"/>
      <c r="L986" s="112"/>
      <c r="M986" s="112"/>
      <c r="N986" s="112"/>
      <c r="O986" s="112"/>
      <c r="P986" s="112"/>
    </row>
    <row r="987" spans="1:21" s="343" customFormat="1" ht="12" customHeight="1" x14ac:dyDescent="0.25">
      <c r="F987" s="112"/>
      <c r="G987" s="274"/>
      <c r="H987" s="274"/>
      <c r="I987" s="274"/>
      <c r="J987" s="274"/>
      <c r="K987" s="274"/>
      <c r="L987" s="346"/>
      <c r="M987" s="346"/>
      <c r="N987" s="346"/>
      <c r="O987" s="346"/>
      <c r="P987" s="346"/>
      <c r="Q987" s="274"/>
      <c r="R987" s="274"/>
      <c r="S987" s="274"/>
      <c r="T987" s="274"/>
    </row>
    <row r="988" spans="1:21" s="343" customFormat="1" ht="12" customHeight="1" x14ac:dyDescent="0.25">
      <c r="F988" s="112"/>
      <c r="G988" s="274"/>
      <c r="H988" s="274"/>
      <c r="I988" s="274"/>
      <c r="J988" s="274"/>
      <c r="K988" s="274"/>
      <c r="L988" s="346"/>
      <c r="M988" s="346"/>
      <c r="N988" s="346"/>
      <c r="O988" s="346"/>
      <c r="P988" s="346"/>
      <c r="Q988" s="274"/>
      <c r="R988" s="274"/>
      <c r="S988" s="274"/>
      <c r="T988" s="274"/>
      <c r="U988" s="347"/>
    </row>
    <row r="989" spans="1:21" s="343" customFormat="1" ht="12" customHeight="1" x14ac:dyDescent="0.25">
      <c r="F989" s="112"/>
      <c r="G989" s="274"/>
      <c r="H989" s="274"/>
      <c r="I989" s="274"/>
      <c r="J989" s="274"/>
      <c r="K989" s="274"/>
      <c r="L989" s="346"/>
      <c r="M989" s="346"/>
      <c r="N989" s="346"/>
      <c r="O989" s="346"/>
      <c r="P989" s="346"/>
      <c r="Q989" s="274"/>
      <c r="R989" s="274"/>
      <c r="S989" s="274"/>
      <c r="T989" s="274"/>
      <c r="U989" s="347"/>
    </row>
    <row r="990" spans="1:21" s="343" customFormat="1" ht="12" customHeight="1" x14ac:dyDescent="0.25">
      <c r="F990" s="112"/>
      <c r="G990" s="274"/>
      <c r="H990" s="274"/>
      <c r="I990" s="274"/>
      <c r="J990" s="274"/>
      <c r="K990" s="274"/>
      <c r="L990" s="346"/>
      <c r="M990" s="346"/>
      <c r="N990" s="346"/>
      <c r="O990" s="346"/>
      <c r="P990" s="346"/>
      <c r="Q990" s="274"/>
      <c r="R990" s="274"/>
      <c r="S990" s="274"/>
      <c r="T990" s="274"/>
      <c r="U990" s="347"/>
    </row>
    <row r="991" spans="1:21" s="343" customFormat="1" ht="12" customHeight="1" x14ac:dyDescent="0.25">
      <c r="F991" s="112"/>
      <c r="G991" s="274"/>
      <c r="H991" s="274"/>
      <c r="I991" s="274"/>
      <c r="J991" s="274"/>
      <c r="K991" s="274"/>
      <c r="L991" s="346"/>
      <c r="M991" s="346"/>
      <c r="N991" s="346"/>
      <c r="O991" s="346"/>
      <c r="P991" s="346"/>
      <c r="Q991" s="274"/>
      <c r="R991" s="274"/>
      <c r="S991" s="274"/>
      <c r="T991" s="274"/>
    </row>
    <row r="992" spans="1:21" s="343" customFormat="1" ht="12" customHeight="1" x14ac:dyDescent="0.25">
      <c r="F992" s="112"/>
      <c r="G992" s="274"/>
      <c r="H992" s="274"/>
      <c r="I992" s="274"/>
      <c r="J992" s="274"/>
      <c r="K992" s="274"/>
      <c r="L992" s="346"/>
      <c r="M992" s="346"/>
      <c r="N992" s="346"/>
      <c r="O992" s="346"/>
      <c r="P992" s="346"/>
      <c r="Q992" s="274"/>
      <c r="R992" s="274"/>
      <c r="S992" s="274"/>
      <c r="T992" s="274"/>
    </row>
    <row r="993" spans="1:21" s="343" customFormat="1" ht="12" customHeight="1" x14ac:dyDescent="0.25">
      <c r="F993" s="112"/>
      <c r="G993" s="274"/>
      <c r="H993" s="274"/>
      <c r="I993" s="274"/>
      <c r="J993" s="274"/>
      <c r="K993" s="274"/>
      <c r="L993" s="275"/>
      <c r="M993" s="275"/>
      <c r="N993" s="275"/>
      <c r="O993" s="275"/>
      <c r="P993" s="275"/>
      <c r="Q993" s="274"/>
      <c r="R993" s="274"/>
      <c r="S993" s="274"/>
      <c r="T993" s="274"/>
    </row>
    <row r="994" spans="1:21" s="343" customFormat="1" ht="12" customHeight="1" x14ac:dyDescent="0.25">
      <c r="F994" s="112"/>
      <c r="G994" s="274"/>
      <c r="H994" s="274"/>
      <c r="I994" s="274"/>
      <c r="J994" s="274"/>
      <c r="K994" s="274"/>
      <c r="L994" s="346"/>
      <c r="M994" s="346"/>
      <c r="N994" s="346"/>
      <c r="O994" s="346"/>
      <c r="P994" s="346"/>
      <c r="Q994" s="274"/>
      <c r="R994" s="274"/>
      <c r="S994" s="274"/>
      <c r="T994" s="274"/>
    </row>
    <row r="995" spans="1:21" s="343" customFormat="1" ht="12" customHeight="1" x14ac:dyDescent="0.25">
      <c r="F995" s="112"/>
      <c r="G995" s="276"/>
      <c r="H995" s="276"/>
      <c r="I995" s="276"/>
      <c r="J995" s="276"/>
      <c r="K995" s="276"/>
      <c r="L995" s="277"/>
      <c r="M995" s="277"/>
      <c r="N995" s="277"/>
      <c r="O995" s="277"/>
      <c r="P995" s="277"/>
      <c r="Q995" s="276"/>
      <c r="R995" s="276"/>
      <c r="S995" s="276"/>
      <c r="T995" s="276"/>
    </row>
    <row r="996" spans="1:21" s="343" customFormat="1" ht="12" customHeight="1" x14ac:dyDescent="0.25">
      <c r="F996" s="112"/>
      <c r="L996" s="112"/>
      <c r="M996" s="112"/>
      <c r="N996" s="112"/>
      <c r="O996" s="112"/>
      <c r="P996" s="112"/>
    </row>
    <row r="997" spans="1:21" s="343" customFormat="1" ht="12" customHeight="1" x14ac:dyDescent="0.25">
      <c r="F997" s="112"/>
      <c r="L997" s="112"/>
      <c r="M997" s="112"/>
      <c r="N997" s="112"/>
      <c r="O997" s="112"/>
      <c r="P997" s="112"/>
    </row>
    <row r="998" spans="1:21" s="343" customFormat="1" ht="12" customHeight="1" x14ac:dyDescent="0.25">
      <c r="A998" s="342"/>
      <c r="F998" s="112"/>
      <c r="L998" s="112"/>
      <c r="M998" s="112"/>
      <c r="N998" s="112"/>
      <c r="O998" s="112"/>
      <c r="P998" s="112"/>
    </row>
    <row r="999" spans="1:21" s="343" customFormat="1" ht="12" customHeight="1" x14ac:dyDescent="0.25">
      <c r="A999" s="342"/>
      <c r="F999" s="112"/>
      <c r="L999" s="112"/>
      <c r="M999" s="112"/>
      <c r="N999" s="112"/>
      <c r="O999" s="112"/>
      <c r="P999" s="112"/>
    </row>
    <row r="1000" spans="1:21" s="343" customFormat="1" ht="12" customHeight="1" x14ac:dyDescent="0.25">
      <c r="A1000" s="342"/>
      <c r="F1000" s="112"/>
      <c r="L1000" s="112"/>
      <c r="M1000" s="112"/>
      <c r="N1000" s="112"/>
      <c r="O1000" s="112"/>
      <c r="P1000" s="112"/>
    </row>
    <row r="1001" spans="1:21" s="343" customFormat="1" ht="12" customHeight="1" x14ac:dyDescent="0.25">
      <c r="F1001" s="112"/>
      <c r="G1001" s="274"/>
      <c r="H1001" s="274"/>
      <c r="I1001" s="274"/>
      <c r="J1001" s="274"/>
      <c r="K1001" s="274"/>
      <c r="L1001" s="275"/>
      <c r="M1001" s="275"/>
      <c r="N1001" s="275"/>
      <c r="O1001" s="275"/>
      <c r="P1001" s="275"/>
      <c r="Q1001" s="274"/>
      <c r="R1001" s="274"/>
      <c r="S1001" s="274"/>
      <c r="T1001" s="274"/>
      <c r="U1001" s="274"/>
    </row>
    <row r="1002" spans="1:21" s="343" customFormat="1" ht="12" customHeight="1" x14ac:dyDescent="0.4">
      <c r="F1002" s="112"/>
      <c r="G1002" s="348"/>
      <c r="H1002" s="348"/>
      <c r="I1002" s="348"/>
      <c r="J1002" s="348"/>
      <c r="K1002" s="348"/>
      <c r="L1002" s="349"/>
      <c r="M1002" s="349"/>
      <c r="N1002" s="349"/>
      <c r="O1002" s="349"/>
      <c r="P1002" s="349"/>
      <c r="Q1002" s="348"/>
      <c r="R1002" s="348"/>
      <c r="S1002" s="348"/>
      <c r="T1002" s="348"/>
      <c r="U1002" s="274"/>
    </row>
    <row r="1003" spans="1:21" s="343" customFormat="1" ht="12" customHeight="1" x14ac:dyDescent="0.25">
      <c r="F1003" s="112"/>
      <c r="G1003" s="274"/>
      <c r="H1003" s="274"/>
      <c r="I1003" s="274"/>
      <c r="J1003" s="274"/>
      <c r="K1003" s="274"/>
      <c r="L1003" s="275"/>
      <c r="M1003" s="275"/>
      <c r="N1003" s="275"/>
      <c r="O1003" s="275"/>
      <c r="P1003" s="275"/>
      <c r="Q1003" s="274"/>
      <c r="R1003" s="274"/>
      <c r="S1003" s="274"/>
      <c r="T1003" s="274"/>
      <c r="U1003" s="274"/>
    </row>
    <row r="1004" spans="1:21" s="343" customFormat="1" ht="12" customHeight="1" x14ac:dyDescent="0.25">
      <c r="A1004" s="342"/>
      <c r="F1004" s="112"/>
      <c r="L1004" s="112"/>
      <c r="M1004" s="112"/>
      <c r="N1004" s="112"/>
      <c r="O1004" s="112"/>
      <c r="P1004" s="112"/>
    </row>
    <row r="1005" spans="1:21" s="343" customFormat="1" ht="12" customHeight="1" x14ac:dyDescent="0.25">
      <c r="A1005" s="342"/>
      <c r="F1005" s="112"/>
      <c r="L1005" s="112"/>
      <c r="M1005" s="112"/>
      <c r="N1005" s="112"/>
      <c r="O1005" s="112"/>
      <c r="P1005" s="112"/>
    </row>
    <row r="1006" spans="1:21" s="343" customFormat="1" ht="12" customHeight="1" x14ac:dyDescent="0.25">
      <c r="F1006" s="112"/>
      <c r="G1006" s="274"/>
      <c r="H1006" s="274"/>
      <c r="I1006" s="274"/>
      <c r="J1006" s="274"/>
      <c r="K1006" s="274"/>
      <c r="L1006" s="275"/>
      <c r="M1006" s="275"/>
      <c r="N1006" s="275"/>
      <c r="O1006" s="275"/>
      <c r="P1006" s="275"/>
      <c r="Q1006" s="274"/>
      <c r="R1006" s="274"/>
      <c r="S1006" s="274"/>
      <c r="T1006" s="274"/>
      <c r="U1006" s="274"/>
    </row>
    <row r="1007" spans="1:21" s="343" customFormat="1" ht="12" customHeight="1" x14ac:dyDescent="0.4">
      <c r="F1007" s="112"/>
      <c r="G1007" s="348"/>
      <c r="H1007" s="348"/>
      <c r="I1007" s="348"/>
      <c r="J1007" s="348"/>
      <c r="K1007" s="348"/>
      <c r="L1007" s="349"/>
      <c r="M1007" s="349"/>
      <c r="N1007" s="349"/>
      <c r="O1007" s="349"/>
      <c r="P1007" s="349"/>
      <c r="Q1007" s="348"/>
      <c r="R1007" s="348"/>
      <c r="S1007" s="348"/>
      <c r="T1007" s="348"/>
      <c r="U1007" s="274"/>
    </row>
    <row r="1008" spans="1:21" s="343" customFormat="1" ht="12" customHeight="1" x14ac:dyDescent="0.25">
      <c r="F1008" s="112"/>
      <c r="G1008" s="274"/>
      <c r="H1008" s="274"/>
      <c r="I1008" s="274"/>
      <c r="J1008" s="274"/>
      <c r="K1008" s="274"/>
      <c r="L1008" s="275"/>
      <c r="M1008" s="275"/>
      <c r="N1008" s="275"/>
      <c r="O1008" s="275"/>
      <c r="P1008" s="275"/>
      <c r="Q1008" s="274"/>
      <c r="R1008" s="274"/>
      <c r="S1008" s="274"/>
      <c r="T1008" s="274"/>
      <c r="U1008" s="274"/>
    </row>
    <row r="1009" spans="1:21" s="343" customFormat="1" ht="12" customHeight="1" x14ac:dyDescent="0.25">
      <c r="F1009" s="112"/>
      <c r="L1009" s="112"/>
      <c r="M1009" s="112"/>
      <c r="N1009" s="112"/>
      <c r="O1009" s="112"/>
      <c r="P1009" s="112"/>
    </row>
    <row r="1010" spans="1:21" s="343" customFormat="1" ht="12" customHeight="1" x14ac:dyDescent="0.25">
      <c r="A1010" s="342"/>
      <c r="F1010" s="112"/>
      <c r="L1010" s="112"/>
      <c r="M1010" s="112"/>
      <c r="N1010" s="112"/>
      <c r="O1010" s="112"/>
      <c r="P1010" s="112"/>
    </row>
    <row r="1011" spans="1:21" s="343" customFormat="1" ht="12" customHeight="1" x14ac:dyDescent="0.25">
      <c r="F1011" s="112"/>
      <c r="G1011" s="274"/>
      <c r="H1011" s="274"/>
      <c r="I1011" s="274"/>
      <c r="J1011" s="274"/>
      <c r="K1011" s="274"/>
      <c r="L1011" s="275"/>
      <c r="M1011" s="275"/>
      <c r="N1011" s="275"/>
      <c r="O1011" s="275"/>
      <c r="P1011" s="275"/>
      <c r="Q1011" s="274"/>
      <c r="R1011" s="274"/>
      <c r="S1011" s="274"/>
      <c r="T1011" s="274"/>
      <c r="U1011" s="274"/>
    </row>
    <row r="1012" spans="1:21" s="343" customFormat="1" ht="12" customHeight="1" x14ac:dyDescent="0.4">
      <c r="F1012" s="112"/>
      <c r="G1012" s="348"/>
      <c r="H1012" s="348"/>
      <c r="I1012" s="348"/>
      <c r="J1012" s="348"/>
      <c r="K1012" s="348"/>
      <c r="L1012" s="349"/>
      <c r="M1012" s="349"/>
      <c r="N1012" s="349"/>
      <c r="O1012" s="349"/>
      <c r="P1012" s="349"/>
      <c r="Q1012" s="348"/>
      <c r="R1012" s="348"/>
      <c r="S1012" s="348"/>
      <c r="T1012" s="348"/>
      <c r="U1012" s="274"/>
    </row>
    <row r="1013" spans="1:21" s="343" customFormat="1" ht="12" customHeight="1" x14ac:dyDescent="0.25">
      <c r="F1013" s="112"/>
      <c r="G1013" s="274"/>
      <c r="H1013" s="274"/>
      <c r="I1013" s="274"/>
      <c r="J1013" s="274"/>
      <c r="K1013" s="274"/>
      <c r="L1013" s="275"/>
      <c r="M1013" s="275"/>
      <c r="N1013" s="275"/>
      <c r="O1013" s="275"/>
      <c r="P1013" s="275"/>
      <c r="Q1013" s="274"/>
      <c r="R1013" s="274"/>
      <c r="S1013" s="274"/>
      <c r="T1013" s="274"/>
      <c r="U1013" s="274"/>
    </row>
    <row r="1014" spans="1:21" s="343" customFormat="1" ht="12" customHeight="1" x14ac:dyDescent="0.25">
      <c r="F1014" s="112"/>
      <c r="G1014" s="274"/>
      <c r="H1014" s="274"/>
      <c r="I1014" s="274"/>
      <c r="J1014" s="274"/>
      <c r="K1014" s="274"/>
      <c r="L1014" s="275"/>
      <c r="M1014" s="275"/>
      <c r="N1014" s="275"/>
      <c r="O1014" s="275"/>
      <c r="P1014" s="275"/>
      <c r="Q1014" s="274"/>
      <c r="R1014" s="274"/>
      <c r="S1014" s="274"/>
      <c r="T1014" s="274"/>
      <c r="U1014" s="274"/>
    </row>
    <row r="1015" spans="1:21" s="343" customFormat="1" ht="12" customHeight="1" x14ac:dyDescent="0.25">
      <c r="A1015" s="342"/>
      <c r="F1015" s="112"/>
      <c r="L1015" s="112"/>
      <c r="M1015" s="112"/>
      <c r="N1015" s="112"/>
      <c r="O1015" s="112"/>
      <c r="P1015" s="112"/>
    </row>
    <row r="1016" spans="1:21" s="343" customFormat="1" ht="12" customHeight="1" x14ac:dyDescent="0.25">
      <c r="F1016" s="112"/>
      <c r="G1016" s="274"/>
      <c r="H1016" s="274"/>
      <c r="I1016" s="274"/>
      <c r="J1016" s="274"/>
      <c r="K1016" s="274"/>
      <c r="L1016" s="275"/>
      <c r="M1016" s="275"/>
      <c r="N1016" s="275"/>
      <c r="O1016" s="275"/>
      <c r="P1016" s="275"/>
      <c r="Q1016" s="274"/>
      <c r="R1016" s="274"/>
      <c r="S1016" s="274"/>
      <c r="T1016" s="274"/>
      <c r="U1016" s="274"/>
    </row>
    <row r="1017" spans="1:21" s="343" customFormat="1" ht="12" customHeight="1" x14ac:dyDescent="0.4">
      <c r="F1017" s="112"/>
      <c r="G1017" s="348"/>
      <c r="H1017" s="348"/>
      <c r="I1017" s="348"/>
      <c r="J1017" s="348"/>
      <c r="K1017" s="348"/>
      <c r="L1017" s="349"/>
      <c r="M1017" s="349"/>
      <c r="N1017" s="349"/>
      <c r="O1017" s="349"/>
      <c r="P1017" s="349"/>
      <c r="Q1017" s="348"/>
      <c r="R1017" s="348"/>
      <c r="S1017" s="348"/>
      <c r="T1017" s="348"/>
      <c r="U1017" s="274"/>
    </row>
    <row r="1018" spans="1:21" s="343" customFormat="1" ht="12" customHeight="1" x14ac:dyDescent="0.25">
      <c r="F1018" s="112"/>
      <c r="G1018" s="274"/>
      <c r="H1018" s="274"/>
      <c r="I1018" s="274"/>
      <c r="J1018" s="274"/>
      <c r="K1018" s="274"/>
      <c r="L1018" s="275"/>
      <c r="M1018" s="275"/>
      <c r="N1018" s="275"/>
      <c r="O1018" s="275"/>
      <c r="P1018" s="275"/>
      <c r="Q1018" s="274"/>
      <c r="R1018" s="274"/>
      <c r="S1018" s="274"/>
      <c r="T1018" s="274"/>
      <c r="U1018" s="274"/>
    </row>
    <row r="1019" spans="1:21" s="343" customFormat="1" ht="12" customHeight="1" x14ac:dyDescent="0.25">
      <c r="F1019" s="112"/>
      <c r="G1019" s="274"/>
      <c r="H1019" s="274"/>
      <c r="I1019" s="274"/>
      <c r="J1019" s="274"/>
      <c r="K1019" s="274"/>
      <c r="L1019" s="275"/>
      <c r="M1019" s="275"/>
      <c r="N1019" s="275"/>
      <c r="O1019" s="275"/>
      <c r="P1019" s="275"/>
      <c r="Q1019" s="274"/>
      <c r="R1019" s="274"/>
      <c r="S1019" s="274"/>
      <c r="T1019" s="274"/>
      <c r="U1019" s="274"/>
    </row>
    <row r="1020" spans="1:21" s="343" customFormat="1" ht="12" customHeight="1" x14ac:dyDescent="0.25">
      <c r="A1020" s="342"/>
      <c r="F1020" s="112"/>
      <c r="L1020" s="112"/>
      <c r="M1020" s="112"/>
      <c r="N1020" s="112"/>
      <c r="O1020" s="112"/>
      <c r="P1020" s="112"/>
    </row>
    <row r="1021" spans="1:21" s="343" customFormat="1" ht="12" customHeight="1" x14ac:dyDescent="0.25">
      <c r="F1021" s="112"/>
      <c r="G1021" s="274"/>
      <c r="H1021" s="274"/>
      <c r="I1021" s="274"/>
      <c r="J1021" s="274"/>
      <c r="K1021" s="274"/>
      <c r="L1021" s="275"/>
      <c r="M1021" s="275"/>
      <c r="N1021" s="275"/>
      <c r="O1021" s="275"/>
      <c r="P1021" s="275"/>
      <c r="Q1021" s="274"/>
      <c r="R1021" s="274"/>
      <c r="S1021" s="274"/>
      <c r="T1021" s="274"/>
      <c r="U1021" s="274"/>
    </row>
    <row r="1022" spans="1:21" s="343" customFormat="1" ht="12" customHeight="1" x14ac:dyDescent="0.4">
      <c r="F1022" s="112"/>
      <c r="G1022" s="348"/>
      <c r="H1022" s="348"/>
      <c r="I1022" s="348"/>
      <c r="J1022" s="348"/>
      <c r="K1022" s="348"/>
      <c r="L1022" s="349"/>
      <c r="M1022" s="349"/>
      <c r="N1022" s="349"/>
      <c r="O1022" s="349"/>
      <c r="P1022" s="349"/>
      <c r="Q1022" s="348"/>
      <c r="R1022" s="348"/>
      <c r="S1022" s="348"/>
      <c r="T1022" s="348"/>
      <c r="U1022" s="274"/>
    </row>
    <row r="1023" spans="1:21" s="343" customFormat="1" ht="12" customHeight="1" x14ac:dyDescent="0.25">
      <c r="F1023" s="112"/>
      <c r="G1023" s="274"/>
      <c r="H1023" s="274"/>
      <c r="I1023" s="274"/>
      <c r="J1023" s="274"/>
      <c r="K1023" s="274"/>
      <c r="L1023" s="275"/>
      <c r="M1023" s="275"/>
      <c r="N1023" s="275"/>
      <c r="O1023" s="275"/>
      <c r="P1023" s="275"/>
      <c r="Q1023" s="274"/>
      <c r="R1023" s="274"/>
      <c r="S1023" s="274"/>
      <c r="T1023" s="274"/>
      <c r="U1023" s="274"/>
    </row>
    <row r="1024" spans="1:21" s="343" customFormat="1" ht="12" customHeight="1" x14ac:dyDescent="0.25">
      <c r="F1024" s="112"/>
      <c r="L1024" s="112"/>
      <c r="M1024" s="112"/>
      <c r="N1024" s="112"/>
      <c r="O1024" s="112"/>
      <c r="P1024" s="112"/>
    </row>
    <row r="1025" spans="1:21" s="343" customFormat="1" ht="12" customHeight="1" x14ac:dyDescent="0.25">
      <c r="A1025" s="342"/>
      <c r="F1025" s="112"/>
      <c r="L1025" s="112"/>
      <c r="M1025" s="112"/>
      <c r="N1025" s="112"/>
      <c r="O1025" s="112"/>
      <c r="P1025" s="112"/>
    </row>
    <row r="1026" spans="1:21" s="343" customFormat="1" ht="12" customHeight="1" x14ac:dyDescent="0.25">
      <c r="F1026" s="112"/>
      <c r="G1026" s="274"/>
      <c r="H1026" s="274"/>
      <c r="I1026" s="274"/>
      <c r="J1026" s="274"/>
      <c r="K1026" s="274"/>
      <c r="L1026" s="275"/>
      <c r="M1026" s="275"/>
      <c r="N1026" s="275"/>
      <c r="O1026" s="275"/>
      <c r="P1026" s="275"/>
      <c r="Q1026" s="274"/>
      <c r="R1026" s="274"/>
      <c r="S1026" s="274"/>
      <c r="T1026" s="274"/>
      <c r="U1026" s="274"/>
    </row>
    <row r="1027" spans="1:21" s="343" customFormat="1" ht="12" customHeight="1" x14ac:dyDescent="0.4">
      <c r="F1027" s="112"/>
      <c r="G1027" s="348"/>
      <c r="H1027" s="348"/>
      <c r="I1027" s="348"/>
      <c r="J1027" s="348"/>
      <c r="K1027" s="348"/>
      <c r="L1027" s="349"/>
      <c r="M1027" s="349"/>
      <c r="N1027" s="349"/>
      <c r="O1027" s="349"/>
      <c r="P1027" s="349"/>
      <c r="Q1027" s="348"/>
      <c r="R1027" s="348"/>
      <c r="S1027" s="348"/>
      <c r="T1027" s="348"/>
      <c r="U1027" s="274"/>
    </row>
    <row r="1028" spans="1:21" s="343" customFormat="1" ht="12" customHeight="1" x14ac:dyDescent="0.25">
      <c r="F1028" s="112"/>
      <c r="G1028" s="274"/>
      <c r="H1028" s="274"/>
      <c r="I1028" s="274"/>
      <c r="J1028" s="274"/>
      <c r="K1028" s="274"/>
      <c r="L1028" s="275"/>
      <c r="M1028" s="275"/>
      <c r="N1028" s="275"/>
      <c r="O1028" s="275"/>
      <c r="P1028" s="275"/>
      <c r="Q1028" s="274"/>
      <c r="R1028" s="274"/>
      <c r="S1028" s="274"/>
      <c r="T1028" s="274"/>
      <c r="U1028" s="274"/>
    </row>
    <row r="1029" spans="1:21" s="343" customFormat="1" ht="12" customHeight="1" x14ac:dyDescent="0.25">
      <c r="F1029" s="112"/>
      <c r="L1029" s="112"/>
      <c r="M1029" s="112"/>
      <c r="N1029" s="112"/>
      <c r="O1029" s="112"/>
      <c r="P1029" s="112"/>
    </row>
    <row r="1030" spans="1:21" s="343" customFormat="1" ht="12" customHeight="1" x14ac:dyDescent="0.25">
      <c r="A1030" s="342"/>
      <c r="F1030" s="112"/>
      <c r="L1030" s="112"/>
      <c r="M1030" s="112"/>
      <c r="N1030" s="112"/>
      <c r="O1030" s="112"/>
      <c r="P1030" s="112"/>
    </row>
    <row r="1031" spans="1:21" s="343" customFormat="1" ht="12" customHeight="1" x14ac:dyDescent="0.25">
      <c r="F1031" s="112"/>
      <c r="G1031" s="274"/>
      <c r="H1031" s="274"/>
      <c r="I1031" s="274"/>
      <c r="J1031" s="274"/>
      <c r="K1031" s="274"/>
      <c r="L1031" s="275"/>
      <c r="M1031" s="275"/>
      <c r="N1031" s="275"/>
      <c r="O1031" s="275"/>
      <c r="P1031" s="275"/>
      <c r="Q1031" s="274"/>
      <c r="R1031" s="274"/>
      <c r="S1031" s="274"/>
      <c r="T1031" s="274"/>
      <c r="U1031" s="274"/>
    </row>
    <row r="1032" spans="1:21" s="343" customFormat="1" ht="12" customHeight="1" x14ac:dyDescent="0.4">
      <c r="F1032" s="112"/>
      <c r="G1032" s="348"/>
      <c r="H1032" s="348"/>
      <c r="I1032" s="348"/>
      <c r="J1032" s="348"/>
      <c r="K1032" s="348"/>
      <c r="L1032" s="349"/>
      <c r="M1032" s="349"/>
      <c r="N1032" s="349"/>
      <c r="O1032" s="349"/>
      <c r="P1032" s="349"/>
      <c r="Q1032" s="348"/>
      <c r="R1032" s="348"/>
      <c r="S1032" s="348"/>
      <c r="T1032" s="348"/>
      <c r="U1032" s="274"/>
    </row>
    <row r="1033" spans="1:21" s="343" customFormat="1" ht="12" customHeight="1" x14ac:dyDescent="0.25">
      <c r="F1033" s="112"/>
      <c r="G1033" s="274"/>
      <c r="H1033" s="274"/>
      <c r="I1033" s="274"/>
      <c r="J1033" s="274"/>
      <c r="K1033" s="274"/>
      <c r="L1033" s="275"/>
      <c r="M1033" s="275"/>
      <c r="N1033" s="275"/>
      <c r="O1033" s="275"/>
      <c r="P1033" s="275"/>
      <c r="Q1033" s="274"/>
      <c r="R1033" s="274"/>
      <c r="S1033" s="274"/>
      <c r="T1033" s="274"/>
      <c r="U1033" s="274"/>
    </row>
    <row r="1034" spans="1:21" s="343" customFormat="1" ht="12" customHeight="1" x14ac:dyDescent="0.25">
      <c r="F1034" s="112"/>
      <c r="L1034" s="112"/>
      <c r="M1034" s="112"/>
      <c r="N1034" s="112"/>
      <c r="O1034" s="112"/>
      <c r="P1034" s="112"/>
    </row>
    <row r="1035" spans="1:21" s="343" customFormat="1" ht="12" customHeight="1" x14ac:dyDescent="0.25">
      <c r="A1035" s="342"/>
      <c r="F1035" s="112"/>
      <c r="L1035" s="112"/>
      <c r="M1035" s="112"/>
      <c r="N1035" s="112"/>
      <c r="O1035" s="112"/>
      <c r="P1035" s="112"/>
    </row>
    <row r="1036" spans="1:21" s="343" customFormat="1" ht="12" customHeight="1" x14ac:dyDescent="0.25">
      <c r="F1036" s="112"/>
      <c r="G1036" s="274"/>
      <c r="H1036" s="274"/>
      <c r="I1036" s="274"/>
      <c r="J1036" s="274"/>
      <c r="K1036" s="274"/>
      <c r="L1036" s="275"/>
      <c r="M1036" s="275"/>
      <c r="N1036" s="275"/>
      <c r="O1036" s="275"/>
      <c r="P1036" s="275"/>
      <c r="Q1036" s="274"/>
      <c r="R1036" s="274"/>
      <c r="S1036" s="274"/>
      <c r="T1036" s="274"/>
      <c r="U1036" s="274"/>
    </row>
    <row r="1037" spans="1:21" s="343" customFormat="1" ht="12" customHeight="1" x14ac:dyDescent="0.4">
      <c r="F1037" s="112"/>
      <c r="G1037" s="348"/>
      <c r="H1037" s="348"/>
      <c r="I1037" s="348"/>
      <c r="J1037" s="348"/>
      <c r="K1037" s="348"/>
      <c r="L1037" s="349"/>
      <c r="M1037" s="349"/>
      <c r="N1037" s="349"/>
      <c r="O1037" s="349"/>
      <c r="P1037" s="349"/>
      <c r="Q1037" s="348"/>
      <c r="R1037" s="348"/>
      <c r="S1037" s="348"/>
      <c r="T1037" s="348"/>
      <c r="U1037" s="348"/>
    </row>
    <row r="1038" spans="1:21" s="343" customFormat="1" ht="12" customHeight="1" x14ac:dyDescent="0.25">
      <c r="F1038" s="112"/>
      <c r="G1038" s="274"/>
      <c r="H1038" s="274"/>
      <c r="I1038" s="274"/>
      <c r="J1038" s="274"/>
      <c r="K1038" s="274"/>
      <c r="L1038" s="275"/>
      <c r="M1038" s="275"/>
      <c r="N1038" s="275"/>
      <c r="O1038" s="275"/>
      <c r="P1038" s="275"/>
      <c r="Q1038" s="274"/>
      <c r="R1038" s="274"/>
      <c r="S1038" s="274"/>
      <c r="T1038" s="274"/>
      <c r="U1038" s="274"/>
    </row>
    <row r="1039" spans="1:21" s="343" customFormat="1" ht="12" customHeight="1" x14ac:dyDescent="0.25">
      <c r="F1039" s="112"/>
      <c r="L1039" s="112"/>
      <c r="M1039" s="112"/>
      <c r="N1039" s="112"/>
      <c r="O1039" s="112"/>
      <c r="P1039" s="112"/>
    </row>
    <row r="1040" spans="1:21" s="343" customFormat="1" ht="12" customHeight="1" x14ac:dyDescent="0.25">
      <c r="A1040" s="342"/>
      <c r="F1040" s="112"/>
      <c r="L1040" s="112"/>
      <c r="M1040" s="112"/>
      <c r="N1040" s="112"/>
      <c r="O1040" s="112"/>
      <c r="P1040" s="112"/>
    </row>
    <row r="1041" spans="6:21" s="343" customFormat="1" ht="12" customHeight="1" x14ac:dyDescent="0.25">
      <c r="F1041" s="112"/>
      <c r="G1041" s="350"/>
      <c r="H1041" s="350"/>
      <c r="I1041" s="350"/>
      <c r="J1041" s="350"/>
      <c r="K1041" s="350"/>
      <c r="L1041" s="351"/>
      <c r="M1041" s="351"/>
      <c r="N1041" s="351"/>
      <c r="O1041" s="351"/>
      <c r="P1041" s="351"/>
      <c r="Q1041" s="350"/>
      <c r="R1041" s="350"/>
      <c r="S1041" s="350"/>
      <c r="T1041" s="350"/>
      <c r="U1041" s="350"/>
    </row>
    <row r="1042" spans="6:21" s="343" customFormat="1" ht="12" customHeight="1" x14ac:dyDescent="0.4">
      <c r="F1042" s="112"/>
      <c r="G1042" s="352"/>
      <c r="H1042" s="352"/>
      <c r="I1042" s="352"/>
      <c r="J1042" s="352"/>
      <c r="K1042" s="352"/>
      <c r="L1042" s="353"/>
      <c r="M1042" s="353"/>
      <c r="N1042" s="353"/>
      <c r="O1042" s="353"/>
      <c r="P1042" s="353"/>
      <c r="Q1042" s="352"/>
      <c r="R1042" s="352"/>
      <c r="S1042" s="352"/>
      <c r="T1042" s="352"/>
      <c r="U1042" s="352"/>
    </row>
    <row r="1043" spans="6:21" s="343" customFormat="1" ht="12" customHeight="1" x14ac:dyDescent="0.25">
      <c r="F1043" s="112"/>
      <c r="G1043" s="350"/>
      <c r="H1043" s="350"/>
      <c r="I1043" s="350"/>
      <c r="J1043" s="350"/>
      <c r="K1043" s="350"/>
      <c r="L1043" s="351"/>
      <c r="M1043" s="351"/>
      <c r="N1043" s="351"/>
      <c r="O1043" s="351"/>
      <c r="P1043" s="351"/>
      <c r="Q1043" s="350"/>
      <c r="R1043" s="350"/>
      <c r="S1043" s="350"/>
      <c r="T1043" s="350"/>
      <c r="U1043" s="350"/>
    </row>
    <row r="1044" spans="6:21" s="343" customFormat="1" ht="12" customHeight="1" x14ac:dyDescent="0.25">
      <c r="F1044" s="112"/>
      <c r="L1044" s="112"/>
      <c r="M1044" s="112"/>
      <c r="N1044" s="112"/>
      <c r="O1044" s="112"/>
      <c r="P1044" s="112"/>
    </row>
    <row r="1045" spans="6:21" s="343" customFormat="1" ht="12" customHeight="1" x14ac:dyDescent="0.25">
      <c r="F1045" s="112"/>
      <c r="L1045" s="112"/>
      <c r="M1045" s="112"/>
      <c r="N1045" s="112"/>
      <c r="O1045" s="112"/>
      <c r="P1045" s="112"/>
      <c r="Q1045" s="274"/>
    </row>
    <row r="1046" spans="6:21" s="343" customFormat="1" ht="12" customHeight="1" x14ac:dyDescent="0.25">
      <c r="F1046" s="112"/>
      <c r="G1046" s="276"/>
      <c r="L1046" s="112"/>
      <c r="M1046" s="112"/>
      <c r="N1046" s="112"/>
      <c r="O1046" s="354"/>
      <c r="P1046" s="277"/>
      <c r="Q1046" s="274"/>
      <c r="R1046" s="274"/>
      <c r="S1046" s="274"/>
      <c r="T1046" s="274"/>
    </row>
    <row r="1047" spans="6:21" s="343" customFormat="1" ht="12" customHeight="1" x14ac:dyDescent="0.25">
      <c r="F1047" s="112"/>
      <c r="G1047" s="276"/>
      <c r="L1047" s="112"/>
      <c r="M1047" s="112"/>
      <c r="N1047" s="112"/>
      <c r="O1047" s="354"/>
      <c r="P1047" s="277"/>
    </row>
    <row r="1048" spans="6:21" s="343" customFormat="1" ht="12" customHeight="1" x14ac:dyDescent="0.25">
      <c r="F1048" s="112"/>
      <c r="G1048" s="276"/>
      <c r="L1048" s="112"/>
      <c r="M1048" s="112"/>
      <c r="N1048" s="112"/>
      <c r="O1048" s="354"/>
      <c r="P1048" s="277"/>
    </row>
    <row r="1049" spans="6:21" s="343" customFormat="1" ht="12" customHeight="1" x14ac:dyDescent="0.25">
      <c r="F1049" s="112"/>
      <c r="G1049" s="355"/>
      <c r="L1049" s="112"/>
      <c r="M1049" s="112"/>
      <c r="N1049" s="112"/>
      <c r="O1049" s="112"/>
      <c r="P1049" s="354"/>
    </row>
    <row r="1050" spans="6:21" s="343" customFormat="1" ht="12" customHeight="1" x14ac:dyDescent="0.25">
      <c r="F1050" s="112"/>
      <c r="L1050" s="112"/>
      <c r="M1050" s="112"/>
      <c r="N1050" s="112"/>
      <c r="O1050" s="112"/>
      <c r="P1050" s="112"/>
    </row>
    <row r="1051" spans="6:21" s="343" customFormat="1" ht="12" customHeight="1" x14ac:dyDescent="0.25">
      <c r="F1051" s="112"/>
      <c r="G1051" s="356"/>
      <c r="L1051" s="112"/>
      <c r="M1051" s="112"/>
      <c r="N1051" s="112"/>
      <c r="O1051" s="112"/>
      <c r="P1051" s="236"/>
    </row>
    <row r="1052" spans="6:21" s="343" customFormat="1" ht="12" customHeight="1" x14ac:dyDescent="0.25">
      <c r="F1052" s="112"/>
      <c r="G1052" s="356"/>
      <c r="L1052" s="112"/>
      <c r="M1052" s="112"/>
      <c r="N1052" s="112"/>
      <c r="O1052" s="112"/>
      <c r="P1052" s="236"/>
    </row>
    <row r="1053" spans="6:21" s="343" customFormat="1" ht="12" customHeight="1" x14ac:dyDescent="0.25">
      <c r="F1053" s="112"/>
      <c r="G1053" s="356"/>
      <c r="L1053" s="112"/>
      <c r="M1053" s="112"/>
      <c r="N1053" s="112"/>
      <c r="O1053" s="112"/>
      <c r="P1053" s="236"/>
    </row>
    <row r="1054" spans="6:21" s="343" customFormat="1" ht="12" customHeight="1" x14ac:dyDescent="0.25">
      <c r="F1054" s="112"/>
      <c r="G1054" s="357"/>
      <c r="L1054" s="112"/>
      <c r="M1054" s="112"/>
      <c r="N1054" s="112"/>
      <c r="O1054" s="112"/>
      <c r="P1054" s="358"/>
    </row>
    <row r="1055" spans="6:21" s="343" customFormat="1" ht="12" customHeight="1" x14ac:dyDescent="0.25">
      <c r="F1055" s="112"/>
      <c r="L1055" s="112"/>
      <c r="M1055" s="112"/>
      <c r="N1055" s="112"/>
      <c r="O1055" s="112"/>
      <c r="P1055" s="112"/>
    </row>
    <row r="1056" spans="6:21" s="343" customFormat="1" ht="12" customHeight="1" x14ac:dyDescent="0.25">
      <c r="F1056" s="112"/>
      <c r="L1056" s="112"/>
      <c r="M1056" s="112"/>
      <c r="N1056" s="112"/>
      <c r="O1056" s="112"/>
      <c r="P1056" s="236"/>
    </row>
    <row r="1057" spans="6:32" s="343" customFormat="1" ht="12" customHeight="1" x14ac:dyDescent="0.25">
      <c r="F1057" s="112"/>
      <c r="L1057" s="112"/>
      <c r="M1057" s="112"/>
      <c r="N1057" s="112"/>
      <c r="O1057" s="112"/>
      <c r="P1057" s="236"/>
    </row>
    <row r="1058" spans="6:32" s="343" customFormat="1" ht="12" customHeight="1" x14ac:dyDescent="0.25">
      <c r="F1058" s="112"/>
      <c r="L1058" s="112"/>
      <c r="M1058" s="112"/>
      <c r="N1058" s="112"/>
      <c r="O1058" s="112"/>
      <c r="P1058" s="236"/>
    </row>
    <row r="1059" spans="6:32" s="343" customFormat="1" ht="12" customHeight="1" x14ac:dyDescent="0.25">
      <c r="F1059" s="112"/>
      <c r="L1059" s="112"/>
      <c r="M1059" s="112"/>
      <c r="N1059" s="112"/>
      <c r="O1059" s="112"/>
      <c r="P1059" s="358"/>
      <c r="AA1059" s="112"/>
      <c r="AB1059" s="112"/>
      <c r="AC1059" s="112"/>
      <c r="AD1059" s="112"/>
      <c r="AE1059" s="112"/>
      <c r="AF1059" s="112"/>
    </row>
    <row r="1060" spans="6:32" s="343" customFormat="1" ht="12" customHeight="1" x14ac:dyDescent="0.25">
      <c r="F1060" s="112"/>
      <c r="L1060" s="112"/>
      <c r="M1060" s="112"/>
      <c r="N1060" s="112"/>
      <c r="O1060" s="112"/>
      <c r="P1060" s="112"/>
      <c r="AA1060" s="112"/>
      <c r="AB1060" s="112"/>
      <c r="AC1060" s="112"/>
      <c r="AD1060" s="112"/>
      <c r="AE1060" s="112"/>
      <c r="AF1060" s="112"/>
    </row>
    <row r="1061" spans="6:32" s="112" customFormat="1" ht="12" customHeight="1" x14ac:dyDescent="0.25"/>
    <row r="1062" spans="6:32" s="112" customFormat="1" ht="12" customHeight="1" x14ac:dyDescent="0.25"/>
    <row r="1064" spans="6:32" ht="12" customHeight="1" x14ac:dyDescent="0.25">
      <c r="G1064" s="272"/>
      <c r="H1064" s="272"/>
      <c r="I1064" s="272"/>
      <c r="J1064" s="272"/>
      <c r="K1064" s="272"/>
      <c r="L1064" s="273"/>
      <c r="M1064" s="273"/>
      <c r="N1064" s="273"/>
      <c r="O1064" s="273"/>
      <c r="P1064" s="273"/>
      <c r="Q1064" s="272"/>
      <c r="R1064" s="272"/>
      <c r="S1064" s="272"/>
      <c r="T1064" s="272"/>
    </row>
  </sheetData>
  <autoFilter ref="D2:E1064"/>
  <phoneticPr fontId="0" type="noConversion"/>
  <conditionalFormatting sqref="X936:X945 X948:X956 X958 X961:X970 X914 X918 X921:X922 X925 X881:X886 X888:X893 X848:X857 X873:X879 X895:X900 X833 X836:X841 X843:X845 X860:X869 X783 X785 X787 X789 X791:X792 X768 X770 X772:X776 X729 X734:X742 X714:X715 X717:X727 X668 X671:X679 X681 X683 X685 X701 X703 X705 X707 X8:X14 X17:X20 X23 X26 X29:X34 X37:X39 X42 X45 X48 X51 X54 X57 X59 X66:X72 X75:X78 X81 X84 X87:X92 X95:X97 X100 X103 X106 X109 X112 X115 X117 X123:X129 X132:X135 X138 X141 X144:X149 X152:X154 X157 X160 X163 X166 X169 X172 X174 X180:X186 X189:X192 X195 X198 X201:X206 X209:X211 X214 X217 X220 X223 X226 X229 X231 X237:X243 X246:X249 X252 X255 X258:X263 X266:X268 X271 X274 X277 X280 X283 X286 X288 X294:X300 X303:X306 X309 X312 X315:X320 X323:X325 X328 X331 X334 X337 X340 X343 X345 X351:X357 X360:X363 X366 X369 X372:X377 X380:X382 X385 X388 X391 X394 X397 X400 X402 X408:X414 X417:X420 X423 X426 X429:X434 X437:X439 X442 X445 X448 X451 X454 X457 X459 X465:X471 X474:X477 X480 X483 X486:X491 X494:X496 X499 X502 X505 X508 X511 X514 X516 X523:X529 X532:X535 X538 X541 X544:X549 X552:X554 X557 X560 X563 X566 X569 X572 X574 X585:X591 X594:X597 X600 X603 X606:X611 X614:X616 X619 X622 X625 X628 X631 X634 X636 X651:X666 X745:X766 X927 X903:X912">
    <cfRule type="cellIs" dxfId="1" priority="10" stopIfTrue="1" operator="notEqual">
      <formula>""</formula>
    </cfRule>
  </conditionalFormatting>
  <conditionalFormatting sqref="X872">
    <cfRule type="cellIs" dxfId="0" priority="1" stopIfTrue="1" operator="notEqual">
      <formula>""</formula>
    </cfRule>
  </conditionalFormatting>
  <pageMargins left="0.5" right="0.25" top="1.8" bottom="0.5" header="0.74" footer="0.5"/>
  <pageSetup scale="55" pageOrder="overThenDown" orientation="landscape" r:id="rId1"/>
  <headerFooter alignWithMargins="0">
    <oddHeader>&amp;C&amp;"Times New Roman,Bold"&amp;12KENTUCKY UTILITIES COMPANY
Cost of Service Study
Class Allocation
12 Months Ended June 30, 2018
BIP METHODOLOGY&amp;RExhibit WSS-18
Page &amp;P of &amp;N</oddHeader>
  </headerFooter>
  <rowBreaks count="20" manualBreakCount="20">
    <brk id="62" min="5" max="19" man="1"/>
    <brk id="119" min="5" max="19" man="1"/>
    <brk id="176" min="5" max="19" man="1"/>
    <brk id="233" min="5" max="19" man="1"/>
    <brk id="290" min="5" max="19" man="1"/>
    <brk id="347" min="5" max="19" man="1"/>
    <brk id="404" min="5" max="19" man="1"/>
    <brk id="461" min="5" max="19" man="1"/>
    <brk id="519" min="5" max="19" man="1"/>
    <brk id="581" min="5" max="19" man="1"/>
    <brk id="647" min="5" max="19" man="1"/>
    <brk id="697" min="5" max="19" man="1"/>
    <brk id="708" max="16383" man="1"/>
    <brk id="730" min="5" max="19" man="1"/>
    <brk id="779" min="5" max="19" man="1"/>
    <brk id="792" max="16383" man="1"/>
    <brk id="828" min="5" max="19" man="1"/>
    <brk id="879" min="5" max="19" man="1"/>
    <brk id="931" max="31" man="1"/>
    <brk id="996" max="31" man="1"/>
  </rowBreaks>
  <colBreaks count="1" manualBreakCount="1">
    <brk id="13" min="3" max="9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62"/>
  <sheetViews>
    <sheetView view="pageBreakPreview" topLeftCell="A22" zoomScaleNormal="100" zoomScaleSheetLayoutView="100" workbookViewId="0">
      <selection activeCell="A25" sqref="A25"/>
    </sheetView>
  </sheetViews>
  <sheetFormatPr defaultRowHeight="13.8" x14ac:dyDescent="0.25"/>
  <cols>
    <col min="1" max="1" width="48.109375" bestFit="1" customWidth="1"/>
    <col min="3" max="3" width="19" style="202" bestFit="1" customWidth="1"/>
    <col min="4" max="4" width="19.6640625" style="202" customWidth="1"/>
    <col min="5" max="5" width="18" style="202" customWidth="1"/>
    <col min="6" max="6" width="18.88671875" style="203" customWidth="1"/>
    <col min="7" max="7" width="14.109375" customWidth="1"/>
    <col min="8" max="10" width="16.5546875" style="2" customWidth="1"/>
    <col min="12" max="14" width="15.6640625" style="2" customWidth="1"/>
    <col min="15" max="15" width="15.6640625" customWidth="1"/>
  </cols>
  <sheetData>
    <row r="1" spans="1:15" ht="17.399999999999999" hidden="1" x14ac:dyDescent="0.3">
      <c r="A1" s="4" t="s">
        <v>1427</v>
      </c>
    </row>
    <row r="2" spans="1:15" hidden="1" x14ac:dyDescent="0.25">
      <c r="A2" s="3" t="s">
        <v>2232</v>
      </c>
      <c r="B2" s="27"/>
      <c r="C2" s="204"/>
      <c r="D2" s="204"/>
      <c r="E2" s="204"/>
      <c r="F2" s="204"/>
      <c r="H2" s="436"/>
      <c r="I2" s="436"/>
      <c r="J2" s="436"/>
      <c r="L2" s="436"/>
      <c r="M2" s="436"/>
      <c r="N2" s="436"/>
      <c r="O2" s="436"/>
    </row>
    <row r="3" spans="1:15" hidden="1" x14ac:dyDescent="0.25">
      <c r="A3" s="206"/>
      <c r="B3" s="205"/>
      <c r="J3" s="203"/>
      <c r="O3" s="203"/>
    </row>
    <row r="4" spans="1:15" hidden="1" x14ac:dyDescent="0.25">
      <c r="A4" s="206"/>
      <c r="B4" s="205"/>
      <c r="D4" s="207" t="s">
        <v>2233</v>
      </c>
      <c r="E4" s="207" t="s">
        <v>2234</v>
      </c>
      <c r="F4" s="208"/>
      <c r="G4" s="209"/>
      <c r="J4" s="203"/>
      <c r="O4" s="203"/>
    </row>
    <row r="5" spans="1:15" ht="14.4" hidden="1" thickBot="1" x14ac:dyDescent="0.3">
      <c r="A5" s="210"/>
      <c r="B5" s="211"/>
      <c r="C5" s="212" t="s">
        <v>458</v>
      </c>
      <c r="D5" s="212" t="s">
        <v>2235</v>
      </c>
      <c r="E5" s="212" t="s">
        <v>2236</v>
      </c>
      <c r="F5" s="213" t="s">
        <v>193</v>
      </c>
      <c r="G5" s="212" t="s">
        <v>2237</v>
      </c>
      <c r="J5" s="203"/>
      <c r="O5" s="203"/>
    </row>
    <row r="6" spans="1:15" hidden="1" x14ac:dyDescent="0.25">
      <c r="A6" s="206"/>
      <c r="B6" s="205"/>
      <c r="J6" s="203"/>
      <c r="O6" s="203"/>
    </row>
    <row r="7" spans="1:15" hidden="1" x14ac:dyDescent="0.25">
      <c r="A7" s="43" t="s">
        <v>2238</v>
      </c>
      <c r="B7" s="205"/>
      <c r="C7" s="214">
        <f>'Allocation ProForma'!G668</f>
        <v>577558036.32237256</v>
      </c>
      <c r="D7" s="214">
        <f>'Allocation ProForma'!G681</f>
        <v>511761071.09090668</v>
      </c>
      <c r="E7" s="214">
        <f>C7-D7</f>
        <v>65796965.231465876</v>
      </c>
      <c r="F7" s="214">
        <f>'Allocation ProForma'!G685</f>
        <v>1716633054.3461716</v>
      </c>
      <c r="G7" s="215">
        <f>E7/F7</f>
        <v>3.8329079744142826E-2</v>
      </c>
      <c r="J7" s="203"/>
      <c r="O7" s="203"/>
    </row>
    <row r="8" spans="1:15" hidden="1" x14ac:dyDescent="0.25">
      <c r="A8" s="43" t="s">
        <v>2310</v>
      </c>
      <c r="B8" s="205"/>
      <c r="C8" s="2">
        <f>'Allocation ProForma'!H668</f>
        <v>199632188.59720656</v>
      </c>
      <c r="D8" s="2">
        <f>'Allocation ProForma'!H681</f>
        <v>160975707.94150111</v>
      </c>
      <c r="E8" s="2">
        <f>C8-D8</f>
        <v>38656480.655705452</v>
      </c>
      <c r="F8" s="2">
        <f>'Allocation ProForma'!H685</f>
        <v>441219651.03133303</v>
      </c>
      <c r="G8" s="215">
        <f>E8/F8</f>
        <v>8.7612780993202591E-2</v>
      </c>
      <c r="J8" s="203"/>
      <c r="O8" s="203"/>
    </row>
    <row r="9" spans="1:15" hidden="1" x14ac:dyDescent="0.25">
      <c r="A9" s="42" t="s">
        <v>2243</v>
      </c>
      <c r="B9" s="205"/>
      <c r="C9" s="5">
        <f>'Allocation ProForma'!J668</f>
        <v>11997673.987746205</v>
      </c>
      <c r="D9" s="5">
        <f>'Allocation ProForma'!J681</f>
        <v>10416804.556653442</v>
      </c>
      <c r="E9" s="5">
        <f>C9-D9</f>
        <v>1580869.4310927633</v>
      </c>
      <c r="F9" s="5">
        <f>'Allocation ProForma'!J685</f>
        <v>28182297.978403468</v>
      </c>
      <c r="G9" s="216">
        <f>E9/F9</f>
        <v>5.6094411900129933E-2</v>
      </c>
      <c r="J9" s="203"/>
      <c r="O9" s="203"/>
    </row>
    <row r="10" spans="1:15" hidden="1" x14ac:dyDescent="0.25">
      <c r="A10" s="42" t="s">
        <v>2240</v>
      </c>
      <c r="C10" s="2">
        <f>'Allocation ProForma'!L668</f>
        <v>173883934.54071742</v>
      </c>
      <c r="D10" s="2">
        <f>'Allocation ProForma'!L681</f>
        <v>142135131.60677165</v>
      </c>
      <c r="E10" s="5">
        <f>C10-D10</f>
        <v>31748802.933945775</v>
      </c>
      <c r="F10" s="2">
        <f>'Allocation ProForma'!L685</f>
        <v>347387075.53153688</v>
      </c>
      <c r="G10" s="215">
        <f>E10/F10</f>
        <v>9.1393161030435405E-2</v>
      </c>
    </row>
    <row r="11" spans="1:15" hidden="1" x14ac:dyDescent="0.25">
      <c r="A11" s="42" t="s">
        <v>2239</v>
      </c>
      <c r="C11" s="2">
        <f>'Allocation ProForma'!M668</f>
        <v>13909259.197503271</v>
      </c>
      <c r="D11" s="2">
        <f>'Allocation ProForma'!M681</f>
        <v>11125663.269262597</v>
      </c>
      <c r="E11" s="2">
        <f>C11-D11</f>
        <v>2783595.9282406736</v>
      </c>
      <c r="F11" s="2">
        <f>'Allocation ProForma'!M685</f>
        <v>25275870.378223237</v>
      </c>
      <c r="G11" s="215">
        <f>E11/F11</f>
        <v>0.11012858851495448</v>
      </c>
    </row>
    <row r="12" spans="1:15" hidden="1" x14ac:dyDescent="0.25">
      <c r="A12" s="42" t="s">
        <v>2254</v>
      </c>
      <c r="C12" s="2">
        <f>'Allocation ProForma'!N668</f>
        <v>116473231.72984052</v>
      </c>
      <c r="D12" s="2">
        <f>'Allocation ProForma'!N681</f>
        <v>100867010.7581795</v>
      </c>
      <c r="E12" s="2">
        <f t="shared" ref="E12:E19" si="0">C12-D12</f>
        <v>15606220.971661016</v>
      </c>
      <c r="F12" s="2">
        <f>'Allocation ProForma'!N685</f>
        <v>248673397.50148326</v>
      </c>
      <c r="G12" s="215">
        <f t="shared" ref="G12:G20" si="1">E12/F12</f>
        <v>6.2757903050598446E-2</v>
      </c>
    </row>
    <row r="13" spans="1:15" hidden="1" x14ac:dyDescent="0.25">
      <c r="A13" s="42" t="s">
        <v>2253</v>
      </c>
      <c r="B13" s="205"/>
      <c r="C13" s="2">
        <f>'Allocation ProForma'!O668</f>
        <v>250828327.75421491</v>
      </c>
      <c r="D13" s="2">
        <f>'Allocation ProForma'!O681</f>
        <v>224760229.39221784</v>
      </c>
      <c r="E13" s="2">
        <f t="shared" si="0"/>
        <v>26068098.361997068</v>
      </c>
      <c r="F13" s="2">
        <f>'Allocation ProForma'!O685</f>
        <v>533415050.36546725</v>
      </c>
      <c r="G13" s="215">
        <f t="shared" si="1"/>
        <v>4.8870196564826232E-2</v>
      </c>
    </row>
    <row r="14" spans="1:15" hidden="1" x14ac:dyDescent="0.25">
      <c r="A14" s="42" t="s">
        <v>2246</v>
      </c>
      <c r="B14" s="205"/>
      <c r="C14" s="2">
        <f>'Allocation ProForma'!P668</f>
        <v>86439484.209639043</v>
      </c>
      <c r="D14" s="2">
        <f>'Allocation ProForma'!P681</f>
        <v>77386478.95242697</v>
      </c>
      <c r="E14" s="2">
        <f t="shared" si="0"/>
        <v>9053005.2572120726</v>
      </c>
      <c r="F14" s="2">
        <f>'Allocation ProForma'!P685</f>
        <v>170797076.92138174</v>
      </c>
      <c r="G14" s="215">
        <f t="shared" si="1"/>
        <v>5.3004450780965003E-2</v>
      </c>
    </row>
    <row r="15" spans="1:15" hidden="1" x14ac:dyDescent="0.25">
      <c r="A15" s="43" t="s">
        <v>2247</v>
      </c>
      <c r="B15" s="205"/>
      <c r="C15" s="2">
        <f>'Allocation ProForma'!Q668</f>
        <v>29888103.763572749</v>
      </c>
      <c r="D15" s="2">
        <f>'Allocation ProForma'!Q681</f>
        <v>26385921.906142429</v>
      </c>
      <c r="E15" s="2">
        <f t="shared" si="0"/>
        <v>3502181.8574303202</v>
      </c>
      <c r="F15" s="2">
        <f>'Allocation ProForma'!Q685</f>
        <v>45005985.731704071</v>
      </c>
      <c r="G15" s="215">
        <f t="shared" si="1"/>
        <v>7.7815912716766453E-2</v>
      </c>
    </row>
    <row r="16" spans="1:15" hidden="1" x14ac:dyDescent="0.25">
      <c r="A16" s="43" t="s">
        <v>847</v>
      </c>
      <c r="B16" s="205"/>
      <c r="C16" s="218">
        <f>SUM(C17:C19)</f>
        <v>26352431.838061936</v>
      </c>
      <c r="D16" s="218">
        <f>SUM(D17:D19)</f>
        <v>18005664.662967511</v>
      </c>
      <c r="E16" s="218">
        <f>SUM(E17:E19)</f>
        <v>8346767.1750944275</v>
      </c>
      <c r="F16" s="218">
        <f>SUM(F17:F19)</f>
        <v>82490299.575312749</v>
      </c>
      <c r="G16" s="219">
        <f>E16/F16</f>
        <v>0.10118483285994033</v>
      </c>
    </row>
    <row r="17" spans="1:15" hidden="1" x14ac:dyDescent="0.25">
      <c r="A17" s="43" t="s">
        <v>2248</v>
      </c>
      <c r="B17" s="205"/>
      <c r="C17" s="5">
        <f>'Allocation ProForma'!R668</f>
        <v>26166186.181470577</v>
      </c>
      <c r="D17" s="5">
        <f>'Allocation ProForma'!R681</f>
        <v>17854042.977277666</v>
      </c>
      <c r="E17" s="5">
        <f t="shared" si="0"/>
        <v>8312143.2041929103</v>
      </c>
      <c r="F17" s="5">
        <f>'Allocation ProForma'!R685</f>
        <v>82196367.310438812</v>
      </c>
      <c r="G17" s="216">
        <f t="shared" si="1"/>
        <v>0.10112543262161029</v>
      </c>
    </row>
    <row r="18" spans="1:15" hidden="1" x14ac:dyDescent="0.25">
      <c r="A18" s="42" t="s">
        <v>2249</v>
      </c>
      <c r="B18" s="205"/>
      <c r="C18" s="2">
        <f>'Allocation ProForma'!S668</f>
        <v>29690.626642426691</v>
      </c>
      <c r="D18" s="2">
        <f>'Allocation ProForma'!S681</f>
        <v>22610.975639785425</v>
      </c>
      <c r="E18" s="5">
        <f t="shared" si="0"/>
        <v>7079.6510026412652</v>
      </c>
      <c r="F18" s="2">
        <f>'Allocation ProForma'!S685</f>
        <v>15193.548301309937</v>
      </c>
      <c r="G18" s="215">
        <f t="shared" si="1"/>
        <v>0.46596429367528858</v>
      </c>
    </row>
    <row r="19" spans="1:15" hidden="1" x14ac:dyDescent="0.25">
      <c r="A19" s="217" t="s">
        <v>2250</v>
      </c>
      <c r="B19" s="152"/>
      <c r="C19" s="218">
        <f>'Allocation ProForma'!T668</f>
        <v>156555.02994893212</v>
      </c>
      <c r="D19" s="218">
        <f>'Allocation ProForma'!T681</f>
        <v>129010.71005005603</v>
      </c>
      <c r="E19" s="218">
        <f t="shared" si="0"/>
        <v>27544.319898876085</v>
      </c>
      <c r="F19" s="218">
        <f>'Allocation ProForma'!T685</f>
        <v>278738.71657262801</v>
      </c>
      <c r="G19" s="219">
        <f t="shared" si="1"/>
        <v>9.8817703681645358E-2</v>
      </c>
    </row>
    <row r="20" spans="1:15" hidden="1" x14ac:dyDescent="0.25">
      <c r="C20" s="2">
        <f>SUM(C7:C16)</f>
        <v>1486962671.9408755</v>
      </c>
      <c r="D20" s="2">
        <f>SUM(D7:D16)</f>
        <v>1283819684.1370296</v>
      </c>
      <c r="E20" s="2">
        <f>SUM(E7:E16)</f>
        <v>203142987.80384547</v>
      </c>
      <c r="F20" s="2">
        <f>SUM(F7:F16)</f>
        <v>3639079759.3610182</v>
      </c>
      <c r="G20" s="215">
        <f t="shared" si="1"/>
        <v>5.5822625838658484E-2</v>
      </c>
    </row>
    <row r="21" spans="1:15" hidden="1" x14ac:dyDescent="0.25">
      <c r="B21" s="205"/>
      <c r="C21" s="220"/>
      <c r="D21" s="220"/>
      <c r="E21" s="221"/>
      <c r="F21" s="5"/>
      <c r="G21" s="216"/>
    </row>
    <row r="22" spans="1:15" ht="17.399999999999999" x14ac:dyDescent="0.3">
      <c r="A22" s="4" t="s">
        <v>1427</v>
      </c>
      <c r="B22" s="205"/>
    </row>
    <row r="23" spans="1:15" x14ac:dyDescent="0.25">
      <c r="A23" s="3" t="s">
        <v>2241</v>
      </c>
    </row>
    <row r="25" spans="1:15" x14ac:dyDescent="0.25">
      <c r="A25" s="206"/>
      <c r="B25" s="205"/>
      <c r="D25" s="207" t="s">
        <v>2233</v>
      </c>
      <c r="E25" s="207" t="s">
        <v>2234</v>
      </c>
      <c r="F25" s="208"/>
      <c r="G25" s="209"/>
      <c r="H25" s="89"/>
      <c r="I25" s="193"/>
      <c r="J25" s="203"/>
      <c r="O25" s="203"/>
    </row>
    <row r="26" spans="1:15" ht="14.4" thickBot="1" x14ac:dyDescent="0.3">
      <c r="A26" s="210"/>
      <c r="B26" s="211"/>
      <c r="C26" s="212" t="s">
        <v>458</v>
      </c>
      <c r="D26" s="212" t="s">
        <v>2235</v>
      </c>
      <c r="E26" s="212" t="s">
        <v>2236</v>
      </c>
      <c r="F26" s="213" t="s">
        <v>193</v>
      </c>
      <c r="G26" s="212" t="s">
        <v>2237</v>
      </c>
      <c r="H26" s="333"/>
      <c r="I26" s="193"/>
      <c r="J26" s="203"/>
      <c r="O26" s="203"/>
    </row>
    <row r="27" spans="1:15" x14ac:dyDescent="0.25">
      <c r="A27" s="206"/>
      <c r="B27" s="205"/>
      <c r="H27" s="193"/>
      <c r="I27" s="193"/>
      <c r="J27" s="203"/>
      <c r="O27" s="203"/>
    </row>
    <row r="28" spans="1:15" x14ac:dyDescent="0.25">
      <c r="A28" s="43" t="s">
        <v>2238</v>
      </c>
      <c r="B28" s="205"/>
      <c r="C28" s="214">
        <f>'Allocation ProForma'!G729</f>
        <v>576948070.88843322</v>
      </c>
      <c r="D28" s="214">
        <f>'Allocation ProForma'!G768</f>
        <v>511408192.39446807</v>
      </c>
      <c r="E28" s="214">
        <f t="shared" ref="E28:E40" si="2">C28-D28</f>
        <v>65539878.493965149</v>
      </c>
      <c r="F28" s="214">
        <f>'Allocation ProForma'!G776</f>
        <v>1716633054.3461716</v>
      </c>
      <c r="G28" s="215">
        <f t="shared" ref="G28:G41" si="3">E28/F28</f>
        <v>3.8179317547236601E-2</v>
      </c>
      <c r="H28" s="334"/>
      <c r="I28" s="334"/>
      <c r="J28" s="203"/>
      <c r="O28" s="203"/>
    </row>
    <row r="29" spans="1:15" x14ac:dyDescent="0.25">
      <c r="A29" s="43" t="s">
        <v>2340</v>
      </c>
      <c r="B29" s="205"/>
      <c r="C29" s="2">
        <f>'Allocation ProForma'!H729</f>
        <v>199263423.0355289</v>
      </c>
      <c r="D29" s="2">
        <f>'Allocation ProForma'!H768</f>
        <v>160822533.94149303</v>
      </c>
      <c r="E29" s="2">
        <f>C29-D29</f>
        <v>38440889.094035864</v>
      </c>
      <c r="F29" s="2">
        <f>'Allocation ProForma'!H776</f>
        <v>441219651.03133303</v>
      </c>
      <c r="G29" s="215">
        <f>E29/F29</f>
        <v>8.712415461138652E-2</v>
      </c>
      <c r="H29" s="193"/>
      <c r="I29" s="193"/>
      <c r="J29" s="203"/>
      <c r="O29" s="203"/>
    </row>
    <row r="30" spans="1:15" x14ac:dyDescent="0.25">
      <c r="A30" s="42" t="s">
        <v>2243</v>
      </c>
      <c r="B30" s="205"/>
      <c r="C30" s="5">
        <f>'Allocation ProForma'!J729</f>
        <v>11974301.202798663</v>
      </c>
      <c r="D30" s="5">
        <f>'Allocation ProForma'!J768</f>
        <v>10408632.142034343</v>
      </c>
      <c r="E30" s="5">
        <f>C30-D30</f>
        <v>1565669.0607643202</v>
      </c>
      <c r="F30" s="5">
        <f>'Allocation ProForma'!J776</f>
        <v>28182297.978403468</v>
      </c>
      <c r="G30" s="216">
        <f>E30/F30</f>
        <v>5.5555053103338727E-2</v>
      </c>
      <c r="H30" s="193"/>
      <c r="I30" s="193"/>
      <c r="J30" s="203"/>
      <c r="O30" s="203"/>
    </row>
    <row r="31" spans="1:15" x14ac:dyDescent="0.25">
      <c r="A31" s="42" t="s">
        <v>2240</v>
      </c>
      <c r="C31" s="2">
        <f>'Allocation ProForma'!L729</f>
        <v>173715204.85514408</v>
      </c>
      <c r="D31" s="2">
        <f>'Allocation ProForma'!L768</f>
        <v>142002254.38477203</v>
      </c>
      <c r="E31" s="5">
        <f t="shared" si="2"/>
        <v>31712950.470372051</v>
      </c>
      <c r="F31" s="2">
        <f>'Allocation ProForma'!L776</f>
        <v>347387075.53153688</v>
      </c>
      <c r="G31" s="215">
        <f t="shared" si="3"/>
        <v>9.1289954935278098E-2</v>
      </c>
      <c r="H31" s="334"/>
      <c r="I31" s="334"/>
    </row>
    <row r="32" spans="1:15" x14ac:dyDescent="0.25">
      <c r="A32" s="42" t="s">
        <v>2239</v>
      </c>
      <c r="C32" s="2">
        <f>'Allocation ProForma'!M729</f>
        <v>13895605.94844028</v>
      </c>
      <c r="D32" s="2">
        <f>'Allocation ProForma'!M768</f>
        <v>11114608.463303357</v>
      </c>
      <c r="E32" s="2">
        <f t="shared" si="2"/>
        <v>2780997.4851369224</v>
      </c>
      <c r="F32" s="2">
        <f>'Allocation ProForma'!M776</f>
        <v>25275870.378223237</v>
      </c>
      <c r="G32" s="215">
        <f t="shared" si="3"/>
        <v>0.11002578520630997</v>
      </c>
      <c r="H32" s="334"/>
      <c r="I32" s="334"/>
    </row>
    <row r="33" spans="1:15" x14ac:dyDescent="0.25">
      <c r="A33" s="42" t="s">
        <v>2254</v>
      </c>
      <c r="C33" s="2">
        <f>'Allocation ProForma'!N729</f>
        <v>116367549.93095262</v>
      </c>
      <c r="D33" s="2">
        <f>'Allocation ProForma'!N768</f>
        <v>100786485.0749246</v>
      </c>
      <c r="E33" s="2">
        <f t="shared" si="2"/>
        <v>15581064.85602802</v>
      </c>
      <c r="F33" s="2">
        <f>'Allocation ProForma'!N776</f>
        <v>248673397.50148326</v>
      </c>
      <c r="G33" s="215">
        <f t="shared" si="3"/>
        <v>6.2656741784915232E-2</v>
      </c>
      <c r="H33" s="334"/>
      <c r="I33" s="334"/>
    </row>
    <row r="34" spans="1:15" x14ac:dyDescent="0.25">
      <c r="A34" s="42" t="s">
        <v>2253</v>
      </c>
      <c r="B34" s="205"/>
      <c r="C34" s="2">
        <f>'Allocation ProForma'!O729</f>
        <v>250618049.03936678</v>
      </c>
      <c r="D34" s="2">
        <f>'Allocation ProForma'!O768</f>
        <v>224597404.36438584</v>
      </c>
      <c r="E34" s="2">
        <f t="shared" si="2"/>
        <v>26020644.674980938</v>
      </c>
      <c r="F34" s="2">
        <f>'Allocation ProForma'!O776</f>
        <v>533415050.36546725</v>
      </c>
      <c r="G34" s="215">
        <f t="shared" si="3"/>
        <v>4.8781234532383359E-2</v>
      </c>
      <c r="H34" s="334"/>
      <c r="I34" s="334"/>
    </row>
    <row r="35" spans="1:15" x14ac:dyDescent="0.25">
      <c r="A35" s="42" t="s">
        <v>2246</v>
      </c>
      <c r="B35" s="205"/>
      <c r="C35" s="2">
        <f>'Allocation ProForma'!P729</f>
        <v>86370870.077902898</v>
      </c>
      <c r="D35" s="2">
        <f>'Allocation ProForma'!P768</f>
        <v>77329833.437045261</v>
      </c>
      <c r="E35" s="2">
        <f t="shared" si="2"/>
        <v>9041036.6408576369</v>
      </c>
      <c r="F35" s="2">
        <f>'Allocation ProForma'!P776</f>
        <v>170797076.92138174</v>
      </c>
      <c r="G35" s="215">
        <f t="shared" si="3"/>
        <v>5.2934375715453522E-2</v>
      </c>
      <c r="H35" s="334"/>
      <c r="I35" s="334"/>
    </row>
    <row r="36" spans="1:15" x14ac:dyDescent="0.25">
      <c r="A36" s="43" t="s">
        <v>2247</v>
      </c>
      <c r="B36" s="205"/>
      <c r="C36" s="2">
        <f>'Allocation ProForma'!Q729</f>
        <v>29864384.899244361</v>
      </c>
      <c r="D36" s="2">
        <f>'Allocation ProForma'!Q768</f>
        <v>26365373.827251494</v>
      </c>
      <c r="E36" s="2">
        <f t="shared" si="2"/>
        <v>3499011.0719928667</v>
      </c>
      <c r="F36" s="2">
        <f>'Allocation ProForma'!Q776</f>
        <v>45005985.731704071</v>
      </c>
      <c r="G36" s="215">
        <f t="shared" si="3"/>
        <v>7.7745460189488066E-2</v>
      </c>
      <c r="H36" s="334"/>
      <c r="I36" s="334"/>
    </row>
    <row r="37" spans="1:15" hidden="1" x14ac:dyDescent="0.25">
      <c r="A37" s="43" t="s">
        <v>847</v>
      </c>
      <c r="B37" s="205"/>
      <c r="C37" s="218">
        <f>SUM(C38:C40)</f>
        <v>26309980.063063346</v>
      </c>
      <c r="D37" s="218">
        <f>SUM(D38:D40)</f>
        <v>17981583.106533404</v>
      </c>
      <c r="E37" s="218">
        <f>SUM(E38:E40)</f>
        <v>8328396.9565299386</v>
      </c>
      <c r="F37" s="218">
        <f>SUM(F38:F40)</f>
        <v>82490299.575312749</v>
      </c>
      <c r="G37" s="219">
        <f>E37/F37</f>
        <v>0.10096213735926855</v>
      </c>
      <c r="H37" s="334"/>
      <c r="I37" s="334"/>
    </row>
    <row r="38" spans="1:15" x14ac:dyDescent="0.25">
      <c r="A38" s="43" t="s">
        <v>2248</v>
      </c>
      <c r="B38" s="205"/>
      <c r="C38" s="2">
        <f>'Allocation ProForma'!R729</f>
        <v>26123992.44827177</v>
      </c>
      <c r="D38" s="2">
        <f>'Allocation ProForma'!R768</f>
        <v>17830107.087799683</v>
      </c>
      <c r="E38" s="2">
        <f t="shared" si="2"/>
        <v>8293885.3604720868</v>
      </c>
      <c r="F38" s="2">
        <f>'Allocation ProForma'!R776</f>
        <v>82196367.310438812</v>
      </c>
      <c r="G38" s="215">
        <f t="shared" si="3"/>
        <v>0.10090330791807117</v>
      </c>
      <c r="H38" s="334"/>
      <c r="I38" s="334"/>
    </row>
    <row r="39" spans="1:15" x14ac:dyDescent="0.25">
      <c r="A39" s="42" t="s">
        <v>2249</v>
      </c>
      <c r="B39" s="205"/>
      <c r="C39" s="5">
        <f>'Allocation ProForma'!S729</f>
        <v>29624.691924233273</v>
      </c>
      <c r="D39" s="5">
        <f>'Allocation ProForma'!S768</f>
        <v>22584.584980686261</v>
      </c>
      <c r="E39" s="5">
        <f t="shared" si="2"/>
        <v>7040.1069435470126</v>
      </c>
      <c r="F39" s="5">
        <f>'Allocation ProForma'!S776</f>
        <v>15193.548301309937</v>
      </c>
      <c r="G39" s="216">
        <f t="shared" si="3"/>
        <v>0.46336160611935778</v>
      </c>
      <c r="H39" s="193"/>
      <c r="I39" s="334"/>
    </row>
    <row r="40" spans="1:15" x14ac:dyDescent="0.25">
      <c r="A40" s="217" t="s">
        <v>2250</v>
      </c>
      <c r="B40" s="223"/>
      <c r="C40" s="218">
        <f>'Allocation ProForma'!T729</f>
        <v>156362.9228673428</v>
      </c>
      <c r="D40" s="218">
        <f>'Allocation ProForma'!T768</f>
        <v>128891.43375303769</v>
      </c>
      <c r="E40" s="218">
        <f t="shared" si="2"/>
        <v>27471.489114305106</v>
      </c>
      <c r="F40" s="218">
        <f>'Allocation ProForma'!T776</f>
        <v>278738.71657262801</v>
      </c>
      <c r="G40" s="219">
        <f t="shared" si="3"/>
        <v>9.8556416747894254E-2</v>
      </c>
      <c r="H40" s="193"/>
      <c r="I40" s="334"/>
    </row>
    <row r="41" spans="1:15" x14ac:dyDescent="0.25">
      <c r="C41" s="2">
        <f>SUM(C28:C37)</f>
        <v>1485327439.9408748</v>
      </c>
      <c r="D41" s="2">
        <f>SUM(D28:D37)</f>
        <v>1282816901.1362114</v>
      </c>
      <c r="E41" s="2">
        <f>SUM(E28:E37)</f>
        <v>202510538.80466372</v>
      </c>
      <c r="F41" s="2">
        <f>SUM(F28:F37)</f>
        <v>3639079759.3610182</v>
      </c>
      <c r="G41" s="215">
        <f t="shared" si="3"/>
        <v>5.56488321762484E-2</v>
      </c>
      <c r="H41" s="334"/>
      <c r="I41" s="334"/>
    </row>
    <row r="42" spans="1:15" x14ac:dyDescent="0.25">
      <c r="H42" s="193"/>
      <c r="I42" s="334"/>
    </row>
    <row r="43" spans="1:15" ht="17.399999999999999" x14ac:dyDescent="0.3">
      <c r="A43" s="337" t="s">
        <v>1427</v>
      </c>
      <c r="B43" s="125"/>
      <c r="I43" s="215"/>
    </row>
    <row r="44" spans="1:15" x14ac:dyDescent="0.25">
      <c r="A44" s="24" t="s">
        <v>2242</v>
      </c>
      <c r="B44" s="132"/>
    </row>
    <row r="45" spans="1:15" x14ac:dyDescent="0.25">
      <c r="A45" s="132"/>
      <c r="B45" s="132"/>
    </row>
    <row r="46" spans="1:15" x14ac:dyDescent="0.25">
      <c r="A46" s="206"/>
      <c r="B46" s="205"/>
      <c r="D46" s="207" t="s">
        <v>2233</v>
      </c>
      <c r="E46" s="207" t="s">
        <v>2234</v>
      </c>
      <c r="F46" s="208"/>
      <c r="G46" s="209"/>
      <c r="J46" s="203"/>
      <c r="O46" s="203"/>
    </row>
    <row r="47" spans="1:15" ht="14.4" thickBot="1" x14ac:dyDescent="0.3">
      <c r="A47" s="210"/>
      <c r="B47" s="211"/>
      <c r="C47" s="212" t="s">
        <v>458</v>
      </c>
      <c r="D47" s="212" t="s">
        <v>2235</v>
      </c>
      <c r="E47" s="212" t="s">
        <v>2236</v>
      </c>
      <c r="F47" s="213" t="s">
        <v>193</v>
      </c>
      <c r="G47" s="212" t="s">
        <v>2237</v>
      </c>
      <c r="J47" s="203"/>
      <c r="O47" s="203"/>
    </row>
    <row r="48" spans="1:15" x14ac:dyDescent="0.25">
      <c r="A48" s="206"/>
      <c r="B48" s="205"/>
      <c r="J48" s="203"/>
      <c r="O48" s="203"/>
    </row>
    <row r="49" spans="1:15" x14ac:dyDescent="0.25">
      <c r="A49" s="43" t="s">
        <v>2238</v>
      </c>
      <c r="B49" s="205"/>
      <c r="C49" s="214">
        <f>'Allocation ProForma'!G806</f>
        <v>617523138.22296762</v>
      </c>
      <c r="D49" s="214">
        <f>'Allocation ProForma'!G819</f>
        <v>527355368.83558035</v>
      </c>
      <c r="E49" s="214">
        <f t="shared" ref="E49:E61" si="4">C49-D49</f>
        <v>90167769.387387276</v>
      </c>
      <c r="F49" s="214">
        <f>'Allocation ProForma'!G823</f>
        <v>1716633054.3461716</v>
      </c>
      <c r="G49" s="215">
        <f t="shared" ref="G49:G62" si="5">E49/F49</f>
        <v>5.2525942663809548E-2</v>
      </c>
      <c r="J49" s="203"/>
      <c r="O49" s="203"/>
    </row>
    <row r="50" spans="1:15" x14ac:dyDescent="0.25">
      <c r="A50" s="43" t="s">
        <v>2340</v>
      </c>
      <c r="B50" s="205"/>
      <c r="C50" s="2">
        <f>'Allocation ProForma'!H806</f>
        <v>212346353.31928772</v>
      </c>
      <c r="D50" s="2">
        <f>'Allocation ProForma'!H819</f>
        <v>165937929.54179955</v>
      </c>
      <c r="E50" s="2">
        <f t="shared" si="4"/>
        <v>46408423.777488172</v>
      </c>
      <c r="F50" s="2">
        <f>'Allocation ProForma'!H823</f>
        <v>441219651.03133303</v>
      </c>
      <c r="G50" s="215">
        <f t="shared" si="5"/>
        <v>0.10518213245717947</v>
      </c>
      <c r="J50" s="203"/>
      <c r="O50" s="203"/>
    </row>
    <row r="51" spans="1:15" x14ac:dyDescent="0.25">
      <c r="A51" s="42" t="s">
        <v>2243</v>
      </c>
      <c r="B51" s="205"/>
      <c r="C51" s="5">
        <f>'Allocation ProForma'!J806</f>
        <v>12825796.309785364</v>
      </c>
      <c r="D51" s="5">
        <f>'Allocation ProForma'!J819</f>
        <v>10738904.099463774</v>
      </c>
      <c r="E51" s="5">
        <f t="shared" si="4"/>
        <v>2086892.2103215903</v>
      </c>
      <c r="F51" s="5">
        <f>'Allocation ProForma'!J823</f>
        <v>28182297.978403468</v>
      </c>
      <c r="G51" s="216">
        <f t="shared" si="5"/>
        <v>7.40497532146175E-2</v>
      </c>
      <c r="J51" s="203"/>
      <c r="O51" s="203"/>
    </row>
    <row r="52" spans="1:15" x14ac:dyDescent="0.25">
      <c r="A52" s="42" t="s">
        <v>2240</v>
      </c>
      <c r="C52" s="2">
        <f>'Allocation ProForma'!L806</f>
        <v>184185813.00296831</v>
      </c>
      <c r="D52" s="2">
        <f>'Allocation ProForma'!L819</f>
        <v>146065664.16927522</v>
      </c>
      <c r="E52" s="5">
        <f t="shared" si="4"/>
        <v>38120148.833693087</v>
      </c>
      <c r="F52" s="2">
        <f>'Allocation ProForma'!L823</f>
        <v>347387075.53153688</v>
      </c>
      <c r="G52" s="215">
        <f t="shared" si="5"/>
        <v>0.10973392943697015</v>
      </c>
    </row>
    <row r="53" spans="1:15" x14ac:dyDescent="0.25">
      <c r="A53" s="42" t="s">
        <v>2239</v>
      </c>
      <c r="C53" s="2">
        <f>'Allocation ProForma'!M806</f>
        <v>14674524.523551712</v>
      </c>
      <c r="D53" s="2">
        <f>'Allocation ProForma'!M819</f>
        <v>11416937.0265761</v>
      </c>
      <c r="E53" s="2">
        <f t="shared" si="4"/>
        <v>3257587.4969756119</v>
      </c>
      <c r="F53" s="2">
        <f>'Allocation ProForma'!M823</f>
        <v>25275870.378223237</v>
      </c>
      <c r="G53" s="215">
        <f t="shared" si="5"/>
        <v>0.12888131835737809</v>
      </c>
    </row>
    <row r="54" spans="1:15" x14ac:dyDescent="0.25">
      <c r="A54" s="42" t="s">
        <v>2244</v>
      </c>
      <c r="C54" s="2">
        <f>'Allocation ProForma'!N806</f>
        <v>123958148.31605642</v>
      </c>
      <c r="D54" s="2">
        <f>'Allocation ProForma'!N819</f>
        <v>103729523.35460177</v>
      </c>
      <c r="E54" s="2">
        <f t="shared" si="4"/>
        <v>20228624.961454645</v>
      </c>
      <c r="F54" s="2">
        <f>'Allocation ProForma'!N823</f>
        <v>248673397.50148326</v>
      </c>
      <c r="G54" s="215">
        <f t="shared" si="5"/>
        <v>8.1346155900467745E-2</v>
      </c>
    </row>
    <row r="55" spans="1:15" x14ac:dyDescent="0.25">
      <c r="A55" s="42" t="s">
        <v>2245</v>
      </c>
      <c r="B55" s="205"/>
      <c r="C55" s="2">
        <f>'Allocation ProForma'!O806</f>
        <v>269538444.721865</v>
      </c>
      <c r="D55" s="2">
        <f>'Allocation ProForma'!O819</f>
        <v>231927148.88503885</v>
      </c>
      <c r="E55" s="2">
        <f t="shared" si="4"/>
        <v>37611295.836826146</v>
      </c>
      <c r="F55" s="2">
        <f>'Allocation ProForma'!O823</f>
        <v>533415050.36546725</v>
      </c>
      <c r="G55" s="215">
        <f t="shared" si="5"/>
        <v>7.0510376134038419E-2</v>
      </c>
    </row>
    <row r="56" spans="1:15" x14ac:dyDescent="0.25">
      <c r="A56" s="42" t="s">
        <v>2246</v>
      </c>
      <c r="B56" s="205"/>
      <c r="C56" s="222">
        <f>'Allocation ProForma'!P806</f>
        <v>92944711.098683715</v>
      </c>
      <c r="D56" s="2">
        <f>'Allocation ProForma'!P819</f>
        <v>79876404.05343242</v>
      </c>
      <c r="E56" s="2">
        <f t="shared" si="4"/>
        <v>13068307.045251295</v>
      </c>
      <c r="F56" s="2">
        <f>'Allocation ProForma'!P823</f>
        <v>170797076.92138174</v>
      </c>
      <c r="G56" s="215">
        <f t="shared" si="5"/>
        <v>7.6513645788368292E-2</v>
      </c>
    </row>
    <row r="57" spans="1:15" x14ac:dyDescent="0.25">
      <c r="A57" s="43" t="s">
        <v>2247</v>
      </c>
      <c r="B57" s="205"/>
      <c r="C57" s="2">
        <f>'Allocation ProForma'!Q806</f>
        <v>32243340.838805415</v>
      </c>
      <c r="D57" s="2">
        <f>'Allocation ProForma'!Q819</f>
        <v>27286723.959582515</v>
      </c>
      <c r="E57" s="2">
        <f t="shared" si="4"/>
        <v>4956616.8792228997</v>
      </c>
      <c r="F57" s="2">
        <f>'Allocation ProForma'!Q823</f>
        <v>45005985.731704071</v>
      </c>
      <c r="G57" s="215">
        <f t="shared" si="5"/>
        <v>0.11013239236156214</v>
      </c>
    </row>
    <row r="58" spans="1:15" hidden="1" x14ac:dyDescent="0.25">
      <c r="A58" s="43" t="s">
        <v>847</v>
      </c>
      <c r="B58" s="205"/>
      <c r="C58" s="218">
        <f>SUM(C59:C61)</f>
        <v>28185087.586903822</v>
      </c>
      <c r="D58" s="218">
        <f>SUM(D59:D61)</f>
        <v>18797255.90057902</v>
      </c>
      <c r="E58" s="218">
        <f>SUM(E59:E61)</f>
        <v>9387831.6863248032</v>
      </c>
      <c r="F58" s="218">
        <f>SUM(F59:F61)</f>
        <v>82490299.575312749</v>
      </c>
      <c r="G58" s="219">
        <f t="shared" si="5"/>
        <v>0.11380528055609514</v>
      </c>
    </row>
    <row r="59" spans="1:15" x14ac:dyDescent="0.25">
      <c r="A59" s="43" t="s">
        <v>2248</v>
      </c>
      <c r="B59" s="205"/>
      <c r="C59" s="2">
        <f>'Allocation ProForma'!R806</f>
        <v>27990480.759353101</v>
      </c>
      <c r="D59" s="2">
        <f>'Allocation ProForma'!R819</f>
        <v>18642020.546411499</v>
      </c>
      <c r="E59" s="2">
        <f t="shared" si="4"/>
        <v>9348460.2129416019</v>
      </c>
      <c r="F59" s="2">
        <f>'Allocation ProForma'!R823</f>
        <v>82196367.310438812</v>
      </c>
      <c r="G59" s="215">
        <f t="shared" si="5"/>
        <v>0.1137332526829852</v>
      </c>
    </row>
    <row r="60" spans="1:15" x14ac:dyDescent="0.25">
      <c r="A60" s="42" t="s">
        <v>2249</v>
      </c>
      <c r="B60" s="205"/>
      <c r="C60" s="5">
        <f>'Allocation ProForma'!S806</f>
        <v>29624.691924233273</v>
      </c>
      <c r="D60" s="5">
        <f>'Allocation ProForma'!S819</f>
        <v>22590.717366254066</v>
      </c>
      <c r="E60" s="5">
        <f t="shared" si="4"/>
        <v>7033.974557979207</v>
      </c>
      <c r="F60" s="5">
        <f>'Allocation ProForma'!S823</f>
        <v>15193.548301309937</v>
      </c>
      <c r="G60" s="216">
        <f t="shared" si="5"/>
        <v>0.4629579883833167</v>
      </c>
    </row>
    <row r="61" spans="1:15" x14ac:dyDescent="0.25">
      <c r="A61" s="217" t="s">
        <v>2250</v>
      </c>
      <c r="B61" s="223"/>
      <c r="C61" s="218">
        <f>'Allocation ProForma'!T806</f>
        <v>164982.13562648781</v>
      </c>
      <c r="D61" s="218">
        <f>'Allocation ProForma'!T819</f>
        <v>132644.63680126623</v>
      </c>
      <c r="E61" s="218">
        <f t="shared" si="4"/>
        <v>32337.498825221584</v>
      </c>
      <c r="F61" s="218">
        <f>'Allocation ProForma'!T823</f>
        <v>278738.71657262801</v>
      </c>
      <c r="G61" s="219">
        <f t="shared" si="5"/>
        <v>0.11601366047330473</v>
      </c>
    </row>
    <row r="62" spans="1:15" x14ac:dyDescent="0.25">
      <c r="C62" s="2">
        <f>SUM(C49:C58)</f>
        <v>1588425357.9408751</v>
      </c>
      <c r="D62" s="2">
        <f>SUM(D49:D58)</f>
        <v>1323131859.8259294</v>
      </c>
      <c r="E62" s="2">
        <f>SUM(E49:E58)</f>
        <v>265293498.11494553</v>
      </c>
      <c r="F62" s="2">
        <f>SUM(F49:F58)</f>
        <v>3639079759.3610182</v>
      </c>
      <c r="G62" s="215">
        <f t="shared" si="5"/>
        <v>7.29012595650083E-2</v>
      </c>
    </row>
  </sheetData>
  <mergeCells count="2">
    <mergeCell ref="H2:J2"/>
    <mergeCell ref="L2:O2"/>
  </mergeCells>
  <pageMargins left="0.7" right="0.7" top="0.75" bottom="0.75" header="0.3" footer="0.3"/>
  <pageSetup scale="85" orientation="landscape" r:id="rId1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X314"/>
  <sheetViews>
    <sheetView zoomScale="75" zoomScaleNormal="75" workbookViewId="0">
      <pane xSplit="1" topLeftCell="B1" activePane="topRight" state="frozen"/>
      <selection pane="topRight" activeCell="B8" sqref="B8"/>
    </sheetView>
  </sheetViews>
  <sheetFormatPr defaultColWidth="9.109375" defaultRowHeight="15" x14ac:dyDescent="0.25"/>
  <cols>
    <col min="1" max="1" width="61.33203125" style="6" bestFit="1" customWidth="1"/>
    <col min="2" max="2" width="18.44140625" style="10" customWidth="1"/>
    <col min="3" max="3" width="20.5546875" style="10" bestFit="1" customWidth="1"/>
    <col min="4" max="4" width="19.44140625" style="6" bestFit="1" customWidth="1"/>
    <col min="5" max="7" width="19.44140625" style="6" customWidth="1"/>
    <col min="8" max="8" width="20.44140625" style="6" bestFit="1" customWidth="1"/>
    <col min="9" max="10" width="18.44140625" style="6" bestFit="1" customWidth="1"/>
    <col min="11" max="11" width="18.5546875" style="6" bestFit="1" customWidth="1"/>
    <col min="12" max="13" width="18.44140625" style="6" bestFit="1" customWidth="1"/>
    <col min="14" max="14" width="19.88671875" style="6" bestFit="1" customWidth="1"/>
    <col min="15" max="15" width="16" style="6" bestFit="1" customWidth="1"/>
    <col min="16" max="16" width="14" style="6" bestFit="1" customWidth="1"/>
    <col min="17" max="17" width="19.5546875" style="6" customWidth="1"/>
    <col min="18" max="18" width="13.109375" style="6" bestFit="1" customWidth="1"/>
    <col min="19" max="19" width="14" style="6" bestFit="1" customWidth="1"/>
    <col min="20" max="20" width="12.5546875" style="6" customWidth="1"/>
    <col min="21" max="21" width="11.88671875" style="6" bestFit="1" customWidth="1"/>
    <col min="22" max="22" width="11.5546875" style="6" customWidth="1"/>
    <col min="23" max="16384" width="9.109375" style="6"/>
  </cols>
  <sheetData>
    <row r="1" spans="1:22" ht="17.399999999999999" x14ac:dyDescent="0.3">
      <c r="A1" s="8" t="s">
        <v>1812</v>
      </c>
    </row>
    <row r="2" spans="1:22" x14ac:dyDescent="0.25">
      <c r="A2" s="6" t="s">
        <v>967</v>
      </c>
    </row>
    <row r="3" spans="1:22" x14ac:dyDescent="0.25">
      <c r="B3" s="330" t="s">
        <v>2316</v>
      </c>
      <c r="H3" s="9"/>
      <c r="Q3" s="9"/>
    </row>
    <row r="4" spans="1:22" x14ac:dyDescent="0.25">
      <c r="A4" s="9"/>
      <c r="B4" s="330" t="s">
        <v>2317</v>
      </c>
      <c r="C4" s="186"/>
      <c r="D4" s="187"/>
      <c r="E4" s="185" t="s">
        <v>973</v>
      </c>
      <c r="F4" s="185"/>
      <c r="G4" s="185" t="s">
        <v>2215</v>
      </c>
      <c r="H4" s="185" t="s">
        <v>2216</v>
      </c>
      <c r="I4" s="185"/>
      <c r="N4" s="9"/>
      <c r="O4" s="9"/>
      <c r="P4" s="9"/>
      <c r="Q4" s="9"/>
      <c r="S4" s="9"/>
    </row>
    <row r="5" spans="1:22" x14ac:dyDescent="0.25">
      <c r="A5" s="9"/>
      <c r="B5" s="330" t="s">
        <v>2212</v>
      </c>
      <c r="C5" s="185"/>
      <c r="D5" s="188" t="s">
        <v>2213</v>
      </c>
      <c r="E5" s="185" t="s">
        <v>891</v>
      </c>
      <c r="F5" s="185" t="s">
        <v>914</v>
      </c>
      <c r="G5" s="185" t="s">
        <v>2217</v>
      </c>
      <c r="H5" s="185" t="s">
        <v>1695</v>
      </c>
      <c r="I5" s="185" t="s">
        <v>551</v>
      </c>
      <c r="N5" s="9"/>
      <c r="O5" s="9"/>
      <c r="P5" s="9"/>
      <c r="Q5" s="9"/>
      <c r="S5" s="9"/>
      <c r="T5" s="9"/>
      <c r="U5" s="9"/>
      <c r="V5" s="9"/>
    </row>
    <row r="6" spans="1:22" s="16" customFormat="1" ht="15.6" thickBot="1" x14ac:dyDescent="0.3">
      <c r="A6" s="166"/>
      <c r="B6" s="331">
        <v>43281</v>
      </c>
      <c r="C6" s="22" t="s">
        <v>526</v>
      </c>
      <c r="D6" s="189" t="s">
        <v>2214</v>
      </c>
      <c r="E6" s="22" t="s">
        <v>109</v>
      </c>
      <c r="F6" s="22" t="s">
        <v>109</v>
      </c>
      <c r="G6" s="22" t="s">
        <v>109</v>
      </c>
      <c r="H6" s="22" t="s">
        <v>109</v>
      </c>
      <c r="I6" s="22" t="s">
        <v>552</v>
      </c>
      <c r="P6" s="19"/>
      <c r="Q6" s="166"/>
    </row>
    <row r="7" spans="1:22" s="16" customFormat="1" x14ac:dyDescent="0.25">
      <c r="A7" s="166"/>
      <c r="B7" s="167"/>
      <c r="C7" s="19"/>
      <c r="D7" s="19"/>
      <c r="E7" s="19"/>
      <c r="F7" s="19"/>
      <c r="H7" s="19"/>
      <c r="N7" s="19"/>
      <c r="O7" s="19"/>
      <c r="P7" s="169"/>
      <c r="Q7" s="166"/>
    </row>
    <row r="8" spans="1:22" s="16" customFormat="1" x14ac:dyDescent="0.25">
      <c r="A8" s="25" t="s">
        <v>1550</v>
      </c>
      <c r="B8" s="168">
        <f>(5167850)/12</f>
        <v>430654.16666666669</v>
      </c>
      <c r="C8" s="19">
        <f>6091631440</f>
        <v>6091631440</v>
      </c>
      <c r="D8" s="19">
        <f>554516070+27119</f>
        <v>554543189</v>
      </c>
      <c r="E8" s="19">
        <v>2051123.053201586</v>
      </c>
      <c r="F8" s="19">
        <f>C8/8760</f>
        <v>695391.71689497714</v>
      </c>
      <c r="G8" s="19">
        <v>1736721.2305075389</v>
      </c>
      <c r="H8" s="19">
        <v>1461985.8675600674</v>
      </c>
      <c r="I8" s="19">
        <v>4304609.8439723067</v>
      </c>
      <c r="N8" s="26"/>
      <c r="O8" s="26"/>
      <c r="P8" s="26"/>
    </row>
    <row r="9" spans="1:22" s="16" customFormat="1" x14ac:dyDescent="0.25">
      <c r="B9" s="168"/>
      <c r="C9" s="19"/>
      <c r="D9" s="19"/>
      <c r="E9" s="19"/>
      <c r="F9" s="19"/>
      <c r="G9" s="19"/>
      <c r="H9" s="19"/>
      <c r="I9" s="19"/>
      <c r="N9" s="19"/>
      <c r="O9" s="19"/>
      <c r="P9" s="190"/>
      <c r="T9" s="181"/>
      <c r="V9" s="181"/>
    </row>
    <row r="10" spans="1:22" s="16" customFormat="1" x14ac:dyDescent="0.25">
      <c r="A10" s="25" t="s">
        <v>2310</v>
      </c>
      <c r="B10" s="168">
        <f>763878/12</f>
        <v>63656.5</v>
      </c>
      <c r="C10" s="19">
        <v>763117080.75831282</v>
      </c>
      <c r="D10" s="19">
        <v>198233994</v>
      </c>
      <c r="E10" s="19">
        <v>499710.97063738306</v>
      </c>
      <c r="F10" s="19">
        <f>C10/8760</f>
        <v>87113.822004373607</v>
      </c>
      <c r="G10" s="19">
        <v>446957.3292942206</v>
      </c>
      <c r="H10" s="19">
        <v>393704.18183345284</v>
      </c>
      <c r="I10" s="19">
        <v>746971.4312416797</v>
      </c>
      <c r="N10" s="191"/>
      <c r="O10" s="26"/>
      <c r="P10" s="26"/>
    </row>
    <row r="11" spans="1:22" s="16" customFormat="1" x14ac:dyDescent="0.25">
      <c r="B11" s="168"/>
      <c r="C11" s="19"/>
      <c r="D11" s="19"/>
      <c r="E11" s="169"/>
      <c r="F11" s="169"/>
      <c r="G11" s="169"/>
      <c r="H11" s="169"/>
      <c r="I11" s="169"/>
    </row>
    <row r="12" spans="1:22" s="16" customFormat="1" x14ac:dyDescent="0.25">
      <c r="A12" s="25" t="s">
        <v>2312</v>
      </c>
      <c r="B12" s="168">
        <f>236070/12</f>
        <v>19672.5</v>
      </c>
      <c r="C12" s="19">
        <v>1041565115.7272052</v>
      </c>
      <c r="D12" s="19"/>
      <c r="E12" s="169"/>
      <c r="F12" s="19">
        <f>C12/8760</f>
        <v>118900.12736611931</v>
      </c>
      <c r="G12" s="169"/>
      <c r="H12" s="169"/>
      <c r="I12" s="169"/>
    </row>
    <row r="13" spans="1:22" s="16" customFormat="1" x14ac:dyDescent="0.25">
      <c r="A13" s="25"/>
      <c r="B13" s="168"/>
      <c r="C13" s="19"/>
      <c r="D13" s="19"/>
      <c r="E13" s="169"/>
      <c r="F13" s="169"/>
      <c r="G13" s="169"/>
      <c r="H13" s="169"/>
      <c r="I13" s="169"/>
    </row>
    <row r="14" spans="1:22" s="16" customFormat="1" x14ac:dyDescent="0.25">
      <c r="A14" s="25" t="s">
        <v>2338</v>
      </c>
      <c r="B14" s="168">
        <f>4058/12</f>
        <v>338.16666666666669</v>
      </c>
      <c r="C14" s="19">
        <v>7122000</v>
      </c>
      <c r="D14" s="19">
        <f>12037991</f>
        <v>12037991</v>
      </c>
      <c r="E14" s="19">
        <v>52333.388582496336</v>
      </c>
      <c r="F14" s="19">
        <f>C14/8760</f>
        <v>813.01369863013701</v>
      </c>
      <c r="G14" s="19">
        <v>45898.648536442292</v>
      </c>
      <c r="H14" s="19">
        <v>24095.46073589458</v>
      </c>
      <c r="I14" s="19">
        <v>57026.216936198616</v>
      </c>
      <c r="P14" s="19"/>
    </row>
    <row r="15" spans="1:22" s="16" customFormat="1" x14ac:dyDescent="0.25">
      <c r="A15" s="25"/>
      <c r="B15" s="168"/>
      <c r="C15" s="19"/>
      <c r="D15" s="19"/>
      <c r="E15" s="19"/>
      <c r="F15" s="19"/>
      <c r="G15" s="19"/>
      <c r="H15" s="19"/>
      <c r="I15" s="19"/>
      <c r="P15" s="19"/>
    </row>
    <row r="16" spans="1:22" s="16" customFormat="1" x14ac:dyDescent="0.25">
      <c r="A16" s="25" t="s">
        <v>2314</v>
      </c>
      <c r="B16" s="168">
        <f>3060/12</f>
        <v>255</v>
      </c>
      <c r="C16" s="19">
        <v>144739000</v>
      </c>
      <c r="D16" s="19"/>
      <c r="E16" s="19"/>
      <c r="F16" s="19">
        <f>C16/8760</f>
        <v>16522.716894977169</v>
      </c>
      <c r="G16" s="19"/>
      <c r="H16" s="19"/>
      <c r="I16" s="19"/>
      <c r="P16" s="19"/>
    </row>
    <row r="17" spans="1:22" s="16" customFormat="1" x14ac:dyDescent="0.25">
      <c r="B17" s="168"/>
      <c r="C17" s="19"/>
      <c r="D17" s="19"/>
      <c r="E17" s="19"/>
      <c r="F17" s="19"/>
      <c r="G17" s="19"/>
      <c r="H17" s="19"/>
      <c r="I17" s="19"/>
      <c r="N17" s="19"/>
      <c r="O17" s="19"/>
      <c r="P17" s="169"/>
    </row>
    <row r="18" spans="1:22" s="16" customFormat="1" x14ac:dyDescent="0.25">
      <c r="A18" s="25" t="s">
        <v>2202</v>
      </c>
      <c r="B18" s="168">
        <f>54034/12</f>
        <v>4502.833333333333</v>
      </c>
      <c r="C18" s="19">
        <v>2146594132.2992384</v>
      </c>
      <c r="D18" s="19">
        <v>174459441</v>
      </c>
      <c r="E18" s="19">
        <v>466981.22960042412</v>
      </c>
      <c r="F18" s="19">
        <f>C18/8760</f>
        <v>245044.99227160256</v>
      </c>
      <c r="G18" s="19">
        <v>403338.8331908831</v>
      </c>
      <c r="H18" s="19">
        <v>408665.04815701587</v>
      </c>
      <c r="I18" s="19">
        <v>621881.65359877655</v>
      </c>
      <c r="N18" s="26"/>
      <c r="O18" s="26"/>
      <c r="P18" s="26"/>
    </row>
    <row r="19" spans="1:22" s="16" customFormat="1" x14ac:dyDescent="0.25">
      <c r="B19" s="168"/>
      <c r="C19" s="19"/>
      <c r="D19" s="19"/>
      <c r="E19" s="19"/>
      <c r="F19" s="19"/>
      <c r="G19" s="19"/>
      <c r="H19" s="19"/>
      <c r="I19" s="19"/>
      <c r="N19" s="19"/>
      <c r="O19" s="19"/>
      <c r="P19" s="190"/>
      <c r="T19" s="181"/>
      <c r="V19" s="181"/>
    </row>
    <row r="20" spans="1:22" s="16" customFormat="1" x14ac:dyDescent="0.25">
      <c r="A20" s="201" t="s">
        <v>2203</v>
      </c>
      <c r="B20" s="168">
        <f>2070/12</f>
        <v>172.5</v>
      </c>
      <c r="C20" s="19">
        <v>169814470.8207581</v>
      </c>
      <c r="D20" s="19">
        <v>13950651</v>
      </c>
      <c r="E20" s="19">
        <v>36098.457687557748</v>
      </c>
      <c r="F20" s="19">
        <f>C20/8760</f>
        <v>19385.213564013484</v>
      </c>
      <c r="G20" s="19">
        <v>25411.817641778871</v>
      </c>
      <c r="H20" s="19">
        <v>29863.807891820055</v>
      </c>
      <c r="I20" s="19">
        <v>49365.492867243156</v>
      </c>
      <c r="N20" s="19"/>
      <c r="O20" s="19"/>
      <c r="P20" s="190"/>
      <c r="T20" s="181"/>
      <c r="V20" s="181"/>
    </row>
    <row r="21" spans="1:22" s="16" customFormat="1" x14ac:dyDescent="0.25">
      <c r="B21" s="168"/>
      <c r="C21" s="19"/>
      <c r="D21" s="19"/>
      <c r="E21" s="19"/>
      <c r="F21" s="19"/>
      <c r="G21" s="19"/>
      <c r="H21" s="19"/>
      <c r="I21" s="19"/>
      <c r="N21" s="19"/>
      <c r="O21" s="19"/>
      <c r="P21" s="190"/>
      <c r="T21" s="181"/>
      <c r="V21" s="181"/>
    </row>
    <row r="22" spans="1:22" s="16" customFormat="1" x14ac:dyDescent="0.25">
      <c r="A22" s="25" t="s">
        <v>2204</v>
      </c>
      <c r="B22" s="168">
        <f>7419/12</f>
        <v>618.25</v>
      </c>
      <c r="C22" s="19">
        <v>1671130914.5630004</v>
      </c>
      <c r="D22" s="19">
        <f>116879945</f>
        <v>116879945</v>
      </c>
      <c r="E22" s="19">
        <v>328697.70162994531</v>
      </c>
      <c r="F22" s="19">
        <f>C22/8760</f>
        <v>190768.36924235165</v>
      </c>
      <c r="G22" s="19">
        <v>270395.51178289962</v>
      </c>
      <c r="H22" s="19">
        <v>291986.14657000959</v>
      </c>
      <c r="I22" s="19">
        <v>395414.9569991008</v>
      </c>
      <c r="N22" s="26"/>
      <c r="O22" s="26"/>
      <c r="P22" s="26"/>
    </row>
    <row r="23" spans="1:22" s="16" customFormat="1" x14ac:dyDescent="0.25">
      <c r="B23" s="19"/>
      <c r="C23" s="359"/>
      <c r="D23" s="19"/>
      <c r="E23" s="169"/>
      <c r="F23" s="169"/>
      <c r="G23" s="169"/>
      <c r="H23" s="169"/>
      <c r="I23" s="169"/>
    </row>
    <row r="24" spans="1:22" s="16" customFormat="1" x14ac:dyDescent="0.25">
      <c r="A24" s="201" t="s">
        <v>2315</v>
      </c>
      <c r="B24" s="168">
        <f>3318/12</f>
        <v>276.5</v>
      </c>
      <c r="C24" s="19">
        <v>4118000917.4033823</v>
      </c>
      <c r="D24" s="19">
        <v>251561897</v>
      </c>
      <c r="E24" s="19">
        <v>751868.84558161651</v>
      </c>
      <c r="F24" s="19">
        <f>C24/8760</f>
        <v>470091.42892732675</v>
      </c>
      <c r="G24" s="19">
        <v>577385.3554235308</v>
      </c>
      <c r="H24" s="19">
        <v>637992.48876148975</v>
      </c>
      <c r="I24" s="19">
        <v>909298.65605355671</v>
      </c>
      <c r="P24" s="19"/>
    </row>
    <row r="25" spans="1:22" s="16" customFormat="1" x14ac:dyDescent="0.25">
      <c r="B25" s="19"/>
      <c r="C25" s="19"/>
      <c r="D25" s="19"/>
      <c r="E25" s="169"/>
      <c r="F25" s="169"/>
      <c r="G25" s="169"/>
      <c r="H25" s="169"/>
      <c r="I25" s="169"/>
      <c r="N25" s="19"/>
      <c r="O25" s="19"/>
      <c r="P25" s="169"/>
    </row>
    <row r="26" spans="1:22" s="16" customFormat="1" x14ac:dyDescent="0.25">
      <c r="A26" s="25" t="s">
        <v>1883</v>
      </c>
      <c r="B26" s="168"/>
      <c r="C26" s="19"/>
      <c r="D26" s="19"/>
      <c r="E26" s="19"/>
      <c r="F26" s="19">
        <f>C26/8760</f>
        <v>0</v>
      </c>
      <c r="G26" s="19"/>
      <c r="H26" s="19"/>
      <c r="I26" s="19"/>
      <c r="N26" s="26"/>
      <c r="O26" s="26"/>
      <c r="P26" s="26"/>
    </row>
    <row r="27" spans="1:22" s="16" customFormat="1" x14ac:dyDescent="0.25">
      <c r="B27" s="19"/>
      <c r="C27" s="359"/>
      <c r="D27" s="19"/>
      <c r="E27" s="19"/>
      <c r="F27" s="19"/>
      <c r="G27" s="19"/>
      <c r="H27" s="19"/>
      <c r="I27" s="19"/>
      <c r="N27" s="26"/>
      <c r="O27" s="26"/>
      <c r="P27" s="26"/>
    </row>
    <row r="28" spans="1:22" s="16" customFormat="1" x14ac:dyDescent="0.25">
      <c r="A28" s="25" t="s">
        <v>1884</v>
      </c>
      <c r="B28" s="168">
        <f>360/12</f>
        <v>30</v>
      </c>
      <c r="C28" s="19">
        <v>1497714279.3066747</v>
      </c>
      <c r="D28" s="19">
        <v>86711460</v>
      </c>
      <c r="E28" s="19">
        <v>294031.57298089442</v>
      </c>
      <c r="F28" s="19">
        <f>C28/8760</f>
        <v>170971.94969254278</v>
      </c>
      <c r="G28" s="19">
        <v>212909.89240199357</v>
      </c>
      <c r="H28" s="19">
        <v>226896.36310292233</v>
      </c>
      <c r="I28" s="19">
        <v>342397.02524665621</v>
      </c>
      <c r="N28" s="26"/>
      <c r="O28" s="26"/>
      <c r="P28" s="26"/>
    </row>
    <row r="29" spans="1:22" s="16" customFormat="1" x14ac:dyDescent="0.25">
      <c r="B29" s="19"/>
      <c r="C29" s="175"/>
      <c r="D29" s="19"/>
      <c r="E29" s="19"/>
      <c r="F29" s="19"/>
      <c r="G29" s="19"/>
      <c r="H29" s="19"/>
      <c r="I29" s="19"/>
      <c r="N29" s="26"/>
      <c r="O29" s="26"/>
      <c r="P29" s="26"/>
    </row>
    <row r="30" spans="1:22" s="16" customFormat="1" x14ac:dyDescent="0.25">
      <c r="A30" s="25" t="s">
        <v>2201</v>
      </c>
      <c r="B30" s="168">
        <f>12/12</f>
        <v>1</v>
      </c>
      <c r="C30" s="19">
        <v>552917597.55256987</v>
      </c>
      <c r="D30" s="19">
        <v>29892107</v>
      </c>
      <c r="E30" s="19">
        <v>168627.35312117345</v>
      </c>
      <c r="F30" s="19">
        <f>C30/8760</f>
        <v>63118.447209197475</v>
      </c>
      <c r="G30" s="19">
        <v>90162.676268678813</v>
      </c>
      <c r="H30" s="19">
        <v>105477.34137232017</v>
      </c>
      <c r="I30" s="19">
        <v>163859.80727012316</v>
      </c>
      <c r="N30" s="26"/>
      <c r="O30" s="26"/>
      <c r="P30" s="26"/>
    </row>
    <row r="31" spans="1:22" s="16" customFormat="1" x14ac:dyDescent="0.25">
      <c r="B31" s="19"/>
      <c r="C31" s="175"/>
      <c r="D31" s="19"/>
      <c r="E31" s="19"/>
      <c r="F31" s="19"/>
      <c r="G31" s="19"/>
      <c r="H31" s="19"/>
      <c r="I31" s="19"/>
      <c r="N31" s="26"/>
      <c r="O31" s="26"/>
      <c r="P31" s="26"/>
    </row>
    <row r="32" spans="1:22" s="16" customFormat="1" x14ac:dyDescent="0.25">
      <c r="A32" s="25" t="s">
        <v>2220</v>
      </c>
      <c r="B32" s="168">
        <f>2021809/12</f>
        <v>168484.08333333334</v>
      </c>
      <c r="C32" s="19">
        <v>123634652.94376437</v>
      </c>
      <c r="D32" s="19">
        <f>26053380-20984</f>
        <v>26032396</v>
      </c>
      <c r="E32" s="169">
        <v>37037.047301538805</v>
      </c>
      <c r="F32" s="19">
        <f>C32/8760</f>
        <v>14113.544856594106</v>
      </c>
      <c r="G32" s="169">
        <v>0</v>
      </c>
      <c r="H32" s="169">
        <v>0</v>
      </c>
      <c r="I32" s="169">
        <v>34172.535127711366</v>
      </c>
      <c r="N32" s="26"/>
      <c r="O32" s="26"/>
      <c r="P32" s="26"/>
    </row>
    <row r="33" spans="1:24" s="16" customFormat="1" x14ac:dyDescent="0.25">
      <c r="A33" s="25"/>
      <c r="B33" s="168"/>
      <c r="C33" s="19"/>
      <c r="D33" s="19"/>
      <c r="E33" s="169"/>
      <c r="F33" s="19"/>
      <c r="G33" s="169"/>
      <c r="H33" s="169"/>
      <c r="I33" s="169"/>
      <c r="N33" s="26"/>
      <c r="O33" s="26"/>
      <c r="P33" s="26"/>
    </row>
    <row r="34" spans="1:24" s="16" customFormat="1" x14ac:dyDescent="0.25">
      <c r="A34" s="25" t="s">
        <v>2221</v>
      </c>
      <c r="B34" s="168">
        <f>48/12</f>
        <v>4</v>
      </c>
      <c r="C34" s="19">
        <f>446721</f>
        <v>446721</v>
      </c>
      <c r="D34" s="19">
        <v>29470</v>
      </c>
      <c r="E34" s="169">
        <v>155.13525415746221</v>
      </c>
      <c r="F34" s="19">
        <f>C34/8760</f>
        <v>50.99554794520548</v>
      </c>
      <c r="G34" s="169">
        <v>0</v>
      </c>
      <c r="H34" s="169">
        <v>0</v>
      </c>
      <c r="I34" s="169">
        <v>143.13681323138437</v>
      </c>
      <c r="N34" s="26"/>
      <c r="O34" s="26"/>
      <c r="P34" s="26"/>
    </row>
    <row r="35" spans="1:24" s="16" customFormat="1" x14ac:dyDescent="0.25">
      <c r="A35" s="25"/>
      <c r="B35" s="168"/>
      <c r="C35" s="19"/>
      <c r="D35" s="19"/>
      <c r="E35" s="169"/>
      <c r="F35" s="19"/>
      <c r="G35" s="169"/>
      <c r="H35" s="169"/>
      <c r="I35" s="169"/>
      <c r="N35" s="26"/>
      <c r="O35" s="26"/>
      <c r="P35" s="26"/>
    </row>
    <row r="36" spans="1:24" s="16" customFormat="1" x14ac:dyDescent="0.25">
      <c r="A36" s="25" t="s">
        <v>2222</v>
      </c>
      <c r="B36" s="168">
        <f>9312/12</f>
        <v>776</v>
      </c>
      <c r="C36" s="19">
        <v>1489131.4121127534</v>
      </c>
      <c r="D36" s="19">
        <v>156512</v>
      </c>
      <c r="E36" s="169">
        <v>240.26355556795608</v>
      </c>
      <c r="F36" s="19">
        <f>C36/8760</f>
        <v>169.99217033250611</v>
      </c>
      <c r="G36" s="169">
        <v>201.05858919599709</v>
      </c>
      <c r="H36" s="169">
        <v>170.2637213014211</v>
      </c>
      <c r="I36" s="169">
        <v>221.43371877082163</v>
      </c>
      <c r="N36" s="26"/>
      <c r="O36" s="26"/>
      <c r="P36" s="26"/>
    </row>
    <row r="37" spans="1:24" s="16" customFormat="1" x14ac:dyDescent="0.25">
      <c r="A37" s="192"/>
      <c r="B37" s="360"/>
      <c r="C37" s="361"/>
      <c r="D37" s="361"/>
      <c r="E37" s="361"/>
      <c r="F37" s="361"/>
      <c r="G37" s="361"/>
      <c r="H37" s="361"/>
      <c r="I37" s="361"/>
      <c r="N37" s="26"/>
      <c r="O37" s="26"/>
      <c r="P37" s="26"/>
      <c r="R37" s="184"/>
      <c r="S37" s="184"/>
      <c r="T37" s="184"/>
      <c r="U37" s="184"/>
      <c r="V37" s="184"/>
      <c r="W37" s="184"/>
      <c r="X37" s="184"/>
    </row>
    <row r="38" spans="1:24" s="16" customFormat="1" x14ac:dyDescent="0.25">
      <c r="B38" s="19">
        <f t="shared" ref="B38:I38" si="0">SUM(B8:B37)</f>
        <v>689441.5</v>
      </c>
      <c r="C38" s="19">
        <f t="shared" si="0"/>
        <v>18329917453.787022</v>
      </c>
      <c r="D38" s="175">
        <f t="shared" si="0"/>
        <v>1464489053</v>
      </c>
      <c r="E38" s="175">
        <f t="shared" si="0"/>
        <v>4686905.0191343417</v>
      </c>
      <c r="F38" s="175">
        <f t="shared" si="0"/>
        <v>2092456.330340984</v>
      </c>
      <c r="G38" s="175">
        <f t="shared" si="0"/>
        <v>3809382.3536371626</v>
      </c>
      <c r="H38" s="175">
        <f t="shared" si="0"/>
        <v>3580836.9697062937</v>
      </c>
      <c r="I38" s="175">
        <f t="shared" si="0"/>
        <v>7625362.1898453571</v>
      </c>
      <c r="N38" s="26"/>
      <c r="O38" s="26"/>
      <c r="P38" s="26"/>
      <c r="R38" s="184"/>
      <c r="S38" s="184"/>
      <c r="T38" s="184"/>
      <c r="U38" s="184"/>
      <c r="V38" s="184"/>
      <c r="W38" s="184"/>
      <c r="X38" s="184"/>
    </row>
    <row r="39" spans="1:24" s="16" customFormat="1" x14ac:dyDescent="0.25">
      <c r="B39" s="19"/>
      <c r="C39" s="19"/>
      <c r="D39" s="175"/>
      <c r="E39" s="175"/>
      <c r="F39" s="175"/>
      <c r="G39" s="175"/>
      <c r="H39" s="177"/>
      <c r="I39" s="175"/>
      <c r="J39" s="178"/>
      <c r="K39" s="179"/>
      <c r="L39" s="179"/>
      <c r="M39" s="175"/>
      <c r="N39" s="26"/>
      <c r="O39" s="26"/>
      <c r="P39" s="26"/>
      <c r="R39" s="184"/>
      <c r="S39" s="184"/>
      <c r="T39" s="184"/>
      <c r="U39" s="184"/>
      <c r="V39" s="184"/>
      <c r="W39" s="184"/>
      <c r="X39" s="184"/>
    </row>
    <row r="40" spans="1:24" s="16" customFormat="1" x14ac:dyDescent="0.25">
      <c r="B40" s="19"/>
      <c r="C40" s="19"/>
      <c r="D40" s="19"/>
      <c r="E40" s="19"/>
      <c r="F40" s="19"/>
      <c r="G40" s="19"/>
      <c r="H40" s="172"/>
      <c r="I40" s="19"/>
      <c r="J40" s="173"/>
      <c r="K40" s="19"/>
      <c r="L40" s="174"/>
      <c r="M40" s="19"/>
      <c r="N40" s="26"/>
      <c r="O40" s="26"/>
      <c r="P40" s="26"/>
      <c r="R40" s="184"/>
      <c r="S40" s="184"/>
      <c r="T40" s="184"/>
      <c r="U40" s="184"/>
      <c r="V40" s="184"/>
      <c r="W40" s="184"/>
      <c r="X40" s="184"/>
    </row>
    <row r="41" spans="1:24" s="16" customFormat="1" x14ac:dyDescent="0.25">
      <c r="B41" s="19"/>
      <c r="C41" s="19"/>
      <c r="D41" s="19"/>
      <c r="E41" s="19"/>
      <c r="F41" s="19"/>
      <c r="G41" s="19"/>
      <c r="H41" s="172"/>
      <c r="I41" s="19"/>
      <c r="J41" s="173"/>
      <c r="K41" s="19"/>
      <c r="L41" s="174"/>
      <c r="M41" s="19"/>
      <c r="N41" s="26"/>
      <c r="O41" s="26"/>
      <c r="P41" s="26"/>
      <c r="R41" s="184"/>
      <c r="S41" s="184"/>
      <c r="T41" s="184"/>
      <c r="U41" s="184"/>
      <c r="V41" s="184"/>
      <c r="W41" s="184"/>
      <c r="X41" s="184"/>
    </row>
    <row r="42" spans="1:24" x14ac:dyDescent="0.25">
      <c r="D42" s="10"/>
      <c r="E42" s="10"/>
      <c r="F42" s="10"/>
      <c r="G42" s="10"/>
      <c r="H42" s="10"/>
      <c r="I42" s="10"/>
      <c r="J42" s="14"/>
      <c r="K42" s="10"/>
      <c r="L42" s="11"/>
      <c r="M42" s="10"/>
      <c r="N42" s="12"/>
      <c r="O42" s="12"/>
      <c r="P42" s="12"/>
      <c r="R42" s="38"/>
      <c r="S42" s="38"/>
      <c r="T42" s="38"/>
      <c r="U42" s="38"/>
      <c r="V42" s="38"/>
      <c r="W42" s="38"/>
      <c r="X42" s="38"/>
    </row>
    <row r="43" spans="1:24" x14ac:dyDescent="0.25">
      <c r="D43" s="10"/>
      <c r="E43" s="10"/>
      <c r="F43" s="10"/>
      <c r="G43" s="10"/>
      <c r="H43" s="13"/>
      <c r="I43" s="10"/>
      <c r="J43" s="14"/>
      <c r="K43" s="10"/>
      <c r="L43" s="11"/>
      <c r="M43" s="10"/>
      <c r="N43" s="12"/>
      <c r="O43" s="12"/>
      <c r="P43" s="12"/>
      <c r="R43" s="38"/>
      <c r="S43" s="38"/>
      <c r="T43" s="38"/>
      <c r="U43" s="38"/>
      <c r="V43" s="38"/>
      <c r="W43" s="38"/>
      <c r="X43" s="38"/>
    </row>
    <row r="44" spans="1:24" x14ac:dyDescent="0.25">
      <c r="D44" s="10"/>
      <c r="E44" s="10"/>
      <c r="F44" s="10"/>
      <c r="G44" s="10"/>
      <c r="H44" s="13"/>
      <c r="I44" s="10"/>
      <c r="J44" s="14"/>
      <c r="K44" s="10"/>
      <c r="L44" s="11"/>
      <c r="M44" s="10"/>
      <c r="N44" s="12"/>
      <c r="O44" s="12"/>
      <c r="P44" s="12"/>
      <c r="R44" s="38"/>
      <c r="S44" s="38"/>
      <c r="T44" s="38"/>
      <c r="U44" s="38"/>
      <c r="V44" s="38"/>
      <c r="W44" s="38"/>
      <c r="X44" s="38"/>
    </row>
    <row r="45" spans="1:24" x14ac:dyDescent="0.25">
      <c r="C45" s="199"/>
      <c r="D45" s="200"/>
      <c r="E45" s="200"/>
      <c r="F45" s="200"/>
      <c r="G45" s="200"/>
      <c r="H45" s="13"/>
      <c r="I45" s="10"/>
      <c r="J45" s="14"/>
      <c r="K45" s="10"/>
      <c r="L45" s="11"/>
      <c r="M45" s="10"/>
      <c r="N45" s="12"/>
      <c r="O45" s="12"/>
      <c r="P45" s="12"/>
      <c r="R45" s="38"/>
      <c r="S45" s="38"/>
      <c r="T45" s="38"/>
      <c r="U45" s="38"/>
      <c r="V45" s="38"/>
      <c r="W45" s="38"/>
      <c r="X45" s="38"/>
    </row>
    <row r="46" spans="1:24" x14ac:dyDescent="0.25">
      <c r="C46" s="198"/>
      <c r="D46" s="122"/>
      <c r="E46" s="122"/>
      <c r="F46" s="122"/>
      <c r="G46" s="122"/>
      <c r="H46" s="13"/>
      <c r="I46" s="10"/>
      <c r="J46" s="14"/>
      <c r="K46" s="10"/>
      <c r="L46" s="11"/>
      <c r="M46" s="10"/>
      <c r="N46" s="12"/>
      <c r="O46" s="12"/>
      <c r="P46" s="12"/>
      <c r="R46" s="38"/>
      <c r="S46" s="38"/>
      <c r="T46" s="38"/>
      <c r="U46" s="38"/>
      <c r="V46" s="38"/>
      <c r="W46" s="38"/>
      <c r="X46" s="38"/>
    </row>
    <row r="47" spans="1:24" x14ac:dyDescent="0.25">
      <c r="C47" s="198"/>
      <c r="D47" s="41"/>
      <c r="E47" s="41"/>
      <c r="F47" s="41"/>
      <c r="G47" s="41"/>
      <c r="H47" s="13"/>
      <c r="I47" s="10"/>
      <c r="J47" s="14"/>
      <c r="K47" s="10"/>
      <c r="L47" s="11"/>
      <c r="M47" s="10"/>
      <c r="N47" s="12"/>
      <c r="O47" s="12"/>
      <c r="P47" s="12"/>
      <c r="R47" s="38"/>
      <c r="S47" s="38"/>
      <c r="T47" s="38"/>
      <c r="U47" s="38"/>
      <c r="V47" s="38"/>
      <c r="W47" s="38"/>
      <c r="X47" s="38"/>
    </row>
    <row r="48" spans="1:24" x14ac:dyDescent="0.25">
      <c r="C48" s="198"/>
      <c r="D48" s="122"/>
      <c r="E48" s="122"/>
      <c r="F48" s="122"/>
      <c r="G48" s="122"/>
      <c r="H48" s="13"/>
      <c r="I48" s="10"/>
      <c r="J48" s="14"/>
      <c r="K48" s="10"/>
      <c r="L48" s="11"/>
      <c r="M48" s="10"/>
      <c r="N48" s="12"/>
      <c r="O48" s="12"/>
      <c r="P48" s="12"/>
    </row>
    <row r="49" spans="1:16" x14ac:dyDescent="0.25">
      <c r="C49" s="198"/>
      <c r="D49" s="122"/>
      <c r="E49" s="122"/>
      <c r="F49" s="122"/>
      <c r="G49" s="122"/>
      <c r="H49" s="13"/>
      <c r="I49" s="10"/>
      <c r="J49" s="14"/>
      <c r="K49" s="10"/>
      <c r="L49" s="11"/>
      <c r="M49" s="10"/>
      <c r="N49" s="12"/>
      <c r="O49" s="12"/>
      <c r="P49" s="12"/>
    </row>
    <row r="50" spans="1:16" x14ac:dyDescent="0.25">
      <c r="C50" s="198"/>
      <c r="D50" s="122"/>
      <c r="E50" s="122"/>
      <c r="F50" s="122"/>
      <c r="G50" s="122"/>
      <c r="H50" s="13"/>
      <c r="I50" s="10"/>
      <c r="J50" s="14"/>
      <c r="K50" s="10"/>
      <c r="L50" s="11"/>
      <c r="M50" s="10"/>
      <c r="N50" s="12"/>
      <c r="O50" s="12"/>
      <c r="P50" s="12"/>
    </row>
    <row r="51" spans="1:16" x14ac:dyDescent="0.25">
      <c r="A51" s="196"/>
      <c r="D51" s="10"/>
      <c r="E51" s="10"/>
      <c r="F51" s="10"/>
      <c r="G51" s="10"/>
      <c r="H51" s="13"/>
      <c r="I51" s="184"/>
      <c r="J51" s="183"/>
      <c r="K51" s="184"/>
      <c r="L51" s="183"/>
      <c r="M51" s="10"/>
      <c r="N51" s="12"/>
      <c r="O51" s="12"/>
      <c r="P51" s="12"/>
    </row>
    <row r="52" spans="1:16" x14ac:dyDescent="0.25">
      <c r="A52" s="197"/>
      <c r="D52" s="10"/>
      <c r="E52" s="10"/>
      <c r="F52" s="10"/>
      <c r="G52" s="10"/>
      <c r="H52" s="13"/>
      <c r="I52" s="184"/>
      <c r="J52" s="183"/>
      <c r="K52" s="184"/>
      <c r="L52" s="183"/>
      <c r="M52" s="10"/>
      <c r="N52" s="12"/>
      <c r="O52" s="12"/>
      <c r="P52" s="12"/>
    </row>
    <row r="53" spans="1:16" x14ac:dyDescent="0.25">
      <c r="C53" s="198"/>
      <c r="D53" s="10"/>
      <c r="E53" s="10"/>
      <c r="F53" s="10"/>
      <c r="G53" s="10"/>
      <c r="H53" s="13"/>
      <c r="I53" s="184"/>
      <c r="J53" s="183"/>
      <c r="K53" s="184"/>
      <c r="L53" s="183"/>
      <c r="M53" s="10"/>
      <c r="N53" s="12"/>
      <c r="O53" s="12"/>
      <c r="P53" s="12"/>
    </row>
    <row r="54" spans="1:16" x14ac:dyDescent="0.25">
      <c r="C54" s="198"/>
      <c r="D54" s="10"/>
      <c r="E54" s="10"/>
      <c r="F54" s="10"/>
      <c r="G54" s="10"/>
      <c r="H54" s="13"/>
      <c r="I54" s="184"/>
      <c r="J54" s="183"/>
      <c r="K54" s="184"/>
      <c r="L54" s="183"/>
      <c r="M54" s="10"/>
      <c r="N54" s="12"/>
      <c r="O54" s="12"/>
      <c r="P54" s="12"/>
    </row>
    <row r="55" spans="1:16" x14ac:dyDescent="0.25">
      <c r="C55" s="198"/>
      <c r="D55" s="10"/>
      <c r="E55" s="10"/>
      <c r="F55" s="10"/>
      <c r="G55" s="10"/>
      <c r="H55" s="13"/>
      <c r="I55" s="184"/>
      <c r="J55" s="183"/>
      <c r="K55" s="184"/>
      <c r="L55" s="183"/>
      <c r="M55" s="10"/>
      <c r="N55" s="12"/>
      <c r="O55" s="12"/>
      <c r="P55" s="12"/>
    </row>
    <row r="56" spans="1:16" x14ac:dyDescent="0.25">
      <c r="A56" s="196"/>
      <c r="D56" s="10"/>
      <c r="E56" s="10"/>
      <c r="F56" s="10"/>
      <c r="G56" s="10"/>
      <c r="H56" s="13"/>
      <c r="I56" s="184"/>
      <c r="J56" s="184"/>
      <c r="K56" s="184"/>
      <c r="L56" s="184"/>
      <c r="M56" s="10"/>
      <c r="N56" s="12"/>
      <c r="O56" s="12"/>
      <c r="P56" s="12"/>
    </row>
    <row r="57" spans="1:16" x14ac:dyDescent="0.25">
      <c r="D57" s="10"/>
      <c r="E57" s="10"/>
      <c r="F57" s="10"/>
      <c r="G57" s="10"/>
      <c r="H57" s="13"/>
      <c r="I57" s="184"/>
      <c r="J57" s="184"/>
      <c r="K57" s="184"/>
      <c r="L57" s="184"/>
      <c r="M57" s="10"/>
      <c r="N57" s="12"/>
      <c r="O57" s="12"/>
      <c r="P57" s="12"/>
    </row>
    <row r="58" spans="1:16" x14ac:dyDescent="0.25">
      <c r="D58" s="10"/>
      <c r="E58" s="10"/>
      <c r="F58" s="10"/>
      <c r="G58" s="10"/>
      <c r="H58" s="13"/>
      <c r="I58" s="184"/>
      <c r="J58" s="184"/>
      <c r="K58" s="184"/>
      <c r="L58" s="184"/>
      <c r="M58" s="10"/>
      <c r="N58" s="12"/>
      <c r="O58" s="12"/>
      <c r="P58" s="12"/>
    </row>
    <row r="59" spans="1:16" x14ac:dyDescent="0.25">
      <c r="D59" s="10"/>
      <c r="E59" s="10"/>
      <c r="F59" s="10"/>
      <c r="G59" s="10"/>
      <c r="H59" s="13"/>
      <c r="I59" s="184"/>
      <c r="J59" s="184"/>
      <c r="K59" s="184"/>
      <c r="L59" s="184"/>
      <c r="M59" s="10"/>
      <c r="N59" s="12"/>
      <c r="O59" s="12"/>
      <c r="P59" s="12"/>
    </row>
    <row r="60" spans="1:16" x14ac:dyDescent="0.25">
      <c r="D60" s="10"/>
      <c r="E60" s="10"/>
      <c r="F60" s="10"/>
      <c r="G60" s="10"/>
      <c r="H60" s="13"/>
      <c r="I60" s="184"/>
      <c r="J60" s="184"/>
      <c r="K60" s="184"/>
      <c r="L60" s="184"/>
      <c r="M60" s="10"/>
      <c r="N60" s="12"/>
      <c r="O60" s="12"/>
      <c r="P60" s="12"/>
    </row>
    <row r="61" spans="1:16" x14ac:dyDescent="0.25">
      <c r="D61" s="10"/>
      <c r="E61" s="10"/>
      <c r="F61" s="10"/>
      <c r="G61" s="10"/>
      <c r="H61" s="13"/>
      <c r="I61" s="184"/>
      <c r="J61" s="184"/>
      <c r="K61" s="184"/>
      <c r="L61" s="184"/>
      <c r="M61" s="10"/>
      <c r="N61" s="12"/>
      <c r="O61" s="12"/>
      <c r="P61" s="12"/>
    </row>
    <row r="62" spans="1:16" x14ac:dyDescent="0.25">
      <c r="D62" s="10"/>
      <c r="E62" s="10"/>
      <c r="F62" s="10"/>
      <c r="G62" s="10"/>
      <c r="H62" s="13"/>
      <c r="I62" s="184"/>
      <c r="J62" s="184"/>
      <c r="K62" s="184"/>
      <c r="L62" s="184"/>
      <c r="M62" s="10"/>
      <c r="N62" s="12"/>
      <c r="O62" s="12"/>
      <c r="P62" s="12"/>
    </row>
    <row r="63" spans="1:16" x14ac:dyDescent="0.25">
      <c r="D63" s="10"/>
      <c r="E63" s="10"/>
      <c r="F63" s="10"/>
      <c r="G63" s="10"/>
      <c r="H63" s="13"/>
      <c r="I63" s="184"/>
      <c r="J63" s="184"/>
      <c r="K63" s="184"/>
      <c r="L63" s="184"/>
      <c r="M63" s="10"/>
      <c r="N63" s="12"/>
      <c r="O63" s="12"/>
      <c r="P63" s="12"/>
    </row>
    <row r="64" spans="1:16" x14ac:dyDescent="0.25">
      <c r="D64" s="10"/>
      <c r="E64" s="10"/>
      <c r="F64" s="10"/>
      <c r="G64" s="10"/>
      <c r="H64" s="13"/>
      <c r="I64" s="10"/>
      <c r="J64" s="14"/>
      <c r="K64" s="10"/>
      <c r="L64" s="11"/>
      <c r="M64" s="10"/>
      <c r="N64" s="12"/>
      <c r="O64" s="12"/>
      <c r="P64" s="12"/>
    </row>
    <row r="65" spans="1:22" x14ac:dyDescent="0.25">
      <c r="D65" s="10"/>
      <c r="E65" s="10"/>
      <c r="F65" s="10"/>
      <c r="G65" s="10"/>
      <c r="H65" s="13"/>
      <c r="I65" s="10"/>
      <c r="J65" s="14"/>
      <c r="K65" s="10"/>
      <c r="L65" s="11"/>
      <c r="M65" s="10"/>
      <c r="N65" s="12"/>
      <c r="O65" s="12"/>
      <c r="P65" s="12"/>
    </row>
    <row r="66" spans="1:22" x14ac:dyDescent="0.25">
      <c r="D66" s="10"/>
      <c r="E66" s="10"/>
      <c r="F66" s="10"/>
      <c r="G66" s="10"/>
      <c r="H66" s="13"/>
      <c r="I66" s="10"/>
      <c r="J66" s="14"/>
      <c r="K66" s="10"/>
      <c r="L66" s="11"/>
      <c r="M66" s="10"/>
      <c r="N66" s="12"/>
      <c r="O66" s="12"/>
      <c r="P66" s="12"/>
    </row>
    <row r="67" spans="1:22" x14ac:dyDescent="0.25">
      <c r="D67" s="10"/>
      <c r="E67" s="10"/>
      <c r="F67" s="10"/>
      <c r="G67" s="10"/>
      <c r="H67" s="13"/>
      <c r="I67" s="10"/>
      <c r="J67" s="14"/>
      <c r="K67" s="10"/>
      <c r="L67" s="11"/>
      <c r="M67" s="10"/>
      <c r="N67" s="12"/>
      <c r="O67" s="12"/>
      <c r="P67" s="12"/>
    </row>
    <row r="68" spans="1:22" x14ac:dyDescent="0.25">
      <c r="D68" s="10"/>
      <c r="E68" s="10"/>
      <c r="F68" s="10"/>
      <c r="G68" s="10"/>
      <c r="H68" s="13"/>
      <c r="I68" s="10"/>
      <c r="J68" s="14"/>
      <c r="K68" s="10"/>
      <c r="L68" s="11"/>
      <c r="M68" s="10"/>
      <c r="N68" s="12"/>
      <c r="O68" s="12"/>
      <c r="P68" s="12"/>
    </row>
    <row r="69" spans="1:22" x14ac:dyDescent="0.25">
      <c r="D69" s="10"/>
      <c r="E69" s="10"/>
      <c r="F69" s="10"/>
      <c r="G69" s="10"/>
      <c r="H69" s="13"/>
      <c r="I69" s="10"/>
      <c r="J69" s="14"/>
      <c r="K69" s="10"/>
      <c r="L69" s="11"/>
      <c r="M69" s="10"/>
      <c r="N69" s="12"/>
      <c r="O69" s="12"/>
      <c r="P69" s="12"/>
    </row>
    <row r="70" spans="1:22" x14ac:dyDescent="0.25">
      <c r="D70" s="10"/>
      <c r="E70" s="10"/>
      <c r="F70" s="10"/>
      <c r="G70" s="10"/>
      <c r="H70" s="13"/>
      <c r="I70" s="10"/>
      <c r="J70" s="14"/>
      <c r="K70" s="10"/>
      <c r="L70" s="11"/>
      <c r="M70" s="10"/>
      <c r="N70" s="12"/>
      <c r="O70" s="12"/>
      <c r="P70" s="12"/>
    </row>
    <row r="71" spans="1:22" x14ac:dyDescent="0.25">
      <c r="D71" s="10"/>
      <c r="E71" s="10"/>
      <c r="F71" s="10"/>
      <c r="G71" s="10"/>
      <c r="H71" s="13"/>
      <c r="I71" s="10"/>
      <c r="J71" s="14"/>
      <c r="K71" s="10"/>
      <c r="L71" s="11"/>
      <c r="M71" s="10"/>
      <c r="N71" s="12"/>
      <c r="O71" s="12"/>
      <c r="P71" s="12"/>
    </row>
    <row r="72" spans="1:22" x14ac:dyDescent="0.25">
      <c r="L72" s="11"/>
      <c r="M72" s="10"/>
      <c r="N72" s="12"/>
      <c r="O72" s="12"/>
      <c r="P72" s="12"/>
    </row>
    <row r="73" spans="1:22" x14ac:dyDescent="0.25">
      <c r="D73" s="10"/>
      <c r="E73" s="10"/>
      <c r="F73" s="10"/>
      <c r="G73" s="10"/>
      <c r="H73" s="13"/>
      <c r="I73" s="10"/>
      <c r="J73" s="14"/>
      <c r="K73" s="10"/>
      <c r="L73" s="11"/>
      <c r="M73" s="10"/>
      <c r="N73" s="12"/>
      <c r="O73" s="12"/>
      <c r="P73" s="12"/>
    </row>
    <row r="74" spans="1:22" x14ac:dyDescent="0.25">
      <c r="D74" s="10"/>
      <c r="E74" s="10"/>
      <c r="F74" s="10"/>
      <c r="G74" s="10"/>
      <c r="H74" s="13"/>
      <c r="I74" s="10"/>
      <c r="J74" s="14"/>
      <c r="K74" s="10"/>
      <c r="L74" s="11"/>
      <c r="M74" s="10"/>
      <c r="N74" s="12"/>
      <c r="O74" s="12"/>
      <c r="P74" s="12"/>
    </row>
    <row r="75" spans="1:22" s="16" customFormat="1" x14ac:dyDescent="0.25">
      <c r="A75" s="166"/>
      <c r="B75" s="167"/>
      <c r="C75" s="167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U75" s="168"/>
      <c r="V75" s="168"/>
    </row>
    <row r="76" spans="1:22" s="16" customFormat="1" x14ac:dyDescent="0.25">
      <c r="A76" s="166"/>
      <c r="B76" s="167"/>
      <c r="C76" s="167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</row>
    <row r="77" spans="1:22" s="16" customFormat="1" x14ac:dyDescent="0.25">
      <c r="A77" s="15"/>
      <c r="B77" s="18"/>
      <c r="C77" s="1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9"/>
    </row>
    <row r="78" spans="1:22" s="16" customFormat="1" x14ac:dyDescent="0.25">
      <c r="B78" s="19"/>
      <c r="C78" s="19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</row>
    <row r="79" spans="1:22" s="16" customFormat="1" x14ac:dyDescent="0.25">
      <c r="B79" s="19"/>
      <c r="C79" s="19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1"/>
    </row>
    <row r="80" spans="1:22" s="16" customFormat="1" x14ac:dyDescent="0.25">
      <c r="B80" s="19"/>
      <c r="C80" s="19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9"/>
      <c r="P80" s="169"/>
    </row>
    <row r="81" spans="1:19" s="16" customFormat="1" x14ac:dyDescent="0.25">
      <c r="B81" s="19"/>
      <c r="C81" s="19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</row>
    <row r="82" spans="1:19" s="16" customFormat="1" x14ac:dyDescent="0.25">
      <c r="B82" s="19"/>
      <c r="C82" s="19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9"/>
      <c r="Q82" s="169"/>
      <c r="R82" s="169"/>
      <c r="S82" s="169"/>
    </row>
    <row r="83" spans="1:19" s="16" customFormat="1" x14ac:dyDescent="0.25">
      <c r="B83" s="19"/>
      <c r="C83" s="19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68"/>
      <c r="O83" s="169"/>
    </row>
    <row r="84" spans="1:19" s="16" customFormat="1" x14ac:dyDescent="0.25">
      <c r="B84" s="19"/>
      <c r="C84" s="19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9"/>
      <c r="P84" s="169"/>
    </row>
    <row r="85" spans="1:19" s="16" customFormat="1" x14ac:dyDescent="0.25">
      <c r="A85" s="166"/>
      <c r="B85" s="167"/>
      <c r="C85" s="167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</row>
    <row r="86" spans="1:19" s="16" customFormat="1" x14ac:dyDescent="0.25">
      <c r="A86" s="15"/>
      <c r="B86" s="18"/>
      <c r="C86" s="1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9"/>
    </row>
    <row r="87" spans="1:19" s="16" customFormat="1" x14ac:dyDescent="0.25">
      <c r="B87" s="19"/>
      <c r="C87" s="19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</row>
    <row r="88" spans="1:19" s="16" customFormat="1" x14ac:dyDescent="0.25">
      <c r="B88" s="19"/>
      <c r="C88" s="19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1"/>
    </row>
    <row r="89" spans="1:19" s="16" customFormat="1" x14ac:dyDescent="0.25">
      <c r="B89" s="19"/>
      <c r="C89" s="19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9"/>
      <c r="P89" s="169"/>
    </row>
    <row r="90" spans="1:19" s="16" customFormat="1" x14ac:dyDescent="0.25">
      <c r="B90" s="19"/>
      <c r="C90" s="19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</row>
    <row r="91" spans="1:19" s="16" customFormat="1" x14ac:dyDescent="0.25">
      <c r="B91" s="19"/>
      <c r="C91" s="19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9"/>
      <c r="Q91" s="169"/>
      <c r="R91" s="169"/>
    </row>
    <row r="92" spans="1:19" s="16" customFormat="1" x14ac:dyDescent="0.25">
      <c r="B92" s="19"/>
      <c r="C92" s="19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68"/>
      <c r="O92" s="169"/>
    </row>
    <row r="93" spans="1:19" s="16" customFormat="1" x14ac:dyDescent="0.25">
      <c r="B93" s="19"/>
      <c r="C93" s="19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9"/>
      <c r="P93" s="169"/>
    </row>
    <row r="94" spans="1:19" s="16" customFormat="1" x14ac:dyDescent="0.25">
      <c r="A94" s="166"/>
      <c r="B94" s="167"/>
      <c r="C94" s="167"/>
      <c r="D94" s="19"/>
      <c r="E94" s="19"/>
      <c r="F94" s="19"/>
      <c r="G94" s="19"/>
      <c r="H94" s="172"/>
      <c r="I94" s="19"/>
      <c r="J94" s="173"/>
      <c r="K94" s="19"/>
      <c r="L94" s="174"/>
      <c r="M94" s="19"/>
      <c r="P94" s="169"/>
    </row>
    <row r="95" spans="1:19" s="16" customFormat="1" x14ac:dyDescent="0.25">
      <c r="A95" s="15"/>
      <c r="B95" s="18"/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68"/>
      <c r="O95" s="169"/>
      <c r="P95" s="169"/>
    </row>
    <row r="96" spans="1:19" s="16" customFormat="1" x14ac:dyDescent="0.25">
      <c r="B96" s="19"/>
      <c r="C96" s="19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9"/>
      <c r="P96" s="169"/>
    </row>
    <row r="97" spans="1:18" s="16" customFormat="1" x14ac:dyDescent="0.25">
      <c r="B97" s="19"/>
      <c r="C97" s="19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68"/>
      <c r="O97" s="19"/>
      <c r="P97" s="169"/>
    </row>
    <row r="98" spans="1:18" s="16" customFormat="1" x14ac:dyDescent="0.25">
      <c r="B98" s="19"/>
      <c r="C98" s="19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9"/>
      <c r="P98" s="169"/>
    </row>
    <row r="99" spans="1:18" s="16" customFormat="1" x14ac:dyDescent="0.25">
      <c r="B99" s="19"/>
      <c r="C99" s="19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9"/>
      <c r="P99" s="169"/>
    </row>
    <row r="100" spans="1:18" s="16" customFormat="1" x14ac:dyDescent="0.25">
      <c r="B100" s="19"/>
      <c r="C100" s="19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9"/>
      <c r="P100" s="169"/>
      <c r="Q100" s="169"/>
      <c r="R100" s="169"/>
    </row>
    <row r="101" spans="1:18" s="16" customFormat="1" x14ac:dyDescent="0.25">
      <c r="B101" s="19"/>
      <c r="C101" s="19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68"/>
      <c r="O101" s="169"/>
    </row>
    <row r="102" spans="1:18" s="16" customFormat="1" x14ac:dyDescent="0.25">
      <c r="B102" s="19"/>
      <c r="C102" s="19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9"/>
      <c r="P102" s="169"/>
    </row>
    <row r="103" spans="1:18" s="16" customFormat="1" x14ac:dyDescent="0.25">
      <c r="A103" s="166"/>
      <c r="B103" s="167"/>
      <c r="C103" s="167"/>
      <c r="D103" s="176"/>
      <c r="E103" s="176"/>
      <c r="F103" s="176"/>
      <c r="G103" s="176"/>
      <c r="H103" s="177"/>
      <c r="I103" s="175"/>
      <c r="J103" s="178"/>
      <c r="K103" s="175"/>
      <c r="L103" s="179"/>
      <c r="M103" s="175"/>
      <c r="N103" s="26"/>
      <c r="O103" s="26"/>
      <c r="P103" s="26"/>
    </row>
    <row r="104" spans="1:18" s="16" customFormat="1" x14ac:dyDescent="0.25">
      <c r="A104" s="15"/>
      <c r="B104" s="18"/>
      <c r="C104" s="18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68"/>
      <c r="O104" s="169"/>
      <c r="P104" s="169"/>
    </row>
    <row r="105" spans="1:18" s="16" customFormat="1" x14ac:dyDescent="0.25">
      <c r="B105" s="19"/>
      <c r="C105" s="19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P105" s="169"/>
    </row>
    <row r="106" spans="1:18" s="16" customFormat="1" x14ac:dyDescent="0.25">
      <c r="B106" s="19"/>
      <c r="C106" s="19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68"/>
      <c r="P106" s="169"/>
    </row>
    <row r="107" spans="1:18" s="16" customFormat="1" x14ac:dyDescent="0.25">
      <c r="B107" s="19"/>
      <c r="C107" s="19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9"/>
      <c r="P107" s="169"/>
    </row>
    <row r="108" spans="1:18" s="16" customFormat="1" x14ac:dyDescent="0.25">
      <c r="B108" s="19"/>
      <c r="C108" s="19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P108" s="169"/>
    </row>
    <row r="109" spans="1:18" s="16" customFormat="1" x14ac:dyDescent="0.25">
      <c r="B109" s="19"/>
      <c r="C109" s="19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9"/>
      <c r="P109" s="169"/>
      <c r="Q109" s="169"/>
      <c r="R109" s="169"/>
    </row>
    <row r="110" spans="1:18" s="16" customFormat="1" x14ac:dyDescent="0.25">
      <c r="B110" s="19"/>
      <c r="C110" s="19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68"/>
      <c r="O110" s="169"/>
    </row>
    <row r="111" spans="1:18" s="16" customFormat="1" x14ac:dyDescent="0.25">
      <c r="B111" s="19"/>
      <c r="C111" s="19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9"/>
      <c r="P111" s="169"/>
    </row>
    <row r="112" spans="1:18" s="16" customFormat="1" x14ac:dyDescent="0.25">
      <c r="A112" s="166"/>
      <c r="B112" s="167"/>
      <c r="C112" s="167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69"/>
    </row>
    <row r="113" spans="1:22" s="16" customFormat="1" x14ac:dyDescent="0.25">
      <c r="A113" s="15"/>
      <c r="B113" s="18"/>
      <c r="C113" s="18"/>
      <c r="D113" s="19"/>
      <c r="E113" s="19"/>
      <c r="F113" s="19"/>
      <c r="G113" s="19"/>
      <c r="H113" s="175"/>
      <c r="I113" s="19"/>
      <c r="J113" s="19"/>
      <c r="K113" s="19"/>
      <c r="L113" s="19"/>
      <c r="M113" s="19"/>
      <c r="N113" s="169"/>
      <c r="O113" s="169"/>
      <c r="P113" s="26"/>
      <c r="T113" s="181"/>
      <c r="V113" s="181"/>
    </row>
    <row r="114" spans="1:22" s="16" customFormat="1" x14ac:dyDescent="0.25">
      <c r="B114" s="19"/>
      <c r="C114" s="19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P114" s="26"/>
      <c r="T114" s="181"/>
      <c r="V114" s="181"/>
    </row>
    <row r="115" spans="1:22" s="16" customFormat="1" x14ac:dyDescent="0.25">
      <c r="B115" s="19"/>
      <c r="C115" s="19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68"/>
      <c r="P115" s="169"/>
      <c r="T115" s="181"/>
      <c r="V115" s="181"/>
    </row>
    <row r="116" spans="1:22" s="16" customFormat="1" x14ac:dyDescent="0.25">
      <c r="B116" s="19"/>
      <c r="C116" s="19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9"/>
      <c r="O116" s="169"/>
      <c r="P116" s="169"/>
      <c r="T116" s="181"/>
      <c r="V116" s="181"/>
    </row>
    <row r="117" spans="1:22" s="16" customFormat="1" x14ac:dyDescent="0.25">
      <c r="B117" s="19"/>
      <c r="C117" s="19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26"/>
      <c r="P117" s="26"/>
      <c r="T117" s="181"/>
      <c r="V117" s="181"/>
    </row>
    <row r="118" spans="1:22" s="16" customFormat="1" x14ac:dyDescent="0.25">
      <c r="B118" s="19"/>
      <c r="C118" s="19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9"/>
      <c r="O118" s="169"/>
      <c r="P118" s="26"/>
      <c r="Q118" s="169"/>
      <c r="R118" s="169"/>
      <c r="T118" s="181"/>
      <c r="V118" s="181"/>
    </row>
    <row r="119" spans="1:22" s="16" customFormat="1" x14ac:dyDescent="0.25">
      <c r="B119" s="19"/>
      <c r="C119" s="19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68"/>
      <c r="O119" s="169"/>
    </row>
    <row r="120" spans="1:22" s="16" customFormat="1" x14ac:dyDescent="0.25">
      <c r="B120" s="19"/>
      <c r="C120" s="19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9"/>
      <c r="P120" s="169"/>
    </row>
    <row r="121" spans="1:22" s="16" customFormat="1" x14ac:dyDescent="0.25">
      <c r="B121" s="19"/>
      <c r="C121" s="19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9"/>
    </row>
    <row r="122" spans="1:22" s="16" customFormat="1" x14ac:dyDescent="0.25">
      <c r="A122" s="15"/>
      <c r="B122" s="18"/>
      <c r="C122" s="18"/>
      <c r="D122" s="19"/>
      <c r="E122" s="19"/>
      <c r="F122" s="19"/>
      <c r="G122" s="19"/>
      <c r="H122" s="175"/>
      <c r="I122" s="19"/>
      <c r="J122" s="19"/>
      <c r="K122" s="19"/>
      <c r="L122" s="19"/>
      <c r="M122" s="19"/>
      <c r="N122" s="169"/>
      <c r="O122" s="169"/>
      <c r="P122" s="26"/>
      <c r="T122" s="181"/>
      <c r="V122" s="181"/>
    </row>
    <row r="123" spans="1:22" s="16" customFormat="1" x14ac:dyDescent="0.25">
      <c r="B123" s="19"/>
      <c r="C123" s="19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P123" s="26"/>
      <c r="T123" s="181"/>
      <c r="V123" s="181"/>
    </row>
    <row r="124" spans="1:22" s="16" customFormat="1" x14ac:dyDescent="0.25">
      <c r="B124" s="19"/>
      <c r="C124" s="19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68"/>
      <c r="P124" s="169"/>
      <c r="T124" s="181"/>
      <c r="V124" s="181"/>
    </row>
    <row r="125" spans="1:22" s="16" customFormat="1" x14ac:dyDescent="0.25">
      <c r="B125" s="19"/>
      <c r="C125" s="19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9"/>
      <c r="O125" s="169"/>
      <c r="P125" s="169"/>
      <c r="T125" s="181"/>
      <c r="V125" s="181"/>
    </row>
    <row r="126" spans="1:22" s="16" customFormat="1" x14ac:dyDescent="0.25">
      <c r="B126" s="19"/>
      <c r="C126" s="19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26"/>
      <c r="P126" s="26"/>
      <c r="T126" s="181"/>
      <c r="V126" s="181"/>
    </row>
    <row r="127" spans="1:22" s="16" customFormat="1" x14ac:dyDescent="0.25">
      <c r="B127" s="19"/>
      <c r="C127" s="19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9"/>
      <c r="O127" s="169"/>
      <c r="P127" s="26"/>
      <c r="Q127" s="169"/>
      <c r="R127" s="169"/>
      <c r="T127" s="181"/>
      <c r="V127" s="181"/>
    </row>
    <row r="128" spans="1:22" s="16" customFormat="1" x14ac:dyDescent="0.25">
      <c r="B128" s="19"/>
      <c r="C128" s="19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68"/>
      <c r="O128" s="169"/>
    </row>
    <row r="129" spans="1:22" s="16" customFormat="1" x14ac:dyDescent="0.25">
      <c r="B129" s="19"/>
      <c r="C129" s="19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9"/>
      <c r="P129" s="169"/>
    </row>
    <row r="130" spans="1:22" s="16" customFormat="1" x14ac:dyDescent="0.25">
      <c r="B130" s="19"/>
      <c r="C130" s="19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9"/>
    </row>
    <row r="131" spans="1:22" s="16" customFormat="1" x14ac:dyDescent="0.25">
      <c r="A131" s="15"/>
      <c r="B131" s="18"/>
      <c r="C131" s="1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9"/>
      <c r="O131" s="169"/>
      <c r="P131" s="26"/>
    </row>
    <row r="132" spans="1:22" s="16" customFormat="1" x14ac:dyDescent="0.25">
      <c r="B132" s="19"/>
      <c r="C132" s="19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9"/>
      <c r="O132" s="169"/>
      <c r="P132" s="26"/>
    </row>
    <row r="133" spans="1:22" s="16" customFormat="1" x14ac:dyDescent="0.25">
      <c r="B133" s="19"/>
      <c r="C133" s="19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69"/>
      <c r="P133" s="26"/>
    </row>
    <row r="134" spans="1:22" s="16" customFormat="1" x14ac:dyDescent="0.25">
      <c r="B134" s="19"/>
      <c r="C134" s="19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9"/>
      <c r="O134" s="169"/>
      <c r="P134" s="169"/>
    </row>
    <row r="135" spans="1:22" s="16" customFormat="1" x14ac:dyDescent="0.25">
      <c r="B135" s="19"/>
      <c r="C135" s="19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26"/>
      <c r="P135" s="26"/>
    </row>
    <row r="136" spans="1:22" s="16" customFormat="1" x14ac:dyDescent="0.25">
      <c r="B136" s="19"/>
      <c r="C136" s="19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9"/>
      <c r="O136" s="169"/>
      <c r="Q136" s="169"/>
      <c r="R136" s="169"/>
    </row>
    <row r="137" spans="1:22" s="16" customFormat="1" x14ac:dyDescent="0.25">
      <c r="B137" s="19"/>
      <c r="C137" s="19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69"/>
      <c r="P137" s="169"/>
      <c r="Q137" s="169"/>
      <c r="R137" s="169"/>
    </row>
    <row r="138" spans="1:22" s="16" customFormat="1" x14ac:dyDescent="0.25">
      <c r="B138" s="19"/>
      <c r="C138" s="19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9"/>
      <c r="O138" s="169"/>
      <c r="P138" s="169"/>
      <c r="Q138" s="169"/>
      <c r="R138" s="169"/>
    </row>
    <row r="139" spans="1:22" s="16" customFormat="1" x14ac:dyDescent="0.25">
      <c r="B139" s="19"/>
      <c r="C139" s="19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9"/>
      <c r="O139" s="169"/>
      <c r="P139" s="26"/>
      <c r="Q139" s="169"/>
      <c r="R139" s="169"/>
    </row>
    <row r="140" spans="1:22" s="16" customFormat="1" x14ac:dyDescent="0.25">
      <c r="A140" s="15"/>
      <c r="B140" s="18"/>
      <c r="C140" s="18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69"/>
      <c r="O140" s="19"/>
      <c r="P140" s="26"/>
      <c r="T140" s="181"/>
      <c r="V140" s="181"/>
    </row>
    <row r="141" spans="1:22" s="16" customFormat="1" x14ac:dyDescent="0.25">
      <c r="B141" s="19"/>
      <c r="C141" s="19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P141" s="26"/>
      <c r="T141" s="181"/>
      <c r="V141" s="181"/>
    </row>
    <row r="142" spans="1:22" s="16" customFormat="1" x14ac:dyDescent="0.25">
      <c r="B142" s="19"/>
      <c r="C142" s="19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68"/>
      <c r="P142" s="169"/>
      <c r="T142" s="181"/>
      <c r="V142" s="181"/>
    </row>
    <row r="143" spans="1:22" s="16" customFormat="1" x14ac:dyDescent="0.25">
      <c r="B143" s="19"/>
      <c r="C143" s="19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9"/>
      <c r="O143" s="169"/>
      <c r="P143" s="169"/>
      <c r="T143" s="181"/>
      <c r="V143" s="181"/>
    </row>
    <row r="144" spans="1:22" s="16" customFormat="1" x14ac:dyDescent="0.25">
      <c r="B144" s="19"/>
      <c r="C144" s="19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26"/>
      <c r="P144" s="26"/>
      <c r="T144" s="181"/>
      <c r="V144" s="181"/>
    </row>
    <row r="145" spans="1:22" s="16" customFormat="1" x14ac:dyDescent="0.25">
      <c r="B145" s="19"/>
      <c r="C145" s="19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9"/>
      <c r="O145" s="169"/>
      <c r="P145" s="26"/>
      <c r="Q145" s="169"/>
      <c r="R145" s="169"/>
      <c r="T145" s="181"/>
      <c r="V145" s="181"/>
    </row>
    <row r="146" spans="1:22" s="16" customFormat="1" x14ac:dyDescent="0.25">
      <c r="B146" s="19"/>
      <c r="C146" s="19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68"/>
      <c r="O146" s="169"/>
    </row>
    <row r="147" spans="1:22" s="16" customFormat="1" x14ac:dyDescent="0.25">
      <c r="B147" s="19"/>
      <c r="C147" s="19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9"/>
      <c r="P147" s="169"/>
    </row>
    <row r="148" spans="1:22" s="16" customFormat="1" x14ac:dyDescent="0.25">
      <c r="B148" s="19"/>
      <c r="C148" s="19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9"/>
      <c r="O148" s="169"/>
      <c r="P148" s="26"/>
      <c r="Q148" s="169"/>
      <c r="R148" s="169"/>
    </row>
    <row r="149" spans="1:22" s="16" customFormat="1" x14ac:dyDescent="0.25">
      <c r="A149" s="15"/>
      <c r="B149" s="18"/>
      <c r="C149" s="1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69"/>
      <c r="O149" s="26"/>
      <c r="P149" s="26"/>
      <c r="T149" s="181"/>
      <c r="V149" s="181"/>
    </row>
    <row r="150" spans="1:22" s="16" customFormat="1" x14ac:dyDescent="0.25">
      <c r="B150" s="19"/>
      <c r="C150" s="19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P150" s="26"/>
      <c r="T150" s="181"/>
      <c r="V150" s="181"/>
    </row>
    <row r="151" spans="1:22" s="16" customFormat="1" x14ac:dyDescent="0.25">
      <c r="B151" s="19"/>
      <c r="C151" s="19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68"/>
      <c r="P151" s="169"/>
      <c r="T151" s="181"/>
      <c r="V151" s="181"/>
    </row>
    <row r="152" spans="1:22" s="16" customFormat="1" x14ac:dyDescent="0.25">
      <c r="B152" s="19"/>
      <c r="C152" s="19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9"/>
      <c r="O152" s="169"/>
      <c r="P152" s="169"/>
      <c r="T152" s="181"/>
      <c r="V152" s="181"/>
    </row>
    <row r="153" spans="1:22" s="16" customFormat="1" x14ac:dyDescent="0.25">
      <c r="B153" s="19"/>
      <c r="C153" s="19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26"/>
      <c r="P153" s="26"/>
      <c r="T153" s="181"/>
      <c r="V153" s="181"/>
    </row>
    <row r="154" spans="1:22" s="16" customFormat="1" x14ac:dyDescent="0.25">
      <c r="B154" s="19"/>
      <c r="C154" s="19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9"/>
      <c r="O154" s="169"/>
      <c r="P154" s="26"/>
      <c r="Q154" s="169"/>
      <c r="R154" s="169"/>
      <c r="T154" s="181"/>
      <c r="V154" s="181"/>
    </row>
    <row r="155" spans="1:22" s="16" customFormat="1" x14ac:dyDescent="0.25">
      <c r="B155" s="19"/>
      <c r="C155" s="19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68"/>
      <c r="O155" s="169"/>
    </row>
    <row r="156" spans="1:22" s="16" customFormat="1" x14ac:dyDescent="0.25">
      <c r="B156" s="19"/>
      <c r="C156" s="19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9"/>
      <c r="P156" s="169"/>
    </row>
    <row r="157" spans="1:22" s="16" customFormat="1" x14ac:dyDescent="0.25">
      <c r="B157" s="19"/>
      <c r="C157" s="19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9"/>
    </row>
    <row r="158" spans="1:22" s="16" customFormat="1" x14ac:dyDescent="0.2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69"/>
      <c r="O158" s="26"/>
      <c r="P158" s="26"/>
      <c r="T158" s="181"/>
      <c r="V158" s="181"/>
    </row>
    <row r="159" spans="1:22" s="16" customFormat="1" x14ac:dyDescent="0.25">
      <c r="B159" s="19"/>
      <c r="C159" s="19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P159" s="26"/>
      <c r="T159" s="181"/>
      <c r="V159" s="181"/>
    </row>
    <row r="160" spans="1:22" s="16" customFormat="1" x14ac:dyDescent="0.25">
      <c r="B160" s="19"/>
      <c r="C160" s="19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68"/>
      <c r="P160" s="169"/>
      <c r="T160" s="181"/>
      <c r="V160" s="181"/>
    </row>
    <row r="161" spans="2:22" s="16" customFormat="1" x14ac:dyDescent="0.25">
      <c r="B161" s="19"/>
      <c r="C161" s="19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9"/>
      <c r="O161" s="169"/>
      <c r="P161" s="169"/>
      <c r="T161" s="181"/>
      <c r="V161" s="181"/>
    </row>
    <row r="162" spans="2:22" s="16" customFormat="1" x14ac:dyDescent="0.25">
      <c r="B162" s="19"/>
      <c r="C162" s="19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26"/>
      <c r="P162" s="26"/>
      <c r="T162" s="181"/>
      <c r="V162" s="181"/>
    </row>
    <row r="163" spans="2:22" s="16" customFormat="1" x14ac:dyDescent="0.25">
      <c r="B163" s="19"/>
      <c r="C163" s="19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9"/>
      <c r="O163" s="169"/>
      <c r="P163" s="26"/>
      <c r="Q163" s="169"/>
      <c r="R163" s="169"/>
      <c r="T163" s="181"/>
      <c r="V163" s="181"/>
    </row>
    <row r="164" spans="2:22" s="16" customFormat="1" x14ac:dyDescent="0.25">
      <c r="B164" s="19"/>
      <c r="C164" s="19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68"/>
      <c r="O164" s="169"/>
    </row>
    <row r="165" spans="2:22" s="16" customFormat="1" x14ac:dyDescent="0.25">
      <c r="B165" s="19"/>
      <c r="C165" s="19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9"/>
      <c r="P165" s="169"/>
    </row>
    <row r="166" spans="2:22" s="16" customFormat="1" x14ac:dyDescent="0.25">
      <c r="B166" s="19"/>
      <c r="C166" s="19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9"/>
    </row>
    <row r="167" spans="2:22" s="16" customFormat="1" x14ac:dyDescent="0.2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69"/>
      <c r="O167" s="26"/>
      <c r="P167" s="26"/>
      <c r="T167" s="181"/>
      <c r="V167" s="181"/>
    </row>
    <row r="168" spans="2:22" s="16" customFormat="1" x14ac:dyDescent="0.25">
      <c r="B168" s="19"/>
      <c r="C168" s="19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P168" s="26"/>
      <c r="T168" s="181"/>
      <c r="V168" s="181"/>
    </row>
    <row r="169" spans="2:22" s="16" customFormat="1" x14ac:dyDescent="0.25">
      <c r="B169" s="19"/>
      <c r="C169" s="19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68"/>
      <c r="P169" s="169"/>
      <c r="T169" s="181"/>
      <c r="V169" s="181"/>
    </row>
    <row r="170" spans="2:22" s="16" customFormat="1" x14ac:dyDescent="0.25">
      <c r="B170" s="19"/>
      <c r="C170" s="19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9"/>
      <c r="O170" s="169"/>
      <c r="P170" s="169"/>
      <c r="T170" s="181"/>
      <c r="V170" s="181"/>
    </row>
    <row r="171" spans="2:22" s="16" customFormat="1" x14ac:dyDescent="0.25">
      <c r="B171" s="19"/>
      <c r="C171" s="19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26"/>
      <c r="P171" s="26"/>
      <c r="T171" s="181"/>
      <c r="V171" s="181"/>
    </row>
    <row r="172" spans="2:22" s="16" customFormat="1" x14ac:dyDescent="0.25">
      <c r="B172" s="19"/>
      <c r="C172" s="19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9"/>
      <c r="O172" s="169"/>
      <c r="P172" s="26"/>
      <c r="Q172" s="169"/>
      <c r="R172" s="169"/>
      <c r="T172" s="181"/>
      <c r="V172" s="181"/>
    </row>
    <row r="173" spans="2:22" s="16" customFormat="1" x14ac:dyDescent="0.25">
      <c r="B173" s="19"/>
      <c r="C173" s="19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68"/>
      <c r="O173" s="169"/>
    </row>
    <row r="174" spans="2:22" s="16" customFormat="1" x14ac:dyDescent="0.25">
      <c r="B174" s="19"/>
      <c r="C174" s="19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9"/>
      <c r="P174" s="169"/>
    </row>
    <row r="175" spans="2:22" s="16" customFormat="1" x14ac:dyDescent="0.25">
      <c r="B175" s="19"/>
      <c r="C175" s="19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9"/>
    </row>
    <row r="176" spans="2:22" s="16" customFormat="1" x14ac:dyDescent="0.2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69"/>
      <c r="O176" s="26"/>
      <c r="P176" s="26"/>
      <c r="T176" s="181"/>
      <c r="V176" s="181"/>
    </row>
    <row r="177" spans="2:22" s="16" customFormat="1" x14ac:dyDescent="0.25">
      <c r="B177" s="19"/>
      <c r="C177" s="19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P177" s="26"/>
      <c r="T177" s="181"/>
      <c r="V177" s="181"/>
    </row>
    <row r="178" spans="2:22" s="16" customFormat="1" x14ac:dyDescent="0.25">
      <c r="B178" s="19"/>
      <c r="C178" s="19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68"/>
      <c r="P178" s="169"/>
      <c r="T178" s="181"/>
      <c r="V178" s="181"/>
    </row>
    <row r="179" spans="2:22" s="16" customFormat="1" x14ac:dyDescent="0.25">
      <c r="B179" s="19"/>
      <c r="C179" s="19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9"/>
      <c r="O179" s="169"/>
      <c r="P179" s="169"/>
      <c r="T179" s="181"/>
      <c r="V179" s="181"/>
    </row>
    <row r="180" spans="2:22" s="16" customFormat="1" x14ac:dyDescent="0.25">
      <c r="B180" s="19"/>
      <c r="C180" s="19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26"/>
      <c r="P180" s="26"/>
      <c r="T180" s="181"/>
      <c r="V180" s="181"/>
    </row>
    <row r="181" spans="2:22" s="16" customFormat="1" x14ac:dyDescent="0.25">
      <c r="B181" s="19"/>
      <c r="C181" s="19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9"/>
      <c r="O181" s="169"/>
      <c r="P181" s="26"/>
      <c r="Q181" s="169"/>
      <c r="R181" s="169"/>
      <c r="T181" s="181"/>
      <c r="V181" s="181"/>
    </row>
    <row r="182" spans="2:22" s="16" customFormat="1" x14ac:dyDescent="0.25">
      <c r="B182" s="19"/>
      <c r="C182" s="19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68"/>
      <c r="O182" s="169"/>
    </row>
    <row r="183" spans="2:22" s="16" customFormat="1" x14ac:dyDescent="0.25">
      <c r="B183" s="19"/>
      <c r="C183" s="19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9"/>
      <c r="P183" s="169"/>
    </row>
    <row r="184" spans="2:22" s="16" customFormat="1" x14ac:dyDescent="0.25">
      <c r="B184" s="19"/>
      <c r="C184" s="19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9"/>
    </row>
    <row r="185" spans="2:22" s="16" customFormat="1" x14ac:dyDescent="0.2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69"/>
      <c r="O185" s="26"/>
      <c r="P185" s="26"/>
    </row>
    <row r="186" spans="2:22" s="16" customFormat="1" x14ac:dyDescent="0.25">
      <c r="B186" s="19"/>
      <c r="C186" s="19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P186" s="26"/>
    </row>
    <row r="187" spans="2:22" s="16" customFormat="1" x14ac:dyDescent="0.25">
      <c r="B187" s="19"/>
      <c r="C187" s="19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68"/>
      <c r="P187" s="169"/>
    </row>
    <row r="188" spans="2:22" s="16" customFormat="1" x14ac:dyDescent="0.25">
      <c r="B188" s="19"/>
      <c r="C188" s="19"/>
      <c r="D188" s="168"/>
      <c r="E188" s="168"/>
      <c r="F188" s="168"/>
      <c r="G188" s="168"/>
      <c r="H188" s="168"/>
      <c r="I188" s="168"/>
      <c r="J188" s="168"/>
      <c r="K188" s="168"/>
      <c r="L188" s="182"/>
      <c r="M188" s="168"/>
      <c r="N188" s="169"/>
      <c r="O188" s="169"/>
      <c r="P188" s="169"/>
    </row>
    <row r="189" spans="2:22" s="16" customFormat="1" x14ac:dyDescent="0.25">
      <c r="B189" s="19"/>
      <c r="C189" s="19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26"/>
      <c r="P189" s="26"/>
    </row>
    <row r="190" spans="2:22" s="16" customFormat="1" x14ac:dyDescent="0.25">
      <c r="B190" s="19"/>
      <c r="C190" s="19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9"/>
      <c r="O190" s="169"/>
      <c r="P190" s="26"/>
      <c r="Q190" s="169"/>
      <c r="R190" s="169"/>
    </row>
    <row r="191" spans="2:22" s="16" customFormat="1" x14ac:dyDescent="0.25">
      <c r="B191" s="19"/>
      <c r="C191" s="19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68"/>
      <c r="O191" s="169"/>
    </row>
    <row r="192" spans="2:22" s="16" customFormat="1" x14ac:dyDescent="0.25">
      <c r="B192" s="19"/>
      <c r="C192" s="19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9"/>
      <c r="P192" s="169"/>
    </row>
    <row r="193" spans="2:22" s="16" customFormat="1" x14ac:dyDescent="0.25">
      <c r="B193" s="19"/>
      <c r="C193" s="19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9"/>
    </row>
    <row r="194" spans="2:22" s="16" customFormat="1" x14ac:dyDescent="0.2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69"/>
      <c r="O194" s="26"/>
      <c r="P194" s="26"/>
      <c r="T194" s="181"/>
      <c r="V194" s="181"/>
    </row>
    <row r="195" spans="2:22" s="16" customFormat="1" x14ac:dyDescent="0.25">
      <c r="B195" s="19"/>
      <c r="C195" s="19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9"/>
      <c r="P195" s="26"/>
      <c r="T195" s="181"/>
      <c r="V195" s="181"/>
    </row>
    <row r="196" spans="2:22" s="16" customFormat="1" x14ac:dyDescent="0.25">
      <c r="B196" s="19"/>
      <c r="C196" s="19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68"/>
      <c r="P196" s="169"/>
      <c r="T196" s="181"/>
      <c r="V196" s="181"/>
    </row>
    <row r="197" spans="2:22" s="16" customFormat="1" x14ac:dyDescent="0.25">
      <c r="B197" s="19"/>
      <c r="C197" s="19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9"/>
      <c r="O197" s="169"/>
      <c r="P197" s="169"/>
      <c r="T197" s="181"/>
      <c r="V197" s="181"/>
    </row>
    <row r="198" spans="2:22" s="16" customFormat="1" x14ac:dyDescent="0.25">
      <c r="B198" s="19"/>
      <c r="C198" s="19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26"/>
      <c r="P198" s="26"/>
      <c r="T198" s="181"/>
      <c r="V198" s="181"/>
    </row>
    <row r="199" spans="2:22" s="16" customFormat="1" x14ac:dyDescent="0.25">
      <c r="B199" s="19"/>
      <c r="C199" s="19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9"/>
      <c r="O199" s="169"/>
      <c r="P199" s="26"/>
      <c r="Q199" s="169"/>
      <c r="R199" s="169"/>
      <c r="T199" s="181"/>
      <c r="V199" s="181"/>
    </row>
    <row r="200" spans="2:22" s="16" customFormat="1" x14ac:dyDescent="0.25">
      <c r="B200" s="19"/>
      <c r="C200" s="19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68"/>
      <c r="O200" s="169"/>
    </row>
    <row r="201" spans="2:22" s="16" customFormat="1" x14ac:dyDescent="0.25">
      <c r="B201" s="19"/>
      <c r="C201" s="19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9"/>
      <c r="P201" s="169"/>
    </row>
    <row r="202" spans="2:22" s="16" customFormat="1" x14ac:dyDescent="0.25">
      <c r="B202" s="19"/>
      <c r="C202" s="19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9"/>
    </row>
    <row r="203" spans="2:22" s="16" customFormat="1" x14ac:dyDescent="0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69"/>
      <c r="O203" s="26"/>
      <c r="P203" s="26"/>
      <c r="T203" s="181"/>
      <c r="V203" s="181"/>
    </row>
    <row r="204" spans="2:22" s="16" customFormat="1" x14ac:dyDescent="0.25">
      <c r="B204" s="19"/>
      <c r="C204" s="19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P204" s="26"/>
      <c r="T204" s="181"/>
      <c r="V204" s="181"/>
    </row>
    <row r="205" spans="2:22" s="16" customFormat="1" x14ac:dyDescent="0.25">
      <c r="B205" s="19"/>
      <c r="C205" s="19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68"/>
      <c r="P205" s="169"/>
      <c r="T205" s="181"/>
      <c r="V205" s="181"/>
    </row>
    <row r="206" spans="2:22" s="16" customFormat="1" x14ac:dyDescent="0.25">
      <c r="B206" s="19"/>
      <c r="C206" s="19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9"/>
      <c r="O206" s="169"/>
      <c r="P206" s="169"/>
      <c r="T206" s="181"/>
      <c r="V206" s="181"/>
    </row>
    <row r="207" spans="2:22" s="16" customFormat="1" x14ac:dyDescent="0.25">
      <c r="B207" s="19"/>
      <c r="C207" s="19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26"/>
      <c r="P207" s="26"/>
      <c r="T207" s="181"/>
      <c r="V207" s="181"/>
    </row>
    <row r="208" spans="2:22" s="16" customFormat="1" x14ac:dyDescent="0.25">
      <c r="B208" s="19"/>
      <c r="C208" s="19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9"/>
      <c r="O208" s="169"/>
      <c r="P208" s="26"/>
      <c r="Q208" s="169"/>
      <c r="R208" s="169"/>
      <c r="T208" s="181"/>
      <c r="V208" s="181"/>
    </row>
    <row r="209" spans="1:22" s="16" customFormat="1" x14ac:dyDescent="0.25">
      <c r="B209" s="19"/>
      <c r="C209" s="19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68"/>
      <c r="O209" s="169"/>
    </row>
    <row r="210" spans="1:22" s="16" customFormat="1" x14ac:dyDescent="0.25">
      <c r="B210" s="19"/>
      <c r="C210" s="19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9"/>
      <c r="P210" s="169"/>
    </row>
    <row r="211" spans="1:22" s="16" customFormat="1" x14ac:dyDescent="0.25">
      <c r="B211" s="19"/>
      <c r="C211" s="19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9"/>
    </row>
    <row r="212" spans="1:22" s="16" customFormat="1" x14ac:dyDescent="0.25">
      <c r="A212" s="15"/>
      <c r="B212" s="18"/>
      <c r="C212" s="18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69"/>
      <c r="O212" s="26"/>
      <c r="P212" s="26"/>
      <c r="T212" s="181"/>
      <c r="V212" s="181"/>
    </row>
    <row r="213" spans="1:22" s="16" customFormat="1" x14ac:dyDescent="0.25">
      <c r="B213" s="19"/>
      <c r="C213" s="19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P213" s="26"/>
      <c r="T213" s="181"/>
      <c r="V213" s="181"/>
    </row>
    <row r="214" spans="1:22" s="16" customFormat="1" x14ac:dyDescent="0.25">
      <c r="B214" s="19"/>
      <c r="C214" s="19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68"/>
      <c r="P214" s="169"/>
      <c r="T214" s="181"/>
      <c r="V214" s="181"/>
    </row>
    <row r="215" spans="1:22" s="16" customFormat="1" x14ac:dyDescent="0.25">
      <c r="B215" s="19"/>
      <c r="C215" s="19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9"/>
      <c r="O215" s="169"/>
      <c r="P215" s="169"/>
      <c r="T215" s="181"/>
      <c r="V215" s="181"/>
    </row>
    <row r="216" spans="1:22" s="16" customFormat="1" x14ac:dyDescent="0.25">
      <c r="B216" s="19"/>
      <c r="C216" s="19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26"/>
      <c r="P216" s="26"/>
      <c r="T216" s="181"/>
      <c r="V216" s="181"/>
    </row>
    <row r="217" spans="1:22" s="16" customFormat="1" x14ac:dyDescent="0.25">
      <c r="B217" s="19"/>
      <c r="C217" s="19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9"/>
      <c r="O217" s="169"/>
      <c r="P217" s="26"/>
      <c r="Q217" s="169"/>
      <c r="R217" s="169"/>
      <c r="T217" s="181"/>
      <c r="V217" s="181"/>
    </row>
    <row r="218" spans="1:22" s="16" customFormat="1" x14ac:dyDescent="0.25">
      <c r="B218" s="19"/>
      <c r="C218" s="19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69"/>
    </row>
    <row r="219" spans="1:22" s="16" customFormat="1" x14ac:dyDescent="0.25">
      <c r="B219" s="19"/>
      <c r="C219" s="19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9"/>
      <c r="P219" s="169"/>
    </row>
    <row r="220" spans="1:22" s="16" customFormat="1" x14ac:dyDescent="0.25">
      <c r="B220" s="19"/>
      <c r="C220" s="19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9"/>
    </row>
    <row r="221" spans="1:22" s="16" customFormat="1" x14ac:dyDescent="0.25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69"/>
      <c r="O221" s="26"/>
      <c r="P221" s="26"/>
      <c r="T221" s="181"/>
      <c r="V221" s="181"/>
    </row>
    <row r="222" spans="1:22" s="16" customFormat="1" x14ac:dyDescent="0.25">
      <c r="B222" s="19"/>
      <c r="C222" s="19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P222" s="26"/>
      <c r="T222" s="181"/>
      <c r="V222" s="181"/>
    </row>
    <row r="223" spans="1:22" s="16" customFormat="1" x14ac:dyDescent="0.25">
      <c r="B223" s="19"/>
      <c r="C223" s="19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68"/>
      <c r="P223" s="169"/>
      <c r="T223" s="181"/>
      <c r="V223" s="181"/>
    </row>
    <row r="224" spans="1:22" s="16" customFormat="1" x14ac:dyDescent="0.25">
      <c r="B224" s="19"/>
      <c r="C224" s="19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9"/>
      <c r="O224" s="169"/>
      <c r="P224" s="169"/>
      <c r="T224" s="181"/>
      <c r="V224" s="181"/>
    </row>
    <row r="225" spans="2:22" s="16" customFormat="1" x14ac:dyDescent="0.25">
      <c r="B225" s="19"/>
      <c r="C225" s="19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26"/>
      <c r="P225" s="26"/>
      <c r="T225" s="181"/>
      <c r="V225" s="181"/>
    </row>
    <row r="226" spans="2:22" s="16" customFormat="1" x14ac:dyDescent="0.25">
      <c r="B226" s="19"/>
      <c r="C226" s="19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9"/>
      <c r="O226" s="169"/>
      <c r="P226" s="26"/>
      <c r="Q226" s="169"/>
      <c r="R226" s="169"/>
      <c r="T226" s="181"/>
      <c r="V226" s="181"/>
    </row>
    <row r="227" spans="2:22" s="16" customFormat="1" x14ac:dyDescent="0.25">
      <c r="B227" s="19"/>
      <c r="C227" s="19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69"/>
    </row>
    <row r="228" spans="2:22" s="16" customFormat="1" x14ac:dyDescent="0.25">
      <c r="B228" s="19"/>
      <c r="C228" s="19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9"/>
      <c r="P228" s="169"/>
    </row>
    <row r="229" spans="2:22" s="16" customFormat="1" x14ac:dyDescent="0.25">
      <c r="B229" s="19"/>
      <c r="C229" s="19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9"/>
    </row>
    <row r="230" spans="2:22" s="16" customFormat="1" x14ac:dyDescent="0.25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69"/>
      <c r="O230" s="26"/>
      <c r="P230" s="26"/>
      <c r="T230" s="181"/>
      <c r="V230" s="181"/>
    </row>
    <row r="231" spans="2:22" s="16" customFormat="1" x14ac:dyDescent="0.25">
      <c r="B231" s="19"/>
      <c r="C231" s="19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P231" s="26"/>
      <c r="T231" s="181"/>
      <c r="V231" s="181"/>
    </row>
    <row r="232" spans="2:22" s="16" customFormat="1" x14ac:dyDescent="0.25">
      <c r="B232" s="19"/>
      <c r="C232" s="19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68"/>
      <c r="P232" s="169"/>
      <c r="T232" s="181"/>
      <c r="V232" s="181"/>
    </row>
    <row r="233" spans="2:22" s="16" customFormat="1" x14ac:dyDescent="0.25">
      <c r="B233" s="19"/>
      <c r="C233" s="19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9"/>
      <c r="O233" s="169"/>
      <c r="P233" s="169"/>
      <c r="T233" s="181"/>
      <c r="V233" s="181"/>
    </row>
    <row r="234" spans="2:22" s="16" customFormat="1" x14ac:dyDescent="0.25">
      <c r="B234" s="19"/>
      <c r="C234" s="19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26"/>
      <c r="P234" s="26"/>
      <c r="T234" s="181"/>
      <c r="V234" s="181"/>
    </row>
    <row r="235" spans="2:22" s="16" customFormat="1" x14ac:dyDescent="0.25">
      <c r="B235" s="19"/>
      <c r="C235" s="19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9"/>
      <c r="O235" s="169"/>
      <c r="P235" s="26"/>
      <c r="Q235" s="169"/>
      <c r="R235" s="169"/>
      <c r="T235" s="181"/>
      <c r="V235" s="181"/>
    </row>
    <row r="236" spans="2:22" s="16" customFormat="1" x14ac:dyDescent="0.25">
      <c r="B236" s="19"/>
      <c r="C236" s="19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69"/>
    </row>
    <row r="237" spans="2:22" s="16" customFormat="1" x14ac:dyDescent="0.25">
      <c r="B237" s="19"/>
      <c r="C237" s="19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9"/>
      <c r="P237" s="169"/>
    </row>
    <row r="238" spans="2:22" s="16" customFormat="1" x14ac:dyDescent="0.25">
      <c r="B238" s="19"/>
      <c r="C238" s="19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9"/>
    </row>
    <row r="239" spans="2:22" s="16" customFormat="1" x14ac:dyDescent="0.25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69"/>
      <c r="O239" s="26"/>
      <c r="P239" s="26"/>
      <c r="T239" s="181"/>
      <c r="V239" s="181"/>
    </row>
    <row r="240" spans="2:22" s="16" customFormat="1" x14ac:dyDescent="0.25">
      <c r="B240" s="19"/>
      <c r="C240" s="19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P240" s="26"/>
      <c r="T240" s="181"/>
      <c r="V240" s="181"/>
    </row>
    <row r="241" spans="1:22" s="16" customFormat="1" x14ac:dyDescent="0.25">
      <c r="B241" s="19"/>
      <c r="C241" s="19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68"/>
      <c r="P241" s="169"/>
      <c r="T241" s="181"/>
      <c r="V241" s="181"/>
    </row>
    <row r="242" spans="1:22" s="16" customFormat="1" x14ac:dyDescent="0.25">
      <c r="B242" s="19"/>
      <c r="C242" s="19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9"/>
      <c r="O242" s="169"/>
      <c r="P242" s="169"/>
      <c r="T242" s="181"/>
      <c r="V242" s="181"/>
    </row>
    <row r="243" spans="1:22" s="16" customFormat="1" x14ac:dyDescent="0.25">
      <c r="B243" s="19"/>
      <c r="C243" s="19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26"/>
      <c r="P243" s="26"/>
      <c r="T243" s="181"/>
      <c r="V243" s="181"/>
    </row>
    <row r="244" spans="1:22" s="16" customFormat="1" x14ac:dyDescent="0.25">
      <c r="B244" s="19"/>
      <c r="C244" s="19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9"/>
      <c r="O244" s="169"/>
      <c r="P244" s="26"/>
      <c r="Q244" s="169"/>
      <c r="R244" s="169"/>
      <c r="T244" s="181"/>
      <c r="V244" s="181"/>
    </row>
    <row r="245" spans="1:22" s="16" customFormat="1" x14ac:dyDescent="0.25">
      <c r="B245" s="19"/>
      <c r="C245" s="19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69"/>
    </row>
    <row r="246" spans="1:22" s="16" customFormat="1" x14ac:dyDescent="0.25">
      <c r="B246" s="19"/>
      <c r="C246" s="19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9"/>
      <c r="P246" s="169"/>
    </row>
    <row r="247" spans="1:22" s="16" customFormat="1" x14ac:dyDescent="0.25">
      <c r="B247" s="19"/>
      <c r="C247" s="19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9"/>
    </row>
    <row r="248" spans="1:22" s="16" customFormat="1" x14ac:dyDescent="0.25">
      <c r="A248" s="15"/>
      <c r="B248" s="18"/>
      <c r="C248" s="1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69"/>
      <c r="O248" s="26"/>
      <c r="P248" s="26"/>
      <c r="T248" s="181"/>
      <c r="V248" s="181"/>
    </row>
    <row r="249" spans="1:22" s="16" customFormat="1" x14ac:dyDescent="0.25">
      <c r="B249" s="19"/>
      <c r="C249" s="19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P249" s="26"/>
      <c r="T249" s="181"/>
      <c r="V249" s="181"/>
    </row>
    <row r="250" spans="1:22" s="16" customFormat="1" x14ac:dyDescent="0.25">
      <c r="B250" s="19"/>
      <c r="C250" s="19"/>
      <c r="D250" s="170"/>
      <c r="E250" s="170"/>
      <c r="F250" s="170"/>
      <c r="G250" s="170"/>
      <c r="H250" s="170"/>
      <c r="I250" s="170"/>
      <c r="J250" s="170"/>
      <c r="K250" s="170"/>
      <c r="L250" s="170"/>
      <c r="M250" s="170"/>
      <c r="N250" s="168"/>
      <c r="P250" s="169"/>
      <c r="T250" s="181"/>
      <c r="V250" s="181"/>
    </row>
    <row r="251" spans="1:22" s="16" customFormat="1" x14ac:dyDescent="0.25">
      <c r="B251" s="19"/>
      <c r="C251" s="19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9"/>
      <c r="O251" s="169"/>
      <c r="P251" s="169"/>
      <c r="T251" s="181"/>
      <c r="V251" s="181"/>
    </row>
    <row r="252" spans="1:22" s="16" customFormat="1" x14ac:dyDescent="0.25">
      <c r="B252" s="19"/>
      <c r="C252" s="19"/>
      <c r="D252" s="170"/>
      <c r="E252" s="170"/>
      <c r="F252" s="170"/>
      <c r="G252" s="170"/>
      <c r="H252" s="170"/>
      <c r="I252" s="170"/>
      <c r="J252" s="170"/>
      <c r="K252" s="170"/>
      <c r="L252" s="170"/>
      <c r="M252" s="170"/>
      <c r="N252" s="170"/>
      <c r="O252" s="26"/>
      <c r="P252" s="26"/>
      <c r="T252" s="181"/>
      <c r="V252" s="181"/>
    </row>
    <row r="253" spans="1:22" s="16" customFormat="1" x14ac:dyDescent="0.25">
      <c r="B253" s="19"/>
      <c r="C253" s="19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9"/>
      <c r="O253" s="169"/>
      <c r="P253" s="26"/>
      <c r="Q253" s="169"/>
      <c r="R253" s="169"/>
      <c r="T253" s="181"/>
      <c r="V253" s="181"/>
    </row>
    <row r="254" spans="1:22" s="16" customFormat="1" x14ac:dyDescent="0.25">
      <c r="B254" s="19"/>
      <c r="C254" s="19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169"/>
    </row>
    <row r="255" spans="1:22" s="16" customFormat="1" x14ac:dyDescent="0.25">
      <c r="B255" s="19"/>
      <c r="C255" s="19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9"/>
      <c r="P255" s="169"/>
    </row>
    <row r="256" spans="1:22" s="16" customFormat="1" x14ac:dyDescent="0.25">
      <c r="B256" s="19"/>
      <c r="C256" s="19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9"/>
    </row>
    <row r="257" spans="1:22" s="16" customFormat="1" x14ac:dyDescent="0.25">
      <c r="A257" s="15"/>
      <c r="B257" s="18"/>
      <c r="C257" s="18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69"/>
      <c r="O257" s="26"/>
      <c r="P257" s="26"/>
      <c r="T257" s="181"/>
      <c r="V257" s="181"/>
    </row>
    <row r="258" spans="1:22" s="16" customFormat="1" x14ac:dyDescent="0.25">
      <c r="B258" s="19"/>
      <c r="C258" s="19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P258" s="26"/>
      <c r="T258" s="181"/>
      <c r="V258" s="181"/>
    </row>
    <row r="259" spans="1:22" s="16" customFormat="1" x14ac:dyDescent="0.25">
      <c r="B259" s="19"/>
      <c r="C259" s="19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  <c r="N259" s="168"/>
      <c r="P259" s="169"/>
      <c r="T259" s="181"/>
      <c r="V259" s="181"/>
    </row>
    <row r="260" spans="1:22" s="16" customFormat="1" x14ac:dyDescent="0.25">
      <c r="B260" s="19"/>
      <c r="C260" s="19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9"/>
      <c r="O260" s="169"/>
      <c r="P260" s="169"/>
      <c r="T260" s="181"/>
      <c r="V260" s="181"/>
    </row>
    <row r="261" spans="1:22" s="16" customFormat="1" x14ac:dyDescent="0.25">
      <c r="B261" s="19"/>
      <c r="C261" s="19"/>
      <c r="D261" s="170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  <c r="O261" s="26"/>
      <c r="P261" s="26"/>
      <c r="T261" s="181"/>
      <c r="V261" s="181"/>
    </row>
    <row r="262" spans="1:22" s="16" customFormat="1" x14ac:dyDescent="0.25">
      <c r="B262" s="19"/>
      <c r="C262" s="19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9"/>
      <c r="O262" s="169"/>
      <c r="P262" s="26"/>
      <c r="Q262" s="169"/>
      <c r="R262" s="169"/>
      <c r="T262" s="181"/>
      <c r="V262" s="181"/>
    </row>
    <row r="263" spans="1:22" s="16" customFormat="1" x14ac:dyDescent="0.25">
      <c r="B263" s="19"/>
      <c r="C263" s="19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69"/>
    </row>
    <row r="264" spans="1:22" s="16" customFormat="1" x14ac:dyDescent="0.25">
      <c r="B264" s="19"/>
      <c r="C264" s="19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9"/>
      <c r="P264" s="169"/>
    </row>
    <row r="265" spans="1:22" s="16" customFormat="1" x14ac:dyDescent="0.25">
      <c r="B265" s="19"/>
      <c r="C265" s="19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9"/>
    </row>
    <row r="266" spans="1:22" s="16" customFormat="1" x14ac:dyDescent="0.25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69"/>
      <c r="O266" s="26"/>
      <c r="P266" s="26"/>
      <c r="T266" s="181"/>
      <c r="V266" s="181"/>
    </row>
    <row r="267" spans="1:22" s="16" customFormat="1" x14ac:dyDescent="0.25">
      <c r="B267" s="19"/>
      <c r="C267" s="19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P267" s="26"/>
      <c r="T267" s="181"/>
      <c r="V267" s="181"/>
    </row>
    <row r="268" spans="1:22" s="16" customFormat="1" x14ac:dyDescent="0.25">
      <c r="B268" s="19"/>
      <c r="C268" s="19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68"/>
      <c r="P268" s="169"/>
      <c r="T268" s="181"/>
      <c r="V268" s="181"/>
    </row>
    <row r="269" spans="1:22" s="16" customFormat="1" x14ac:dyDescent="0.25">
      <c r="B269" s="19"/>
      <c r="C269" s="19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9"/>
      <c r="O269" s="169"/>
      <c r="P269" s="169"/>
      <c r="T269" s="181"/>
      <c r="V269" s="181"/>
    </row>
    <row r="270" spans="1:22" s="16" customFormat="1" x14ac:dyDescent="0.25">
      <c r="B270" s="19"/>
      <c r="C270" s="19"/>
      <c r="D270" s="170"/>
      <c r="E270" s="170"/>
      <c r="F270" s="170"/>
      <c r="G270" s="170"/>
      <c r="H270" s="170"/>
      <c r="I270" s="170"/>
      <c r="J270" s="170"/>
      <c r="K270" s="170"/>
      <c r="L270" s="170"/>
      <c r="M270" s="170"/>
      <c r="N270" s="170"/>
      <c r="O270" s="26"/>
      <c r="P270" s="26"/>
      <c r="T270" s="181"/>
      <c r="V270" s="181"/>
    </row>
    <row r="271" spans="1:22" s="16" customFormat="1" x14ac:dyDescent="0.25">
      <c r="B271" s="19"/>
      <c r="C271" s="19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9"/>
      <c r="O271" s="169"/>
      <c r="P271" s="26"/>
      <c r="Q271" s="169"/>
      <c r="R271" s="169"/>
      <c r="T271" s="181"/>
      <c r="V271" s="181"/>
    </row>
    <row r="272" spans="1:22" s="16" customFormat="1" x14ac:dyDescent="0.25">
      <c r="B272" s="19"/>
      <c r="C272" s="19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69"/>
    </row>
    <row r="273" spans="1:22" s="16" customFormat="1" x14ac:dyDescent="0.25">
      <c r="B273" s="19"/>
      <c r="C273" s="19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9"/>
      <c r="P273" s="169"/>
    </row>
    <row r="274" spans="1:22" s="16" customFormat="1" x14ac:dyDescent="0.25">
      <c r="B274" s="19"/>
      <c r="C274" s="19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9"/>
    </row>
    <row r="275" spans="1:22" s="16" customFormat="1" x14ac:dyDescent="0.25">
      <c r="A275" s="15"/>
      <c r="B275" s="18"/>
      <c r="C275" s="18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69"/>
      <c r="O275" s="26"/>
      <c r="P275" s="26"/>
      <c r="T275" s="181"/>
      <c r="V275" s="181"/>
    </row>
    <row r="276" spans="1:22" s="16" customFormat="1" x14ac:dyDescent="0.25">
      <c r="B276" s="19"/>
      <c r="C276" s="19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P276" s="26"/>
      <c r="T276" s="181"/>
      <c r="V276" s="181"/>
    </row>
    <row r="277" spans="1:22" s="16" customFormat="1" x14ac:dyDescent="0.25">
      <c r="B277" s="19"/>
      <c r="C277" s="19"/>
      <c r="D277" s="170"/>
      <c r="E277" s="170"/>
      <c r="F277" s="170"/>
      <c r="G277" s="170"/>
      <c r="H277" s="170"/>
      <c r="I277" s="170"/>
      <c r="J277" s="170"/>
      <c r="K277" s="170"/>
      <c r="L277" s="170"/>
      <c r="M277" s="170"/>
      <c r="N277" s="168"/>
      <c r="P277" s="169"/>
      <c r="T277" s="181"/>
      <c r="V277" s="181"/>
    </row>
    <row r="278" spans="1:22" s="16" customFormat="1" x14ac:dyDescent="0.25">
      <c r="B278" s="19"/>
      <c r="C278" s="19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9"/>
      <c r="O278" s="169"/>
      <c r="P278" s="169"/>
      <c r="T278" s="181"/>
      <c r="V278" s="181"/>
    </row>
    <row r="279" spans="1:22" s="16" customFormat="1" x14ac:dyDescent="0.25">
      <c r="B279" s="19"/>
      <c r="C279" s="19"/>
      <c r="D279" s="170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26"/>
      <c r="P279" s="26"/>
      <c r="T279" s="181"/>
      <c r="V279" s="181"/>
    </row>
    <row r="280" spans="1:22" s="16" customFormat="1" x14ac:dyDescent="0.25">
      <c r="B280" s="19"/>
      <c r="C280" s="19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9"/>
      <c r="O280" s="169"/>
      <c r="P280" s="26"/>
      <c r="Q280" s="169"/>
      <c r="R280" s="169"/>
      <c r="T280" s="181"/>
      <c r="V280" s="181"/>
    </row>
    <row r="281" spans="1:22" s="16" customFormat="1" x14ac:dyDescent="0.25">
      <c r="B281" s="19"/>
      <c r="C281" s="19"/>
      <c r="D281" s="170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169"/>
    </row>
    <row r="282" spans="1:22" s="16" customFormat="1" x14ac:dyDescent="0.25">
      <c r="B282" s="19"/>
      <c r="C282" s="19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9"/>
      <c r="P282" s="169"/>
    </row>
    <row r="283" spans="1:22" s="16" customFormat="1" x14ac:dyDescent="0.25">
      <c r="B283" s="19"/>
      <c r="C283" s="19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9"/>
      <c r="P283" s="169"/>
    </row>
    <row r="284" spans="1:22" s="16" customFormat="1" x14ac:dyDescent="0.25">
      <c r="A284" s="15"/>
      <c r="B284" s="18"/>
      <c r="C284" s="18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69"/>
      <c r="O284" s="26"/>
      <c r="P284" s="26"/>
      <c r="T284" s="181"/>
      <c r="V284" s="181"/>
    </row>
    <row r="285" spans="1:22" s="16" customFormat="1" x14ac:dyDescent="0.25">
      <c r="B285" s="19"/>
      <c r="C285" s="19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P285" s="26"/>
      <c r="T285" s="181"/>
      <c r="V285" s="181"/>
    </row>
    <row r="286" spans="1:22" s="16" customFormat="1" x14ac:dyDescent="0.25">
      <c r="B286" s="19"/>
      <c r="C286" s="19"/>
      <c r="D286" s="170"/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P286" s="169"/>
      <c r="T286" s="181"/>
      <c r="V286" s="181"/>
    </row>
    <row r="287" spans="1:22" s="16" customFormat="1" x14ac:dyDescent="0.25">
      <c r="B287" s="19"/>
      <c r="C287" s="19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9"/>
      <c r="O287" s="169"/>
      <c r="P287" s="169"/>
      <c r="T287" s="181"/>
      <c r="V287" s="181"/>
    </row>
    <row r="288" spans="1:22" s="16" customFormat="1" x14ac:dyDescent="0.25">
      <c r="B288" s="19"/>
      <c r="C288" s="19"/>
      <c r="D288" s="170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26"/>
      <c r="P288" s="26"/>
      <c r="T288" s="181"/>
      <c r="V288" s="181"/>
    </row>
    <row r="289" spans="1:22" s="16" customFormat="1" x14ac:dyDescent="0.25">
      <c r="B289" s="19"/>
      <c r="C289" s="19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9"/>
      <c r="O289" s="169"/>
      <c r="P289" s="26"/>
      <c r="Q289" s="169"/>
      <c r="R289" s="169"/>
      <c r="T289" s="181"/>
      <c r="V289" s="181"/>
    </row>
    <row r="290" spans="1:22" s="16" customFormat="1" x14ac:dyDescent="0.25">
      <c r="B290" s="19"/>
      <c r="C290" s="19"/>
      <c r="D290" s="170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69"/>
    </row>
    <row r="291" spans="1:22" s="16" customFormat="1" x14ac:dyDescent="0.25">
      <c r="B291" s="19"/>
      <c r="C291" s="19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9"/>
      <c r="P291" s="169"/>
    </row>
    <row r="292" spans="1:22" s="16" customFormat="1" x14ac:dyDescent="0.25">
      <c r="B292" s="19"/>
      <c r="C292" s="19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9"/>
    </row>
    <row r="293" spans="1:22" s="16" customFormat="1" x14ac:dyDescent="0.25">
      <c r="A293" s="15"/>
      <c r="B293" s="18"/>
      <c r="C293" s="18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69"/>
      <c r="O293" s="26"/>
      <c r="P293" s="26"/>
      <c r="T293" s="181"/>
      <c r="V293" s="181"/>
    </row>
    <row r="294" spans="1:22" s="16" customFormat="1" x14ac:dyDescent="0.25">
      <c r="B294" s="19"/>
      <c r="C294" s="19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P294" s="26"/>
      <c r="T294" s="181"/>
      <c r="V294" s="181"/>
    </row>
    <row r="295" spans="1:22" s="16" customFormat="1" x14ac:dyDescent="0.25">
      <c r="B295" s="19"/>
      <c r="C295" s="19"/>
      <c r="D295" s="170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P295" s="169"/>
      <c r="T295" s="181"/>
      <c r="V295" s="181"/>
    </row>
    <row r="296" spans="1:22" s="16" customFormat="1" x14ac:dyDescent="0.25">
      <c r="B296" s="19"/>
      <c r="C296" s="19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9"/>
      <c r="O296" s="169"/>
      <c r="P296" s="169"/>
      <c r="T296" s="181"/>
      <c r="V296" s="181"/>
    </row>
    <row r="297" spans="1:22" s="16" customFormat="1" x14ac:dyDescent="0.25">
      <c r="B297" s="19"/>
      <c r="C297" s="19"/>
      <c r="D297" s="170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O297" s="26"/>
      <c r="P297" s="26"/>
      <c r="T297" s="181"/>
      <c r="V297" s="181"/>
    </row>
    <row r="298" spans="1:22" s="16" customFormat="1" x14ac:dyDescent="0.25">
      <c r="B298" s="19"/>
      <c r="C298" s="19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9"/>
      <c r="O298" s="169"/>
      <c r="P298" s="26"/>
      <c r="Q298" s="169"/>
      <c r="R298" s="169"/>
      <c r="T298" s="181"/>
      <c r="V298" s="181"/>
    </row>
    <row r="299" spans="1:22" s="16" customFormat="1" x14ac:dyDescent="0.25">
      <c r="B299" s="19"/>
      <c r="C299" s="19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69"/>
    </row>
    <row r="300" spans="1:22" s="16" customFormat="1" x14ac:dyDescent="0.25">
      <c r="B300" s="19"/>
      <c r="C300" s="19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9"/>
      <c r="P300" s="169"/>
    </row>
    <row r="301" spans="1:22" s="16" customFormat="1" x14ac:dyDescent="0.25">
      <c r="B301" s="19"/>
      <c r="C301" s="19"/>
      <c r="D301" s="168"/>
      <c r="E301" s="168"/>
      <c r="F301" s="168"/>
      <c r="G301" s="168"/>
      <c r="H301" s="168"/>
      <c r="I301" s="168"/>
      <c r="J301" s="168"/>
      <c r="K301" s="19"/>
      <c r="L301" s="19"/>
      <c r="M301" s="19"/>
      <c r="N301" s="168"/>
      <c r="O301" s="169"/>
    </row>
    <row r="302" spans="1:22" s="16" customFormat="1" x14ac:dyDescent="0.25">
      <c r="B302" s="19"/>
      <c r="C302" s="19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9"/>
    </row>
    <row r="303" spans="1:22" s="16" customFormat="1" x14ac:dyDescent="0.25">
      <c r="B303" s="19"/>
      <c r="C303" s="19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9"/>
    </row>
    <row r="304" spans="1:22" s="16" customFormat="1" x14ac:dyDescent="0.25">
      <c r="B304" s="19"/>
      <c r="C304" s="19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9"/>
    </row>
    <row r="305" spans="2:22" s="16" customFormat="1" x14ac:dyDescent="0.25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68"/>
      <c r="O305" s="19"/>
      <c r="P305" s="19"/>
    </row>
    <row r="306" spans="2:22" s="16" customFormat="1" x14ac:dyDescent="0.25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2:22" s="16" customFormat="1" x14ac:dyDescent="0.25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2:22" s="16" customFormat="1" x14ac:dyDescent="0.25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2:22" s="16" customFormat="1" x14ac:dyDescent="0.25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80"/>
      <c r="P309" s="169"/>
    </row>
    <row r="310" spans="2:22" s="16" customFormat="1" x14ac:dyDescent="0.25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P310" s="169"/>
    </row>
    <row r="311" spans="2:22" s="16" customFormat="1" x14ac:dyDescent="0.25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69"/>
    </row>
    <row r="312" spans="2:22" s="16" customFormat="1" x14ac:dyDescent="0.25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69"/>
    </row>
    <row r="313" spans="2:22" s="16" customFormat="1" x14ac:dyDescent="0.25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26"/>
      <c r="P313" s="26"/>
      <c r="T313" s="181"/>
      <c r="V313" s="181"/>
    </row>
    <row r="314" spans="2:22" ht="16.8" x14ac:dyDescent="0.4">
      <c r="D314" s="10"/>
      <c r="E314" s="10"/>
      <c r="F314" s="10"/>
      <c r="G314" s="10"/>
      <c r="H314" s="10"/>
      <c r="I314" s="10"/>
      <c r="J314" s="10"/>
      <c r="K314" s="10"/>
      <c r="L314" s="10"/>
      <c r="M314" s="17"/>
      <c r="N314" s="10"/>
      <c r="O314" s="10"/>
      <c r="P314" s="10"/>
    </row>
  </sheetData>
  <phoneticPr fontId="0" type="noConversion"/>
  <pageMargins left="0.75" right="0.75" top="1" bottom="1" header="0.5" footer="0.5"/>
  <pageSetup scale="35" orientation="landscape" horizontalDpi="4294967293" verticalDpi="200" r:id="rId1"/>
  <headerFooter alignWithMargins="0"/>
  <rowBreaks count="1" manualBreakCount="1">
    <brk id="112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63"/>
  <sheetViews>
    <sheetView view="pageBreakPreview" zoomScale="80" zoomScaleNormal="90" zoomScaleSheetLayoutView="80" workbookViewId="0">
      <selection sqref="A1:N1"/>
    </sheetView>
  </sheetViews>
  <sheetFormatPr defaultRowHeight="13.8" x14ac:dyDescent="0.25"/>
  <cols>
    <col min="1" max="1" width="4.5546875" customWidth="1"/>
    <col min="2" max="2" width="34.88671875" customWidth="1"/>
    <col min="3" max="3" width="19" hidden="1" customWidth="1"/>
    <col min="4" max="4" width="19.88671875" customWidth="1"/>
    <col min="5" max="9" width="19.5546875" customWidth="1"/>
    <col min="10" max="10" width="25" customWidth="1"/>
    <col min="11" max="11" width="18.6640625" customWidth="1"/>
    <col min="12" max="12" width="17.88671875" customWidth="1"/>
    <col min="15" max="15" width="13.5546875" bestFit="1" customWidth="1"/>
  </cols>
  <sheetData>
    <row r="1" spans="1:14" ht="15.6" x14ac:dyDescent="0.3">
      <c r="A1" s="439" t="s">
        <v>1427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</row>
    <row r="2" spans="1:14" ht="15.6" x14ac:dyDescent="0.3">
      <c r="A2" s="379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ht="15.6" x14ac:dyDescent="0.3">
      <c r="A3" s="439" t="s">
        <v>1911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</row>
    <row r="4" spans="1:14" ht="15.6" x14ac:dyDescent="0.3">
      <c r="A4" s="439" t="s">
        <v>2442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</row>
    <row r="5" spans="1:14" ht="15.6" x14ac:dyDescent="0.3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6" x14ac:dyDescent="0.3">
      <c r="A6" s="439" t="s">
        <v>1811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</row>
    <row r="7" spans="1:14" ht="16.2" thickBot="1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2" thickBot="1" x14ac:dyDescent="0.35">
      <c r="A8" s="279"/>
      <c r="B8" s="280"/>
      <c r="C8" s="281"/>
      <c r="D8" s="279"/>
      <c r="E8" s="437" t="s">
        <v>1907</v>
      </c>
      <c r="F8" s="438"/>
      <c r="G8" s="282" t="s">
        <v>459</v>
      </c>
      <c r="H8" s="437" t="s">
        <v>118</v>
      </c>
      <c r="I8" s="438"/>
      <c r="J8" s="282" t="s">
        <v>2453</v>
      </c>
      <c r="K8" s="281"/>
      <c r="L8" s="283"/>
      <c r="M8" s="28"/>
      <c r="N8" s="28"/>
    </row>
    <row r="9" spans="1:14" ht="15.6" x14ac:dyDescent="0.3">
      <c r="A9" s="284"/>
      <c r="B9" s="285"/>
      <c r="C9" s="286"/>
      <c r="D9" s="286"/>
      <c r="E9" s="281"/>
      <c r="F9" s="281"/>
      <c r="G9" s="281"/>
      <c r="H9" s="281"/>
      <c r="I9" s="281"/>
      <c r="J9" s="281"/>
      <c r="K9" s="286"/>
      <c r="L9" s="287"/>
      <c r="M9" s="28"/>
      <c r="N9" s="28"/>
    </row>
    <row r="10" spans="1:14" ht="15.6" x14ac:dyDescent="0.3">
      <c r="A10" s="284"/>
      <c r="B10" s="285"/>
      <c r="C10" s="286"/>
      <c r="D10" s="286"/>
      <c r="E10" s="286"/>
      <c r="F10" s="286"/>
      <c r="G10" s="286"/>
      <c r="H10" s="286"/>
      <c r="I10" s="286"/>
      <c r="J10" s="286"/>
      <c r="K10" s="286"/>
      <c r="L10" s="287"/>
      <c r="M10" s="28"/>
      <c r="N10" s="28"/>
    </row>
    <row r="11" spans="1:14" ht="16.2" thickBot="1" x14ac:dyDescent="0.35">
      <c r="A11" s="288"/>
      <c r="B11" s="289" t="s">
        <v>105</v>
      </c>
      <c r="C11" s="290" t="s">
        <v>1165</v>
      </c>
      <c r="D11" s="290" t="s">
        <v>1913</v>
      </c>
      <c r="E11" s="290" t="s">
        <v>1908</v>
      </c>
      <c r="F11" s="290" t="s">
        <v>1909</v>
      </c>
      <c r="G11" s="290" t="s">
        <v>1908</v>
      </c>
      <c r="H11" s="290" t="s">
        <v>1908</v>
      </c>
      <c r="I11" s="290" t="s">
        <v>1910</v>
      </c>
      <c r="J11" s="290" t="s">
        <v>1910</v>
      </c>
      <c r="K11" s="291" t="s">
        <v>68</v>
      </c>
      <c r="L11" s="291" t="s">
        <v>1930</v>
      </c>
      <c r="M11" s="28"/>
      <c r="N11" s="28"/>
    </row>
    <row r="12" spans="1:14" ht="15.6" x14ac:dyDescent="0.3">
      <c r="A12" s="292"/>
      <c r="B12" s="293"/>
      <c r="C12" s="294"/>
      <c r="D12" s="295"/>
      <c r="E12" s="292"/>
      <c r="F12" s="296"/>
      <c r="G12" s="296"/>
      <c r="H12" s="296"/>
      <c r="I12" s="296"/>
      <c r="J12" s="296"/>
      <c r="K12" s="283"/>
      <c r="L12" s="287"/>
      <c r="M12" s="28"/>
      <c r="N12" s="28"/>
    </row>
    <row r="13" spans="1:14" ht="15.6" x14ac:dyDescent="0.3">
      <c r="A13" s="362" t="s">
        <v>1166</v>
      </c>
      <c r="B13" s="297" t="s">
        <v>193</v>
      </c>
      <c r="C13" s="298"/>
      <c r="D13" s="299">
        <f>'Allocation ProForma'!G174</f>
        <v>1716633054.3461716</v>
      </c>
      <c r="E13" s="300">
        <f>'Allocation ProForma'!G123+'Allocation ProForma'!G124+'Allocation ProForma'!G125</f>
        <v>846730482.19087505</v>
      </c>
      <c r="F13" s="301">
        <f>'Allocation ProForma'!G126</f>
        <v>24153447.932479028</v>
      </c>
      <c r="G13" s="301">
        <f>'Allocation ProForma'!G135</f>
        <v>212495723.55987161</v>
      </c>
      <c r="H13" s="301">
        <f>'Allocation ProForma'!G145+'Allocation ProForma'!G147+'Allocation ProForma'!G152+'Allocation ProForma'!G141</f>
        <v>232751278.46515507</v>
      </c>
      <c r="I13" s="301">
        <f>'Allocation ProForma'!G146+'Allocation ProForma'!G148+'Allocation ProForma'!G153+'Allocation ProForma'!G157+'Allocation ProForma'!G160+'Allocation ProForma'!G163</f>
        <v>396028994.09173536</v>
      </c>
      <c r="J13" s="301">
        <f>'Allocation ProForma'!G166+'Allocation ProForma'!G169</f>
        <v>4473128.1060556881</v>
      </c>
      <c r="K13" s="302">
        <f>SUM(E13:J13)</f>
        <v>1716633054.3461719</v>
      </c>
      <c r="L13" s="303" t="str">
        <f>IF(ABS(K13-D13)&lt;0.01,"ok","err")</f>
        <v>ok</v>
      </c>
      <c r="M13" s="28"/>
      <c r="N13" s="28"/>
    </row>
    <row r="14" spans="1:14" ht="15.6" x14ac:dyDescent="0.3">
      <c r="A14" s="362" t="s">
        <v>1323</v>
      </c>
      <c r="B14" s="297" t="s">
        <v>1888</v>
      </c>
      <c r="C14" s="298"/>
      <c r="D14" s="299">
        <f>'Allocation ProForma'!G773+'Allocation ProForma'!G774+'Allocation ProForma'!G775</f>
        <v>0</v>
      </c>
      <c r="E14" s="304">
        <f t="shared" ref="E14:J14" si="0">(E13/$D$13)*$D$14</f>
        <v>0</v>
      </c>
      <c r="F14" s="305">
        <f t="shared" si="0"/>
        <v>0</v>
      </c>
      <c r="G14" s="305">
        <f t="shared" si="0"/>
        <v>0</v>
      </c>
      <c r="H14" s="305">
        <f t="shared" si="0"/>
        <v>0</v>
      </c>
      <c r="I14" s="305">
        <f t="shared" si="0"/>
        <v>0</v>
      </c>
      <c r="J14" s="305">
        <f t="shared" si="0"/>
        <v>0</v>
      </c>
      <c r="K14" s="302">
        <f>SUM(E14:J14)</f>
        <v>0</v>
      </c>
      <c r="L14" s="303" t="str">
        <f>IF(ABS(K14-D14)&lt;0.01,"ok","err")</f>
        <v>ok</v>
      </c>
      <c r="M14" s="28"/>
      <c r="N14" s="28"/>
    </row>
    <row r="15" spans="1:14" ht="15.6" x14ac:dyDescent="0.3">
      <c r="A15" s="362" t="s">
        <v>1889</v>
      </c>
      <c r="B15" s="297" t="s">
        <v>1890</v>
      </c>
      <c r="C15" s="298"/>
      <c r="D15" s="306">
        <f>D13+D14</f>
        <v>1716633054.3461716</v>
      </c>
      <c r="E15" s="306">
        <f t="shared" ref="E15:K15" si="1">E13+E14</f>
        <v>846730482.19087505</v>
      </c>
      <c r="F15" s="307">
        <f t="shared" si="1"/>
        <v>24153447.932479028</v>
      </c>
      <c r="G15" s="307">
        <f t="shared" si="1"/>
        <v>212495723.55987161</v>
      </c>
      <c r="H15" s="307">
        <f t="shared" si="1"/>
        <v>232751278.46515507</v>
      </c>
      <c r="I15" s="307">
        <f t="shared" si="1"/>
        <v>396028994.09173536</v>
      </c>
      <c r="J15" s="307">
        <f t="shared" si="1"/>
        <v>4473128.1060556881</v>
      </c>
      <c r="K15" s="302">
        <f t="shared" si="1"/>
        <v>1716633054.3461719</v>
      </c>
      <c r="L15" s="303" t="str">
        <f>IF(ABS(K15-D15)&lt;0.01,"ok","err")</f>
        <v>ok</v>
      </c>
      <c r="M15" s="28"/>
      <c r="N15" s="28"/>
    </row>
    <row r="16" spans="1:14" ht="15.6" x14ac:dyDescent="0.3">
      <c r="A16" s="362"/>
      <c r="B16" s="297"/>
      <c r="C16" s="298"/>
      <c r="D16" s="308"/>
      <c r="E16" s="309"/>
      <c r="F16" s="224"/>
      <c r="G16" s="224"/>
      <c r="H16" s="224"/>
      <c r="I16" s="224"/>
      <c r="J16" s="224"/>
      <c r="K16" s="302"/>
      <c r="L16" s="310"/>
      <c r="M16" s="28"/>
      <c r="N16" s="28"/>
    </row>
    <row r="17" spans="1:14" ht="15.6" x14ac:dyDescent="0.3">
      <c r="A17" s="362" t="s">
        <v>1891</v>
      </c>
      <c r="B17" s="297" t="s">
        <v>441</v>
      </c>
      <c r="C17" s="298"/>
      <c r="D17" s="311">
        <f>'Allocation ProForma'!G825</f>
        <v>5.2525942663809548E-2</v>
      </c>
      <c r="E17" s="311">
        <f t="shared" ref="E17:J17" si="2">D17</f>
        <v>5.2525942663809548E-2</v>
      </c>
      <c r="F17" s="312">
        <f t="shared" si="2"/>
        <v>5.2525942663809548E-2</v>
      </c>
      <c r="G17" s="312">
        <f t="shared" si="2"/>
        <v>5.2525942663809548E-2</v>
      </c>
      <c r="H17" s="312">
        <f t="shared" si="2"/>
        <v>5.2525942663809548E-2</v>
      </c>
      <c r="I17" s="312">
        <f t="shared" si="2"/>
        <v>5.2525942663809548E-2</v>
      </c>
      <c r="J17" s="312">
        <f t="shared" si="2"/>
        <v>5.2525942663809548E-2</v>
      </c>
      <c r="K17" s="302"/>
      <c r="L17" s="303"/>
      <c r="M17" s="28"/>
      <c r="N17" s="28"/>
    </row>
    <row r="18" spans="1:14" ht="15.6" x14ac:dyDescent="0.3">
      <c r="A18" s="363"/>
      <c r="B18" s="297"/>
      <c r="C18" s="298"/>
      <c r="D18" s="308"/>
      <c r="E18" s="309"/>
      <c r="F18" s="224"/>
      <c r="G18" s="224"/>
      <c r="H18" s="224"/>
      <c r="I18" s="224"/>
      <c r="J18" s="224"/>
      <c r="K18" s="302"/>
      <c r="L18" s="310"/>
      <c r="M18" s="28"/>
      <c r="N18" s="28"/>
    </row>
    <row r="19" spans="1:14" ht="15.6" x14ac:dyDescent="0.3">
      <c r="A19" s="362" t="s">
        <v>1892</v>
      </c>
      <c r="B19" s="297" t="s">
        <v>1893</v>
      </c>
      <c r="C19" s="298"/>
      <c r="D19" s="306">
        <f>D17*D15</f>
        <v>90167769.387387276</v>
      </c>
      <c r="E19" s="306">
        <f t="shared" ref="E19:J19" si="3">E17*E15</f>
        <v>44475316.759257711</v>
      </c>
      <c r="F19" s="307">
        <f t="shared" si="3"/>
        <v>1268682.6212347026</v>
      </c>
      <c r="G19" s="307">
        <f t="shared" si="3"/>
        <v>11161538.192010541</v>
      </c>
      <c r="H19" s="307">
        <f t="shared" si="3"/>
        <v>12225480.307589104</v>
      </c>
      <c r="I19" s="307">
        <f t="shared" si="3"/>
        <v>20801796.236868661</v>
      </c>
      <c r="J19" s="307">
        <f t="shared" si="3"/>
        <v>234955.27042655606</v>
      </c>
      <c r="K19" s="302">
        <f>SUM(E19:J19)</f>
        <v>90167769.387387276</v>
      </c>
      <c r="L19" s="303" t="str">
        <f>IF(ABS(K19-D19)&lt;0.01,"ok","err")</f>
        <v>ok</v>
      </c>
      <c r="M19" s="28"/>
      <c r="N19" s="28"/>
    </row>
    <row r="20" spans="1:14" ht="15.6" x14ac:dyDescent="0.3">
      <c r="A20" s="363"/>
      <c r="B20" s="297"/>
      <c r="C20" s="298"/>
      <c r="D20" s="308"/>
      <c r="E20" s="309"/>
      <c r="F20" s="224"/>
      <c r="G20" s="224"/>
      <c r="H20" s="224"/>
      <c r="I20" s="224"/>
      <c r="J20" s="224"/>
      <c r="K20" s="302"/>
      <c r="L20" s="310"/>
      <c r="M20" s="28"/>
      <c r="N20" s="28"/>
    </row>
    <row r="21" spans="1:14" ht="15.6" x14ac:dyDescent="0.3">
      <c r="A21" s="362" t="s">
        <v>1324</v>
      </c>
      <c r="B21" s="297" t="s">
        <v>1894</v>
      </c>
      <c r="C21" s="298"/>
      <c r="D21" s="306">
        <f>'Allocation ProForma'!G705</f>
        <v>40550220.668183573</v>
      </c>
      <c r="E21" s="306">
        <f t="shared" ref="E21:J21" si="4">(E13/$D$13)*$D$21</f>
        <v>20001425.355516624</v>
      </c>
      <c r="F21" s="307">
        <f t="shared" si="4"/>
        <v>570551.54628404242</v>
      </c>
      <c r="G21" s="307">
        <f t="shared" si="4"/>
        <v>5019563.4178092079</v>
      </c>
      <c r="H21" s="307">
        <f t="shared" si="4"/>
        <v>5498039.1287867026</v>
      </c>
      <c r="I21" s="307">
        <f t="shared" si="4"/>
        <v>9354977.2100451514</v>
      </c>
      <c r="J21" s="307">
        <f t="shared" si="4"/>
        <v>105664.00974184803</v>
      </c>
      <c r="K21" s="302">
        <f>SUM(E21:J21)</f>
        <v>40550220.668183573</v>
      </c>
      <c r="L21" s="303" t="str">
        <f>IF(ABS(K21-D21)&lt;0.01,"ok","err")</f>
        <v>ok</v>
      </c>
      <c r="M21" s="28"/>
      <c r="N21" s="28"/>
    </row>
    <row r="22" spans="1:14" ht="15.6" x14ac:dyDescent="0.3">
      <c r="A22" s="363"/>
      <c r="B22" s="297"/>
      <c r="C22" s="298"/>
      <c r="D22" s="308"/>
      <c r="E22" s="309"/>
      <c r="F22" s="224"/>
      <c r="G22" s="224"/>
      <c r="H22" s="224"/>
      <c r="I22" s="224"/>
      <c r="J22" s="224"/>
      <c r="K22" s="302"/>
      <c r="L22" s="310"/>
      <c r="M22" s="28"/>
      <c r="N22" s="28"/>
    </row>
    <row r="23" spans="1:14" ht="15.6" x14ac:dyDescent="0.3">
      <c r="A23" s="362" t="s">
        <v>1325</v>
      </c>
      <c r="B23" s="297" t="s">
        <v>209</v>
      </c>
      <c r="C23" s="298"/>
      <c r="D23" s="306">
        <f>D19-D21</f>
        <v>49617548.719203703</v>
      </c>
      <c r="E23" s="306">
        <f t="shared" ref="E23:J23" si="5">E19-E21</f>
        <v>24473891.403741088</v>
      </c>
      <c r="F23" s="307">
        <f t="shared" si="5"/>
        <v>698131.07495066023</v>
      </c>
      <c r="G23" s="307">
        <f t="shared" si="5"/>
        <v>6141974.7742013326</v>
      </c>
      <c r="H23" s="307">
        <f t="shared" si="5"/>
        <v>6727441.1788024018</v>
      </c>
      <c r="I23" s="307">
        <f t="shared" si="5"/>
        <v>11446819.026823509</v>
      </c>
      <c r="J23" s="307">
        <f t="shared" si="5"/>
        <v>129291.26068470803</v>
      </c>
      <c r="K23" s="302">
        <f>SUM(E23:J23)</f>
        <v>49617548.719203703</v>
      </c>
      <c r="L23" s="303" t="str">
        <f>IF(ABS(K23-D23)&lt;0.01,"ok","err")</f>
        <v>ok</v>
      </c>
      <c r="M23" s="28"/>
      <c r="N23" s="28"/>
    </row>
    <row r="24" spans="1:14" ht="15.6" x14ac:dyDescent="0.3">
      <c r="A24" s="363"/>
      <c r="B24" s="297"/>
      <c r="C24" s="298"/>
      <c r="D24" s="308"/>
      <c r="E24" s="309"/>
      <c r="F24" s="224"/>
      <c r="G24" s="224"/>
      <c r="H24" s="224"/>
      <c r="I24" s="224"/>
      <c r="J24" s="224"/>
      <c r="K24" s="302"/>
      <c r="L24" s="310"/>
      <c r="M24" s="28"/>
      <c r="N24" s="28"/>
    </row>
    <row r="25" spans="1:14" ht="15.6" x14ac:dyDescent="0.3">
      <c r="A25" s="362" t="s">
        <v>1326</v>
      </c>
      <c r="B25" s="297" t="s">
        <v>553</v>
      </c>
      <c r="C25" s="298"/>
      <c r="D25" s="306">
        <f>'Allocation ProForma'!G740+'Allocation ProForma'!G817</f>
        <v>33798069.777585104</v>
      </c>
      <c r="E25" s="306">
        <f t="shared" ref="E25:J25" si="6">$D$25*(E23/$K$23)</f>
        <v>16670922.098022511</v>
      </c>
      <c r="F25" s="307">
        <f t="shared" si="6"/>
        <v>475547.12786427204</v>
      </c>
      <c r="G25" s="307">
        <f t="shared" si="6"/>
        <v>4183739.3694195305</v>
      </c>
      <c r="H25" s="307">
        <f t="shared" si="6"/>
        <v>4582542.5127815958</v>
      </c>
      <c r="I25" s="307">
        <f t="shared" si="6"/>
        <v>7797249.1222693911</v>
      </c>
      <c r="J25" s="307">
        <f t="shared" si="6"/>
        <v>88069.547227802614</v>
      </c>
      <c r="K25" s="302">
        <f>SUM(E25:J25)</f>
        <v>33798069.777585104</v>
      </c>
      <c r="L25" s="303" t="str">
        <f>IF(ABS(K25-D25)&lt;0.01,"ok","err")</f>
        <v>ok</v>
      </c>
      <c r="M25" s="28"/>
      <c r="N25" s="28"/>
    </row>
    <row r="26" spans="1:14" ht="15.6" x14ac:dyDescent="0.3">
      <c r="A26" s="363"/>
      <c r="B26" s="297"/>
      <c r="C26" s="298"/>
      <c r="D26" s="308"/>
      <c r="E26" s="309"/>
      <c r="F26" s="224"/>
      <c r="G26" s="224"/>
      <c r="H26" s="224"/>
      <c r="I26" s="224"/>
      <c r="J26" s="224"/>
      <c r="K26" s="302"/>
      <c r="L26" s="310"/>
      <c r="M26" s="28"/>
      <c r="N26" s="28"/>
    </row>
    <row r="27" spans="1:14" ht="15.6" x14ac:dyDescent="0.3">
      <c r="A27" s="362" t="s">
        <v>1327</v>
      </c>
      <c r="B27" s="297" t="s">
        <v>795</v>
      </c>
      <c r="C27" s="298"/>
      <c r="D27" s="306">
        <f>'Allocation ProForma'!G671</f>
        <v>370519405.17287457</v>
      </c>
      <c r="E27" s="306">
        <f>'Allocation ProForma'!G180+'Allocation ProForma'!G181+'Allocation ProForma'!G182</f>
        <v>44828224.976461872</v>
      </c>
      <c r="F27" s="307">
        <f>'Allocation ProForma'!G183</f>
        <v>215133717.18701735</v>
      </c>
      <c r="G27" s="307">
        <f>'Allocation ProForma'!G192</f>
        <v>18022516.312826082</v>
      </c>
      <c r="H27" s="307">
        <f>'Allocation ProForma'!G198+'Allocation ProForma'!G202+'Allocation ProForma'!G204+'Allocation ProForma'!G209</f>
        <v>17191520.814494956</v>
      </c>
      <c r="I27" s="307">
        <f>'Allocation ProForma'!G203+'Allocation ProForma'!G205+'Allocation ProForma'!G210+'Allocation ProForma'!G214+'Allocation ProForma'!G217</f>
        <v>38197035.280191563</v>
      </c>
      <c r="J27" s="307">
        <f>'Allocation ProForma'!G223+'Allocation ProForma'!G226</f>
        <v>37146390.601882696</v>
      </c>
      <c r="K27" s="302">
        <f>SUM(E27:J27)</f>
        <v>370519405.17287451</v>
      </c>
      <c r="L27" s="303" t="str">
        <f>IF(ABS(K27-D27)&lt;0.01,"ok","err")</f>
        <v>ok</v>
      </c>
      <c r="M27" s="28"/>
      <c r="N27" s="28"/>
    </row>
    <row r="28" spans="1:14" ht="15.6" x14ac:dyDescent="0.3">
      <c r="A28" s="362" t="s">
        <v>1895</v>
      </c>
      <c r="B28" s="297" t="s">
        <v>843</v>
      </c>
      <c r="C28" s="298"/>
      <c r="D28" s="306">
        <f>'Allocation ProForma'!G672</f>
        <v>105274952.74338102</v>
      </c>
      <c r="E28" s="306">
        <f>'Allocation ProForma'!G300</f>
        <v>62921521.293409944</v>
      </c>
      <c r="F28" s="307">
        <v>0</v>
      </c>
      <c r="G28" s="307">
        <f>'Allocation ProForma'!G306</f>
        <v>9848193.8048260771</v>
      </c>
      <c r="H28" s="307">
        <f>'Allocation ProForma'!G312+'Allocation ProForma'!G316+'Allocation ProForma'!G318+'Allocation ProForma'!G323</f>
        <v>12048806.959292324</v>
      </c>
      <c r="I28" s="307">
        <f>'Allocation ProForma'!G317+'Allocation ProForma'!G319+'Allocation ProForma'!G324+'Allocation ProForma'!G328+'Allocation ProForma'!G331</f>
        <v>20456430.685852647</v>
      </c>
      <c r="J28" s="307">
        <v>0</v>
      </c>
      <c r="K28" s="302">
        <f>SUM(E28:J28)</f>
        <v>105274952.74338099</v>
      </c>
      <c r="L28" s="303" t="str">
        <f>IF(ABS(K28-D28)&lt;0.01,"ok","err")</f>
        <v>ok</v>
      </c>
      <c r="M28" s="28"/>
      <c r="N28" s="28"/>
    </row>
    <row r="29" spans="1:14" ht="15.6" x14ac:dyDescent="0.3">
      <c r="A29" s="362" t="s">
        <v>1896</v>
      </c>
      <c r="B29" s="297" t="s">
        <v>428</v>
      </c>
      <c r="C29" s="298"/>
      <c r="D29" s="306">
        <f>'Allocation ProForma'!G674+'Allocation ProForma'!G675+'Allocation ProForma'!G676+'Allocation ProForma'!G673</f>
        <v>17813360.421731349</v>
      </c>
      <c r="E29" s="306">
        <f>'Allocation ProForma'!G414+'Allocation ProForma'!G471+'Allocation ProForma'!G357</f>
        <v>9375356.453090664</v>
      </c>
      <c r="F29" s="307">
        <f>'Allocation ProForma'!G529</f>
        <v>0</v>
      </c>
      <c r="G29" s="307">
        <f>'Allocation ProForma'!G420+'Allocation ProForma'!G477+'Allocation ProForma'!G363</f>
        <v>2079024.7752265115</v>
      </c>
      <c r="H29" s="307">
        <f>'Allocation ProForma'!G426+'Allocation ProForma'!G430+'Allocation ProForma'!G432+'Allocation ProForma'!G437+'Allocation ProForma'!G483+'Allocation ProForma'!G487+'Allocation ProForma'!G489+'Allocation ProForma'!G494+'Allocation ProForma'!G369+'Allocation ProForma'!G373+'Allocation ProForma'!G375+'Allocation ProForma'!G380</f>
        <v>2357100.5262608062</v>
      </c>
      <c r="I29" s="307">
        <f>'Allocation ProForma'!G431+'Allocation ProForma'!G433+'Allocation ProForma'!G438+'Allocation ProForma'!G442+'Allocation ProForma'!G445+'Allocation ProForma'!G488+'Allocation ProForma'!G490+'Allocation ProForma'!G495+'Allocation ProForma'!G499+'Allocation ProForma'!G502+'Allocation ProForma'!G374+'Allocation ProForma'!G376+'Allocation ProForma'!G381+'Allocation ProForma'!G385+'Allocation ProForma'!G388</f>
        <v>4001878.6671533668</v>
      </c>
      <c r="J29" s="307">
        <v>0</v>
      </c>
      <c r="K29" s="302">
        <f>SUM(E29:J29)</f>
        <v>17813360.421731349</v>
      </c>
      <c r="L29" s="303" t="str">
        <f>IF(ABS(K29-D29)&lt;0.01,"ok","err")</f>
        <v>ok</v>
      </c>
      <c r="M29" s="28"/>
      <c r="N29" s="28"/>
    </row>
    <row r="30" spans="1:14" ht="15.6" x14ac:dyDescent="0.3">
      <c r="A30" s="362" t="s">
        <v>1897</v>
      </c>
      <c r="B30" s="297" t="s">
        <v>1933</v>
      </c>
      <c r="C30" s="298"/>
      <c r="D30" s="306">
        <f>'Allocation ProForma'!G679</f>
        <v>0</v>
      </c>
      <c r="E30" s="306">
        <f>D30</f>
        <v>0</v>
      </c>
      <c r="F30" s="307"/>
      <c r="G30" s="307"/>
      <c r="H30" s="307"/>
      <c r="I30" s="307"/>
      <c r="J30" s="307"/>
      <c r="K30" s="302">
        <f>SUM(E30:J30)</f>
        <v>0</v>
      </c>
      <c r="L30" s="303" t="str">
        <f>IF(ABS(K30-D30)&lt;0.01,"ok","err")</f>
        <v>ok</v>
      </c>
      <c r="M30" s="28"/>
      <c r="N30" s="28"/>
    </row>
    <row r="31" spans="1:14" ht="15.6" x14ac:dyDescent="0.3">
      <c r="A31" s="362" t="s">
        <v>1898</v>
      </c>
      <c r="B31" s="297" t="s">
        <v>1915</v>
      </c>
      <c r="C31" s="298"/>
      <c r="D31" s="306">
        <f>'Allocation ProForma'!G745</f>
        <v>0</v>
      </c>
      <c r="E31" s="306">
        <f>D31</f>
        <v>0</v>
      </c>
      <c r="F31" s="307">
        <v>0</v>
      </c>
      <c r="G31" s="307">
        <v>0</v>
      </c>
      <c r="H31" s="307">
        <v>0</v>
      </c>
      <c r="I31" s="307">
        <v>0</v>
      </c>
      <c r="J31" s="307">
        <v>0</v>
      </c>
      <c r="K31" s="302">
        <f>SUM(E31:J31)</f>
        <v>0</v>
      </c>
      <c r="L31" s="303" t="str">
        <f t="shared" ref="L31:L38" si="7">IF(ABS(K31-D31)&lt;0.01,"ok","err")</f>
        <v>ok</v>
      </c>
      <c r="M31" s="28"/>
      <c r="N31" s="28"/>
    </row>
    <row r="32" spans="1:14" ht="15.6" x14ac:dyDescent="0.3">
      <c r="A32" s="362" t="s">
        <v>1900</v>
      </c>
      <c r="B32" s="297" t="s">
        <v>1914</v>
      </c>
      <c r="C32" s="298"/>
      <c r="D32" s="306">
        <v>0</v>
      </c>
      <c r="E32" s="306">
        <v>0</v>
      </c>
      <c r="F32" s="307">
        <f>D32</f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 t="shared" ref="K32:K38" si="8">SUM(E32:J32)</f>
        <v>0</v>
      </c>
      <c r="L32" s="303" t="str">
        <f t="shared" si="7"/>
        <v>ok</v>
      </c>
      <c r="M32" s="28"/>
      <c r="N32" s="28"/>
    </row>
    <row r="33" spans="1:14" ht="15.6" x14ac:dyDescent="0.3">
      <c r="A33" s="362" t="s">
        <v>1901</v>
      </c>
      <c r="B33" s="297" t="s">
        <v>1918</v>
      </c>
      <c r="C33" s="298"/>
      <c r="D33" s="306">
        <f>'Allocation ProForma'!G756+'Allocation ProForma'!G759</f>
        <v>0</v>
      </c>
      <c r="E33" s="306">
        <v>0</v>
      </c>
      <c r="F33" s="307">
        <v>0</v>
      </c>
      <c r="G33" s="307">
        <f>D33</f>
        <v>0</v>
      </c>
      <c r="H33" s="307">
        <v>0</v>
      </c>
      <c r="I33" s="307">
        <v>0</v>
      </c>
      <c r="J33" s="307">
        <v>0</v>
      </c>
      <c r="K33" s="302">
        <f t="shared" si="8"/>
        <v>0</v>
      </c>
      <c r="L33" s="303" t="str">
        <f t="shared" si="7"/>
        <v>ok</v>
      </c>
      <c r="M33" s="28"/>
      <c r="N33" s="28"/>
    </row>
    <row r="34" spans="1:14" ht="15.6" x14ac:dyDescent="0.3">
      <c r="A34" s="362" t="s">
        <v>1903</v>
      </c>
      <c r="B34" s="297" t="s">
        <v>1916</v>
      </c>
      <c r="C34" s="298"/>
      <c r="D34" s="306">
        <v>0</v>
      </c>
      <c r="E34" s="306">
        <v>0</v>
      </c>
      <c r="F34" s="307">
        <v>0</v>
      </c>
      <c r="G34" s="307">
        <v>0</v>
      </c>
      <c r="H34" s="307">
        <f>(H13/($I$13+$H$13)*$D$34)</f>
        <v>0</v>
      </c>
      <c r="I34" s="307">
        <f>(I13/($I$13+$H$13)*$D$34)</f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6" x14ac:dyDescent="0.3">
      <c r="A35" s="364" t="s">
        <v>1905</v>
      </c>
      <c r="B35" s="297" t="s">
        <v>1917</v>
      </c>
      <c r="C35" s="298"/>
      <c r="D35" s="306">
        <f>SUM('Allocation ProForma'!G813:G815)-'Allocation ProForma'!G721</f>
        <v>559546.56329979352</v>
      </c>
      <c r="E35" s="306">
        <f t="shared" ref="E35:J35" si="9">(E13/($D$13)*$D$35)</f>
        <v>275996.74266527256</v>
      </c>
      <c r="F35" s="307">
        <f t="shared" si="9"/>
        <v>7872.9573266936222</v>
      </c>
      <c r="G35" s="307">
        <f t="shared" si="9"/>
        <v>69264.221338855699</v>
      </c>
      <c r="H35" s="307">
        <f t="shared" si="9"/>
        <v>75866.637683039677</v>
      </c>
      <c r="I35" s="307">
        <f t="shared" si="9"/>
        <v>129087.96207207259</v>
      </c>
      <c r="J35" s="307">
        <f t="shared" si="9"/>
        <v>1458.0422138594342</v>
      </c>
      <c r="K35" s="302">
        <f t="shared" si="8"/>
        <v>559546.56329979352</v>
      </c>
      <c r="L35" s="303" t="str">
        <f t="shared" si="7"/>
        <v>ok</v>
      </c>
      <c r="M35" s="28"/>
      <c r="N35" s="28"/>
    </row>
    <row r="36" spans="1:14" ht="15.6" x14ac:dyDescent="0.3">
      <c r="A36" s="364" t="s">
        <v>1919</v>
      </c>
      <c r="B36" s="297" t="s">
        <v>2444</v>
      </c>
      <c r="C36" s="381"/>
      <c r="D36" s="306">
        <f>-'Allocation ProForma'!G802-'Allocation ProForma'!G803</f>
        <v>-3575005.3345344309</v>
      </c>
      <c r="E36" s="382">
        <f>-'Allocation ProForma'!G802-'Allocation ProForma'!$G$803*(E13/'RS Unit Costs'!$D$13)</f>
        <v>-3565680.7784192618</v>
      </c>
      <c r="F36" s="383">
        <f>-'Allocation ProForma'!$G$803*(F13/'RS Unit Costs'!$D$13)</f>
        <v>-258.9027643213002</v>
      </c>
      <c r="G36" s="383">
        <f>-'Allocation ProForma'!$G$803*(G13/'RS Unit Costs'!$D$13)</f>
        <v>-2277.7588686262138</v>
      </c>
      <c r="H36" s="383">
        <f>-'Allocation ProForma'!$G$803*(H13/'RS Unit Costs'!$D$13)</f>
        <v>-2494.8798019397505</v>
      </c>
      <c r="I36" s="383">
        <f>-'Allocation ProForma'!$G$803*(I13/'RS Unit Costs'!$D$13)</f>
        <v>-4245.0668578815403</v>
      </c>
      <c r="J36" s="383">
        <f>-'Allocation ProForma'!$G$803*(J13/'RS Unit Costs'!$D$13)</f>
        <v>-47.947822400288494</v>
      </c>
      <c r="K36" s="302">
        <f>SUM(E36:J36)</f>
        <v>-3575005.3345344309</v>
      </c>
      <c r="L36" s="303" t="str">
        <f>IF(ABS(K36-D36)&lt;0.01,"ok","err")</f>
        <v>ok</v>
      </c>
      <c r="M36" s="28"/>
      <c r="N36" s="28"/>
    </row>
    <row r="37" spans="1:14" ht="15.6" x14ac:dyDescent="0.3">
      <c r="A37" s="362"/>
      <c r="B37" s="297"/>
      <c r="C37" s="28"/>
      <c r="D37" s="306"/>
      <c r="E37" s="306"/>
      <c r="F37" s="307"/>
      <c r="G37" s="307"/>
      <c r="H37" s="307"/>
      <c r="I37" s="307"/>
      <c r="J37" s="307"/>
      <c r="K37" s="302"/>
      <c r="L37" s="303"/>
      <c r="M37" s="28"/>
      <c r="N37" s="28"/>
    </row>
    <row r="38" spans="1:14" ht="15.6" x14ac:dyDescent="0.3">
      <c r="A38" s="362" t="s">
        <v>1920</v>
      </c>
      <c r="B38" s="297" t="s">
        <v>1924</v>
      </c>
      <c r="C38" s="298"/>
      <c r="D38" s="306">
        <f t="shared" ref="D38:J38" si="10">SUM(D31:D36)</f>
        <v>-3015458.7712346371</v>
      </c>
      <c r="E38" s="306">
        <f t="shared" si="10"/>
        <v>-3289684.0357539891</v>
      </c>
      <c r="F38" s="307">
        <f t="shared" si="10"/>
        <v>7614.0545623723219</v>
      </c>
      <c r="G38" s="307">
        <f t="shared" si="10"/>
        <v>66986.462470229482</v>
      </c>
      <c r="H38" s="307">
        <f t="shared" si="10"/>
        <v>73371.757881099926</v>
      </c>
      <c r="I38" s="307">
        <f t="shared" si="10"/>
        <v>124842.89521419106</v>
      </c>
      <c r="J38" s="307">
        <f t="shared" si="10"/>
        <v>1410.0943914591458</v>
      </c>
      <c r="K38" s="302">
        <f t="shared" si="8"/>
        <v>-3015458.7712346376</v>
      </c>
      <c r="L38" s="303" t="str">
        <f t="shared" si="7"/>
        <v>ok</v>
      </c>
      <c r="M38" s="28"/>
      <c r="N38" s="28"/>
    </row>
    <row r="39" spans="1:14" ht="15.6" x14ac:dyDescent="0.3">
      <c r="A39" s="363"/>
      <c r="B39" s="297"/>
      <c r="C39" s="298"/>
      <c r="D39" s="306"/>
      <c r="E39" s="309"/>
      <c r="F39" s="224"/>
      <c r="G39" s="224"/>
      <c r="H39" s="224"/>
      <c r="I39" s="224"/>
      <c r="J39" s="224"/>
      <c r="K39" s="287"/>
      <c r="L39" s="310"/>
      <c r="M39" s="28"/>
      <c r="N39" s="28"/>
    </row>
    <row r="40" spans="1:14" ht="15.6" x14ac:dyDescent="0.3">
      <c r="A40" s="362" t="s">
        <v>1921</v>
      </c>
      <c r="B40" s="297" t="s">
        <v>1899</v>
      </c>
      <c r="C40" s="313"/>
      <c r="D40" s="306">
        <f>SUM(D27:D30)+D21+D25+D38+D23</f>
        <v>614558098.73172474</v>
      </c>
      <c r="E40" s="306">
        <f t="shared" ref="E40:J40" si="11">SUM(E27:E30)+E21+E25+E38+E23</f>
        <v>174981657.54448873</v>
      </c>
      <c r="F40" s="307">
        <f t="shared" si="11"/>
        <v>216885560.9906787</v>
      </c>
      <c r="G40" s="307">
        <f t="shared" si="11"/>
        <v>45361998.916778967</v>
      </c>
      <c r="H40" s="307">
        <f t="shared" si="11"/>
        <v>48478822.878299892</v>
      </c>
      <c r="I40" s="307">
        <f t="shared" si="11"/>
        <v>91379232.887549818</v>
      </c>
      <c r="J40" s="307">
        <f t="shared" si="11"/>
        <v>37470825.51392851</v>
      </c>
      <c r="K40" s="302">
        <f>SUM(E40:J40)</f>
        <v>614558098.73172462</v>
      </c>
      <c r="L40" s="303" t="str">
        <f>IF(ABS(K40-D40)&lt;0.01,"ok","err")</f>
        <v>ok</v>
      </c>
      <c r="M40" s="28"/>
      <c r="N40" s="28"/>
    </row>
    <row r="41" spans="1:14" ht="15.6" x14ac:dyDescent="0.3">
      <c r="A41" s="363"/>
      <c r="B41" s="297"/>
      <c r="C41" s="298"/>
      <c r="D41" s="314"/>
      <c r="E41" s="309"/>
      <c r="F41" s="224"/>
      <c r="G41" s="224"/>
      <c r="H41" s="224"/>
      <c r="I41" s="224"/>
      <c r="J41" s="224"/>
      <c r="K41" s="287"/>
      <c r="L41" s="310"/>
      <c r="M41" s="28"/>
      <c r="N41" s="28"/>
    </row>
    <row r="42" spans="1:14" ht="15.6" x14ac:dyDescent="0.3">
      <c r="A42" s="362" t="s">
        <v>1922</v>
      </c>
      <c r="B42" s="297" t="s">
        <v>2432</v>
      </c>
      <c r="C42" s="298"/>
      <c r="D42" s="306">
        <f>-'Allocation ProForma'!G654</f>
        <v>7120997.5447985651</v>
      </c>
      <c r="E42" s="306">
        <f>D42</f>
        <v>7120997.5447985651</v>
      </c>
      <c r="F42" s="307">
        <v>0</v>
      </c>
      <c r="G42" s="307">
        <v>0</v>
      </c>
      <c r="H42" s="307">
        <v>0</v>
      </c>
      <c r="I42" s="307">
        <v>0</v>
      </c>
      <c r="J42" s="307">
        <v>0</v>
      </c>
      <c r="K42" s="302">
        <f>SUM(E42:J42)</f>
        <v>7120997.5447985651</v>
      </c>
      <c r="L42" s="303" t="str">
        <f>IF(ABS(K42-D42)&lt;0.01,"ok","err")</f>
        <v>ok</v>
      </c>
      <c r="M42" s="28"/>
      <c r="N42" s="28"/>
    </row>
    <row r="43" spans="1:14" ht="15.6" x14ac:dyDescent="0.3">
      <c r="A43" s="362" t="s">
        <v>1923</v>
      </c>
      <c r="B43" s="297" t="s">
        <v>1925</v>
      </c>
      <c r="C43" s="298"/>
      <c r="D43" s="306">
        <f>-('Allocation ProForma'!G652+'Allocation ProForma'!G653)</f>
        <v>-2829615.4300200166</v>
      </c>
      <c r="E43" s="306">
        <v>0</v>
      </c>
      <c r="F43" s="307">
        <f>D43</f>
        <v>-2829615.4300200166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-2829615.4300200166</v>
      </c>
      <c r="L43" s="303" t="str">
        <f>IF(ABS(K43-D43)&lt;0.01,"ok","err")</f>
        <v>ok</v>
      </c>
      <c r="M43" s="28"/>
      <c r="N43" s="28"/>
    </row>
    <row r="44" spans="1:14" ht="15.6" x14ac:dyDescent="0.3">
      <c r="A44" s="362" t="s">
        <v>1927</v>
      </c>
      <c r="B44" s="297" t="s">
        <v>1926</v>
      </c>
      <c r="C44" s="298"/>
      <c r="D44" s="306">
        <f>-('Allocation ProForma'!G655+'Allocation ProForma'!G656+'Allocation ProForma'!G657+'Allocation ProForma'!G658+'Allocation ProForma'!G661+'Allocation ProForma'!G662+'Allocation ProForma'!G663+'Allocation ProForma'!G664+'Allocation ProForma'!G665)</f>
        <v>-27306229.437151052</v>
      </c>
      <c r="E44" s="306">
        <f t="shared" ref="E44:J44" si="12">(E13/($D$13)*$D$44)</f>
        <v>-13468817.205631563</v>
      </c>
      <c r="F44" s="307">
        <f t="shared" si="12"/>
        <v>-384205.34270427318</v>
      </c>
      <c r="G44" s="307">
        <f t="shared" si="12"/>
        <v>-3380138.2113950434</v>
      </c>
      <c r="H44" s="307">
        <f t="shared" si="12"/>
        <v>-3702340.3431902658</v>
      </c>
      <c r="I44" s="307">
        <f t="shared" si="12"/>
        <v>-6299574.9435524559</v>
      </c>
      <c r="J44" s="307">
        <f t="shared" si="12"/>
        <v>-71153.39067745475</v>
      </c>
      <c r="K44" s="302">
        <f>SUM(E44:J44)</f>
        <v>-27306229.437151056</v>
      </c>
      <c r="L44" s="303" t="str">
        <f>IF(ABS(K44-D44)&lt;0.01,"ok","err")</f>
        <v>ok</v>
      </c>
      <c r="M44" s="28"/>
      <c r="N44" s="28"/>
    </row>
    <row r="45" spans="1:14" ht="15.6" x14ac:dyDescent="0.3">
      <c r="A45" s="362" t="s">
        <v>1928</v>
      </c>
      <c r="B45" s="297" t="s">
        <v>1929</v>
      </c>
      <c r="C45" s="298"/>
      <c r="D45" s="306">
        <f>SUM(D42:D44)</f>
        <v>-23014847.322372504</v>
      </c>
      <c r="E45" s="306">
        <f t="shared" ref="E45:J45" si="13">SUM(E42:E44)</f>
        <v>-6347819.6608329983</v>
      </c>
      <c r="F45" s="307">
        <f t="shared" si="13"/>
        <v>-3213820.7727242899</v>
      </c>
      <c r="G45" s="307">
        <f t="shared" si="13"/>
        <v>-3380138.2113950434</v>
      </c>
      <c r="H45" s="307">
        <f t="shared" si="13"/>
        <v>-3702340.3431902658</v>
      </c>
      <c r="I45" s="307">
        <f t="shared" si="13"/>
        <v>-6299574.9435524559</v>
      </c>
      <c r="J45" s="307">
        <f t="shared" si="13"/>
        <v>-71153.39067745475</v>
      </c>
      <c r="K45" s="302">
        <f>SUM(E45:J45)</f>
        <v>-23014847.322372511</v>
      </c>
      <c r="L45" s="303" t="str">
        <f>IF(ABS(K45-D45)&lt;0.01,"ok","err")</f>
        <v>ok</v>
      </c>
      <c r="M45" s="28"/>
      <c r="N45" s="28"/>
    </row>
    <row r="46" spans="1:14" ht="15.6" x14ac:dyDescent="0.3">
      <c r="A46" s="363"/>
      <c r="B46" s="297"/>
      <c r="C46" s="28"/>
      <c r="D46" s="308"/>
      <c r="E46" s="309"/>
      <c r="F46" s="224"/>
      <c r="G46" s="224"/>
      <c r="H46" s="224"/>
      <c r="I46" s="224"/>
      <c r="J46" s="224"/>
      <c r="K46" s="287"/>
      <c r="L46" s="310"/>
      <c r="M46" s="28"/>
      <c r="N46" s="28"/>
    </row>
    <row r="47" spans="1:14" ht="15.6" x14ac:dyDescent="0.3">
      <c r="A47" s="362" t="s">
        <v>1934</v>
      </c>
      <c r="B47" s="297" t="s">
        <v>1902</v>
      </c>
      <c r="C47" s="315">
        <f>'Allocation ProForma'!G806-SUM('Allocation ProForma'!G652:G665)-'Allocation ProForma'!G721-'Allocation ProForma'!G802-'Allocation ProForma'!G803</f>
        <v>591543251</v>
      </c>
      <c r="D47" s="306">
        <f>D40+D45</f>
        <v>591543251.40935218</v>
      </c>
      <c r="E47" s="306">
        <f t="shared" ref="E47:J47" si="14">E40+E45</f>
        <v>168633837.88365573</v>
      </c>
      <c r="F47" s="307">
        <f t="shared" si="14"/>
        <v>213671740.2179544</v>
      </c>
      <c r="G47" s="307">
        <f t="shared" si="14"/>
        <v>41981860.705383927</v>
      </c>
      <c r="H47" s="307">
        <f t="shared" si="14"/>
        <v>44776482.535109624</v>
      </c>
      <c r="I47" s="307">
        <f t="shared" si="14"/>
        <v>85079657.943997368</v>
      </c>
      <c r="J47" s="307">
        <f t="shared" si="14"/>
        <v>37399672.123251058</v>
      </c>
      <c r="K47" s="302">
        <f>SUM(E47:J47)</f>
        <v>591543251.40935218</v>
      </c>
      <c r="L47" s="303" t="str">
        <f>IF(ABS(K47-D47)&lt;0.01,"ok","err")</f>
        <v>ok</v>
      </c>
      <c r="M47" s="28"/>
      <c r="N47" s="28"/>
    </row>
    <row r="48" spans="1:14" ht="15.6" x14ac:dyDescent="0.3">
      <c r="A48" s="363"/>
      <c r="B48" s="297"/>
      <c r="C48" s="298"/>
      <c r="D48" s="306"/>
      <c r="E48" s="309"/>
      <c r="F48" s="224"/>
      <c r="G48" s="224"/>
      <c r="H48" s="224"/>
      <c r="I48" s="224"/>
      <c r="J48" s="224"/>
      <c r="K48" s="287"/>
      <c r="L48" s="310"/>
      <c r="M48" s="28"/>
      <c r="N48" s="28"/>
    </row>
    <row r="49" spans="1:16" ht="15.6" x14ac:dyDescent="0.3">
      <c r="A49" s="362" t="s">
        <v>1935</v>
      </c>
      <c r="B49" s="297" t="s">
        <v>1904</v>
      </c>
      <c r="C49" s="298"/>
      <c r="D49" s="316"/>
      <c r="E49" s="317">
        <f>'Billing Det'!C8</f>
        <v>6091631440</v>
      </c>
      <c r="F49" s="318">
        <f>'Billing Det'!C8</f>
        <v>6091631440</v>
      </c>
      <c r="G49" s="318">
        <f>'Billing Det'!C8</f>
        <v>6091631440</v>
      </c>
      <c r="H49" s="318">
        <f>'Billing Det'!C8</f>
        <v>6091631440</v>
      </c>
      <c r="I49" s="318">
        <f>'Allocation ProForma'!G848</f>
        <v>5167850</v>
      </c>
      <c r="J49" s="318">
        <f>I49</f>
        <v>5167850</v>
      </c>
      <c r="K49" s="287"/>
      <c r="L49" s="310"/>
      <c r="M49" s="28"/>
      <c r="N49" s="28"/>
    </row>
    <row r="50" spans="1:16" ht="16.2" thickBot="1" x14ac:dyDescent="0.35">
      <c r="A50" s="363"/>
      <c r="B50" s="297"/>
      <c r="C50" s="298"/>
      <c r="D50" s="308"/>
      <c r="E50" s="309"/>
      <c r="F50" s="224"/>
      <c r="G50" s="224"/>
      <c r="H50" s="224"/>
      <c r="I50" s="224"/>
      <c r="J50" s="224"/>
      <c r="K50" s="287"/>
      <c r="L50" s="310"/>
      <c r="M50" s="28"/>
      <c r="N50" s="28"/>
      <c r="O50" s="1"/>
      <c r="P50" s="392"/>
    </row>
    <row r="51" spans="1:16" ht="16.2" thickBot="1" x14ac:dyDescent="0.35">
      <c r="A51" s="365" t="s">
        <v>2446</v>
      </c>
      <c r="B51" s="319" t="s">
        <v>1906</v>
      </c>
      <c r="C51" s="320"/>
      <c r="D51" s="321"/>
      <c r="E51" s="322">
        <f t="shared" ref="E51:J51" si="15">E47/E49</f>
        <v>2.7682869448788536E-2</v>
      </c>
      <c r="F51" s="323">
        <f t="shared" si="15"/>
        <v>3.5076275103398967E-2</v>
      </c>
      <c r="G51" s="323">
        <f t="shared" si="15"/>
        <v>6.8917269731249408E-3</v>
      </c>
      <c r="H51" s="323">
        <f t="shared" si="15"/>
        <v>7.3504910755253479E-3</v>
      </c>
      <c r="I51" s="324">
        <f>I47/I49</f>
        <v>16.463259952203988</v>
      </c>
      <c r="J51" s="324">
        <f t="shared" si="15"/>
        <v>7.2369887135367819</v>
      </c>
      <c r="K51" s="325">
        <f>I51+J51</f>
        <v>23.700248665740769</v>
      </c>
      <c r="L51" s="326"/>
      <c r="M51" s="28"/>
      <c r="N51" s="28"/>
      <c r="O51" s="1"/>
      <c r="P51" s="392"/>
    </row>
    <row r="52" spans="1:16" ht="16.2" thickBot="1" x14ac:dyDescent="0.35">
      <c r="A52" s="28"/>
      <c r="B52" s="28"/>
      <c r="C52" s="28"/>
      <c r="D52" s="28"/>
      <c r="E52" s="28"/>
      <c r="F52" s="28"/>
      <c r="G52" s="28"/>
      <c r="H52" s="28"/>
      <c r="I52" s="28"/>
      <c r="J52" s="389" t="s">
        <v>2433</v>
      </c>
      <c r="K52" s="391">
        <f>I51+J51</f>
        <v>23.700248665740769</v>
      </c>
      <c r="L52" s="28"/>
      <c r="M52" s="28"/>
      <c r="N52" s="28"/>
      <c r="O52" s="1"/>
      <c r="P52" s="392"/>
    </row>
    <row r="53" spans="1:16" ht="16.2" thickBot="1" x14ac:dyDescent="0.35">
      <c r="A53" s="28"/>
      <c r="B53" s="28"/>
      <c r="C53" s="28"/>
      <c r="D53" s="327"/>
      <c r="F53" s="28"/>
      <c r="I53" s="28"/>
      <c r="J53" s="389" t="s">
        <v>2439</v>
      </c>
      <c r="K53" s="390">
        <f>E51+G51+H51</f>
        <v>4.1925087497438826E-2</v>
      </c>
      <c r="L53" s="28"/>
      <c r="M53" s="28"/>
      <c r="N53" s="28"/>
      <c r="O53" s="1"/>
    </row>
    <row r="54" spans="1:16" ht="16.2" thickBot="1" x14ac:dyDescent="0.35">
      <c r="A54" s="28"/>
      <c r="B54" s="28"/>
      <c r="C54" s="28"/>
      <c r="D54" s="327"/>
      <c r="E54" s="28"/>
      <c r="F54" s="28"/>
      <c r="I54" s="28"/>
      <c r="J54" s="389" t="s">
        <v>2452</v>
      </c>
      <c r="K54" s="390">
        <f>K62</f>
        <v>6.77E-3</v>
      </c>
      <c r="L54" s="28"/>
      <c r="M54" s="28"/>
      <c r="N54" s="28"/>
    </row>
    <row r="55" spans="1:16" ht="16.2" thickBot="1" x14ac:dyDescent="0.35">
      <c r="A55" s="28"/>
      <c r="B55" s="28"/>
      <c r="C55" s="28"/>
      <c r="D55" s="327"/>
      <c r="E55" s="28"/>
      <c r="F55" s="28"/>
      <c r="I55" s="28"/>
      <c r="J55" s="389" t="s">
        <v>2451</v>
      </c>
      <c r="K55" s="390">
        <f>K53+K54</f>
        <v>4.8695087497438824E-2</v>
      </c>
      <c r="L55" s="28"/>
      <c r="M55" s="28"/>
      <c r="N55" s="28"/>
    </row>
    <row r="56" spans="1:16" ht="16.2" thickBot="1" x14ac:dyDescent="0.35">
      <c r="A56" s="28"/>
      <c r="B56" s="28"/>
      <c r="C56" s="28"/>
      <c r="D56" s="370"/>
      <c r="E56" s="28"/>
      <c r="F56" s="28"/>
      <c r="I56" s="28"/>
      <c r="J56" s="389" t="s">
        <v>2434</v>
      </c>
      <c r="K56" s="390">
        <f>F51</f>
        <v>3.5076275103398967E-2</v>
      </c>
      <c r="L56" s="28"/>
      <c r="M56" s="28"/>
      <c r="N56" s="28"/>
    </row>
    <row r="57" spans="1:16" ht="15.6" x14ac:dyDescent="0.3">
      <c r="A57" s="28"/>
      <c r="B57" s="28"/>
      <c r="C57" s="28"/>
      <c r="D57" s="335"/>
      <c r="E57" s="386"/>
      <c r="F57" s="28"/>
      <c r="G57" s="28"/>
      <c r="H57" s="28"/>
      <c r="I57" s="28"/>
      <c r="L57" s="28"/>
      <c r="M57" s="28"/>
      <c r="N57" s="28"/>
    </row>
    <row r="58" spans="1:16" ht="15.6" x14ac:dyDescent="0.3">
      <c r="A58" s="28"/>
      <c r="B58" s="28"/>
      <c r="C58" s="28"/>
      <c r="D58" s="28"/>
      <c r="E58" s="28"/>
      <c r="F58" s="28"/>
      <c r="G58" s="28"/>
      <c r="H58" s="28"/>
      <c r="I58" s="28"/>
      <c r="J58" s="224"/>
      <c r="K58" s="372"/>
      <c r="L58" s="28"/>
      <c r="M58" s="28"/>
      <c r="N58" s="28"/>
    </row>
    <row r="59" spans="1:16" ht="15.6" x14ac:dyDescent="0.3">
      <c r="A59" s="28"/>
      <c r="B59" s="28"/>
      <c r="C59" s="28"/>
      <c r="D59" s="370"/>
      <c r="E59" s="387"/>
      <c r="F59" s="28"/>
      <c r="G59" s="386"/>
      <c r="H59" s="386"/>
      <c r="I59" s="28"/>
      <c r="J59" s="373" t="s">
        <v>2435</v>
      </c>
      <c r="K59" s="374">
        <v>22</v>
      </c>
      <c r="L59" s="28"/>
      <c r="M59" s="28"/>
      <c r="N59" s="28"/>
    </row>
    <row r="60" spans="1:16" ht="15.6" x14ac:dyDescent="0.3">
      <c r="A60" s="28"/>
      <c r="B60" s="28"/>
      <c r="C60" s="28"/>
      <c r="D60" s="327"/>
      <c r="E60" s="28"/>
      <c r="F60" s="28"/>
      <c r="G60" s="28"/>
      <c r="H60" s="28"/>
      <c r="I60" s="28"/>
      <c r="J60" s="373" t="s">
        <v>2436</v>
      </c>
      <c r="K60" s="375">
        <f>(K52-K59)*I49</f>
        <v>8786630.0672484357</v>
      </c>
      <c r="L60" s="28"/>
      <c r="M60" s="28"/>
      <c r="N60" s="28"/>
    </row>
    <row r="61" spans="1:16" ht="15.6" x14ac:dyDescent="0.3">
      <c r="A61" s="28"/>
      <c r="B61" s="28"/>
      <c r="C61" s="28"/>
      <c r="D61" s="28"/>
      <c r="E61" s="388"/>
      <c r="F61" s="28"/>
      <c r="G61" s="387"/>
      <c r="H61" s="387"/>
      <c r="I61" s="28"/>
      <c r="J61" s="373" t="s">
        <v>2437</v>
      </c>
      <c r="K61" s="376">
        <f>K60/H49</f>
        <v>1.4424099937419123E-3</v>
      </c>
      <c r="L61" s="28"/>
      <c r="M61" s="28"/>
      <c r="N61" s="28"/>
    </row>
    <row r="62" spans="1:16" ht="15.6" x14ac:dyDescent="0.3">
      <c r="G62" s="28"/>
      <c r="H62" s="28"/>
      <c r="J62" s="373" t="s">
        <v>2440</v>
      </c>
      <c r="K62" s="34">
        <v>6.77E-3</v>
      </c>
    </row>
    <row r="63" spans="1:16" ht="15.6" x14ac:dyDescent="0.3">
      <c r="G63" s="388"/>
      <c r="H63" s="388"/>
      <c r="J63" s="373" t="s">
        <v>2441</v>
      </c>
      <c r="K63" s="377">
        <f>K61+K62+K53</f>
        <v>5.0137497491180738E-2</v>
      </c>
      <c r="L63" s="380">
        <f>K63+K56</f>
        <v>8.5213772594579712E-2</v>
      </c>
    </row>
  </sheetData>
  <mergeCells count="6">
    <mergeCell ref="E8:F8"/>
    <mergeCell ref="H8:I8"/>
    <mergeCell ref="A1:N1"/>
    <mergeCell ref="A3:N3"/>
    <mergeCell ref="A4:N4"/>
    <mergeCell ref="A6:N6"/>
  </mergeCells>
  <pageMargins left="1" right="1" top="0.5" bottom="1" header="0.3" footer="0.3"/>
  <pageSetup scale="56" orientation="landscape" r:id="rId1"/>
  <headerFooter>
    <oddHeader>&amp;RExhibit WSS-2
Page 1 of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="80" zoomScaleNormal="90" zoomScaleSheetLayoutView="80" workbookViewId="0">
      <selection sqref="A1:N1"/>
    </sheetView>
  </sheetViews>
  <sheetFormatPr defaultRowHeight="13.8" x14ac:dyDescent="0.25"/>
  <cols>
    <col min="1" max="1" width="4.5546875" customWidth="1"/>
    <col min="2" max="2" width="45.44140625" bestFit="1" customWidth="1"/>
    <col min="3" max="3" width="19" hidden="1" customWidth="1"/>
    <col min="4" max="4" width="23.6640625" customWidth="1"/>
    <col min="5" max="5" width="24.88671875" bestFit="1" customWidth="1"/>
    <col min="6" max="6" width="23.33203125" bestFit="1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 x14ac:dyDescent="0.3">
      <c r="A1" s="439" t="s">
        <v>1427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</row>
    <row r="2" spans="1:14" ht="15.6" x14ac:dyDescent="0.3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6" x14ac:dyDescent="0.3">
      <c r="A3" s="439" t="s">
        <v>1911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</row>
    <row r="4" spans="1:14" ht="15.6" x14ac:dyDescent="0.3">
      <c r="A4" s="439" t="s">
        <v>2442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</row>
    <row r="5" spans="1:14" ht="15.6" x14ac:dyDescent="0.3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6" x14ac:dyDescent="0.3">
      <c r="A6" s="439" t="s">
        <v>2341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</row>
    <row r="7" spans="1:14" ht="15.6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2" thickBot="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2" thickBot="1" x14ac:dyDescent="0.35">
      <c r="A9" s="279"/>
      <c r="B9" s="280"/>
      <c r="C9" s="281"/>
      <c r="D9" s="279"/>
      <c r="E9" s="437" t="s">
        <v>1907</v>
      </c>
      <c r="F9" s="438"/>
      <c r="G9" s="282" t="s">
        <v>459</v>
      </c>
      <c r="H9" s="437" t="s">
        <v>118</v>
      </c>
      <c r="I9" s="438"/>
      <c r="J9" s="282" t="s">
        <v>1912</v>
      </c>
      <c r="K9" s="281"/>
      <c r="L9" s="283"/>
      <c r="M9" s="28"/>
      <c r="N9" s="28"/>
    </row>
    <row r="10" spans="1:14" ht="15.6" x14ac:dyDescent="0.3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6" x14ac:dyDescent="0.3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2" thickBot="1" x14ac:dyDescent="0.35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6" x14ac:dyDescent="0.3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6" x14ac:dyDescent="0.3">
      <c r="A14" s="362" t="s">
        <v>1166</v>
      </c>
      <c r="B14" s="297" t="s">
        <v>193</v>
      </c>
      <c r="C14" s="298"/>
      <c r="D14" s="299">
        <f>'Allocation ProForma'!H174</f>
        <v>441219651.03133303</v>
      </c>
      <c r="E14" s="300">
        <f>'Allocation ProForma'!H123+'Allocation ProForma'!H124+'Allocation ProForma'!H125</f>
        <v>235024186.42727846</v>
      </c>
      <c r="F14" s="301">
        <f>'Allocation ProForma'!H126</f>
        <v>7155603.2069275761</v>
      </c>
      <c r="G14" s="301">
        <f>'Allocation ProForma'!H135</f>
        <v>58981736.927331433</v>
      </c>
      <c r="H14" s="301">
        <f>'Allocation ProForma'!H145+'Allocation ProForma'!H147+'Allocation ProForma'!H152+'Allocation ProForma'!H141</f>
        <v>48766711.072551116</v>
      </c>
      <c r="I14" s="301">
        <f>'Allocation ProForma'!H146+'Allocation ProForma'!H148+'Allocation ProForma'!H153+'Allocation ProForma'!H157+'Allocation ProForma'!H160+'Allocation ProForma'!H163</f>
        <v>89560365.772239178</v>
      </c>
      <c r="J14" s="301">
        <f>'Allocation ProForma'!H166+'Allocation ProForma'!H169</f>
        <v>1731047.6250052918</v>
      </c>
      <c r="K14" s="302">
        <f>SUM(E14:J14)</f>
        <v>441219651.03133303</v>
      </c>
      <c r="L14" s="303" t="str">
        <f>IF(ABS(K14-D14)&lt;0.01,"ok","err")</f>
        <v>ok</v>
      </c>
      <c r="M14" s="28"/>
      <c r="N14" s="28"/>
    </row>
    <row r="15" spans="1:14" ht="15.6" x14ac:dyDescent="0.3">
      <c r="A15" s="362" t="s">
        <v>1323</v>
      </c>
      <c r="B15" s="297" t="s">
        <v>1888</v>
      </c>
      <c r="C15" s="298"/>
      <c r="D15" s="299">
        <f>'Allocation ProForma'!H773+'Allocation ProForma'!H774+'Allocation ProForma'!H775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6" x14ac:dyDescent="0.3">
      <c r="A16" s="362" t="s">
        <v>1889</v>
      </c>
      <c r="B16" s="297" t="s">
        <v>1890</v>
      </c>
      <c r="C16" s="298"/>
      <c r="D16" s="306">
        <f>D14+D15</f>
        <v>441219651.03133303</v>
      </c>
      <c r="E16" s="306">
        <f t="shared" ref="E16:K16" si="1">E14+E15</f>
        <v>235024186.42727846</v>
      </c>
      <c r="F16" s="307">
        <f t="shared" si="1"/>
        <v>7155603.2069275761</v>
      </c>
      <c r="G16" s="307">
        <f t="shared" si="1"/>
        <v>58981736.927331433</v>
      </c>
      <c r="H16" s="307">
        <f t="shared" si="1"/>
        <v>48766711.072551116</v>
      </c>
      <c r="I16" s="307">
        <f t="shared" si="1"/>
        <v>89560365.772239178</v>
      </c>
      <c r="J16" s="307">
        <f t="shared" si="1"/>
        <v>1731047.6250052918</v>
      </c>
      <c r="K16" s="302">
        <f t="shared" si="1"/>
        <v>441219651.03133303</v>
      </c>
      <c r="L16" s="303" t="str">
        <f>IF(ABS(K16-D16)&lt;0.01,"ok","err")</f>
        <v>ok</v>
      </c>
      <c r="M16" s="28"/>
      <c r="N16" s="28"/>
    </row>
    <row r="17" spans="1:14" ht="15.6" x14ac:dyDescent="0.3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6" x14ac:dyDescent="0.3">
      <c r="A18" s="362" t="s">
        <v>1891</v>
      </c>
      <c r="B18" s="297" t="s">
        <v>441</v>
      </c>
      <c r="C18" s="298"/>
      <c r="D18" s="311">
        <f>'Allocation ProForma'!H825</f>
        <v>0.10518213245717947</v>
      </c>
      <c r="E18" s="311">
        <f t="shared" ref="E18:J18" si="2">D18</f>
        <v>0.10518213245717947</v>
      </c>
      <c r="F18" s="312">
        <f t="shared" si="2"/>
        <v>0.10518213245717947</v>
      </c>
      <c r="G18" s="312">
        <f t="shared" si="2"/>
        <v>0.10518213245717947</v>
      </c>
      <c r="H18" s="312">
        <f t="shared" si="2"/>
        <v>0.10518213245717947</v>
      </c>
      <c r="I18" s="312">
        <f t="shared" si="2"/>
        <v>0.10518213245717947</v>
      </c>
      <c r="J18" s="312">
        <f t="shared" si="2"/>
        <v>0.10518213245717947</v>
      </c>
      <c r="K18" s="302"/>
      <c r="L18" s="303"/>
      <c r="M18" s="28"/>
      <c r="N18" s="28"/>
    </row>
    <row r="19" spans="1:14" ht="15.6" x14ac:dyDescent="0.3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6" x14ac:dyDescent="0.3">
      <c r="A20" s="362" t="s">
        <v>1892</v>
      </c>
      <c r="B20" s="297" t="s">
        <v>1893</v>
      </c>
      <c r="C20" s="298"/>
      <c r="D20" s="306">
        <f>D18*D16</f>
        <v>46408423.777488172</v>
      </c>
      <c r="E20" s="306">
        <f t="shared" ref="E20:J20" si="3">E18*E16</f>
        <v>24720345.107434846</v>
      </c>
      <c r="F20" s="307">
        <f t="shared" si="3"/>
        <v>752641.60432207456</v>
      </c>
      <c r="G20" s="307">
        <f t="shared" si="3"/>
        <v>6203824.8660450885</v>
      </c>
      <c r="H20" s="307">
        <f t="shared" si="3"/>
        <v>5129386.6635340722</v>
      </c>
      <c r="I20" s="307">
        <f t="shared" si="3"/>
        <v>9420150.2555691041</v>
      </c>
      <c r="J20" s="307">
        <f t="shared" si="3"/>
        <v>182075.28058299253</v>
      </c>
      <c r="K20" s="302">
        <f>SUM(E20:J20)</f>
        <v>46408423.777488187</v>
      </c>
      <c r="L20" s="303" t="str">
        <f>IF(ABS(K20-D20)&lt;0.01,"ok","err")</f>
        <v>ok</v>
      </c>
      <c r="M20" s="28"/>
      <c r="N20" s="28"/>
    </row>
    <row r="21" spans="1:14" ht="15.6" x14ac:dyDescent="0.3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6" x14ac:dyDescent="0.3">
      <c r="A22" s="362" t="s">
        <v>1324</v>
      </c>
      <c r="B22" s="297" t="s">
        <v>1894</v>
      </c>
      <c r="C22" s="298"/>
      <c r="D22" s="306">
        <f>'Allocation ProForma'!H705</f>
        <v>10418599.508402497</v>
      </c>
      <c r="E22" s="306">
        <f t="shared" ref="E22:J22" si="4">(E14/$D$14)*$D$22</f>
        <v>5549668.6683160719</v>
      </c>
      <c r="F22" s="307">
        <f t="shared" si="4"/>
        <v>168966.5541409096</v>
      </c>
      <c r="G22" s="307">
        <f t="shared" si="4"/>
        <v>1392746.4334814537</v>
      </c>
      <c r="H22" s="307">
        <f t="shared" si="4"/>
        <v>1151537.1784082358</v>
      </c>
      <c r="I22" s="307">
        <f t="shared" si="4"/>
        <v>2114805.1330577196</v>
      </c>
      <c r="J22" s="307">
        <f t="shared" si="4"/>
        <v>40875.540998106379</v>
      </c>
      <c r="K22" s="302">
        <f>SUM(E22:J22)</f>
        <v>10418599.508402497</v>
      </c>
      <c r="L22" s="303" t="str">
        <f>IF(ABS(K22-D22)&lt;0.01,"ok","err")</f>
        <v>ok</v>
      </c>
      <c r="M22" s="28"/>
      <c r="N22" s="28"/>
    </row>
    <row r="23" spans="1:14" ht="15.6" x14ac:dyDescent="0.3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6" x14ac:dyDescent="0.3">
      <c r="A24" s="362" t="s">
        <v>1325</v>
      </c>
      <c r="B24" s="297" t="s">
        <v>209</v>
      </c>
      <c r="C24" s="298"/>
      <c r="D24" s="306">
        <f>D20-D22</f>
        <v>35989824.269085675</v>
      </c>
      <c r="E24" s="306">
        <f t="shared" ref="E24:J24" si="5">E20-E22</f>
        <v>19170676.439118773</v>
      </c>
      <c r="F24" s="307">
        <f t="shared" si="5"/>
        <v>583675.05018116499</v>
      </c>
      <c r="G24" s="307">
        <f t="shared" si="5"/>
        <v>4811078.4325636346</v>
      </c>
      <c r="H24" s="307">
        <f t="shared" si="5"/>
        <v>3977849.4851258365</v>
      </c>
      <c r="I24" s="307">
        <f t="shared" si="5"/>
        <v>7305345.122511385</v>
      </c>
      <c r="J24" s="307">
        <f t="shared" si="5"/>
        <v>141199.73958488615</v>
      </c>
      <c r="K24" s="302">
        <f>SUM(E24:J24)</f>
        <v>35989824.269085675</v>
      </c>
      <c r="L24" s="303" t="str">
        <f>IF(ABS(K24-D24)&lt;0.01,"ok","err")</f>
        <v>ok</v>
      </c>
      <c r="M24" s="28"/>
      <c r="N24" s="28"/>
    </row>
    <row r="25" spans="1:14" ht="15.6" x14ac:dyDescent="0.3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6" x14ac:dyDescent="0.3">
      <c r="A26" s="362" t="s">
        <v>1326</v>
      </c>
      <c r="B26" s="297" t="s">
        <v>553</v>
      </c>
      <c r="C26" s="298"/>
      <c r="D26" s="306">
        <f>'Allocation ProForma'!H740+'Allocation ProForma'!H817</f>
        <v>25348538.203033146</v>
      </c>
      <c r="E26" s="306">
        <f t="shared" ref="E26:J26" si="6">$D$26*(E24/$K$24)</f>
        <v>13502389.466024898</v>
      </c>
      <c r="F26" s="307">
        <f t="shared" si="6"/>
        <v>411097.01445203595</v>
      </c>
      <c r="G26" s="307">
        <f t="shared" si="6"/>
        <v>3388563.5154485395</v>
      </c>
      <c r="H26" s="307">
        <f t="shared" si="6"/>
        <v>2801699.4160830243</v>
      </c>
      <c r="I26" s="307">
        <f t="shared" si="6"/>
        <v>5145338.2639432987</v>
      </c>
      <c r="J26" s="307">
        <f t="shared" si="6"/>
        <v>99450.527081352382</v>
      </c>
      <c r="K26" s="302">
        <f>SUM(E26:J26)</f>
        <v>25348538.203033149</v>
      </c>
      <c r="L26" s="303" t="str">
        <f>IF(ABS(K26-D26)&lt;0.01,"ok","err")</f>
        <v>ok</v>
      </c>
      <c r="M26" s="28"/>
      <c r="N26" s="28"/>
    </row>
    <row r="27" spans="1:14" ht="15.6" x14ac:dyDescent="0.3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6" x14ac:dyDescent="0.3">
      <c r="A28" s="362" t="s">
        <v>1327</v>
      </c>
      <c r="B28" s="297" t="s">
        <v>795</v>
      </c>
      <c r="C28" s="298"/>
      <c r="D28" s="306">
        <f>'Allocation ProForma'!H671</f>
        <v>108753033.19473302</v>
      </c>
      <c r="E28" s="306">
        <f>'Allocation ProForma'!H180+'Allocation ProForma'!H181+'Allocation ProForma'!H182</f>
        <v>12442822.510430101</v>
      </c>
      <c r="F28" s="307">
        <f>'Allocation ProForma'!H183</f>
        <v>63734648.606902696</v>
      </c>
      <c r="G28" s="307">
        <f>'Allocation ProForma'!H192</f>
        <v>5002450.3934647059</v>
      </c>
      <c r="H28" s="307">
        <f>'Allocation ProForma'!H198+'Allocation ProForma'!H202+'Allocation ProForma'!H204+'Allocation ProForma'!H209</f>
        <v>3700995.6023449316</v>
      </c>
      <c r="I28" s="307">
        <f>'Allocation ProForma'!H203+'Allocation ProForma'!H205+'Allocation ProForma'!H210+'Allocation ProForma'!H214+'Allocation ProForma'!H217</f>
        <v>9496902.6505564768</v>
      </c>
      <c r="J28" s="307">
        <f>'Allocation ProForma'!H223+'Allocation ProForma'!H226</f>
        <v>14375213.431034118</v>
      </c>
      <c r="K28" s="302">
        <f>SUM(E28:J28)</f>
        <v>108753033.19473302</v>
      </c>
      <c r="L28" s="303" t="str">
        <f>IF(ABS(K28-D28)&lt;0.01,"ok","err")</f>
        <v>ok</v>
      </c>
      <c r="M28" s="28"/>
      <c r="N28" s="28"/>
    </row>
    <row r="29" spans="1:14" ht="15.6" x14ac:dyDescent="0.3">
      <c r="A29" s="362" t="s">
        <v>1895</v>
      </c>
      <c r="B29" s="297" t="s">
        <v>843</v>
      </c>
      <c r="C29" s="298"/>
      <c r="D29" s="306">
        <f>'Allocation ProForma'!H672</f>
        <v>27341782.225615479</v>
      </c>
      <c r="E29" s="306">
        <f>'Allocation ProForma'!H300</f>
        <v>17464919.076123126</v>
      </c>
      <c r="F29" s="307">
        <v>0</v>
      </c>
      <c r="G29" s="307">
        <f>'Allocation ProForma'!H306</f>
        <v>2733530.6634628153</v>
      </c>
      <c r="H29" s="307">
        <f>'Allocation ProForma'!H312+'Allocation ProForma'!H316+'Allocation ProForma'!H318+'Allocation ProForma'!H323</f>
        <v>2523932.8587543275</v>
      </c>
      <c r="I29" s="307">
        <f>'Allocation ProForma'!H317+'Allocation ProForma'!H319+'Allocation ProForma'!H324+'Allocation ProForma'!H328+'Allocation ProForma'!H331</f>
        <v>4619399.6272752099</v>
      </c>
      <c r="J29" s="307">
        <v>0</v>
      </c>
      <c r="K29" s="302">
        <f>SUM(E29:J29)</f>
        <v>27341782.225615475</v>
      </c>
      <c r="L29" s="303" t="str">
        <f>IF(ABS(K29-D29)&lt;0.01,"ok","err")</f>
        <v>ok</v>
      </c>
      <c r="M29" s="28"/>
      <c r="N29" s="28"/>
    </row>
    <row r="30" spans="1:14" ht="15.6" x14ac:dyDescent="0.3">
      <c r="A30" s="362" t="s">
        <v>1896</v>
      </c>
      <c r="B30" s="297" t="s">
        <v>428</v>
      </c>
      <c r="C30" s="298"/>
      <c r="D30" s="306">
        <f>'Allocation ProForma'!H674+'Allocation ProForma'!H675+'Allocation ProForma'!H676+'Allocation ProForma'!H673</f>
        <v>4576800.4483009931</v>
      </c>
      <c r="E30" s="306">
        <f>'Allocation ProForma'!H414+'Allocation ProForma'!H471+'Allocation ProForma'!H357</f>
        <v>2602286.7597161294</v>
      </c>
      <c r="F30" s="307">
        <f>'Allocation ProForma'!H529</f>
        <v>0</v>
      </c>
      <c r="G30" s="307">
        <f>'Allocation ProForma'!H420+'Allocation ProForma'!H477+'Allocation ProForma'!H363</f>
        <v>577068.04778715689</v>
      </c>
      <c r="H30" s="307">
        <f>'Allocation ProForma'!H426+'Allocation ProForma'!H430+'Allocation ProForma'!H432+'Allocation ProForma'!H437+'Allocation ProForma'!H483+'Allocation ProForma'!H487+'Allocation ProForma'!H489+'Allocation ProForma'!H494+'Allocation ProForma'!H369+'Allocation ProForma'!H373+'Allocation ProForma'!H375+'Allocation ProForma'!H380</f>
        <v>493755.39750254125</v>
      </c>
      <c r="I30" s="307">
        <f>'Allocation ProForma'!H431+'Allocation ProForma'!H433+'Allocation ProForma'!H438+'Allocation ProForma'!H442+'Allocation ProForma'!H445+'Allocation ProForma'!H488+'Allocation ProForma'!H490+'Allocation ProForma'!H495+'Allocation ProForma'!H499+'Allocation ProForma'!H502+'Allocation ProForma'!H374+'Allocation ProForma'!H376+'Allocation ProForma'!H381+'Allocation ProForma'!H385+'Allocation ProForma'!H388</f>
        <v>903690.24329516606</v>
      </c>
      <c r="J30" s="307">
        <v>0</v>
      </c>
      <c r="K30" s="302">
        <f>SUM(E30:J30)</f>
        <v>4576800.4483009931</v>
      </c>
      <c r="L30" s="303" t="str">
        <f>IF(ABS(K30-D30)&lt;0.01,"ok","err")</f>
        <v>ok</v>
      </c>
      <c r="M30" s="28"/>
      <c r="N30" s="28"/>
    </row>
    <row r="31" spans="1:14" ht="15.6" x14ac:dyDescent="0.3">
      <c r="A31" s="362" t="s">
        <v>1897</v>
      </c>
      <c r="B31" s="297" t="s">
        <v>1933</v>
      </c>
      <c r="C31" s="298"/>
      <c r="D31" s="306">
        <f>'Allocation ProForma'!H679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6" x14ac:dyDescent="0.3">
      <c r="A32" s="362" t="s">
        <v>1898</v>
      </c>
      <c r="B32" s="297" t="s">
        <v>1915</v>
      </c>
      <c r="C32" s="298"/>
      <c r="D32" s="306">
        <f>'Allocation ProForma'!H745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6" x14ac:dyDescent="0.3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6" x14ac:dyDescent="0.3">
      <c r="A34" s="362" t="s">
        <v>1901</v>
      </c>
      <c r="B34" s="297" t="s">
        <v>1918</v>
      </c>
      <c r="C34" s="298"/>
      <c r="D34" s="306">
        <f>'Allocation ProForma'!H756+'Allocation ProForma'!H759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6" x14ac:dyDescent="0.3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6" x14ac:dyDescent="0.3">
      <c r="A36" s="364" t="s">
        <v>1905</v>
      </c>
      <c r="B36" s="297" t="s">
        <v>1917</v>
      </c>
      <c r="C36" s="298"/>
      <c r="D36" s="306">
        <f>SUM('Allocation ProForma'!H813:H815)-'Allocation ProForma'!H721</f>
        <v>286541.14541702496</v>
      </c>
      <c r="E36" s="306">
        <f t="shared" ref="E36:J36" si="9">(E14/($D$14)*$D$36)</f>
        <v>152631.68678494415</v>
      </c>
      <c r="F36" s="307">
        <f t="shared" si="9"/>
        <v>4647.061240971695</v>
      </c>
      <c r="G36" s="307">
        <f t="shared" si="9"/>
        <v>38304.491693283606</v>
      </c>
      <c r="H36" s="307">
        <f t="shared" si="9"/>
        <v>31670.550521235913</v>
      </c>
      <c r="I36" s="307">
        <f t="shared" si="9"/>
        <v>58163.161437527866</v>
      </c>
      <c r="J36" s="307">
        <f t="shared" si="9"/>
        <v>1124.193739061755</v>
      </c>
      <c r="K36" s="302">
        <f t="shared" si="8"/>
        <v>286541.14541702502</v>
      </c>
      <c r="L36" s="303" t="str">
        <f t="shared" si="7"/>
        <v>ok</v>
      </c>
      <c r="M36" s="28"/>
      <c r="N36" s="28"/>
    </row>
    <row r="37" spans="1:14" ht="15.6" x14ac:dyDescent="0.3">
      <c r="A37" s="364" t="s">
        <v>1919</v>
      </c>
      <c r="B37" s="297" t="s">
        <v>2444</v>
      </c>
      <c r="C37" s="381"/>
      <c r="D37" s="306">
        <f>-'Allocation ProForma'!H802-'Allocation ProForma'!H803</f>
        <v>-988475.28375882795</v>
      </c>
      <c r="E37" s="306">
        <f>-'Allocation ProForma'!H802-'Allocation ProForma'!$H$803*(E14/$D$14)</f>
        <v>-987876.97099031601</v>
      </c>
      <c r="F37" s="383">
        <f>-'Allocation ProForma'!$H$803*(F14/$D$14)</f>
        <v>-20.763253805466473</v>
      </c>
      <c r="G37" s="383">
        <f>-'Allocation ProForma'!$H$803*(G14/$D$14)</f>
        <v>-171.14598703905352</v>
      </c>
      <c r="H37" s="383">
        <f>-'Allocation ProForma'!$H$803*(H14/$D$14)</f>
        <v>-141.50527495389102</v>
      </c>
      <c r="I37" s="383">
        <f>-'Allocation ProForma'!$H$803*(I14/$D$14)</f>
        <v>-259.87531053134813</v>
      </c>
      <c r="J37" s="383">
        <f>-'Allocation ProForma'!$H$803*(J14/$D$14)</f>
        <v>-5.0229421822241358</v>
      </c>
      <c r="K37" s="302">
        <f t="shared" si="8"/>
        <v>-988475.28375882807</v>
      </c>
      <c r="L37" s="303" t="str">
        <f t="shared" si="7"/>
        <v>ok</v>
      </c>
      <c r="M37" s="28"/>
      <c r="N37" s="28"/>
    </row>
    <row r="38" spans="1:14" ht="15.6" x14ac:dyDescent="0.3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6" x14ac:dyDescent="0.3">
      <c r="A39" s="362" t="s">
        <v>1920</v>
      </c>
      <c r="B39" s="297" t="s">
        <v>1924</v>
      </c>
      <c r="C39" s="298"/>
      <c r="D39" s="306">
        <f t="shared" ref="D39:J39" si="10">SUM(D32:D37)</f>
        <v>-701934.13834180299</v>
      </c>
      <c r="E39" s="306">
        <f t="shared" si="10"/>
        <v>-835245.28420537186</v>
      </c>
      <c r="F39" s="307">
        <f t="shared" si="10"/>
        <v>4626.2979871662283</v>
      </c>
      <c r="G39" s="307">
        <f t="shared" si="10"/>
        <v>38133.345706244552</v>
      </c>
      <c r="H39" s="307">
        <f t="shared" si="10"/>
        <v>31529.045246282021</v>
      </c>
      <c r="I39" s="307">
        <f t="shared" si="10"/>
        <v>57903.286126996514</v>
      </c>
      <c r="J39" s="307">
        <f t="shared" si="10"/>
        <v>1119.1707968795308</v>
      </c>
      <c r="K39" s="302">
        <f t="shared" si="8"/>
        <v>-701934.13834180299</v>
      </c>
      <c r="L39" s="303" t="str">
        <f t="shared" si="7"/>
        <v>ok</v>
      </c>
      <c r="M39" s="28"/>
      <c r="N39" s="28"/>
    </row>
    <row r="40" spans="1:14" ht="15.6" x14ac:dyDescent="0.3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6" x14ac:dyDescent="0.3">
      <c r="A41" s="362" t="s">
        <v>1921</v>
      </c>
      <c r="B41" s="297" t="s">
        <v>1899</v>
      </c>
      <c r="C41" s="313"/>
      <c r="D41" s="306">
        <f>SUM(D28:D31)+D22+D26+D39+D24</f>
        <v>211726643.71082899</v>
      </c>
      <c r="E41" s="306">
        <f t="shared" ref="E41:J41" si="11">SUM(E28:E31)+E22+E26+E39+E24</f>
        <v>69897517.635523736</v>
      </c>
      <c r="F41" s="307">
        <f t="shared" si="11"/>
        <v>64903013.523663968</v>
      </c>
      <c r="G41" s="307">
        <f t="shared" si="11"/>
        <v>17943570.831914552</v>
      </c>
      <c r="H41" s="307">
        <f t="shared" si="11"/>
        <v>14681298.98346518</v>
      </c>
      <c r="I41" s="307">
        <f t="shared" si="11"/>
        <v>29643384.326766253</v>
      </c>
      <c r="J41" s="307">
        <f t="shared" si="11"/>
        <v>14657858.409495341</v>
      </c>
      <c r="K41" s="302">
        <f>SUM(E41:J41)</f>
        <v>211726643.71082902</v>
      </c>
      <c r="L41" s="303" t="str">
        <f>IF(ABS(K41-D41)&lt;0.01,"ok","err")</f>
        <v>ok</v>
      </c>
      <c r="M41" s="28"/>
      <c r="N41" s="28"/>
    </row>
    <row r="42" spans="1:14" ht="15.6" x14ac:dyDescent="0.3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6" x14ac:dyDescent="0.3">
      <c r="A43" s="362" t="s">
        <v>1922</v>
      </c>
      <c r="B43" s="297" t="s">
        <v>2432</v>
      </c>
      <c r="C43" s="298"/>
      <c r="D43" s="306">
        <f>-'Allocation ProForma'!H654</f>
        <v>1976551.7950724438</v>
      </c>
      <c r="E43" s="306">
        <f>D43</f>
        <v>1976551.7950724438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1976551.7950724438</v>
      </c>
      <c r="L43" s="303" t="str">
        <f>IF(ABS(K43-D43)&lt;0.01,"ok","err")</f>
        <v>ok</v>
      </c>
      <c r="M43" s="28"/>
      <c r="N43" s="28"/>
    </row>
    <row r="44" spans="1:14" ht="15.6" x14ac:dyDescent="0.3">
      <c r="A44" s="362" t="s">
        <v>1923</v>
      </c>
      <c r="B44" s="297" t="s">
        <v>1925</v>
      </c>
      <c r="C44" s="298"/>
      <c r="D44" s="306">
        <f>-('Allocation ProForma'!H652+'Allocation ProForma'!H653)</f>
        <v>-838290.47107581364</v>
      </c>
      <c r="E44" s="306">
        <v>0</v>
      </c>
      <c r="F44" s="307">
        <f>D44</f>
        <v>-838290.47107581364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-838290.47107581364</v>
      </c>
      <c r="L44" s="303" t="str">
        <f>IF(ABS(K44-D44)&lt;0.01,"ok","err")</f>
        <v>ok</v>
      </c>
      <c r="M44" s="28"/>
      <c r="N44" s="28"/>
    </row>
    <row r="45" spans="1:14" ht="15.6" x14ac:dyDescent="0.3">
      <c r="A45" s="362" t="s">
        <v>1927</v>
      </c>
      <c r="B45" s="297" t="s">
        <v>1926</v>
      </c>
      <c r="C45" s="298"/>
      <c r="D45" s="306">
        <f>-('Allocation ProForma'!H655+'Allocation ProForma'!H656+'Allocation ProForma'!H657+'Allocation ProForma'!H658+'Allocation ProForma'!H661+'Allocation ProForma'!H662+'Allocation ProForma'!H663+'Allocation ProForma'!H664+'Allocation ProForma'!H665)</f>
        <v>-2536455.9212032538</v>
      </c>
      <c r="E45" s="306">
        <f t="shared" ref="E45:J45" si="12">(E14/($D$14)*$D$45)</f>
        <v>-1351092.3366536864</v>
      </c>
      <c r="F45" s="307">
        <f t="shared" si="12"/>
        <v>-41135.683965045195</v>
      </c>
      <c r="G45" s="307">
        <f t="shared" si="12"/>
        <v>-339070.51855575293</v>
      </c>
      <c r="H45" s="307">
        <f t="shared" si="12"/>
        <v>-280347.01711143058</v>
      </c>
      <c r="I45" s="307">
        <f t="shared" si="12"/>
        <v>-514859.02664836927</v>
      </c>
      <c r="J45" s="307">
        <f t="shared" si="12"/>
        <v>-9951.3382689695663</v>
      </c>
      <c r="K45" s="302">
        <f>SUM(E45:J45)</f>
        <v>-2536455.9212032543</v>
      </c>
      <c r="L45" s="303" t="str">
        <f>IF(ABS(K45-D45)&lt;0.01,"ok","err")</f>
        <v>ok</v>
      </c>
      <c r="M45" s="28"/>
      <c r="N45" s="28"/>
    </row>
    <row r="46" spans="1:14" ht="15.6" x14ac:dyDescent="0.3">
      <c r="A46" s="362" t="s">
        <v>1928</v>
      </c>
      <c r="B46" s="297" t="s">
        <v>1929</v>
      </c>
      <c r="C46" s="298"/>
      <c r="D46" s="306">
        <f>SUM(D43:D45)</f>
        <v>-1398194.5972066238</v>
      </c>
      <c r="E46" s="306">
        <f t="shared" ref="E46:J46" si="13">SUM(E43:E45)</f>
        <v>625459.45841875742</v>
      </c>
      <c r="F46" s="307">
        <f t="shared" si="13"/>
        <v>-879426.15504085878</v>
      </c>
      <c r="G46" s="307">
        <f t="shared" si="13"/>
        <v>-339070.51855575293</v>
      </c>
      <c r="H46" s="307">
        <f t="shared" si="13"/>
        <v>-280347.01711143058</v>
      </c>
      <c r="I46" s="307">
        <f t="shared" si="13"/>
        <v>-514859.02664836927</v>
      </c>
      <c r="J46" s="307">
        <f t="shared" si="13"/>
        <v>-9951.3382689695663</v>
      </c>
      <c r="K46" s="302">
        <f>SUM(E46:J46)</f>
        <v>-1398194.5972066238</v>
      </c>
      <c r="L46" s="303" t="str">
        <f>IF(ABS(K46-D46)&lt;0.01,"ok","err")</f>
        <v>ok</v>
      </c>
      <c r="M46" s="28"/>
      <c r="N46" s="28"/>
    </row>
    <row r="47" spans="1:14" ht="15.6" x14ac:dyDescent="0.3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6" x14ac:dyDescent="0.3">
      <c r="A48" s="362" t="s">
        <v>1934</v>
      </c>
      <c r="B48" s="297" t="s">
        <v>1902</v>
      </c>
      <c r="C48" s="315">
        <f>'Allocation ProForma'!H806-SUM('Allocation ProForma'!H652:H665)-'Allocation ProForma'!H721-'Allocation ProForma'!H802-'Allocation ProForma'!H803</f>
        <v>210328448.99999994</v>
      </c>
      <c r="D48" s="306">
        <f>D41+D46</f>
        <v>210328449.11362237</v>
      </c>
      <c r="E48" s="306">
        <f t="shared" ref="E48:J48" si="14">E41+E46</f>
        <v>70522977.093942493</v>
      </c>
      <c r="F48" s="307">
        <f t="shared" si="14"/>
        <v>64023587.368623108</v>
      </c>
      <c r="G48" s="307">
        <f t="shared" si="14"/>
        <v>17604500.313358799</v>
      </c>
      <c r="H48" s="307">
        <f t="shared" si="14"/>
        <v>14400951.96635375</v>
      </c>
      <c r="I48" s="307">
        <f t="shared" si="14"/>
        <v>29128525.300117884</v>
      </c>
      <c r="J48" s="307">
        <f t="shared" si="14"/>
        <v>14647907.071226371</v>
      </c>
      <c r="K48" s="302">
        <f>SUM(E48:J48)</f>
        <v>210328449.11362237</v>
      </c>
      <c r="L48" s="303" t="str">
        <f>IF(ABS(K48-D48)&lt;0.01,"ok","err")</f>
        <v>ok</v>
      </c>
      <c r="M48" s="28"/>
      <c r="N48" s="28"/>
    </row>
    <row r="49" spans="1:14" ht="15.6" x14ac:dyDescent="0.3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6" x14ac:dyDescent="0.3">
      <c r="A50" s="362" t="s">
        <v>1935</v>
      </c>
      <c r="B50" s="297" t="s">
        <v>1904</v>
      </c>
      <c r="C50" s="298"/>
      <c r="D50" s="316"/>
      <c r="E50" s="317">
        <f>'Billing Det'!C10+'Billing Det'!C12</f>
        <v>1804682196.485518</v>
      </c>
      <c r="F50" s="318">
        <f>$E$50</f>
        <v>1804682196.485518</v>
      </c>
      <c r="G50" s="318">
        <f>$E$50</f>
        <v>1804682196.485518</v>
      </c>
      <c r="H50" s="318">
        <f>$E$50</f>
        <v>1804682196.485518</v>
      </c>
      <c r="I50" s="318">
        <f>'Allocation ProForma'!H848</f>
        <v>999948</v>
      </c>
      <c r="J50" s="318">
        <f>I50</f>
        <v>999948</v>
      </c>
      <c r="K50" s="287"/>
      <c r="L50" s="310"/>
      <c r="M50" s="28"/>
      <c r="N50" s="28"/>
    </row>
    <row r="51" spans="1:14" ht="16.2" thickBot="1" x14ac:dyDescent="0.35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2" thickBot="1" x14ac:dyDescent="0.35">
      <c r="A52" s="365" t="s">
        <v>2446</v>
      </c>
      <c r="B52" s="319" t="s">
        <v>1906</v>
      </c>
      <c r="C52" s="320"/>
      <c r="D52" s="321"/>
      <c r="E52" s="322">
        <f t="shared" ref="E52:J52" si="15">E48/E50</f>
        <v>3.9077781800740681E-2</v>
      </c>
      <c r="F52" s="323">
        <f t="shared" si="15"/>
        <v>3.5476377776266756E-2</v>
      </c>
      <c r="G52" s="323">
        <f t="shared" si="15"/>
        <v>9.7549032996736111E-3</v>
      </c>
      <c r="H52" s="323">
        <f t="shared" si="15"/>
        <v>7.9797717262344112E-3</v>
      </c>
      <c r="I52" s="324">
        <f>I48/I50</f>
        <v>29.130040062201118</v>
      </c>
      <c r="J52" s="324">
        <f t="shared" si="15"/>
        <v>14.648668802004076</v>
      </c>
      <c r="K52" s="325">
        <f>I52+J52</f>
        <v>43.778708864205193</v>
      </c>
      <c r="L52" s="326"/>
      <c r="M52" s="28"/>
      <c r="N52" s="28"/>
    </row>
    <row r="53" spans="1:14" ht="15.6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6" x14ac:dyDescent="0.3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43.778708864205193</v>
      </c>
      <c r="L54" s="28"/>
      <c r="M54" s="28"/>
      <c r="N54" s="28"/>
    </row>
    <row r="55" spans="1:14" ht="15.6" x14ac:dyDescent="0.3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2439</v>
      </c>
      <c r="K55" s="369">
        <f>E52+G52+H52</f>
        <v>5.6812456826648698E-2</v>
      </c>
      <c r="L55" s="28"/>
      <c r="M55" s="28"/>
      <c r="N55" s="28"/>
    </row>
    <row r="56" spans="1:14" ht="15.6" x14ac:dyDescent="0.3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2434</v>
      </c>
      <c r="K56" s="369">
        <f>F52</f>
        <v>3.5476377776266756E-2</v>
      </c>
      <c r="L56" s="28"/>
      <c r="M56" s="28"/>
      <c r="N56" s="28"/>
    </row>
    <row r="57" spans="1:14" ht="15.6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6" x14ac:dyDescent="0.3">
      <c r="A58" s="28"/>
      <c r="B58" s="28"/>
      <c r="C58" s="28"/>
      <c r="D58" s="370"/>
      <c r="E58" s="28"/>
      <c r="F58" s="28"/>
      <c r="G58" s="28"/>
      <c r="H58" s="28"/>
      <c r="I58" s="28"/>
      <c r="J58" s="373" t="s">
        <v>2435</v>
      </c>
      <c r="K58" s="374">
        <v>35.96</v>
      </c>
      <c r="L58" s="28"/>
      <c r="M58" s="28"/>
      <c r="N58" s="28"/>
    </row>
    <row r="59" spans="1:14" ht="15.6" x14ac:dyDescent="0.3">
      <c r="A59" s="28"/>
      <c r="B59" s="28"/>
      <c r="C59" s="28"/>
      <c r="D59" s="327"/>
      <c r="E59" s="28"/>
      <c r="F59" s="28"/>
      <c r="G59" s="28"/>
      <c r="H59" s="28"/>
      <c r="I59" s="28"/>
      <c r="J59" s="373" t="s">
        <v>2436</v>
      </c>
      <c r="K59" s="375">
        <f>(K54-K58)*I50</f>
        <v>7818302.2913442533</v>
      </c>
      <c r="L59" s="28"/>
      <c r="M59" s="28"/>
      <c r="N59" s="28"/>
    </row>
    <row r="60" spans="1:14" ht="15.6" x14ac:dyDescent="0.3">
      <c r="A60" s="28"/>
      <c r="B60" s="28"/>
      <c r="C60" s="28"/>
      <c r="D60" s="28"/>
      <c r="E60" s="28"/>
      <c r="F60" s="28"/>
      <c r="G60" s="28"/>
      <c r="H60" s="28"/>
      <c r="I60" s="28"/>
      <c r="J60" s="373" t="s">
        <v>2437</v>
      </c>
      <c r="K60" s="376">
        <f>K59/H50</f>
        <v>4.3322321828019386E-3</v>
      </c>
      <c r="L60" s="28"/>
      <c r="M60" s="28"/>
      <c r="N60" s="28"/>
    </row>
    <row r="61" spans="1:14" ht="15.6" x14ac:dyDescent="0.3">
      <c r="J61" s="373" t="s">
        <v>2440</v>
      </c>
      <c r="K61" s="34">
        <v>1.023E-2</v>
      </c>
    </row>
    <row r="62" spans="1:14" ht="15.6" x14ac:dyDescent="0.3">
      <c r="J62" s="373" t="s">
        <v>2441</v>
      </c>
      <c r="K62" s="377">
        <f>K60+K61+K55</f>
        <v>7.137468900945064E-2</v>
      </c>
      <c r="L62" s="380">
        <f>K62+K56</f>
        <v>0.1068510667857174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  <headerFooter>
    <oddFooter>&amp;R&amp;"Times New Roman,Bold"&amp;12Conroy Exhibit R2
Page 1 of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="80" zoomScaleNormal="90" zoomScaleSheetLayoutView="80" workbookViewId="0">
      <selection sqref="A1:N1"/>
    </sheetView>
  </sheetViews>
  <sheetFormatPr defaultRowHeight="13.8" x14ac:dyDescent="0.25"/>
  <cols>
    <col min="1" max="1" width="4.5546875" customWidth="1"/>
    <col min="2" max="2" width="45.44140625" bestFit="1" customWidth="1"/>
    <col min="3" max="3" width="19" hidden="1" customWidth="1"/>
    <col min="4" max="4" width="23.6640625" customWidth="1"/>
    <col min="5" max="5" width="24.88671875" bestFit="1" customWidth="1"/>
    <col min="6" max="6" width="23.33203125" bestFit="1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 x14ac:dyDescent="0.3">
      <c r="A1" s="439" t="s">
        <v>1427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</row>
    <row r="2" spans="1:14" ht="15.6" x14ac:dyDescent="0.3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6" x14ac:dyDescent="0.3">
      <c r="A3" s="439" t="s">
        <v>1911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</row>
    <row r="4" spans="1:14" ht="15.6" x14ac:dyDescent="0.3">
      <c r="A4" s="439" t="s">
        <v>2442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</row>
    <row r="5" spans="1:14" ht="15.6" x14ac:dyDescent="0.3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6" x14ac:dyDescent="0.3">
      <c r="A6" s="439" t="s">
        <v>2342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</row>
    <row r="7" spans="1:14" ht="15.6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2" thickBot="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2" thickBot="1" x14ac:dyDescent="0.35">
      <c r="A9" s="279"/>
      <c r="B9" s="280"/>
      <c r="C9" s="281"/>
      <c r="D9" s="279"/>
      <c r="E9" s="437" t="s">
        <v>1907</v>
      </c>
      <c r="F9" s="438"/>
      <c r="G9" s="282" t="s">
        <v>459</v>
      </c>
      <c r="H9" s="437" t="s">
        <v>118</v>
      </c>
      <c r="I9" s="438"/>
      <c r="J9" s="282" t="s">
        <v>1912</v>
      </c>
      <c r="K9" s="281"/>
      <c r="L9" s="283"/>
      <c r="M9" s="28"/>
      <c r="N9" s="28"/>
    </row>
    <row r="10" spans="1:14" ht="15.6" x14ac:dyDescent="0.3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6" x14ac:dyDescent="0.3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2" thickBot="1" x14ac:dyDescent="0.35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6" x14ac:dyDescent="0.3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6" x14ac:dyDescent="0.3">
      <c r="A14" s="362" t="s">
        <v>1166</v>
      </c>
      <c r="B14" s="297" t="s">
        <v>193</v>
      </c>
      <c r="C14" s="298"/>
      <c r="D14" s="299">
        <f>'Allocation ProForma'!J174</f>
        <v>28182297.978403468</v>
      </c>
      <c r="E14" s="300">
        <f>'Allocation ProForma'!J123+'Allocation ProForma'!J124+'Allocation ProForma'!J125</f>
        <v>17697403.545685213</v>
      </c>
      <c r="F14" s="301">
        <f>'Allocation ProForma'!J126</f>
        <v>602132.08770131995</v>
      </c>
      <c r="G14" s="301">
        <f>'Allocation ProForma'!J135</f>
        <v>4441345.4465947459</v>
      </c>
      <c r="H14" s="301">
        <f>'Allocation ProForma'!J145+'Allocation ProForma'!J147+'Allocation ProForma'!J152+'Allocation ProForma'!J141</f>
        <v>4549455.5787447011</v>
      </c>
      <c r="I14" s="301">
        <f>'Allocation ProForma'!J146+'Allocation ProForma'!J148+'Allocation ProForma'!J153+'Allocation ProForma'!J157+'Allocation ProForma'!J160+'Allocation ProForma'!J163</f>
        <v>830367.44229817716</v>
      </c>
      <c r="J14" s="301">
        <f>'Allocation ProForma'!J166+'Allocation ProForma'!J169</f>
        <v>61593.877379312005</v>
      </c>
      <c r="K14" s="302">
        <f>SUM(E14:J14)</f>
        <v>28182297.978403471</v>
      </c>
      <c r="L14" s="303" t="str">
        <f>IF(ABS(K14-D14)&lt;0.01,"ok","err")</f>
        <v>ok</v>
      </c>
      <c r="M14" s="28"/>
      <c r="N14" s="28"/>
    </row>
    <row r="15" spans="1:14" ht="15.6" x14ac:dyDescent="0.3">
      <c r="A15" s="362" t="s">
        <v>1323</v>
      </c>
      <c r="B15" s="297" t="s">
        <v>1888</v>
      </c>
      <c r="C15" s="298"/>
      <c r="D15" s="299">
        <f>'Allocation ProForma'!J773+'Allocation ProForma'!J774+'Allocation ProForma'!J775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6" x14ac:dyDescent="0.3">
      <c r="A16" s="362" t="s">
        <v>1889</v>
      </c>
      <c r="B16" s="297" t="s">
        <v>1890</v>
      </c>
      <c r="C16" s="298"/>
      <c r="D16" s="306">
        <f>D14+D15</f>
        <v>28182297.978403468</v>
      </c>
      <c r="E16" s="306">
        <f t="shared" ref="E16:K16" si="1">E14+E15</f>
        <v>17697403.545685213</v>
      </c>
      <c r="F16" s="307">
        <f t="shared" si="1"/>
        <v>602132.08770131995</v>
      </c>
      <c r="G16" s="307">
        <f t="shared" si="1"/>
        <v>4441345.4465947459</v>
      </c>
      <c r="H16" s="307">
        <f t="shared" si="1"/>
        <v>4549455.5787447011</v>
      </c>
      <c r="I16" s="307">
        <f t="shared" si="1"/>
        <v>830367.44229817716</v>
      </c>
      <c r="J16" s="307">
        <f t="shared" si="1"/>
        <v>61593.877379312005</v>
      </c>
      <c r="K16" s="302">
        <f t="shared" si="1"/>
        <v>28182297.978403471</v>
      </c>
      <c r="L16" s="303" t="str">
        <f>IF(ABS(K16-D16)&lt;0.01,"ok","err")</f>
        <v>ok</v>
      </c>
      <c r="M16" s="28"/>
      <c r="N16" s="28"/>
    </row>
    <row r="17" spans="1:14" ht="15.6" x14ac:dyDescent="0.3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6" x14ac:dyDescent="0.3">
      <c r="A18" s="362" t="s">
        <v>1891</v>
      </c>
      <c r="B18" s="297" t="s">
        <v>441</v>
      </c>
      <c r="C18" s="298"/>
      <c r="D18" s="311">
        <f>'Allocation ProForma'!J825</f>
        <v>7.40497532146175E-2</v>
      </c>
      <c r="E18" s="311">
        <f t="shared" ref="E18:J18" si="2">D18</f>
        <v>7.40497532146175E-2</v>
      </c>
      <c r="F18" s="312">
        <f t="shared" si="2"/>
        <v>7.40497532146175E-2</v>
      </c>
      <c r="G18" s="312">
        <f t="shared" si="2"/>
        <v>7.40497532146175E-2</v>
      </c>
      <c r="H18" s="312">
        <f t="shared" si="2"/>
        <v>7.40497532146175E-2</v>
      </c>
      <c r="I18" s="312">
        <f t="shared" si="2"/>
        <v>7.40497532146175E-2</v>
      </c>
      <c r="J18" s="312">
        <f t="shared" si="2"/>
        <v>7.40497532146175E-2</v>
      </c>
      <c r="K18" s="302"/>
      <c r="L18" s="303"/>
      <c r="M18" s="28"/>
      <c r="N18" s="28"/>
    </row>
    <row r="19" spans="1:14" ht="15.6" x14ac:dyDescent="0.3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6" x14ac:dyDescent="0.3">
      <c r="A20" s="362" t="s">
        <v>1892</v>
      </c>
      <c r="B20" s="297" t="s">
        <v>1893</v>
      </c>
      <c r="C20" s="298"/>
      <c r="D20" s="306">
        <f>D18*D16</f>
        <v>2086892.2103215905</v>
      </c>
      <c r="E20" s="306">
        <f t="shared" ref="E20:J20" si="3">E18*E16</f>
        <v>1310488.3650974866</v>
      </c>
      <c r="F20" s="307">
        <f t="shared" si="3"/>
        <v>44587.732496885161</v>
      </c>
      <c r="G20" s="307">
        <f t="shared" si="3"/>
        <v>328880.53426120611</v>
      </c>
      <c r="H20" s="307">
        <f t="shared" si="3"/>
        <v>336886.06286690995</v>
      </c>
      <c r="I20" s="307">
        <f t="shared" si="3"/>
        <v>61488.504179633157</v>
      </c>
      <c r="J20" s="307">
        <f t="shared" si="3"/>
        <v>4561.0114194694652</v>
      </c>
      <c r="K20" s="302">
        <f>SUM(E20:J20)</f>
        <v>2086892.2103215905</v>
      </c>
      <c r="L20" s="303" t="str">
        <f>IF(ABS(K20-D20)&lt;0.01,"ok","err")</f>
        <v>ok</v>
      </c>
      <c r="M20" s="28"/>
      <c r="N20" s="28"/>
    </row>
    <row r="21" spans="1:14" ht="15.6" x14ac:dyDescent="0.3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6" x14ac:dyDescent="0.3">
      <c r="A22" s="362" t="s">
        <v>1324</v>
      </c>
      <c r="B22" s="297" t="s">
        <v>1894</v>
      </c>
      <c r="C22" s="298"/>
      <c r="D22" s="306">
        <f>'Allocation ProForma'!J705</f>
        <v>668776.93154093286</v>
      </c>
      <c r="E22" s="306">
        <f t="shared" ref="E22:J22" si="4">(E14/$D$14)*$D$22</f>
        <v>419966.29404013819</v>
      </c>
      <c r="F22" s="307">
        <f t="shared" si="4"/>
        <v>14288.82947387093</v>
      </c>
      <c r="G22" s="307">
        <f t="shared" si="4"/>
        <v>105394.86105650759</v>
      </c>
      <c r="H22" s="307">
        <f t="shared" si="4"/>
        <v>107960.35669150291</v>
      </c>
      <c r="I22" s="307">
        <f t="shared" si="4"/>
        <v>19704.943526508236</v>
      </c>
      <c r="J22" s="307">
        <f t="shared" si="4"/>
        <v>1461.6467524050472</v>
      </c>
      <c r="K22" s="302">
        <f>SUM(E22:J22)</f>
        <v>668776.93154093309</v>
      </c>
      <c r="L22" s="303" t="str">
        <f>IF(ABS(K22-D22)&lt;0.01,"ok","err")</f>
        <v>ok</v>
      </c>
      <c r="M22" s="28"/>
      <c r="N22" s="28"/>
    </row>
    <row r="23" spans="1:14" ht="15.6" x14ac:dyDescent="0.3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6" x14ac:dyDescent="0.3">
      <c r="A24" s="362" t="s">
        <v>1325</v>
      </c>
      <c r="B24" s="297" t="s">
        <v>209</v>
      </c>
      <c r="C24" s="298"/>
      <c r="D24" s="306">
        <f>D20-D22</f>
        <v>1418115.2787806578</v>
      </c>
      <c r="E24" s="306">
        <f t="shared" ref="E24:J24" si="5">E20-E22</f>
        <v>890522.07105734851</v>
      </c>
      <c r="F24" s="307">
        <f t="shared" si="5"/>
        <v>30298.903023014231</v>
      </c>
      <c r="G24" s="307">
        <f t="shared" si="5"/>
        <v>223485.67320469851</v>
      </c>
      <c r="H24" s="307">
        <f t="shared" si="5"/>
        <v>228925.70617540705</v>
      </c>
      <c r="I24" s="307">
        <f t="shared" si="5"/>
        <v>41783.560653124921</v>
      </c>
      <c r="J24" s="307">
        <f t="shared" si="5"/>
        <v>3099.364667064418</v>
      </c>
      <c r="K24" s="302">
        <f>SUM(E24:J24)</f>
        <v>1418115.2787806578</v>
      </c>
      <c r="L24" s="303" t="str">
        <f>IF(ABS(K24-D24)&lt;0.01,"ok","err")</f>
        <v>ok</v>
      </c>
      <c r="M24" s="28"/>
      <c r="N24" s="28"/>
    </row>
    <row r="25" spans="1:14" ht="15.6" x14ac:dyDescent="0.3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6" x14ac:dyDescent="0.3">
      <c r="A26" s="362" t="s">
        <v>1326</v>
      </c>
      <c r="B26" s="297" t="s">
        <v>553</v>
      </c>
      <c r="C26" s="298"/>
      <c r="D26" s="306">
        <f>'Allocation ProForma'!J740+'Allocation ProForma'!J817</f>
        <v>984143.51640911878</v>
      </c>
      <c r="E26" s="306">
        <f t="shared" ref="E26:J26" si="6">$D$26*(E24/$K$24)</f>
        <v>618004.42852845427</v>
      </c>
      <c r="F26" s="307">
        <f t="shared" si="6"/>
        <v>21026.83005435708</v>
      </c>
      <c r="G26" s="307">
        <f t="shared" si="6"/>
        <v>155094.56782938304</v>
      </c>
      <c r="H26" s="307">
        <f t="shared" si="6"/>
        <v>158869.84143180694</v>
      </c>
      <c r="I26" s="307">
        <f t="shared" si="6"/>
        <v>28996.951746135379</v>
      </c>
      <c r="J26" s="307">
        <f t="shared" si="6"/>
        <v>2150.8968189819047</v>
      </c>
      <c r="K26" s="302">
        <f>SUM(E26:J26)</f>
        <v>984143.51640911854</v>
      </c>
      <c r="L26" s="303" t="str">
        <f>IF(ABS(K26-D26)&lt;0.01,"ok","err")</f>
        <v>ok</v>
      </c>
      <c r="M26" s="28"/>
      <c r="N26" s="28"/>
    </row>
    <row r="27" spans="1:14" ht="15.6" x14ac:dyDescent="0.3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6" x14ac:dyDescent="0.3">
      <c r="A28" s="362" t="s">
        <v>1327</v>
      </c>
      <c r="B28" s="297" t="s">
        <v>795</v>
      </c>
      <c r="C28" s="298"/>
      <c r="D28" s="306">
        <f>'Allocation ProForma'!J671</f>
        <v>7668256.0483589973</v>
      </c>
      <c r="E28" s="306">
        <f>'Allocation ProForma'!J180+'Allocation ProForma'!J181+'Allocation ProForma'!J182</f>
        <v>936948.89263047767</v>
      </c>
      <c r="F28" s="307">
        <f>'Allocation ProForma'!J183</f>
        <v>5363164.4900922701</v>
      </c>
      <c r="G28" s="307">
        <f>'Allocation ProForma'!J192</f>
        <v>376686.26653372071</v>
      </c>
      <c r="H28" s="307">
        <f>'Allocation ProForma'!J198+'Allocation ProForma'!J202+'Allocation ProForma'!J204+'Allocation ProForma'!J209</f>
        <v>353353.21366632084</v>
      </c>
      <c r="I28" s="307">
        <f>'Allocation ProForma'!J203+'Allocation ProForma'!J205+'Allocation ProForma'!J210+'Allocation ProForma'!J214+'Allocation ProForma'!J217</f>
        <v>126606.49373204567</v>
      </c>
      <c r="J28" s="307">
        <f>'Allocation ProForma'!J223+'Allocation ProForma'!J226</f>
        <v>511496.69170416257</v>
      </c>
      <c r="K28" s="302">
        <f>SUM(E28:J28)</f>
        <v>7668256.0483589964</v>
      </c>
      <c r="L28" s="303" t="str">
        <f>IF(ABS(K28-D28)&lt;0.01,"ok","err")</f>
        <v>ok</v>
      </c>
      <c r="M28" s="28"/>
      <c r="N28" s="28"/>
    </row>
    <row r="29" spans="1:14" ht="15.6" x14ac:dyDescent="0.3">
      <c r="A29" s="362" t="s">
        <v>1895</v>
      </c>
      <c r="B29" s="297" t="s">
        <v>843</v>
      </c>
      <c r="C29" s="298"/>
      <c r="D29" s="306">
        <f>'Allocation ProForma'!J672</f>
        <v>1798932.0035182098</v>
      </c>
      <c r="E29" s="306">
        <f>'Allocation ProForma'!J300</f>
        <v>1315114.5228132675</v>
      </c>
      <c r="F29" s="307">
        <v>0</v>
      </c>
      <c r="G29" s="307">
        <f>'Allocation ProForma'!J306</f>
        <v>205835.81626725377</v>
      </c>
      <c r="H29" s="307">
        <f>'Allocation ProForma'!J312+'Allocation ProForma'!J316+'Allocation ProForma'!J318+'Allocation ProForma'!J323</f>
        <v>235411.8018848419</v>
      </c>
      <c r="I29" s="307">
        <f>'Allocation ProForma'!J317+'Allocation ProForma'!J319+'Allocation ProForma'!J324+'Allocation ProForma'!J328+'Allocation ProForma'!J331</f>
        <v>42569.862552846811</v>
      </c>
      <c r="J29" s="307">
        <v>0</v>
      </c>
      <c r="K29" s="302">
        <f>SUM(E29:J29)</f>
        <v>1798932.00351821</v>
      </c>
      <c r="L29" s="303" t="str">
        <f>IF(ABS(K29-D29)&lt;0.01,"ok","err")</f>
        <v>ok</v>
      </c>
      <c r="M29" s="28"/>
      <c r="N29" s="28"/>
    </row>
    <row r="30" spans="1:14" ht="15.6" x14ac:dyDescent="0.3">
      <c r="A30" s="362" t="s">
        <v>1896</v>
      </c>
      <c r="B30" s="297" t="s">
        <v>428</v>
      </c>
      <c r="C30" s="298"/>
      <c r="D30" s="306">
        <f>'Allocation ProForma'!J674+'Allocation ProForma'!J675+'Allocation ProForma'!J676+'Allocation ProForma'!J673</f>
        <v>293787.90859763359</v>
      </c>
      <c r="E30" s="306">
        <f>'Allocation ProForma'!J414+'Allocation ProForma'!J471+'Allocation ProForma'!J357</f>
        <v>195953.10435226175</v>
      </c>
      <c r="F30" s="307">
        <f>'Allocation ProForma'!J529</f>
        <v>0</v>
      </c>
      <c r="G30" s="307">
        <f>'Allocation ProForma'!J420+'Allocation ProForma'!J477+'Allocation ProForma'!J363</f>
        <v>43453.426093105845</v>
      </c>
      <c r="H30" s="307">
        <f>'Allocation ProForma'!J426+'Allocation ProForma'!J430+'Allocation ProForma'!J432+'Allocation ProForma'!J437+'Allocation ProForma'!J483+'Allocation ProForma'!J487+'Allocation ProForma'!J489+'Allocation ProForma'!J494+'Allocation ProForma'!J369+'Allocation ProForma'!J373+'Allocation ProForma'!J375+'Allocation ProForma'!J380</f>
        <v>46053.462719213196</v>
      </c>
      <c r="I30" s="307">
        <f>'Allocation ProForma'!J431+'Allocation ProForma'!J433+'Allocation ProForma'!J438+'Allocation ProForma'!J442+'Allocation ProForma'!J445+'Allocation ProForma'!J488+'Allocation ProForma'!J490+'Allocation ProForma'!J495+'Allocation ProForma'!J499+'Allocation ProForma'!J502+'Allocation ProForma'!J374+'Allocation ProForma'!J376+'Allocation ProForma'!J381+'Allocation ProForma'!J385+'Allocation ProForma'!J388</f>
        <v>8327.9154330528745</v>
      </c>
      <c r="J30" s="307">
        <v>0</v>
      </c>
      <c r="K30" s="302">
        <f>SUM(E30:J30)</f>
        <v>293787.90859763365</v>
      </c>
      <c r="L30" s="303" t="str">
        <f>IF(ABS(K30-D30)&lt;0.01,"ok","err")</f>
        <v>ok</v>
      </c>
      <c r="M30" s="28"/>
      <c r="N30" s="28"/>
    </row>
    <row r="31" spans="1:14" ht="15.6" x14ac:dyDescent="0.3">
      <c r="A31" s="362" t="s">
        <v>1897</v>
      </c>
      <c r="B31" s="297" t="s">
        <v>1933</v>
      </c>
      <c r="C31" s="298"/>
      <c r="D31" s="306">
        <f>'Allocation ProForma'!J679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6" x14ac:dyDescent="0.3">
      <c r="A32" s="362" t="s">
        <v>1898</v>
      </c>
      <c r="B32" s="297" t="s">
        <v>1915</v>
      </c>
      <c r="C32" s="298"/>
      <c r="D32" s="306">
        <f>'Allocation ProForma'!J745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6" x14ac:dyDescent="0.3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6" x14ac:dyDescent="0.3">
      <c r="A34" s="362" t="s">
        <v>1901</v>
      </c>
      <c r="B34" s="297" t="s">
        <v>1918</v>
      </c>
      <c r="C34" s="298"/>
      <c r="D34" s="306">
        <f>'Allocation ProForma'!J756+'Allocation ProForma'!J759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6" x14ac:dyDescent="0.3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6" x14ac:dyDescent="0.3">
      <c r="A36" s="364" t="s">
        <v>1905</v>
      </c>
      <c r="B36" s="297" t="s">
        <v>1917</v>
      </c>
      <c r="C36" s="298"/>
      <c r="D36" s="306">
        <f>SUM('Allocation ProForma'!J813:J815)-'Allocation ProForma'!J721</f>
        <v>17157.41608317065</v>
      </c>
      <c r="E36" s="306">
        <f t="shared" ref="E36:J36" si="9">(E14/($D$14)*$D$36)</f>
        <v>10774.200047767083</v>
      </c>
      <c r="F36" s="307">
        <f t="shared" si="9"/>
        <v>366.57872163712756</v>
      </c>
      <c r="G36" s="307">
        <f t="shared" si="9"/>
        <v>2703.8963201196798</v>
      </c>
      <c r="H36" s="307">
        <f t="shared" si="9"/>
        <v>2769.7138954474535</v>
      </c>
      <c r="I36" s="307">
        <f t="shared" si="9"/>
        <v>505.52867336601469</v>
      </c>
      <c r="J36" s="307">
        <f t="shared" si="9"/>
        <v>37.498424833293747</v>
      </c>
      <c r="K36" s="302">
        <f t="shared" si="8"/>
        <v>17157.416083170654</v>
      </c>
      <c r="L36" s="303" t="str">
        <f t="shared" si="7"/>
        <v>ok</v>
      </c>
      <c r="M36" s="28"/>
      <c r="N36" s="28"/>
    </row>
    <row r="37" spans="1:14" ht="15.6" x14ac:dyDescent="0.3">
      <c r="A37" s="364" t="s">
        <v>1919</v>
      </c>
      <c r="B37" s="297" t="s">
        <v>2444</v>
      </c>
      <c r="C37" s="381"/>
      <c r="D37" s="306">
        <f>-'Allocation ProForma'!J802-'Allocation ProForma'!J803</f>
        <v>-74344.106986702303</v>
      </c>
      <c r="E37" s="306">
        <f>-'Allocation ProForma'!J802-'Allocation ProForma'!$J$803*(E14/$D$14)</f>
        <v>-74341.139137680133</v>
      </c>
      <c r="F37" s="383">
        <f>-'Allocation ProForma'!$J$803*(F14/$D$14)</f>
        <v>-0.17043921034852072</v>
      </c>
      <c r="G37" s="383">
        <f>-'Allocation ProForma'!$J$803*(G14/$D$14)</f>
        <v>-1.2571650411331288</v>
      </c>
      <c r="H37" s="383">
        <f>-'Allocation ProForma'!$J$803*(H14/$D$14)</f>
        <v>-1.2877666415637847</v>
      </c>
      <c r="I37" s="383">
        <f>-'Allocation ProForma'!$J$803*(I14/$D$14)</f>
        <v>-0.23504339671501601</v>
      </c>
      <c r="J37" s="383">
        <f>-'Allocation ProForma'!$J$803*(J14/$D$14)</f>
        <v>-1.743473240715409E-2</v>
      </c>
      <c r="K37" s="302">
        <f t="shared" si="8"/>
        <v>-74344.106986702289</v>
      </c>
      <c r="L37" s="303" t="str">
        <f t="shared" si="7"/>
        <v>ok</v>
      </c>
      <c r="M37" s="28"/>
      <c r="N37" s="28"/>
    </row>
    <row r="38" spans="1:14" ht="15.6" x14ac:dyDescent="0.3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6" x14ac:dyDescent="0.3">
      <c r="A39" s="362" t="s">
        <v>1920</v>
      </c>
      <c r="B39" s="297" t="s">
        <v>1924</v>
      </c>
      <c r="C39" s="298"/>
      <c r="D39" s="306">
        <f t="shared" ref="D39:J39" si="10">SUM(D32:D37)</f>
        <v>-57186.690903531649</v>
      </c>
      <c r="E39" s="306">
        <f t="shared" si="10"/>
        <v>-63566.939089913052</v>
      </c>
      <c r="F39" s="307">
        <f t="shared" si="10"/>
        <v>366.40828242677901</v>
      </c>
      <c r="G39" s="307">
        <f t="shared" si="10"/>
        <v>2702.6391550785465</v>
      </c>
      <c r="H39" s="307">
        <f t="shared" si="10"/>
        <v>2768.4261288058897</v>
      </c>
      <c r="I39" s="307">
        <f t="shared" si="10"/>
        <v>505.29362996929967</v>
      </c>
      <c r="J39" s="307">
        <f t="shared" si="10"/>
        <v>37.480990100886594</v>
      </c>
      <c r="K39" s="302">
        <f t="shared" si="8"/>
        <v>-57186.690903531642</v>
      </c>
      <c r="L39" s="303" t="str">
        <f t="shared" si="7"/>
        <v>ok</v>
      </c>
      <c r="M39" s="28"/>
      <c r="N39" s="28"/>
    </row>
    <row r="40" spans="1:14" ht="15.6" x14ac:dyDescent="0.3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6" x14ac:dyDescent="0.3">
      <c r="A41" s="362" t="s">
        <v>1921</v>
      </c>
      <c r="B41" s="297" t="s">
        <v>1899</v>
      </c>
      <c r="C41" s="313"/>
      <c r="D41" s="306">
        <f>SUM(D28:D31)+D22+D26+D39+D24</f>
        <v>12774824.99630202</v>
      </c>
      <c r="E41" s="306">
        <f t="shared" ref="E41:J41" si="11">SUM(E28:E31)+E22+E26+E39+E24</f>
        <v>4312942.374332035</v>
      </c>
      <c r="F41" s="307">
        <f t="shared" si="11"/>
        <v>5429145.4609259386</v>
      </c>
      <c r="G41" s="307">
        <f t="shared" si="11"/>
        <v>1112653.250139748</v>
      </c>
      <c r="H41" s="307">
        <f t="shared" si="11"/>
        <v>1133342.8086978986</v>
      </c>
      <c r="I41" s="307">
        <f t="shared" si="11"/>
        <v>268495.02127368317</v>
      </c>
      <c r="J41" s="307">
        <f t="shared" si="11"/>
        <v>518246.0809327148</v>
      </c>
      <c r="K41" s="302">
        <f>SUM(E41:J41)</f>
        <v>12774824.996302018</v>
      </c>
      <c r="L41" s="303" t="str">
        <f>IF(ABS(K41-D41)&lt;0.01,"ok","err")</f>
        <v>ok</v>
      </c>
      <c r="M41" s="28"/>
      <c r="N41" s="28"/>
    </row>
    <row r="42" spans="1:14" ht="15.6" x14ac:dyDescent="0.3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6" x14ac:dyDescent="0.3">
      <c r="A43" s="362" t="s">
        <v>1922</v>
      </c>
      <c r="B43" s="297" t="s">
        <v>2432</v>
      </c>
      <c r="C43" s="298"/>
      <c r="D43" s="306">
        <f>-'Allocation ProForma'!J654</f>
        <v>148835.04237624098</v>
      </c>
      <c r="E43" s="306">
        <f>D43</f>
        <v>148835.04237624098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148835.04237624098</v>
      </c>
      <c r="L43" s="303" t="str">
        <f>IF(ABS(K43-D43)&lt;0.01,"ok","err")</f>
        <v>ok</v>
      </c>
      <c r="M43" s="28"/>
      <c r="N43" s="28"/>
    </row>
    <row r="44" spans="1:14" ht="15.6" x14ac:dyDescent="0.3">
      <c r="A44" s="362" t="s">
        <v>1923</v>
      </c>
      <c r="B44" s="297" t="s">
        <v>1925</v>
      </c>
      <c r="C44" s="298"/>
      <c r="D44" s="306">
        <f>-('Allocation ProForma'!J652+'Allocation ProForma'!J653)</f>
        <v>-70540.746440541348</v>
      </c>
      <c r="E44" s="306">
        <v>0</v>
      </c>
      <c r="F44" s="307">
        <f>D44</f>
        <v>-70540.746440541348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-70540.746440541348</v>
      </c>
      <c r="L44" s="303" t="str">
        <f>IF(ABS(K44-D44)&lt;0.01,"ok","err")</f>
        <v>ok</v>
      </c>
      <c r="M44" s="28"/>
      <c r="N44" s="28"/>
    </row>
    <row r="45" spans="1:14" ht="15.6" x14ac:dyDescent="0.3">
      <c r="A45" s="362" t="s">
        <v>1927</v>
      </c>
      <c r="B45" s="297" t="s">
        <v>1926</v>
      </c>
      <c r="C45" s="298"/>
      <c r="D45" s="306">
        <f>-('Allocation ProForma'!J655+'Allocation ProForma'!J656+'Allocation ProForma'!J657+'Allocation ProForma'!J658+'Allocation ProForma'!J661+'Allocation ProForma'!J662+'Allocation ProForma'!J663+'Allocation ProForma'!J664+'Allocation ProForma'!J665)</f>
        <v>-37977.283681907451</v>
      </c>
      <c r="E45" s="306">
        <f t="shared" ref="E45:J45" si="12">(E14/($D$14)*$D$45)</f>
        <v>-23848.279349069486</v>
      </c>
      <c r="F45" s="307">
        <f t="shared" si="12"/>
        <v>-811.40796702014154</v>
      </c>
      <c r="G45" s="307">
        <f t="shared" si="12"/>
        <v>-5984.9709943430171</v>
      </c>
      <c r="H45" s="307">
        <f t="shared" si="12"/>
        <v>-6130.6556777103433</v>
      </c>
      <c r="I45" s="307">
        <f t="shared" si="12"/>
        <v>-1118.968365906273</v>
      </c>
      <c r="J45" s="307">
        <f t="shared" si="12"/>
        <v>-83.001327858192937</v>
      </c>
      <c r="K45" s="302">
        <f>SUM(E45:J45)</f>
        <v>-37977.283681907451</v>
      </c>
      <c r="L45" s="303" t="str">
        <f>IF(ABS(K45-D45)&lt;0.01,"ok","err")</f>
        <v>ok</v>
      </c>
      <c r="M45" s="28"/>
      <c r="N45" s="28"/>
    </row>
    <row r="46" spans="1:14" ht="15.6" x14ac:dyDescent="0.3">
      <c r="A46" s="362" t="s">
        <v>1928</v>
      </c>
      <c r="B46" s="297" t="s">
        <v>1929</v>
      </c>
      <c r="C46" s="298"/>
      <c r="D46" s="306">
        <f>SUM(D43:D45)</f>
        <v>40317.012253792178</v>
      </c>
      <c r="E46" s="306">
        <f t="shared" ref="E46:J46" si="13">SUM(E43:E45)</f>
        <v>124986.76302717149</v>
      </c>
      <c r="F46" s="307">
        <f t="shared" si="13"/>
        <v>-71352.154407561495</v>
      </c>
      <c r="G46" s="307">
        <f t="shared" si="13"/>
        <v>-5984.9709943430171</v>
      </c>
      <c r="H46" s="307">
        <f t="shared" si="13"/>
        <v>-6130.6556777103433</v>
      </c>
      <c r="I46" s="307">
        <f t="shared" si="13"/>
        <v>-1118.968365906273</v>
      </c>
      <c r="J46" s="307">
        <f t="shared" si="13"/>
        <v>-83.001327858192937</v>
      </c>
      <c r="K46" s="302">
        <f>SUM(E46:J46)</f>
        <v>40317.012253792171</v>
      </c>
      <c r="L46" s="303" t="str">
        <f>IF(ABS(K46-D46)&lt;0.01,"ok","err")</f>
        <v>ok</v>
      </c>
      <c r="M46" s="28"/>
      <c r="N46" s="28"/>
    </row>
    <row r="47" spans="1:14" ht="15.6" x14ac:dyDescent="0.3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6" x14ac:dyDescent="0.3">
      <c r="A48" s="362" t="s">
        <v>1934</v>
      </c>
      <c r="B48" s="297" t="s">
        <v>1902</v>
      </c>
      <c r="C48" s="315">
        <f>'Allocation ProForma'!J806-SUM('Allocation ProForma'!J652:J665)-'Allocation ProForma'!J721-'Allocation ProForma'!J802-'Allocation ProForma'!J803</f>
        <v>12815141.999999998</v>
      </c>
      <c r="D48" s="306">
        <f>D41+D46</f>
        <v>12815142.008555813</v>
      </c>
      <c r="E48" s="306">
        <f t="shared" ref="E48:J48" si="14">E41+E46</f>
        <v>4437929.1373592066</v>
      </c>
      <c r="F48" s="307">
        <f t="shared" si="14"/>
        <v>5357793.3065183768</v>
      </c>
      <c r="G48" s="307">
        <f t="shared" si="14"/>
        <v>1106668.2791454049</v>
      </c>
      <c r="H48" s="307">
        <f t="shared" si="14"/>
        <v>1127212.1530201882</v>
      </c>
      <c r="I48" s="307">
        <f t="shared" si="14"/>
        <v>267376.0529077769</v>
      </c>
      <c r="J48" s="307">
        <f t="shared" si="14"/>
        <v>518163.07960485661</v>
      </c>
      <c r="K48" s="302">
        <f>SUM(E48:J48)</f>
        <v>12815142.008555809</v>
      </c>
      <c r="L48" s="303" t="str">
        <f>IF(ABS(K48-D48)&lt;0.01,"ok","err")</f>
        <v>ok</v>
      </c>
      <c r="M48" s="28"/>
      <c r="N48" s="28"/>
    </row>
    <row r="49" spans="1:14" ht="15.6" x14ac:dyDescent="0.3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6" x14ac:dyDescent="0.3">
      <c r="A50" s="362" t="s">
        <v>1935</v>
      </c>
      <c r="B50" s="297" t="s">
        <v>1904</v>
      </c>
      <c r="C50" s="298"/>
      <c r="D50" s="316"/>
      <c r="E50" s="317">
        <f>'Billing Det'!C14+'Billing Det'!C16</f>
        <v>151861000</v>
      </c>
      <c r="F50" s="318">
        <f>$E$50</f>
        <v>151861000</v>
      </c>
      <c r="G50" s="318">
        <f>$E$50</f>
        <v>151861000</v>
      </c>
      <c r="H50" s="318">
        <f>$E$50</f>
        <v>151861000</v>
      </c>
      <c r="I50" s="318">
        <f>'Allocation ProForma'!J848</f>
        <v>7118.0000000000009</v>
      </c>
      <c r="J50" s="318">
        <f>I50</f>
        <v>7118.0000000000009</v>
      </c>
      <c r="K50" s="287"/>
      <c r="L50" s="310"/>
      <c r="M50" s="28"/>
      <c r="N50" s="28"/>
    </row>
    <row r="51" spans="1:14" ht="16.2" thickBot="1" x14ac:dyDescent="0.35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2" thickBot="1" x14ac:dyDescent="0.35">
      <c r="A52" s="365" t="s">
        <v>2446</v>
      </c>
      <c r="B52" s="319" t="s">
        <v>1906</v>
      </c>
      <c r="C52" s="320"/>
      <c r="D52" s="321"/>
      <c r="E52" s="322">
        <f t="shared" ref="E52:J52" si="15">E48/E50</f>
        <v>2.9223626456820424E-2</v>
      </c>
      <c r="F52" s="323">
        <f t="shared" si="15"/>
        <v>3.5280903632389997E-2</v>
      </c>
      <c r="G52" s="323">
        <f t="shared" si="15"/>
        <v>7.2873764768136978E-3</v>
      </c>
      <c r="H52" s="323">
        <f t="shared" si="15"/>
        <v>7.4226572524887114E-3</v>
      </c>
      <c r="I52" s="324">
        <f>I48/I50</f>
        <v>37.563367927476378</v>
      </c>
      <c r="J52" s="324">
        <f t="shared" si="15"/>
        <v>72.796161787701109</v>
      </c>
      <c r="K52" s="325">
        <f>I52+J52</f>
        <v>110.35952971517749</v>
      </c>
      <c r="L52" s="326"/>
      <c r="M52" s="28"/>
      <c r="N52" s="28"/>
    </row>
    <row r="53" spans="1:14" ht="15.6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6" x14ac:dyDescent="0.3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110.35952971517749</v>
      </c>
      <c r="L54" s="28"/>
      <c r="M54" s="28"/>
      <c r="N54" s="28"/>
    </row>
    <row r="55" spans="1:14" ht="15.6" x14ac:dyDescent="0.3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2439</v>
      </c>
      <c r="K55" s="369">
        <f>E52+G52+H52</f>
        <v>4.3933660186122832E-2</v>
      </c>
      <c r="L55" s="28"/>
      <c r="M55" s="28"/>
      <c r="N55" s="28"/>
    </row>
    <row r="56" spans="1:14" ht="15.6" x14ac:dyDescent="0.3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2434</v>
      </c>
      <c r="K56" s="369">
        <f>F52</f>
        <v>3.5280903632389997E-2</v>
      </c>
      <c r="L56" s="28"/>
      <c r="M56" s="28"/>
      <c r="N56" s="28"/>
    </row>
    <row r="57" spans="1:14" ht="15.6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6" x14ac:dyDescent="0.3">
      <c r="A58" s="28"/>
      <c r="B58" s="28"/>
      <c r="C58" s="28"/>
      <c r="D58" s="370"/>
      <c r="E58" s="28"/>
      <c r="F58" s="28"/>
      <c r="G58" s="28"/>
      <c r="H58" s="28"/>
      <c r="I58" s="28"/>
      <c r="J58" s="373" t="s">
        <v>2435</v>
      </c>
      <c r="K58" s="374">
        <v>108.65</v>
      </c>
      <c r="L58" s="28"/>
      <c r="M58" s="28"/>
      <c r="N58" s="28"/>
    </row>
    <row r="59" spans="1:14" ht="15.6" x14ac:dyDescent="0.3">
      <c r="A59" s="28"/>
      <c r="B59" s="28"/>
      <c r="C59" s="28"/>
      <c r="D59" s="327"/>
      <c r="E59" s="28"/>
      <c r="F59" s="28"/>
      <c r="G59" s="28"/>
      <c r="H59" s="28"/>
      <c r="I59" s="28"/>
      <c r="J59" s="373" t="s">
        <v>2436</v>
      </c>
      <c r="K59" s="375">
        <f>(K54-K58)*I50</f>
        <v>12168.432512633315</v>
      </c>
      <c r="L59" s="28"/>
      <c r="M59" s="28"/>
      <c r="N59" s="28"/>
    </row>
    <row r="60" spans="1:14" ht="15.6" x14ac:dyDescent="0.3">
      <c r="A60" s="28"/>
      <c r="B60" s="28"/>
      <c r="C60" s="28"/>
      <c r="D60" s="28"/>
      <c r="E60" s="28"/>
      <c r="F60" s="28"/>
      <c r="G60" s="28"/>
      <c r="H60" s="28"/>
      <c r="I60" s="28"/>
      <c r="J60" s="373" t="s">
        <v>2437</v>
      </c>
      <c r="K60" s="376">
        <f>K59/H50</f>
        <v>8.0128752692484013E-5</v>
      </c>
      <c r="L60" s="28"/>
      <c r="M60" s="28"/>
      <c r="N60" s="28"/>
    </row>
    <row r="61" spans="1:14" ht="15.6" x14ac:dyDescent="0.3">
      <c r="J61" s="373" t="s">
        <v>2440</v>
      </c>
      <c r="K61" s="34">
        <v>5.8999999999999999E-3</v>
      </c>
    </row>
    <row r="62" spans="1:14" ht="15.6" x14ac:dyDescent="0.3">
      <c r="J62" s="373" t="s">
        <v>2441</v>
      </c>
      <c r="K62" s="377">
        <f>K60+K61+K55</f>
        <v>4.9913788938815318E-2</v>
      </c>
      <c r="L62" s="380">
        <f>K62+K56</f>
        <v>8.5194692571205322E-2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  <headerFooter>
    <oddFooter>&amp;R&amp;"Times New Roman,Bold"&amp;12Conroy Exhibit R2
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22</vt:i4>
      </vt:variant>
    </vt:vector>
  </HeadingPairs>
  <TitlesOfParts>
    <vt:vector size="39" baseType="lpstr">
      <vt:lpstr>Jurisdictional Study</vt:lpstr>
      <vt:lpstr>Functional Assignment</vt:lpstr>
      <vt:lpstr>Summary SJB Exhibit</vt:lpstr>
      <vt:lpstr>Allocation ProForma</vt:lpstr>
      <vt:lpstr>Summary of Returns</vt:lpstr>
      <vt:lpstr>Billing Det</vt:lpstr>
      <vt:lpstr>RS Unit Costs</vt:lpstr>
      <vt:lpstr>GS Unit Costs</vt:lpstr>
      <vt:lpstr>AES Unit Costs</vt:lpstr>
      <vt:lpstr>PSS Unit Costs</vt:lpstr>
      <vt:lpstr>PSP Unit Costs</vt:lpstr>
      <vt:lpstr>TODS Unit Costs</vt:lpstr>
      <vt:lpstr>TODP Unit Costs</vt:lpstr>
      <vt:lpstr>RTS Unit Costs</vt:lpstr>
      <vt:lpstr>FLS Unit Costs</vt:lpstr>
      <vt:lpstr>Meters</vt:lpstr>
      <vt:lpstr>Services</vt:lpstr>
      <vt:lpstr>'AES Unit Costs'!Print_Area</vt:lpstr>
      <vt:lpstr>'Allocation ProForma'!Print_Area</vt:lpstr>
      <vt:lpstr>'Billing Det'!Print_Area</vt:lpstr>
      <vt:lpstr>'FLS Unit Costs'!Print_Area</vt:lpstr>
      <vt:lpstr>'Functional Assignment'!Print_Area</vt:lpstr>
      <vt:lpstr>'GS Unit Costs'!Print_Area</vt:lpstr>
      <vt:lpstr>'Jurisdictional Study'!Print_Area</vt:lpstr>
      <vt:lpstr>Meters!Print_Area</vt:lpstr>
      <vt:lpstr>'PSP Unit Costs'!Print_Area</vt:lpstr>
      <vt:lpstr>'PSS Unit Costs'!Print_Area</vt:lpstr>
      <vt:lpstr>'RS Unit Costs'!Print_Area</vt:lpstr>
      <vt:lpstr>'RTS Unit Costs'!Print_Area</vt:lpstr>
      <vt:lpstr>Services!Print_Area</vt:lpstr>
      <vt:lpstr>'Summary of Returns'!Print_Area</vt:lpstr>
      <vt:lpstr>'Summary SJB Exhibit'!Print_Area</vt:lpstr>
      <vt:lpstr>'TODP Unit Costs'!Print_Area</vt:lpstr>
      <vt:lpstr>'TODS Unit Costs'!Print_Area</vt:lpstr>
      <vt:lpstr>'Allocation ProForma'!Print_Titles</vt:lpstr>
      <vt:lpstr>'Billing Det'!Print_Titles</vt:lpstr>
      <vt:lpstr>'Functional Assignment'!Print_Titles</vt:lpstr>
      <vt:lpstr>'Jurisdictional Study'!Print_Titles</vt:lpstr>
      <vt:lpstr>'Summary SJB Exhibit'!Print_Titles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2017-03-28T15:01:36Z</dcterms:created>
  <dcterms:modified xsi:type="dcterms:W3CDTF">2017-04-27T11:33:41Z</dcterms:modified>
</cp:coreProperties>
</file>