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435"/>
  </bookViews>
  <sheets>
    <sheet name="Exhibit  WSS-2" sheetId="1" r:id="rId1"/>
    <sheet name="Not Exhibit Cust-Related Cos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\" hidden="1">#REF!</definedName>
    <definedName name="\\\" hidden="1">#REF!</definedName>
    <definedName name="\\\\" hidden="1">#REF!</definedName>
    <definedName name="\C" localSheetId="0">#REF!</definedName>
    <definedName name="\C">#REF!</definedName>
    <definedName name="\D">#REF!</definedName>
    <definedName name="\E" localSheetId="0">#REF!</definedName>
    <definedName name="\E">#REF!</definedName>
    <definedName name="\M">#REF!</definedName>
    <definedName name="\P">[1]dbase!#REF!</definedName>
    <definedName name="\R" localSheetId="0">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may1">#REF!</definedName>
    <definedName name="_Order1" hidden="1">0</definedName>
    <definedName name="_Order2" hidden="1">0</definedName>
    <definedName name="_P" localSheetId="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 localSheetId="0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 localSheetId="0">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 localSheetId="0">'Exhibit  WSS-2'!Choices_Wrapper</definedName>
    <definedName name="Choices_Wrapper">[0]!Choices_Wrapper</definedName>
    <definedName name="CM" localSheetId="0">#REF!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 localSheetId="0">'Exhibit  WSS-2'!Comp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 localSheetId="0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 localSheetId="0">#REF!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 localSheetId="0">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 localSheetId="0">#REF!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 localSheetId="0">#REF!</definedName>
    <definedName name="PAGE">#REF!</definedName>
    <definedName name="PAGE10" localSheetId="0">#REF!</definedName>
    <definedName name="PAGE10">#REF!</definedName>
    <definedName name="PAGE1B">[2]d20!#REF!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gFERC_449">#REF!</definedName>
    <definedName name="Plan">#REF!</definedName>
    <definedName name="_xlnm.Print_Area" localSheetId="0">'Exhibit  WSS-2'!$A$1:$L$60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 localSheetId="0">#REF!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0">#REF!</definedName>
    <definedName name="RevCol01B">[12]RevDatabase!#REF!</definedName>
    <definedName name="RevCol02">#REF!</definedName>
    <definedName name="RevCol02A">#REF!</definedName>
    <definedName name="RevCol02B" localSheetId="0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0">#REF!</definedName>
    <definedName name="RevColTmp">[12]RevDatabase!#REF!</definedName>
    <definedName name="RevColTmpA" localSheetId="0">#REF!</definedName>
    <definedName name="RevColTmpA">[12]RevDatabase!#REF!</definedName>
    <definedName name="RevColTmpB" localSheetId="0">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 localSheetId="0">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 localSheetId="0">#REF!</definedName>
    <definedName name="Support">#REF!</definedName>
    <definedName name="SUPPORT5" localSheetId="0">#REF!</definedName>
    <definedName name="SUPPORT5">#REF!</definedName>
    <definedName name="SUPPORT6" localSheetId="0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 localSheetId="0">'Exhibit  WSS-2'!test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0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 localSheetId="0">#REF!</definedName>
    <definedName name="YT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  <c r="E61" i="2"/>
  <c r="E24" i="2"/>
  <c r="E23" i="2"/>
  <c r="E17" i="2"/>
  <c r="E9" i="2"/>
  <c r="K56" i="1" l="1"/>
  <c r="K32" i="1" l="1"/>
  <c r="L32" i="1" s="1"/>
  <c r="M32" i="1" s="1"/>
  <c r="G30" i="1"/>
  <c r="L30" i="1" s="1"/>
  <c r="J42" i="1"/>
  <c r="J45" i="1" s="1"/>
  <c r="L29" i="1" l="1"/>
  <c r="M29" i="1" s="1"/>
  <c r="L31" i="1"/>
  <c r="M31" i="1" s="1"/>
  <c r="M30" i="1"/>
  <c r="F16" i="1"/>
  <c r="K16" i="1"/>
  <c r="D16" i="1"/>
  <c r="H16" i="1" l="1"/>
  <c r="E16" i="1"/>
  <c r="J16" i="1"/>
  <c r="I16" i="1"/>
  <c r="G16" i="1"/>
  <c r="K51" i="1" l="1"/>
  <c r="E51" i="1"/>
  <c r="I51" i="1"/>
  <c r="G51" i="1"/>
  <c r="H51" i="1"/>
  <c r="H52" i="1" s="1"/>
  <c r="J51" i="1"/>
  <c r="J52" i="1" s="1"/>
  <c r="L62" i="1"/>
  <c r="J56" i="1"/>
  <c r="F50" i="1"/>
  <c r="E43" i="1"/>
  <c r="L43" i="1" s="1"/>
  <c r="M43" i="1" s="1"/>
  <c r="G40" i="1"/>
  <c r="F39" i="1"/>
  <c r="E38" i="1"/>
  <c r="E18" i="1"/>
  <c r="L33" i="1" l="1"/>
  <c r="M33" i="1" s="1"/>
  <c r="F52" i="1"/>
  <c r="L36" i="1"/>
  <c r="M36" i="1" s="1"/>
  <c r="G52" i="1"/>
  <c r="I42" i="1"/>
  <c r="L35" i="1"/>
  <c r="M35" i="1" s="1"/>
  <c r="D52" i="1"/>
  <c r="L38" i="1"/>
  <c r="M38" i="1" s="1"/>
  <c r="L40" i="1"/>
  <c r="M40" i="1" s="1"/>
  <c r="L50" i="1"/>
  <c r="M50" i="1" s="1"/>
  <c r="F18" i="1"/>
  <c r="L39" i="1"/>
  <c r="M39" i="1" s="1"/>
  <c r="D20" i="1"/>
  <c r="F42" i="1"/>
  <c r="F45" i="1" s="1"/>
  <c r="H41" i="1"/>
  <c r="H42" i="1"/>
  <c r="I52" i="1"/>
  <c r="F22" i="1"/>
  <c r="I41" i="1"/>
  <c r="D45" i="1"/>
  <c r="K52" i="1"/>
  <c r="E42" i="1"/>
  <c r="G42" i="1"/>
  <c r="G45" i="1" s="1"/>
  <c r="K42" i="1"/>
  <c r="K45" i="1" s="1"/>
  <c r="L13" i="1"/>
  <c r="E49" i="1"/>
  <c r="D24" i="1" l="1"/>
  <c r="D47" i="1" s="1"/>
  <c r="D54" i="1" s="1"/>
  <c r="K37" i="1"/>
  <c r="I45" i="1"/>
  <c r="L14" i="1"/>
  <c r="M14" i="1" s="1"/>
  <c r="L42" i="1"/>
  <c r="M42" i="1" s="1"/>
  <c r="F37" i="1"/>
  <c r="E37" i="1"/>
  <c r="L22" i="1"/>
  <c r="M22" i="1" s="1"/>
  <c r="M13" i="1"/>
  <c r="I37" i="1"/>
  <c r="H37" i="1"/>
  <c r="G37" i="1"/>
  <c r="L51" i="1"/>
  <c r="M51" i="1" s="1"/>
  <c r="G18" i="1"/>
  <c r="F20" i="1"/>
  <c r="F24" i="1" s="1"/>
  <c r="E45" i="1"/>
  <c r="E52" i="1"/>
  <c r="L52" i="1" s="1"/>
  <c r="M52" i="1" s="1"/>
  <c r="L49" i="1"/>
  <c r="M49" i="1" s="1"/>
  <c r="E20" i="1"/>
  <c r="L41" i="1"/>
  <c r="M41" i="1" s="1"/>
  <c r="H45" i="1"/>
  <c r="L15" i="1" l="1"/>
  <c r="L37" i="1"/>
  <c r="M37" i="1" s="1"/>
  <c r="L45" i="1"/>
  <c r="M45" i="1" s="1"/>
  <c r="E24" i="1"/>
  <c r="H18" i="1"/>
  <c r="G20" i="1"/>
  <c r="G24" i="1" s="1"/>
  <c r="M15" i="1" l="1"/>
  <c r="L16" i="1"/>
  <c r="M16" i="1" s="1"/>
  <c r="I18" i="1"/>
  <c r="J18" i="1" s="1"/>
  <c r="J20" i="1" s="1"/>
  <c r="J24" i="1" s="1"/>
  <c r="H20" i="1"/>
  <c r="I20" i="1" l="1"/>
  <c r="I24" i="1" s="1"/>
  <c r="K18" i="1"/>
  <c r="K20" i="1" s="1"/>
  <c r="K24" i="1" s="1"/>
  <c r="H24" i="1"/>
  <c r="L20" i="1" l="1"/>
  <c r="M20" i="1" s="1"/>
  <c r="L24" i="1"/>
  <c r="K26" i="1" l="1"/>
  <c r="J26" i="1"/>
  <c r="M24" i="1"/>
  <c r="F26" i="1"/>
  <c r="E26" i="1"/>
  <c r="E47" i="1" s="1"/>
  <c r="G26" i="1"/>
  <c r="H26" i="1"/>
  <c r="I26" i="1"/>
  <c r="I47" i="1" l="1"/>
  <c r="I54" i="1" s="1"/>
  <c r="I58" i="1" s="1"/>
  <c r="H47" i="1"/>
  <c r="H54" i="1" s="1"/>
  <c r="H58" i="1" s="1"/>
  <c r="G47" i="1"/>
  <c r="G54" i="1" s="1"/>
  <c r="G58" i="1" s="1"/>
  <c r="F47" i="1"/>
  <c r="F54" i="1" s="1"/>
  <c r="F58" i="1" s="1"/>
  <c r="L64" i="1" s="1"/>
  <c r="J47" i="1"/>
  <c r="J54" i="1" s="1"/>
  <c r="J58" i="1" s="1"/>
  <c r="K47" i="1"/>
  <c r="K54" i="1" s="1"/>
  <c r="K58" i="1" s="1"/>
  <c r="L26" i="1"/>
  <c r="M26" i="1" s="1"/>
  <c r="L58" i="1" l="1"/>
  <c r="L60" i="1"/>
  <c r="L70" i="1" s="1"/>
  <c r="L71" i="1" s="1"/>
  <c r="L47" i="1"/>
  <c r="M47" i="1" s="1"/>
  <c r="E54" i="1"/>
  <c r="E58" i="1" l="1"/>
  <c r="L61" i="1" s="1"/>
  <c r="L54" i="1"/>
  <c r="M54" i="1" s="1"/>
  <c r="L63" i="1" l="1"/>
  <c r="L73" i="1"/>
  <c r="M73" i="1" s="1"/>
</calcChain>
</file>

<file path=xl/sharedStrings.xml><?xml version="1.0" encoding="utf-8"?>
<sst xmlns="http://schemas.openxmlformats.org/spreadsheetml/2006/main" count="127" uniqueCount="123">
  <si>
    <t>For the 12 Months Ended June 30, 2018</t>
  </si>
  <si>
    <t>Rate RS</t>
  </si>
  <si>
    <t>Production</t>
  </si>
  <si>
    <t>Transmission</t>
  </si>
  <si>
    <t>Distribution</t>
  </si>
  <si>
    <t>Description</t>
  </si>
  <si>
    <t>Reference</t>
  </si>
  <si>
    <t>Amount</t>
  </si>
  <si>
    <t>Demand-Related</t>
  </si>
  <si>
    <t>Energy-Related</t>
  </si>
  <si>
    <t>Customer-Related</t>
  </si>
  <si>
    <t>Total</t>
  </si>
  <si>
    <t>Check</t>
  </si>
  <si>
    <t>Rate Base as Adjusted</t>
  </si>
  <si>
    <t>Rate of Return</t>
  </si>
  <si>
    <t>Return</t>
  </si>
  <si>
    <t>Interest Expenses</t>
  </si>
  <si>
    <t>Net Income</t>
  </si>
  <si>
    <t>Income Taxes</t>
  </si>
  <si>
    <t>Operation and Maintenance Expenses</t>
  </si>
  <si>
    <t>Depreciation Expenses</t>
  </si>
  <si>
    <t>Other Taxes</t>
  </si>
  <si>
    <t>Other Depreciation Expenses</t>
  </si>
  <si>
    <t>Expense Adjustments - Prod. Demand</t>
  </si>
  <si>
    <t>Expense Adjustments - Energy</t>
  </si>
  <si>
    <t>Expense Adjustments - Trans. Demand</t>
  </si>
  <si>
    <t>Expense Adjustments - Distribution</t>
  </si>
  <si>
    <t>Expense Adjustments - Other</t>
  </si>
  <si>
    <t>Revenue Adjustments - Prod Demand</t>
  </si>
  <si>
    <t>Proforma Adjustments - Total</t>
  </si>
  <si>
    <t>Total Cost of Service</t>
  </si>
  <si>
    <t>Less: Misc Revenue - Prod Demand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</si>
  <si>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</si>
  <si>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</si>
  <si>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</si>
  <si>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</si>
  <si>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</si>
  <si>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</si>
  <si>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Customer Cost</t>
  </si>
  <si>
    <t>Infrastructure Energy Cost</t>
  </si>
  <si>
    <t>ECR in Base Rates</t>
  </si>
  <si>
    <t>Total Infrastructure Energy Cost</t>
  </si>
  <si>
    <t>Variable Energy Cost</t>
  </si>
  <si>
    <t>Actual Customer Charge</t>
  </si>
  <si>
    <t>Difference ($)</t>
  </si>
  <si>
    <t>Increase in Energy Charge</t>
  </si>
  <si>
    <t>ECR Factor</t>
  </si>
  <si>
    <t>Resulting Infrastrusture Charge</t>
  </si>
  <si>
    <t>General, Common &amp; Intangible</t>
  </si>
  <si>
    <t>Working Capital</t>
  </si>
  <si>
    <t>Deferred Debits</t>
  </si>
  <si>
    <t>Net Utility Plant</t>
  </si>
  <si>
    <t xml:space="preserve"> Production Expenses</t>
  </si>
  <si>
    <t xml:space="preserve"> Transmission Expenses</t>
  </si>
  <si>
    <t xml:space="preserve"> Distribution Expenses</t>
  </si>
  <si>
    <t xml:space="preserve"> Administrative &amp; General</t>
  </si>
  <si>
    <t xml:space="preserve"> Customer Service Expenses</t>
  </si>
  <si>
    <t>Watkin's Residential Customer-related Costs</t>
  </si>
  <si>
    <t>Account</t>
  </si>
  <si>
    <t>$ Amount</t>
  </si>
  <si>
    <t>301 - Organization</t>
  </si>
  <si>
    <t>364 &amp; 365 - Overhead Lines</t>
  </si>
  <si>
    <t>366 &amp; 367 - Underground Lines</t>
  </si>
  <si>
    <t>368 - Transformers</t>
  </si>
  <si>
    <t>369 - Services</t>
  </si>
  <si>
    <t>370 - Meters</t>
  </si>
  <si>
    <t>General Plant</t>
  </si>
  <si>
    <t>Common Plant</t>
  </si>
  <si>
    <t>105 - Dist Plant Held for Future</t>
  </si>
  <si>
    <t>CWIP - Distribution</t>
  </si>
  <si>
    <t>CWIP - General</t>
  </si>
  <si>
    <t>Less: Distribution Dep Reserve</t>
  </si>
  <si>
    <t>Less: General Dep Reserve</t>
  </si>
  <si>
    <t>Less: Intangible Dep Reserve</t>
  </si>
  <si>
    <t>Cash Working Capital</t>
  </si>
  <si>
    <t>Materials &amp; Supplies</t>
  </si>
  <si>
    <t>Prepayments</t>
  </si>
  <si>
    <t>ADIT</t>
  </si>
  <si>
    <t>Customer Advances</t>
  </si>
  <si>
    <t>580 - Operations Supervision</t>
  </si>
  <si>
    <t>584 - Underground Line Exp</t>
  </si>
  <si>
    <t>583 - Overhead Line Exp</t>
  </si>
  <si>
    <t>586 - Meter Expenses</t>
  </si>
  <si>
    <t>587 - Customer Install Exp</t>
  </si>
  <si>
    <t>588 - Misc Dist Expense</t>
  </si>
  <si>
    <t>589 - Rents</t>
  </si>
  <si>
    <t>590 - Maintenance Supervision</t>
  </si>
  <si>
    <t>593 - Maint of Overhead Lines</t>
  </si>
  <si>
    <t>594 - Maint of Undergr Lines</t>
  </si>
  <si>
    <t>595 - Maint of Line Trans</t>
  </si>
  <si>
    <t>597 - Maint of Meters</t>
  </si>
  <si>
    <t>598 - Misc Distrib Expenses</t>
  </si>
  <si>
    <t>901 - Supervision/Cust Account</t>
  </si>
  <si>
    <t>902 - Meter Reading Expense</t>
  </si>
  <si>
    <t>903 - Records and Collections</t>
  </si>
  <si>
    <t>904 - Uncollectible Accounts</t>
  </si>
  <si>
    <t>905 - Misc Cust Accounts</t>
  </si>
  <si>
    <t>907 - Supervision</t>
  </si>
  <si>
    <t>908 - Customer Assistance</t>
  </si>
  <si>
    <t>909 - Informational Expenses</t>
  </si>
  <si>
    <t>910 - Misc Customer Service</t>
  </si>
  <si>
    <t>913 - Advertising Expense</t>
  </si>
  <si>
    <t>920 - Admin &amp; Gen Salaries</t>
  </si>
  <si>
    <t>921 - Office Supplies</t>
  </si>
  <si>
    <t>922 - Admin Expenses</t>
  </si>
  <si>
    <t xml:space="preserve">923 - Outside Services </t>
  </si>
  <si>
    <t>924 - Property Insurance</t>
  </si>
  <si>
    <t>925 - Injuries &amp; Damages</t>
  </si>
  <si>
    <t>926 - Employee Benefits</t>
  </si>
  <si>
    <t>928 - Reg Commission Exp</t>
  </si>
  <si>
    <t>929 - Duplicate Charges</t>
  </si>
  <si>
    <t>930 - Misc General Expenses</t>
  </si>
  <si>
    <t>931 - Rents &amp; Leases</t>
  </si>
  <si>
    <t>935 - Maintenance of Gen Plt</t>
  </si>
  <si>
    <t>Dist Depreciation Expenses</t>
  </si>
  <si>
    <t>General Depreciation Expenses</t>
  </si>
  <si>
    <t>Property Taxes</t>
  </si>
  <si>
    <t>Amortization of ITCs</t>
  </si>
  <si>
    <t>Interest</t>
  </si>
  <si>
    <t>Kentucky Utilities Company</t>
  </si>
  <si>
    <t>302 - Franchise &amp; Consents</t>
  </si>
  <si>
    <t>303 - Software</t>
  </si>
  <si>
    <t>Unit Cost of Service Based on Watkin's 100% Pri Dist Demand Cost of Service Study (Corrected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</si>
</sst>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  <numFmt numFmtId="168" formatCode="_(* #,##0.0000_);_(* \(#,##0.0000\);_(* &quot;-&quot;??_);_(@_)"/>
    <numFmt numFmtId="169" formatCode="0.000E+00"/>
  </numFmts>
  <fonts count="10" x14ac:knownFonts="1">
    <font>
      <sz val="11"/>
      <name val="Times New Roman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center"/>
    </xf>
    <xf numFmtId="0" fontId="4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7" xfId="0" quotePrefix="1" applyBorder="1"/>
    <xf numFmtId="0" fontId="4" fillId="0" borderId="8" xfId="0" applyFont="1" applyBorder="1"/>
    <xf numFmtId="164" fontId="8" fillId="0" borderId="7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quotePrefix="1" applyFont="1" applyBorder="1"/>
    <xf numFmtId="0" fontId="4" fillId="0" borderId="8" xfId="0" applyFont="1" applyFill="1" applyBorder="1"/>
    <xf numFmtId="0" fontId="9" fillId="0" borderId="8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164" fontId="0" fillId="0" borderId="9" xfId="2" applyNumberFormat="1" applyFont="1" applyBorder="1"/>
    <xf numFmtId="10" fontId="8" fillId="0" borderId="7" xfId="3" applyNumberFormat="1" applyFont="1" applyFill="1" applyBorder="1" applyAlignment="1">
      <alignment horizontal="right"/>
    </xf>
    <xf numFmtId="10" fontId="8" fillId="0" borderId="0" xfId="3" applyNumberFormat="1" applyFont="1" applyBorder="1" applyAlignment="1">
      <alignment horizontal="right"/>
    </xf>
    <xf numFmtId="0" fontId="0" fillId="0" borderId="7" xfId="0" applyBorder="1"/>
    <xf numFmtId="164" fontId="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7" xfId="1" applyNumberFormat="1" applyFont="1" applyFill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4" fillId="0" borderId="7" xfId="1" applyNumberFormat="1" applyFont="1" applyFill="1" applyBorder="1"/>
    <xf numFmtId="165" fontId="4" fillId="0" borderId="0" xfId="1" applyNumberFormat="1" applyFont="1" applyBorder="1" applyAlignment="1">
      <alignment horizontal="center"/>
    </xf>
    <xf numFmtId="0" fontId="7" fillId="0" borderId="7" xfId="0" quotePrefix="1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164" fontId="4" fillId="0" borderId="7" xfId="0" applyNumberFormat="1" applyFont="1" applyFill="1" applyBorder="1" applyAlignment="1">
      <alignment horizontal="center"/>
    </xf>
    <xf numFmtId="44" fontId="4" fillId="0" borderId="7" xfId="2" applyFont="1" applyFill="1" applyBorder="1" applyAlignment="1">
      <alignment horizontal="center"/>
    </xf>
    <xf numFmtId="164" fontId="8" fillId="0" borderId="0" xfId="2" applyNumberFormat="1" applyFont="1" applyBorder="1"/>
    <xf numFmtId="165" fontId="8" fillId="0" borderId="7" xfId="1" applyNumberFormat="1" applyFont="1" applyFill="1" applyBorder="1"/>
    <xf numFmtId="165" fontId="8" fillId="0" borderId="0" xfId="1" applyNumberFormat="1" applyFont="1" applyFill="1" applyBorder="1"/>
    <xf numFmtId="0" fontId="4" fillId="0" borderId="7" xfId="0" applyFont="1" applyBorder="1" applyAlignment="1">
      <alignment horizontal="center"/>
    </xf>
    <xf numFmtId="165" fontId="7" fillId="0" borderId="0" xfId="0" applyNumberFormat="1" applyFont="1" applyFill="1"/>
    <xf numFmtId="164" fontId="4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8" fillId="0" borderId="0" xfId="1" applyNumberFormat="1" applyFont="1" applyBorder="1"/>
    <xf numFmtId="0" fontId="7" fillId="0" borderId="10" xfId="0" quotePrefix="1" applyFont="1" applyBorder="1"/>
    <xf numFmtId="0" fontId="4" fillId="0" borderId="11" xfId="0" applyFont="1" applyBorder="1"/>
    <xf numFmtId="0" fontId="8" fillId="0" borderId="10" xfId="0" applyFont="1" applyBorder="1" applyAlignment="1">
      <alignment horizontal="center"/>
    </xf>
    <xf numFmtId="166" fontId="8" fillId="0" borderId="14" xfId="2" applyNumberFormat="1" applyFont="1" applyBorder="1"/>
    <xf numFmtId="44" fontId="8" fillId="0" borderId="14" xfId="2" applyFont="1" applyBorder="1"/>
    <xf numFmtId="164" fontId="0" fillId="0" borderId="12" xfId="2" applyNumberFormat="1" applyFont="1" applyBorder="1"/>
    <xf numFmtId="0" fontId="4" fillId="0" borderId="4" xfId="0" applyFont="1" applyBorder="1"/>
    <xf numFmtId="2" fontId="0" fillId="0" borderId="5" xfId="0" applyNumberFormat="1" applyBorder="1"/>
    <xf numFmtId="167" fontId="0" fillId="0" borderId="5" xfId="1" applyNumberFormat="1" applyFont="1" applyBorder="1"/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44" fontId="0" fillId="0" borderId="0" xfId="0" applyNumberFormat="1"/>
    <xf numFmtId="165" fontId="0" fillId="0" borderId="0" xfId="0" applyNumberFormat="1"/>
    <xf numFmtId="167" fontId="0" fillId="0" borderId="0" xfId="0" applyNumberFormat="1" applyBorder="1"/>
    <xf numFmtId="168" fontId="0" fillId="0" borderId="0" xfId="1" applyNumberFormat="1" applyFont="1"/>
    <xf numFmtId="0" fontId="4" fillId="0" borderId="0" xfId="0" applyFont="1" applyFill="1" applyBorder="1"/>
    <xf numFmtId="44" fontId="0" fillId="0" borderId="0" xfId="2" applyFont="1" applyBorder="1"/>
    <xf numFmtId="164" fontId="0" fillId="0" borderId="0" xfId="2" applyNumberFormat="1" applyFont="1" applyBorder="1"/>
    <xf numFmtId="44" fontId="0" fillId="0" borderId="0" xfId="2" applyFont="1"/>
    <xf numFmtId="169" fontId="0" fillId="0" borderId="0" xfId="0" applyNumberFormat="1"/>
    <xf numFmtId="167" fontId="0" fillId="0" borderId="0" xfId="0" applyNumberFormat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7" fillId="0" borderId="7" xfId="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/>
    <xf numFmtId="164" fontId="4" fillId="0" borderId="8" xfId="0" applyNumberFormat="1" applyFont="1" applyBorder="1" applyAlignment="1">
      <alignment horizontal="center"/>
    </xf>
    <xf numFmtId="44" fontId="8" fillId="0" borderId="5" xfId="2" applyFont="1" applyBorder="1"/>
    <xf numFmtId="164" fontId="8" fillId="0" borderId="8" xfId="0" applyNumberFormat="1" applyFont="1" applyFill="1" applyBorder="1" applyAlignment="1">
      <alignment horizontal="center"/>
    </xf>
    <xf numFmtId="0" fontId="8" fillId="0" borderId="8" xfId="0" applyFont="1" applyBorder="1"/>
    <xf numFmtId="10" fontId="8" fillId="0" borderId="8" xfId="3" applyNumberFormat="1" applyFont="1" applyBorder="1" applyAlignment="1">
      <alignment horizontal="right"/>
    </xf>
    <xf numFmtId="165" fontId="8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4" fontId="8" fillId="0" borderId="8" xfId="2" applyNumberFormat="1" applyFont="1" applyBorder="1"/>
    <xf numFmtId="165" fontId="8" fillId="0" borderId="8" xfId="1" applyNumberFormat="1" applyFont="1" applyFill="1" applyBorder="1"/>
    <xf numFmtId="165" fontId="8" fillId="0" borderId="8" xfId="1" applyNumberFormat="1" applyFont="1" applyBorder="1"/>
    <xf numFmtId="44" fontId="8" fillId="0" borderId="11" xfId="2" applyFont="1" applyBorder="1"/>
    <xf numFmtId="165" fontId="7" fillId="0" borderId="7" xfId="0" applyNumberFormat="1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44" fontId="8" fillId="0" borderId="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6" xfId="2" applyNumberFormat="1" applyFont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7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8" xfId="2" applyNumberFormat="1" applyFon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Normal="100" zoomScaleSheetLayoutView="80" workbookViewId="0">
      <selection sqref="A1:L1"/>
    </sheetView>
  </sheetViews>
  <sheetFormatPr defaultRowHeight="15" x14ac:dyDescent="0.25"/>
  <cols>
    <col min="1" max="1" width="4.5703125" customWidth="1"/>
    <col min="2" max="2" width="36.140625" style="7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8" width="19.5703125" customWidth="1"/>
    <col min="9" max="9" width="18.7109375" bestFit="1" customWidth="1"/>
    <col min="10" max="11" width="19.5703125" customWidth="1"/>
    <col min="12" max="12" width="27" customWidth="1"/>
    <col min="13" max="13" width="17.85546875" customWidth="1"/>
    <col min="14" max="14" width="18.42578125" customWidth="1"/>
  </cols>
  <sheetData>
    <row r="1" spans="1:15" ht="15.75" x14ac:dyDescent="0.25">
      <c r="A1" s="105" t="s">
        <v>119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"/>
      <c r="N1" s="1"/>
      <c r="O1" s="1"/>
    </row>
    <row r="2" spans="1: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5.75" x14ac:dyDescent="0.25">
      <c r="A3" s="105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"/>
      <c r="N3" s="1"/>
      <c r="O3" s="1"/>
    </row>
    <row r="4" spans="1:15" ht="15.75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"/>
      <c r="N4" s="1"/>
      <c r="O4" s="1"/>
    </row>
    <row r="5" spans="1:15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</row>
    <row r="6" spans="1:15" ht="15.75" x14ac:dyDescent="0.25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"/>
      <c r="N6" s="1"/>
      <c r="O6" s="1"/>
    </row>
    <row r="7" spans="1:15" ht="15.75" thickBot="1" x14ac:dyDescent="0.3"/>
    <row r="8" spans="1:15" ht="15.75" thickBot="1" x14ac:dyDescent="0.3">
      <c r="A8" s="8"/>
      <c r="B8" s="9"/>
      <c r="C8" s="10"/>
      <c r="D8" s="8"/>
      <c r="E8" s="106" t="s">
        <v>2</v>
      </c>
      <c r="F8" s="107"/>
      <c r="G8" s="11" t="s">
        <v>3</v>
      </c>
      <c r="H8" s="106" t="s">
        <v>4</v>
      </c>
      <c r="I8" s="107"/>
      <c r="J8" s="106" t="s">
        <v>48</v>
      </c>
      <c r="K8" s="107"/>
      <c r="L8" s="10"/>
      <c r="M8" s="12"/>
    </row>
    <row r="9" spans="1:15" x14ac:dyDescent="0.25">
      <c r="A9" s="13"/>
      <c r="B9" s="14"/>
      <c r="C9" s="15"/>
      <c r="D9" s="15"/>
      <c r="E9" s="10"/>
      <c r="F9" s="10"/>
      <c r="G9" s="10"/>
      <c r="H9" s="10"/>
      <c r="I9" s="10"/>
      <c r="J9" s="8"/>
      <c r="K9" s="8"/>
      <c r="L9" s="15"/>
      <c r="M9" s="16"/>
    </row>
    <row r="10" spans="1:15" x14ac:dyDescent="0.25">
      <c r="A10" s="13"/>
      <c r="B10" s="14"/>
      <c r="C10" s="15"/>
      <c r="D10" s="15"/>
      <c r="E10" s="15"/>
      <c r="F10" s="15"/>
      <c r="G10" s="15"/>
      <c r="H10" s="15"/>
      <c r="I10" s="15"/>
      <c r="J10" s="13"/>
      <c r="K10" s="13"/>
      <c r="L10" s="15"/>
      <c r="M10" s="16"/>
    </row>
    <row r="11" spans="1:15" ht="15.75" thickBot="1" x14ac:dyDescent="0.3">
      <c r="A11" s="17"/>
      <c r="B11" s="18" t="s">
        <v>5</v>
      </c>
      <c r="C11" s="19" t="s">
        <v>6</v>
      </c>
      <c r="D11" s="19" t="s">
        <v>7</v>
      </c>
      <c r="E11" s="20" t="s">
        <v>8</v>
      </c>
      <c r="F11" s="20" t="s">
        <v>9</v>
      </c>
      <c r="G11" s="20" t="s">
        <v>8</v>
      </c>
      <c r="H11" s="20" t="s">
        <v>8</v>
      </c>
      <c r="I11" s="20" t="s">
        <v>10</v>
      </c>
      <c r="J11" s="20" t="s">
        <v>8</v>
      </c>
      <c r="K11" s="20" t="s">
        <v>10</v>
      </c>
      <c r="L11" s="21" t="s">
        <v>11</v>
      </c>
      <c r="M11" s="21" t="s">
        <v>12</v>
      </c>
    </row>
    <row r="12" spans="1:15" x14ac:dyDescent="0.25">
      <c r="A12" s="22"/>
      <c r="B12" s="23"/>
      <c r="C12" s="24"/>
      <c r="D12" s="24"/>
      <c r="E12" s="25"/>
      <c r="F12" s="25"/>
      <c r="G12" s="25"/>
      <c r="H12" s="25"/>
      <c r="I12" s="25"/>
      <c r="J12" s="25"/>
      <c r="K12" s="90"/>
      <c r="L12" s="90"/>
      <c r="M12" s="26"/>
    </row>
    <row r="13" spans="1:15" x14ac:dyDescent="0.25">
      <c r="A13" s="27"/>
      <c r="B13" s="28" t="s">
        <v>51</v>
      </c>
      <c r="C13" s="84"/>
      <c r="D13" s="29">
        <v>1920076744.2336347</v>
      </c>
      <c r="E13" s="30">
        <v>942998310.76864779</v>
      </c>
      <c r="F13" s="30">
        <v>0</v>
      </c>
      <c r="G13" s="30">
        <v>256750555.79268944</v>
      </c>
      <c r="H13" s="30">
        <v>396940424.62483335</v>
      </c>
      <c r="I13" s="30">
        <v>238152531.25550362</v>
      </c>
      <c r="J13" s="30">
        <v>74525432.408183679</v>
      </c>
      <c r="K13" s="93">
        <v>10709489.383777332</v>
      </c>
      <c r="L13" s="86">
        <f>SUM(E13:K13)</f>
        <v>1920076744.2336352</v>
      </c>
      <c r="M13" s="31" t="str">
        <f>IF(ABS(L13-D13)&lt;0.01,"ok","err")</f>
        <v>ok</v>
      </c>
      <c r="N13" s="70"/>
    </row>
    <row r="14" spans="1:15" x14ac:dyDescent="0.25">
      <c r="A14" s="32"/>
      <c r="B14" s="28" t="s">
        <v>49</v>
      </c>
      <c r="C14" s="85"/>
      <c r="D14" s="29">
        <v>100568273.48804393</v>
      </c>
      <c r="E14" s="30">
        <v>34963623.485521637</v>
      </c>
      <c r="F14" s="30">
        <v>24137272.800717071</v>
      </c>
      <c r="G14" s="30">
        <v>9519560.8093049712</v>
      </c>
      <c r="H14" s="30">
        <v>14717391.743208176</v>
      </c>
      <c r="I14" s="30">
        <v>13844658.337552402</v>
      </c>
      <c r="J14" s="30">
        <v>2763185.3939287653</v>
      </c>
      <c r="K14" s="93">
        <v>622580.91781090538</v>
      </c>
      <c r="L14" s="86">
        <f>SUM(E14:K14)</f>
        <v>100568273.48804392</v>
      </c>
      <c r="M14" s="31" t="str">
        <f>IF(ABS(L14-D14)&lt;0.01,"ok","err")</f>
        <v>ok</v>
      </c>
    </row>
    <row r="15" spans="1:15" x14ac:dyDescent="0.25">
      <c r="A15" s="32"/>
      <c r="B15" s="28" t="s">
        <v>50</v>
      </c>
      <c r="C15" s="85"/>
      <c r="D15" s="29">
        <v>-431145855.49780601</v>
      </c>
      <c r="E15" s="30">
        <v>-213584315.53613707</v>
      </c>
      <c r="F15" s="30">
        <v>0</v>
      </c>
      <c r="G15" s="30">
        <v>-60133756.574234657</v>
      </c>
      <c r="H15" s="103">
        <v>-92685878.099318534</v>
      </c>
      <c r="I15" s="103">
        <v>-51293575.574778594</v>
      </c>
      <c r="J15" s="103">
        <v>-11928260.158328559</v>
      </c>
      <c r="K15" s="104">
        <v>-1520069.5550085695</v>
      </c>
      <c r="L15" s="86">
        <f>SUM(E15:K15)</f>
        <v>-431145855.49780595</v>
      </c>
      <c r="M15" s="31" t="str">
        <f>IF(ABS(L15-D15)&lt;0.01,"ok","err")</f>
        <v>ok</v>
      </c>
    </row>
    <row r="16" spans="1:15" x14ac:dyDescent="0.25">
      <c r="A16" s="32"/>
      <c r="B16" s="33" t="s">
        <v>13</v>
      </c>
      <c r="C16" s="85"/>
      <c r="D16" s="29">
        <f t="shared" ref="D16:L16" si="0">D13+D14+D15</f>
        <v>1589499162.2238727</v>
      </c>
      <c r="E16" s="30">
        <f t="shared" si="0"/>
        <v>764377618.71803236</v>
      </c>
      <c r="F16" s="30">
        <f t="shared" si="0"/>
        <v>24137272.800717071</v>
      </c>
      <c r="G16" s="30">
        <f t="shared" si="0"/>
        <v>206136360.02775976</v>
      </c>
      <c r="H16" s="30">
        <f t="shared" si="0"/>
        <v>318971938.26872301</v>
      </c>
      <c r="I16" s="30">
        <f t="shared" si="0"/>
        <v>200703614.01827744</v>
      </c>
      <c r="J16" s="30">
        <f t="shared" si="0"/>
        <v>65360357.643783882</v>
      </c>
      <c r="K16" s="93">
        <f t="shared" si="0"/>
        <v>9812000.7465796676</v>
      </c>
      <c r="L16" s="86">
        <f t="shared" si="0"/>
        <v>1589499162.2238731</v>
      </c>
      <c r="M16" s="31" t="str">
        <f>IF(ABS(L16-D16)&lt;0.01,"ok","err")</f>
        <v>ok</v>
      </c>
    </row>
    <row r="17" spans="1:13" x14ac:dyDescent="0.25">
      <c r="A17" s="32"/>
      <c r="B17" s="34"/>
      <c r="C17" s="87"/>
      <c r="D17" s="35"/>
      <c r="E17" s="36"/>
      <c r="F17" s="36"/>
      <c r="G17" s="36"/>
      <c r="H17" s="36"/>
      <c r="I17" s="36"/>
      <c r="J17" s="36"/>
      <c r="K17" s="94"/>
      <c r="L17" s="86"/>
      <c r="M17" s="38"/>
    </row>
    <row r="18" spans="1:13" x14ac:dyDescent="0.25">
      <c r="A18" s="32"/>
      <c r="B18" s="28" t="s">
        <v>14</v>
      </c>
      <c r="C18" s="85"/>
      <c r="D18" s="39">
        <v>7.2901258594207569E-2</v>
      </c>
      <c r="E18" s="40">
        <f t="shared" ref="E18:J18" si="1">D18</f>
        <v>7.2901258594207569E-2</v>
      </c>
      <c r="F18" s="40">
        <f t="shared" si="1"/>
        <v>7.2901258594207569E-2</v>
      </c>
      <c r="G18" s="40">
        <f t="shared" si="1"/>
        <v>7.2901258594207569E-2</v>
      </c>
      <c r="H18" s="40">
        <f t="shared" si="1"/>
        <v>7.2901258594207569E-2</v>
      </c>
      <c r="I18" s="40">
        <f t="shared" si="1"/>
        <v>7.2901258594207569E-2</v>
      </c>
      <c r="J18" s="40">
        <f t="shared" si="1"/>
        <v>7.2901258594207569E-2</v>
      </c>
      <c r="K18" s="95">
        <f>I18</f>
        <v>7.2901258594207569E-2</v>
      </c>
      <c r="L18" s="86"/>
      <c r="M18" s="31"/>
    </row>
    <row r="19" spans="1:13" x14ac:dyDescent="0.25">
      <c r="A19" s="41"/>
      <c r="B19" s="28"/>
      <c r="C19" s="87"/>
      <c r="D19" s="35"/>
      <c r="E19" s="36"/>
      <c r="F19" s="36"/>
      <c r="G19" s="36"/>
      <c r="H19" s="36"/>
      <c r="I19" s="36"/>
      <c r="J19" s="36"/>
      <c r="K19" s="94"/>
      <c r="L19" s="86"/>
      <c r="M19" s="38"/>
    </row>
    <row r="20" spans="1:13" x14ac:dyDescent="0.25">
      <c r="A20" s="32"/>
      <c r="B20" s="28" t="s">
        <v>15</v>
      </c>
      <c r="C20" s="85"/>
      <c r="D20" s="29">
        <f>D18*D16</f>
        <v>115876489.46055883</v>
      </c>
      <c r="E20" s="42">
        <f t="shared" ref="E20:K20" si="2">E18*E16</f>
        <v>55724090.445787869</v>
      </c>
      <c r="F20" s="42">
        <f t="shared" si="2"/>
        <v>1759637.5662040079</v>
      </c>
      <c r="G20" s="42">
        <f t="shared" si="2"/>
        <v>15027600.088052386</v>
      </c>
      <c r="H20" s="42">
        <f t="shared" si="2"/>
        <v>23253455.756023791</v>
      </c>
      <c r="I20" s="42">
        <f t="shared" si="2"/>
        <v>14631546.066338466</v>
      </c>
      <c r="J20" s="42">
        <f t="shared" si="2"/>
        <v>4764852.3343993798</v>
      </c>
      <c r="K20" s="86">
        <f t="shared" si="2"/>
        <v>715307.20375296206</v>
      </c>
      <c r="L20" s="91">
        <f>SUM(E20:K20)</f>
        <v>115876489.46055886</v>
      </c>
      <c r="M20" s="31" t="str">
        <f>IF(ABS(L20-D20)&lt;0.01,"ok","err")</f>
        <v>ok</v>
      </c>
    </row>
    <row r="21" spans="1:13" x14ac:dyDescent="0.25">
      <c r="A21" s="41"/>
      <c r="B21" s="28"/>
      <c r="C21" s="87"/>
      <c r="D21" s="35"/>
      <c r="E21" s="36"/>
      <c r="F21" s="36"/>
      <c r="G21" s="36"/>
      <c r="H21" s="36"/>
      <c r="I21" s="36"/>
      <c r="J21" s="36"/>
      <c r="K21" s="94"/>
      <c r="L21" s="91"/>
      <c r="M21" s="38"/>
    </row>
    <row r="22" spans="1:13" x14ac:dyDescent="0.25">
      <c r="A22" s="32"/>
      <c r="B22" s="28" t="s">
        <v>16</v>
      </c>
      <c r="C22" s="85"/>
      <c r="D22" s="29">
        <v>37495723.914792374</v>
      </c>
      <c r="E22" s="42">
        <v>18487641.961285967</v>
      </c>
      <c r="F22" s="42">
        <f t="shared" ref="F22" si="3">(F13/$D$13)*$D$22</f>
        <v>0</v>
      </c>
      <c r="G22" s="42">
        <v>5033638.2310031122</v>
      </c>
      <c r="H22" s="42">
        <v>7782084.40738675</v>
      </c>
      <c r="I22" s="42">
        <v>4527670.5870561656</v>
      </c>
      <c r="J22" s="42">
        <v>1461083.7534263015</v>
      </c>
      <c r="K22" s="91">
        <v>203604.97463408051</v>
      </c>
      <c r="L22" s="91">
        <f>SUM(E22:K22)</f>
        <v>37495723.914792374</v>
      </c>
      <c r="M22" s="31" t="str">
        <f>IF(ABS(L22-D22)&lt;0.01,"ok","err")</f>
        <v>ok</v>
      </c>
    </row>
    <row r="23" spans="1:13" x14ac:dyDescent="0.25">
      <c r="A23" s="41"/>
      <c r="B23" s="28"/>
      <c r="C23" s="87"/>
      <c r="D23" s="35"/>
      <c r="E23" s="36"/>
      <c r="F23" s="36"/>
      <c r="G23" s="36"/>
      <c r="H23" s="36"/>
      <c r="I23" s="36"/>
      <c r="J23" s="36"/>
      <c r="K23" s="94"/>
      <c r="L23" s="91"/>
      <c r="M23" s="38"/>
    </row>
    <row r="24" spans="1:13" x14ac:dyDescent="0.25">
      <c r="A24" s="32"/>
      <c r="B24" s="28" t="s">
        <v>17</v>
      </c>
      <c r="C24" s="85"/>
      <c r="D24" s="29">
        <f>D20-D22</f>
        <v>78380765.545766458</v>
      </c>
      <c r="E24" s="42">
        <f t="shared" ref="E24:K24" si="4">E20-E22</f>
        <v>37236448.484501898</v>
      </c>
      <c r="F24" s="42">
        <f t="shared" si="4"/>
        <v>1759637.5662040079</v>
      </c>
      <c r="G24" s="42">
        <f t="shared" si="4"/>
        <v>9993961.8570492752</v>
      </c>
      <c r="H24" s="42">
        <f t="shared" si="4"/>
        <v>15471371.348637041</v>
      </c>
      <c r="I24" s="42">
        <f t="shared" si="4"/>
        <v>10103875.479282301</v>
      </c>
      <c r="J24" s="42">
        <f t="shared" si="4"/>
        <v>3303768.5809730785</v>
      </c>
      <c r="K24" s="86">
        <f t="shared" si="4"/>
        <v>511702.22911888151</v>
      </c>
      <c r="L24" s="91">
        <f>SUM(E24:K24)</f>
        <v>78380765.545766488</v>
      </c>
      <c r="M24" s="31" t="str">
        <f>IF(ABS(L24-D24)&lt;0.01,"ok","err")</f>
        <v>ok</v>
      </c>
    </row>
    <row r="25" spans="1:13" x14ac:dyDescent="0.25">
      <c r="A25" s="41"/>
      <c r="B25" s="28"/>
      <c r="C25" s="87"/>
      <c r="D25" s="35"/>
      <c r="E25" s="36"/>
      <c r="F25" s="36"/>
      <c r="G25" s="36"/>
      <c r="H25" s="36"/>
      <c r="I25" s="36"/>
      <c r="J25" s="36"/>
      <c r="K25" s="94"/>
      <c r="L25" s="91"/>
      <c r="M25" s="38"/>
    </row>
    <row r="26" spans="1:13" x14ac:dyDescent="0.25">
      <c r="A26" s="32"/>
      <c r="B26" s="28" t="s">
        <v>18</v>
      </c>
      <c r="C26" s="87"/>
      <c r="D26" s="29">
        <v>42894059.806898274</v>
      </c>
      <c r="E26" s="42">
        <f t="shared" ref="E26:K26" si="5">$D$26*(E24/$L$24)</f>
        <v>20377734.730826195</v>
      </c>
      <c r="F26" s="42">
        <f t="shared" si="5"/>
        <v>962965.83068135614</v>
      </c>
      <c r="G26" s="42">
        <f t="shared" si="5"/>
        <v>5469219.3246546537</v>
      </c>
      <c r="H26" s="42">
        <f t="shared" si="5"/>
        <v>8466744.657344237</v>
      </c>
      <c r="I26" s="42">
        <f t="shared" si="5"/>
        <v>5529369.8150565792</v>
      </c>
      <c r="J26" s="42">
        <f t="shared" si="5"/>
        <v>1807995.1900656684</v>
      </c>
      <c r="K26" s="86">
        <f t="shared" si="5"/>
        <v>280030.25826958101</v>
      </c>
      <c r="L26" s="91">
        <f>SUM(E26:K26)</f>
        <v>42894059.806898266</v>
      </c>
      <c r="M26" s="31" t="str">
        <f>IF(ABS(L26-D26)&lt;0.01,"ok","err")</f>
        <v>ok</v>
      </c>
    </row>
    <row r="27" spans="1:13" x14ac:dyDescent="0.25">
      <c r="A27" s="41"/>
      <c r="B27" s="28"/>
      <c r="C27" s="87"/>
      <c r="D27" s="35"/>
      <c r="E27" s="36"/>
      <c r="F27" s="36"/>
      <c r="G27" s="36"/>
      <c r="H27" s="36"/>
      <c r="I27" s="36"/>
      <c r="J27" s="36"/>
      <c r="K27" s="94"/>
      <c r="L27" s="91"/>
      <c r="M27" s="38"/>
    </row>
    <row r="28" spans="1:13" x14ac:dyDescent="0.25">
      <c r="A28" s="32"/>
      <c r="B28" s="28" t="s">
        <v>19</v>
      </c>
      <c r="C28" s="85"/>
      <c r="D28" s="29"/>
      <c r="E28" s="43"/>
      <c r="F28" s="43"/>
      <c r="G28" s="43"/>
      <c r="H28" s="43"/>
      <c r="I28" s="43"/>
      <c r="J28" s="43"/>
      <c r="K28" s="86"/>
      <c r="L28" s="86"/>
      <c r="M28" s="31"/>
    </row>
    <row r="29" spans="1:13" x14ac:dyDescent="0.25">
      <c r="A29" s="32"/>
      <c r="B29" s="28" t="s">
        <v>52</v>
      </c>
      <c r="C29" s="85"/>
      <c r="D29" s="29">
        <v>234061431.41400194</v>
      </c>
      <c r="E29" s="43">
        <v>26988720.130490437</v>
      </c>
      <c r="F29" s="43">
        <v>207072711.28351149</v>
      </c>
      <c r="G29" s="43">
        <v>0</v>
      </c>
      <c r="H29" s="43">
        <v>0</v>
      </c>
      <c r="I29" s="43">
        <v>0</v>
      </c>
      <c r="J29" s="43">
        <v>0</v>
      </c>
      <c r="K29" s="86">
        <v>0</v>
      </c>
      <c r="L29" s="86">
        <f>SUM(E29:K29)</f>
        <v>234061431.41400194</v>
      </c>
      <c r="M29" s="31" t="str">
        <f t="shared" ref="M29:M33" si="6">IF(ABS(L29-D29)&lt;0.01,"ok","err")</f>
        <v>ok</v>
      </c>
    </row>
    <row r="30" spans="1:13" x14ac:dyDescent="0.25">
      <c r="A30" s="32"/>
      <c r="B30" s="28" t="s">
        <v>53</v>
      </c>
      <c r="C30" s="85"/>
      <c r="D30" s="29">
        <v>15187181.69113875</v>
      </c>
      <c r="E30" s="43">
        <v>0</v>
      </c>
      <c r="F30" s="43">
        <v>0</v>
      </c>
      <c r="G30" s="43">
        <f>D30</f>
        <v>15187181.69113875</v>
      </c>
      <c r="H30" s="43">
        <v>0</v>
      </c>
      <c r="I30" s="43">
        <v>0</v>
      </c>
      <c r="J30" s="43">
        <v>0</v>
      </c>
      <c r="K30" s="86">
        <v>0</v>
      </c>
      <c r="L30" s="86">
        <f t="shared" ref="L30:L33" si="7">SUM(E30:K30)</f>
        <v>15187181.69113875</v>
      </c>
      <c r="M30" s="31" t="str">
        <f t="shared" si="6"/>
        <v>ok</v>
      </c>
    </row>
    <row r="31" spans="1:13" x14ac:dyDescent="0.25">
      <c r="A31" s="32"/>
      <c r="B31" s="28" t="s">
        <v>54</v>
      </c>
      <c r="C31" s="85"/>
      <c r="D31" s="29">
        <v>34164827.643026903</v>
      </c>
      <c r="E31" s="43">
        <v>0</v>
      </c>
      <c r="F31" s="43">
        <v>0</v>
      </c>
      <c r="G31" s="43">
        <v>0</v>
      </c>
      <c r="H31" s="43">
        <v>19876952.777261443</v>
      </c>
      <c r="I31" s="43">
        <v>14287874.865765456</v>
      </c>
      <c r="J31" s="43">
        <v>0</v>
      </c>
      <c r="K31" s="86">
        <v>0</v>
      </c>
      <c r="L31" s="86">
        <f t="shared" si="7"/>
        <v>34164827.643026903</v>
      </c>
      <c r="M31" s="31" t="str">
        <f t="shared" si="6"/>
        <v>ok</v>
      </c>
    </row>
    <row r="32" spans="1:13" x14ac:dyDescent="0.25">
      <c r="A32" s="32"/>
      <c r="B32" s="28" t="s">
        <v>56</v>
      </c>
      <c r="C32" s="85"/>
      <c r="D32" s="29">
        <v>25102301.956886306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86">
        <f>D32</f>
        <v>25102301.956886306</v>
      </c>
      <c r="L32" s="86">
        <f t="shared" ref="L32" si="8">SUM(E32:K32)</f>
        <v>25102301.956886306</v>
      </c>
      <c r="M32" s="31" t="str">
        <f t="shared" ref="M32" si="9">IF(ABS(L32-D32)&lt;0.01,"ok","err")</f>
        <v>ok</v>
      </c>
    </row>
    <row r="33" spans="1:13" x14ac:dyDescent="0.25">
      <c r="A33" s="32"/>
      <c r="B33" s="28" t="s">
        <v>55</v>
      </c>
      <c r="C33" s="85"/>
      <c r="D33" s="29">
        <v>52572028.625297174</v>
      </c>
      <c r="E33" s="43">
        <v>14470127.383962449</v>
      </c>
      <c r="F33" s="43">
        <v>7916934.7063639052</v>
      </c>
      <c r="G33" s="43">
        <v>3902285.0944676166</v>
      </c>
      <c r="H33" s="43">
        <v>6038330.3561383346</v>
      </c>
      <c r="I33" s="43">
        <v>18121134.037420355</v>
      </c>
      <c r="J33" s="43">
        <v>1237310.8236124038</v>
      </c>
      <c r="K33" s="86">
        <v>885906.22333211533</v>
      </c>
      <c r="L33" s="86">
        <f t="shared" si="7"/>
        <v>52572028.625297181</v>
      </c>
      <c r="M33" s="31" t="str">
        <f t="shared" si="6"/>
        <v>ok</v>
      </c>
    </row>
    <row r="34" spans="1:13" x14ac:dyDescent="0.25">
      <c r="A34" s="32"/>
      <c r="B34" s="28"/>
      <c r="C34" s="85"/>
      <c r="D34" s="29"/>
      <c r="E34" s="43"/>
      <c r="F34" s="43"/>
      <c r="G34" s="43"/>
      <c r="H34" s="43"/>
      <c r="I34" s="43"/>
      <c r="J34" s="43"/>
      <c r="K34" s="86"/>
      <c r="L34" s="86"/>
      <c r="M34" s="31"/>
    </row>
    <row r="35" spans="1:13" x14ac:dyDescent="0.25">
      <c r="A35" s="32"/>
      <c r="B35" s="28" t="s">
        <v>20</v>
      </c>
      <c r="C35" s="85"/>
      <c r="D35" s="44">
        <v>97415163.776262715</v>
      </c>
      <c r="E35" s="45">
        <v>52314495.758306265</v>
      </c>
      <c r="F35" s="45">
        <v>0</v>
      </c>
      <c r="G35" s="45">
        <v>8663378.8712226823</v>
      </c>
      <c r="H35" s="45">
        <v>15155153.426723711</v>
      </c>
      <c r="I35" s="45">
        <v>9092644.4530083518</v>
      </c>
      <c r="J35" s="45">
        <v>10657921.523367438</v>
      </c>
      <c r="K35" s="96">
        <v>1531569.7436342766</v>
      </c>
      <c r="L35" s="86">
        <f>SUM(E35:K35)</f>
        <v>97415163.77626273</v>
      </c>
      <c r="M35" s="31" t="str">
        <f>IF(ABS(L35-D35)&lt;0.01,"ok","err")</f>
        <v>ok</v>
      </c>
    </row>
    <row r="36" spans="1:13" x14ac:dyDescent="0.25">
      <c r="A36" s="32"/>
      <c r="B36" s="28" t="s">
        <v>21</v>
      </c>
      <c r="C36" s="85"/>
      <c r="D36" s="44">
        <v>16471546.476490421</v>
      </c>
      <c r="E36" s="45">
        <v>8120325.4275096245</v>
      </c>
      <c r="F36" s="45">
        <v>0</v>
      </c>
      <c r="G36" s="45">
        <v>2189878.7783387089</v>
      </c>
      <c r="H36" s="45">
        <v>3388581.6088252212</v>
      </c>
      <c r="I36" s="45">
        <v>1981535.0312888913</v>
      </c>
      <c r="J36" s="45">
        <v>694352.32158691215</v>
      </c>
      <c r="K36" s="96">
        <v>96873.308941062583</v>
      </c>
      <c r="L36" s="86">
        <f>SUM(E36:K36)</f>
        <v>16471546.476490421</v>
      </c>
      <c r="M36" s="31" t="str">
        <f>IF(ABS(L36-D36)&lt;0.01,"ok","err")</f>
        <v>ok</v>
      </c>
    </row>
    <row r="37" spans="1:13" x14ac:dyDescent="0.25">
      <c r="A37" s="32"/>
      <c r="B37" s="28" t="s">
        <v>22</v>
      </c>
      <c r="C37" s="85"/>
      <c r="D37" s="46">
        <v>0</v>
      </c>
      <c r="E37" s="47">
        <f>$D$37*(E13/$L$13)</f>
        <v>0</v>
      </c>
      <c r="F37" s="47">
        <f>$D$37*(F13/$L$13)</f>
        <v>0</v>
      </c>
      <c r="G37" s="47">
        <f>$D$37*(G13/$L$13)</f>
        <v>0</v>
      </c>
      <c r="H37" s="47">
        <f>$D$37*(H13/$L$13)</f>
        <v>0</v>
      </c>
      <c r="I37" s="47">
        <f>$D$37*(I13/$L$13)</f>
        <v>0</v>
      </c>
      <c r="J37" s="47"/>
      <c r="K37" s="97">
        <f>$D$37*(K13/$L$13)</f>
        <v>0</v>
      </c>
      <c r="L37" s="86">
        <f>SUM(E37:K37)</f>
        <v>0</v>
      </c>
      <c r="M37" s="31" t="str">
        <f>IF(ABS(L37-D37)&lt;0.01,"ok","err")</f>
        <v>ok</v>
      </c>
    </row>
    <row r="38" spans="1:13" x14ac:dyDescent="0.25">
      <c r="A38" s="32"/>
      <c r="B38" s="28" t="s">
        <v>23</v>
      </c>
      <c r="C38" s="85"/>
      <c r="D38" s="46">
        <v>0</v>
      </c>
      <c r="E38" s="47">
        <f>D38</f>
        <v>0</v>
      </c>
      <c r="F38" s="47">
        <v>0</v>
      </c>
      <c r="G38" s="47">
        <v>0</v>
      </c>
      <c r="H38" s="47">
        <v>0</v>
      </c>
      <c r="I38" s="47">
        <v>0</v>
      </c>
      <c r="J38" s="47"/>
      <c r="K38" s="97">
        <v>0</v>
      </c>
      <c r="L38" s="86">
        <f>SUM(E38:K38)</f>
        <v>0</v>
      </c>
      <c r="M38" s="31" t="str">
        <f t="shared" ref="M38:M45" si="10">IF(ABS(L38-D38)&lt;0.01,"ok","err")</f>
        <v>ok</v>
      </c>
    </row>
    <row r="39" spans="1:13" x14ac:dyDescent="0.25">
      <c r="A39" s="32"/>
      <c r="B39" s="28" t="s">
        <v>24</v>
      </c>
      <c r="C39" s="85"/>
      <c r="D39" s="46">
        <v>0</v>
      </c>
      <c r="E39" s="47">
        <v>0</v>
      </c>
      <c r="F39" s="47">
        <f>D39</f>
        <v>0</v>
      </c>
      <c r="G39" s="47">
        <v>0</v>
      </c>
      <c r="H39" s="47">
        <v>0</v>
      </c>
      <c r="I39" s="47">
        <v>0</v>
      </c>
      <c r="J39" s="47"/>
      <c r="K39" s="97">
        <v>0</v>
      </c>
      <c r="L39" s="86">
        <f t="shared" ref="L39:L45" si="11">SUM(E39:K39)</f>
        <v>0</v>
      </c>
      <c r="M39" s="31" t="str">
        <f t="shared" si="10"/>
        <v>ok</v>
      </c>
    </row>
    <row r="40" spans="1:13" x14ac:dyDescent="0.25">
      <c r="A40" s="32"/>
      <c r="B40" s="28" t="s">
        <v>25</v>
      </c>
      <c r="C40" s="85"/>
      <c r="D40" s="46">
        <v>0</v>
      </c>
      <c r="E40" s="47">
        <v>0</v>
      </c>
      <c r="F40" s="47">
        <v>0</v>
      </c>
      <c r="G40" s="47">
        <f>D40</f>
        <v>0</v>
      </c>
      <c r="H40" s="47">
        <v>0</v>
      </c>
      <c r="I40" s="47">
        <v>0</v>
      </c>
      <c r="J40" s="47"/>
      <c r="K40" s="97">
        <v>0</v>
      </c>
      <c r="L40" s="86">
        <f t="shared" si="11"/>
        <v>0</v>
      </c>
      <c r="M40" s="31" t="str">
        <f t="shared" si="10"/>
        <v>ok</v>
      </c>
    </row>
    <row r="41" spans="1:13" x14ac:dyDescent="0.25">
      <c r="A41" s="32"/>
      <c r="B41" s="28" t="s">
        <v>26</v>
      </c>
      <c r="C41" s="85"/>
      <c r="D41" s="46">
        <v>0</v>
      </c>
      <c r="E41" s="47">
        <v>0</v>
      </c>
      <c r="F41" s="47">
        <v>0</v>
      </c>
      <c r="G41" s="47">
        <v>0</v>
      </c>
      <c r="H41" s="47">
        <f>(H13/($I$13+$H$13)*$D$41)</f>
        <v>0</v>
      </c>
      <c r="I41" s="47">
        <f>(I13/($I$13+$H$13)*$D$41)</f>
        <v>0</v>
      </c>
      <c r="J41" s="47"/>
      <c r="K41" s="97">
        <v>0</v>
      </c>
      <c r="L41" s="86">
        <f t="shared" si="11"/>
        <v>0</v>
      </c>
      <c r="M41" s="31" t="str">
        <f t="shared" si="10"/>
        <v>ok</v>
      </c>
    </row>
    <row r="42" spans="1:13" x14ac:dyDescent="0.25">
      <c r="A42" s="48"/>
      <c r="B42" s="28" t="s">
        <v>27</v>
      </c>
      <c r="C42" s="85"/>
      <c r="D42" s="44">
        <v>-539970.89301202586</v>
      </c>
      <c r="E42" s="47">
        <f t="shared" ref="E42:K42" si="12">(E13/($D$13)*$D$42)</f>
        <v>-265193.37912079843</v>
      </c>
      <c r="F42" s="47">
        <f t="shared" si="12"/>
        <v>0</v>
      </c>
      <c r="G42" s="47">
        <f t="shared" si="12"/>
        <v>-72204.315431176874</v>
      </c>
      <c r="H42" s="47">
        <f t="shared" si="12"/>
        <v>-111629.01493439659</v>
      </c>
      <c r="I42" s="47">
        <f t="shared" si="12"/>
        <v>-66974.112030316435</v>
      </c>
      <c r="J42" s="47">
        <f t="shared" si="12"/>
        <v>-20958.310343796198</v>
      </c>
      <c r="K42" s="97">
        <f t="shared" si="12"/>
        <v>-3011.7611515414533</v>
      </c>
      <c r="L42" s="86">
        <f t="shared" si="11"/>
        <v>-539970.89301202598</v>
      </c>
      <c r="M42" s="31" t="str">
        <f t="shared" si="10"/>
        <v>ok</v>
      </c>
    </row>
    <row r="43" spans="1:13" x14ac:dyDescent="0.25">
      <c r="A43" s="48"/>
      <c r="B43" s="28" t="s">
        <v>28</v>
      </c>
      <c r="C43" s="49"/>
      <c r="D43" s="44">
        <v>609965.43393935554</v>
      </c>
      <c r="E43" s="47">
        <f>D43</f>
        <v>609965.43393935554</v>
      </c>
      <c r="F43" s="47">
        <v>0</v>
      </c>
      <c r="G43" s="47">
        <v>0</v>
      </c>
      <c r="H43" s="47">
        <v>0</v>
      </c>
      <c r="I43" s="47">
        <v>0</v>
      </c>
      <c r="J43" s="47"/>
      <c r="K43" s="97">
        <v>0</v>
      </c>
      <c r="L43" s="86">
        <f t="shared" si="11"/>
        <v>609965.43393935554</v>
      </c>
      <c r="M43" s="31" t="str">
        <f t="shared" si="10"/>
        <v>ok</v>
      </c>
    </row>
    <row r="44" spans="1:13" x14ac:dyDescent="0.25">
      <c r="A44" s="32"/>
      <c r="B44" s="28"/>
      <c r="D44" s="29"/>
      <c r="E44" s="42"/>
      <c r="F44" s="42"/>
      <c r="G44" s="42"/>
      <c r="H44" s="42"/>
      <c r="I44" s="42"/>
      <c r="J44" s="42"/>
      <c r="K44" s="91"/>
      <c r="L44" s="86"/>
      <c r="M44" s="31"/>
    </row>
    <row r="45" spans="1:13" s="50" customFormat="1" x14ac:dyDescent="0.25">
      <c r="A45" s="32"/>
      <c r="B45" s="28" t="s">
        <v>29</v>
      </c>
      <c r="C45" s="85"/>
      <c r="D45" s="29">
        <f t="shared" ref="D45:K45" si="13">SUM(D38:D43)</f>
        <v>69994.540927329683</v>
      </c>
      <c r="E45" s="30">
        <f t="shared" si="13"/>
        <v>344772.05481855711</v>
      </c>
      <c r="F45" s="30">
        <f t="shared" si="13"/>
        <v>0</v>
      </c>
      <c r="G45" s="30">
        <f t="shared" si="13"/>
        <v>-72204.315431176874</v>
      </c>
      <c r="H45" s="30">
        <f t="shared" si="13"/>
        <v>-111629.01493439659</v>
      </c>
      <c r="I45" s="30">
        <f t="shared" si="13"/>
        <v>-66974.112030316435</v>
      </c>
      <c r="J45" s="30">
        <f t="shared" si="13"/>
        <v>-20958.310343796198</v>
      </c>
      <c r="K45" s="93">
        <f t="shared" si="13"/>
        <v>-3011.7611515414533</v>
      </c>
      <c r="L45" s="86">
        <f t="shared" si="11"/>
        <v>69994.540927329566</v>
      </c>
      <c r="M45" s="31" t="str">
        <f t="shared" si="10"/>
        <v>ok</v>
      </c>
    </row>
    <row r="46" spans="1:13" x14ac:dyDescent="0.25">
      <c r="A46" s="41"/>
      <c r="B46" s="28"/>
      <c r="C46" s="87"/>
      <c r="D46" s="51"/>
      <c r="E46" s="36"/>
      <c r="F46" s="36"/>
      <c r="G46" s="36"/>
      <c r="H46" s="36"/>
      <c r="I46" s="36"/>
      <c r="J46" s="36"/>
      <c r="K46" s="28"/>
      <c r="L46" s="86"/>
      <c r="M46" s="38"/>
    </row>
    <row r="47" spans="1:13" s="50" customFormat="1" x14ac:dyDescent="0.25">
      <c r="A47" s="32"/>
      <c r="B47" s="28" t="s">
        <v>30</v>
      </c>
      <c r="C47" s="88"/>
      <c r="D47" s="29">
        <f>SUM(D29:D37)+D22+D26+D45+D24</f>
        <v>633815025.39148855</v>
      </c>
      <c r="E47" s="43">
        <f t="shared" ref="E47:K47" si="14">SUM(E28:E37)+E22+E26+E45+E24</f>
        <v>178340265.93170139</v>
      </c>
      <c r="F47" s="43">
        <f t="shared" si="14"/>
        <v>217712249.38676077</v>
      </c>
      <c r="G47" s="43">
        <f t="shared" si="14"/>
        <v>50367339.532443613</v>
      </c>
      <c r="H47" s="43">
        <f t="shared" si="14"/>
        <v>76067589.567382336</v>
      </c>
      <c r="I47" s="43">
        <f t="shared" si="14"/>
        <v>63577130.156847775</v>
      </c>
      <c r="J47" s="43">
        <f t="shared" si="14"/>
        <v>19141473.882688008</v>
      </c>
      <c r="K47" s="86">
        <f t="shared" si="14"/>
        <v>28608976.933664761</v>
      </c>
      <c r="L47" s="86">
        <f>SUM(E47:K47)</f>
        <v>633815025.39148879</v>
      </c>
      <c r="M47" s="31" t="str">
        <f>IF(ABS(L47-D47)&lt;0.01,"ok","err")</f>
        <v>ok</v>
      </c>
    </row>
    <row r="48" spans="1:13" x14ac:dyDescent="0.25">
      <c r="A48" s="41"/>
      <c r="B48" s="28"/>
      <c r="C48" s="87"/>
      <c r="D48" s="52"/>
      <c r="E48" s="36"/>
      <c r="F48" s="36"/>
      <c r="G48" s="36"/>
      <c r="H48" s="36"/>
      <c r="I48" s="36"/>
      <c r="J48" s="36"/>
      <c r="K48" s="28"/>
      <c r="L48" s="86"/>
      <c r="M48" s="38"/>
    </row>
    <row r="49" spans="1:13" x14ac:dyDescent="0.25">
      <c r="A49" s="32"/>
      <c r="B49" s="28" t="s">
        <v>31</v>
      </c>
      <c r="C49" s="87"/>
      <c r="D49" s="29">
        <v>7089945.8663517842</v>
      </c>
      <c r="E49" s="53">
        <f>D49</f>
        <v>7089945.8663517842</v>
      </c>
      <c r="F49" s="53"/>
      <c r="G49" s="53"/>
      <c r="H49" s="53"/>
      <c r="I49" s="53"/>
      <c r="J49" s="53"/>
      <c r="K49" s="98"/>
      <c r="L49" s="86">
        <f>SUM(E49:K49)</f>
        <v>7089945.8663517842</v>
      </c>
      <c r="M49" s="31" t="str">
        <f>IF(ABS(L49-D49)&lt;0.01,"ok","err")</f>
        <v>ok</v>
      </c>
    </row>
    <row r="50" spans="1:13" x14ac:dyDescent="0.25">
      <c r="A50" s="32"/>
      <c r="B50" s="28" t="s">
        <v>32</v>
      </c>
      <c r="C50" s="85"/>
      <c r="D50" s="44">
        <v>-2827720.4872133331</v>
      </c>
      <c r="E50" s="45">
        <v>0</v>
      </c>
      <c r="F50" s="45">
        <f>D50</f>
        <v>-2827720.4872133331</v>
      </c>
      <c r="G50" s="45">
        <v>0</v>
      </c>
      <c r="H50" s="45">
        <v>0</v>
      </c>
      <c r="I50" s="45">
        <v>0</v>
      </c>
      <c r="J50" s="45">
        <v>0</v>
      </c>
      <c r="K50" s="96">
        <v>0</v>
      </c>
      <c r="L50" s="86">
        <f>SUM(E50:K50)</f>
        <v>-2827720.4872133331</v>
      </c>
      <c r="M50" s="31" t="str">
        <f>IF(ABS(L50-D50)&lt;0.01,"ok","err")</f>
        <v>ok</v>
      </c>
    </row>
    <row r="51" spans="1:13" x14ac:dyDescent="0.25">
      <c r="A51" s="32"/>
      <c r="B51" s="28" t="s">
        <v>33</v>
      </c>
      <c r="C51" s="85"/>
      <c r="D51" s="54">
        <v>-27196438.864230126</v>
      </c>
      <c r="E51" s="45">
        <f>(E16/($E$16+$G$16+$H$16+$I$16+$J$16+$K$16))*$D$51</f>
        <v>-13280219.300797841</v>
      </c>
      <c r="F51" s="45">
        <v>0</v>
      </c>
      <c r="G51" s="45">
        <f>(G16/($E$16+$G$16+$H$16+$I$16+$J$16+$K$16))*$D$51</f>
        <v>-3581392.2333677122</v>
      </c>
      <c r="H51" s="45">
        <f>(H16/($E$16+$G$16+$H$16+$I$16+$J$16+$K$16))*$D$51</f>
        <v>-5541786.1372152455</v>
      </c>
      <c r="I51" s="45">
        <f>(I16/($E$16+$G$16+$H$16+$I$16+$J$16+$K$16))*$D$51</f>
        <v>-3487004.2546452824</v>
      </c>
      <c r="J51" s="45">
        <f>(J16/($E$16+$G$16+$H$16+$I$16+$J$16+$K$16))*$D$51</f>
        <v>-1135564.231385771</v>
      </c>
      <c r="K51" s="96">
        <f>(K16/($E$16+$G$16+$H$16+$I$16+$J$16+$K$16))*$D$51</f>
        <v>-170472.70681827475</v>
      </c>
      <c r="L51" s="86">
        <f>SUM(E51:K51)</f>
        <v>-27196438.86423013</v>
      </c>
      <c r="M51" s="31" t="str">
        <f>IF(ABS(L51-D51)&lt;0.01,"ok","err")</f>
        <v>ok</v>
      </c>
    </row>
    <row r="52" spans="1:13" x14ac:dyDescent="0.25">
      <c r="A52" s="32"/>
      <c r="B52" s="28" t="s">
        <v>34</v>
      </c>
      <c r="C52" s="85"/>
      <c r="D52" s="54">
        <f>SUM(D49:D51)</f>
        <v>-22934213.485091675</v>
      </c>
      <c r="E52" s="55">
        <f>SUM(E49:E51)</f>
        <v>-6190273.4344460564</v>
      </c>
      <c r="F52" s="55">
        <f t="shared" ref="F52:K52" si="15">SUM(F50:F51)</f>
        <v>-2827720.4872133331</v>
      </c>
      <c r="G52" s="55">
        <f t="shared" si="15"/>
        <v>-3581392.2333677122</v>
      </c>
      <c r="H52" s="55">
        <f t="shared" si="15"/>
        <v>-5541786.1372152455</v>
      </c>
      <c r="I52" s="55">
        <f t="shared" si="15"/>
        <v>-3487004.2546452824</v>
      </c>
      <c r="J52" s="55">
        <f t="shared" si="15"/>
        <v>-1135564.231385771</v>
      </c>
      <c r="K52" s="99">
        <f t="shared" si="15"/>
        <v>-170472.70681827475</v>
      </c>
      <c r="L52" s="86">
        <f>SUM(E52:K52)</f>
        <v>-22934213.485091675</v>
      </c>
      <c r="M52" s="31" t="str">
        <f>IF(ABS(L52-D52)&lt;0.01,"ok","err")</f>
        <v>ok</v>
      </c>
    </row>
    <row r="53" spans="1:13" x14ac:dyDescent="0.25">
      <c r="A53" s="41"/>
      <c r="B53" s="28"/>
      <c r="D53" s="56"/>
      <c r="E53" s="36"/>
      <c r="F53" s="36"/>
      <c r="G53" s="36"/>
      <c r="H53" s="36"/>
      <c r="I53" s="36"/>
      <c r="J53" s="36"/>
      <c r="K53" s="28"/>
      <c r="L53" s="86"/>
      <c r="M53" s="38"/>
    </row>
    <row r="54" spans="1:13" x14ac:dyDescent="0.25">
      <c r="A54" s="32"/>
      <c r="B54" s="28" t="s">
        <v>35</v>
      </c>
      <c r="C54" s="57"/>
      <c r="D54" s="29">
        <f t="shared" ref="D54:K54" si="16">D47+D52</f>
        <v>610880811.90639687</v>
      </c>
      <c r="E54" s="30">
        <f t="shared" si="16"/>
        <v>172149992.49725533</v>
      </c>
      <c r="F54" s="30">
        <f t="shared" si="16"/>
        <v>214884528.89954743</v>
      </c>
      <c r="G54" s="30">
        <f t="shared" si="16"/>
        <v>46785947.299075902</v>
      </c>
      <c r="H54" s="30">
        <f t="shared" si="16"/>
        <v>70525803.430167094</v>
      </c>
      <c r="I54" s="30">
        <f t="shared" si="16"/>
        <v>60090125.902202494</v>
      </c>
      <c r="J54" s="30">
        <f t="shared" si="16"/>
        <v>18005909.651302237</v>
      </c>
      <c r="K54" s="93">
        <f t="shared" si="16"/>
        <v>28438504.226846486</v>
      </c>
      <c r="L54" s="86">
        <f>SUM(E54:K54)</f>
        <v>610880811.90639699</v>
      </c>
      <c r="M54" s="31" t="str">
        <f>IF(ABS(L54-D54)&lt;0.01,"ok","err")</f>
        <v>ok</v>
      </c>
    </row>
    <row r="55" spans="1:13" x14ac:dyDescent="0.25">
      <c r="A55" s="41"/>
      <c r="B55" s="28"/>
      <c r="C55" s="87"/>
      <c r="D55" s="58"/>
      <c r="E55" s="36"/>
      <c r="F55" s="36"/>
      <c r="G55" s="36"/>
      <c r="H55" s="36"/>
      <c r="I55" s="36"/>
      <c r="J55" s="36"/>
      <c r="K55" s="28"/>
      <c r="L55" s="86"/>
      <c r="M55" s="38"/>
    </row>
    <row r="56" spans="1:13" x14ac:dyDescent="0.25">
      <c r="A56" s="32"/>
      <c r="B56" s="28" t="s">
        <v>36</v>
      </c>
      <c r="C56" s="102"/>
      <c r="D56" s="59"/>
      <c r="E56" s="60">
        <v>6091971051</v>
      </c>
      <c r="F56" s="60">
        <v>6091971051</v>
      </c>
      <c r="G56" s="60">
        <v>6091971051</v>
      </c>
      <c r="H56" s="60">
        <v>6091971051</v>
      </c>
      <c r="I56" s="60">
        <v>5168140</v>
      </c>
      <c r="J56" s="60">
        <f>H56</f>
        <v>6091971051</v>
      </c>
      <c r="K56" s="100">
        <f>I56</f>
        <v>5168140</v>
      </c>
      <c r="L56" s="28"/>
      <c r="M56" s="38"/>
    </row>
    <row r="57" spans="1:13" ht="15.75" thickBot="1" x14ac:dyDescent="0.3">
      <c r="A57" s="41"/>
      <c r="B57" s="28"/>
      <c r="C57" s="87"/>
      <c r="D57" s="56"/>
      <c r="E57" s="37"/>
      <c r="F57" s="37"/>
      <c r="G57" s="37"/>
      <c r="H57" s="37"/>
      <c r="I57" s="37"/>
      <c r="J57" s="37"/>
      <c r="K57" s="94"/>
      <c r="L57" s="28"/>
      <c r="M57" s="38"/>
    </row>
    <row r="58" spans="1:13" ht="15.75" thickBot="1" x14ac:dyDescent="0.3">
      <c r="A58" s="61"/>
      <c r="B58" s="62" t="s">
        <v>37</v>
      </c>
      <c r="C58" s="89"/>
      <c r="D58" s="63"/>
      <c r="E58" s="64">
        <f t="shared" ref="E58:K58" si="17">E54/E56</f>
        <v>2.8258504686918502E-2</v>
      </c>
      <c r="F58" s="64">
        <f t="shared" si="17"/>
        <v>3.5273399545172501E-2</v>
      </c>
      <c r="G58" s="64">
        <f t="shared" si="17"/>
        <v>7.6799359201478751E-3</v>
      </c>
      <c r="H58" s="64">
        <f t="shared" si="17"/>
        <v>1.1576844807657163E-2</v>
      </c>
      <c r="I58" s="65">
        <f t="shared" si="17"/>
        <v>11.627031369545426</v>
      </c>
      <c r="J58" s="64">
        <f t="shared" si="17"/>
        <v>2.9556787943610728E-3</v>
      </c>
      <c r="K58" s="101">
        <f t="shared" si="17"/>
        <v>5.5026574796438341</v>
      </c>
      <c r="L58" s="92">
        <f>I58+K58</f>
        <v>17.129688849189261</v>
      </c>
      <c r="M58" s="66"/>
    </row>
    <row r="59" spans="1:13" ht="15.75" thickBot="1" x14ac:dyDescent="0.3"/>
    <row r="60" spans="1:13" ht="15.75" thickBot="1" x14ac:dyDescent="0.3">
      <c r="K60" s="67" t="s">
        <v>38</v>
      </c>
      <c r="L60" s="68">
        <f>I58+K58</f>
        <v>17.129688849189261</v>
      </c>
      <c r="M60" s="81">
        <v>6.13</v>
      </c>
    </row>
    <row r="61" spans="1:13" ht="15.75" thickBot="1" x14ac:dyDescent="0.3">
      <c r="K61" s="67" t="s">
        <v>39</v>
      </c>
      <c r="L61" s="69">
        <f>E58+G58+H58</f>
        <v>4.7515285414723538E-2</v>
      </c>
    </row>
    <row r="62" spans="1:13" ht="15.75" thickBot="1" x14ac:dyDescent="0.3">
      <c r="K62" s="67" t="s">
        <v>40</v>
      </c>
      <c r="L62" s="69">
        <f>L72</f>
        <v>6.9100000000000003E-3</v>
      </c>
    </row>
    <row r="63" spans="1:13" ht="15.75" thickBot="1" x14ac:dyDescent="0.3">
      <c r="K63" s="67" t="s">
        <v>41</v>
      </c>
      <c r="L63" s="69">
        <f>L61+L62</f>
        <v>5.4425285414723537E-2</v>
      </c>
    </row>
    <row r="64" spans="1:13" ht="15.75" thickBot="1" x14ac:dyDescent="0.3">
      <c r="K64" s="67" t="s">
        <v>42</v>
      </c>
      <c r="L64" s="69">
        <f>F58</f>
        <v>3.5273399545172501E-2</v>
      </c>
    </row>
    <row r="65" spans="4:13" x14ac:dyDescent="0.25">
      <c r="D65" s="70"/>
      <c r="E65" s="71"/>
      <c r="F65" s="72"/>
      <c r="G65" s="71"/>
      <c r="H65" s="71"/>
    </row>
    <row r="66" spans="4:13" x14ac:dyDescent="0.25">
      <c r="D66" s="70"/>
      <c r="E66" s="73"/>
      <c r="I66" s="73"/>
      <c r="J66" s="73"/>
    </row>
    <row r="67" spans="4:13" x14ac:dyDescent="0.25">
      <c r="E67" s="74"/>
      <c r="G67" s="74"/>
      <c r="H67" s="74"/>
    </row>
    <row r="68" spans="4:13" x14ac:dyDescent="0.25">
      <c r="I68" s="75"/>
      <c r="J68" s="75"/>
      <c r="K68" s="36"/>
      <c r="L68" s="76"/>
    </row>
    <row r="69" spans="4:13" x14ac:dyDescent="0.25">
      <c r="E69" s="77"/>
      <c r="G69" s="77"/>
      <c r="H69" s="77"/>
      <c r="K69" s="78" t="s">
        <v>43</v>
      </c>
      <c r="L69" s="79">
        <v>22</v>
      </c>
    </row>
    <row r="70" spans="4:13" x14ac:dyDescent="0.25">
      <c r="K70" s="78" t="s">
        <v>44</v>
      </c>
      <c r="L70" s="80">
        <f>(L60-L69)*I56</f>
        <v>-25170449.870951012</v>
      </c>
    </row>
    <row r="71" spans="4:13" x14ac:dyDescent="0.25">
      <c r="E71" s="81"/>
      <c r="G71" s="81"/>
      <c r="H71" s="81"/>
      <c r="K71" s="78" t="s">
        <v>45</v>
      </c>
      <c r="L71" s="82">
        <f>L70/H56</f>
        <v>-4.1317415431281913E-3</v>
      </c>
    </row>
    <row r="72" spans="4:13" x14ac:dyDescent="0.25">
      <c r="K72" s="78" t="s">
        <v>46</v>
      </c>
      <c r="L72">
        <v>6.9100000000000003E-3</v>
      </c>
    </row>
    <row r="73" spans="4:13" x14ac:dyDescent="0.25">
      <c r="K73" s="78" t="s">
        <v>47</v>
      </c>
      <c r="L73" s="83">
        <f>L71+L72+L61</f>
        <v>5.0293543871595348E-2</v>
      </c>
      <c r="M73" s="83">
        <f>L73+L64</f>
        <v>8.5566943416767849E-2</v>
      </c>
    </row>
  </sheetData>
  <mergeCells count="7">
    <mergeCell ref="A1:L1"/>
    <mergeCell ref="A3:L3"/>
    <mergeCell ref="A4:L4"/>
    <mergeCell ref="A6:L6"/>
    <mergeCell ref="E8:F8"/>
    <mergeCell ref="H8:I8"/>
    <mergeCell ref="J8:K8"/>
  </mergeCells>
  <pageMargins left="0.7" right="0.7" top="0.75" bottom="0.75" header="0.3" footer="0.3"/>
  <pageSetup scale="55" orientation="landscape" r:id="rId1"/>
  <headerFooter scaleWithDoc="0">
    <oddHeader>&amp;R&amp;"Times New Roman,Bold"&amp;12Rebuttal Exhibit WSS - 2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workbookViewId="0"/>
  </sheetViews>
  <sheetFormatPr defaultRowHeight="15" x14ac:dyDescent="0.25"/>
  <sheetData>
    <row r="1" spans="2:7" ht="15.75" thickBot="1" x14ac:dyDescent="0.3"/>
    <row r="2" spans="2:7" ht="15.75" thickBot="1" x14ac:dyDescent="0.3">
      <c r="B2" s="108" t="s">
        <v>57</v>
      </c>
      <c r="C2" s="109"/>
      <c r="D2" s="109"/>
      <c r="E2" s="109"/>
      <c r="F2" s="109"/>
      <c r="G2" s="110"/>
    </row>
    <row r="3" spans="2:7" ht="15.75" thickBot="1" x14ac:dyDescent="0.3">
      <c r="B3" s="108" t="s">
        <v>58</v>
      </c>
      <c r="C3" s="109"/>
      <c r="D3" s="110"/>
      <c r="E3" s="108" t="s">
        <v>59</v>
      </c>
      <c r="F3" s="109"/>
      <c r="G3" s="110"/>
    </row>
    <row r="4" spans="2:7" x14ac:dyDescent="0.25">
      <c r="B4" s="111" t="s">
        <v>60</v>
      </c>
      <c r="C4" s="112"/>
      <c r="D4" s="112"/>
      <c r="E4" s="113">
        <v>2159</v>
      </c>
      <c r="F4" s="114"/>
      <c r="G4" s="115"/>
    </row>
    <row r="5" spans="2:7" x14ac:dyDescent="0.25">
      <c r="B5" s="116" t="s">
        <v>120</v>
      </c>
      <c r="C5" s="117"/>
      <c r="D5" s="117"/>
      <c r="E5" s="118">
        <v>3058</v>
      </c>
      <c r="F5" s="119"/>
      <c r="G5" s="120"/>
    </row>
    <row r="6" spans="2:7" x14ac:dyDescent="0.25">
      <c r="B6" s="116" t="s">
        <v>121</v>
      </c>
      <c r="C6" s="117"/>
      <c r="D6" s="117"/>
      <c r="E6" s="118">
        <v>5630821</v>
      </c>
      <c r="F6" s="119"/>
      <c r="G6" s="120"/>
    </row>
    <row r="7" spans="2:7" x14ac:dyDescent="0.25">
      <c r="B7" s="116" t="s">
        <v>61</v>
      </c>
      <c r="C7" s="117"/>
      <c r="D7" s="117"/>
      <c r="E7" s="118">
        <v>119230454</v>
      </c>
      <c r="F7" s="119"/>
      <c r="G7" s="120"/>
    </row>
    <row r="8" spans="2:7" x14ac:dyDescent="0.25">
      <c r="B8" s="116" t="s">
        <v>62</v>
      </c>
      <c r="C8" s="117"/>
      <c r="D8" s="117"/>
      <c r="E8" s="118">
        <v>10577402</v>
      </c>
      <c r="F8" s="119"/>
      <c r="G8" s="120"/>
    </row>
    <row r="9" spans="2:7" x14ac:dyDescent="0.25">
      <c r="B9" s="116" t="s">
        <v>63</v>
      </c>
      <c r="C9" s="117"/>
      <c r="D9" s="117"/>
      <c r="E9" s="118">
        <f>2038966+114148010</f>
        <v>116186976</v>
      </c>
      <c r="F9" s="119"/>
      <c r="G9" s="120"/>
    </row>
    <row r="10" spans="2:7" x14ac:dyDescent="0.25">
      <c r="B10" s="116" t="s">
        <v>64</v>
      </c>
      <c r="C10" s="117"/>
      <c r="D10" s="117"/>
      <c r="E10" s="118">
        <v>68211820</v>
      </c>
      <c r="F10" s="119"/>
      <c r="G10" s="120"/>
    </row>
    <row r="11" spans="2:7" x14ac:dyDescent="0.25">
      <c r="B11" s="116" t="s">
        <v>65</v>
      </c>
      <c r="C11" s="117"/>
      <c r="D11" s="117"/>
      <c r="E11" s="118">
        <v>51573767</v>
      </c>
      <c r="F11" s="119"/>
      <c r="G11" s="120"/>
    </row>
    <row r="12" spans="2:7" x14ac:dyDescent="0.25">
      <c r="B12" s="116" t="s">
        <v>66</v>
      </c>
      <c r="C12" s="117"/>
      <c r="D12" s="117"/>
      <c r="E12" s="118">
        <v>9707215</v>
      </c>
      <c r="F12" s="119"/>
      <c r="G12" s="120"/>
    </row>
    <row r="13" spans="2:7" x14ac:dyDescent="0.25">
      <c r="B13" s="116" t="s">
        <v>67</v>
      </c>
      <c r="C13" s="117"/>
      <c r="D13" s="117"/>
      <c r="E13" s="118">
        <v>0</v>
      </c>
      <c r="F13" s="119"/>
      <c r="G13" s="120"/>
    </row>
    <row r="14" spans="2:7" x14ac:dyDescent="0.25">
      <c r="B14" s="116" t="s">
        <v>68</v>
      </c>
      <c r="C14" s="117"/>
      <c r="D14" s="117"/>
      <c r="E14" s="118">
        <v>24056</v>
      </c>
      <c r="F14" s="119"/>
      <c r="G14" s="120"/>
    </row>
    <row r="15" spans="2:7" x14ac:dyDescent="0.25">
      <c r="B15" s="116" t="s">
        <v>69</v>
      </c>
      <c r="C15" s="117"/>
      <c r="D15" s="117"/>
      <c r="E15" s="118">
        <v>6943134</v>
      </c>
      <c r="F15" s="119"/>
      <c r="G15" s="120"/>
    </row>
    <row r="16" spans="2:7" x14ac:dyDescent="0.25">
      <c r="B16" s="116" t="s">
        <v>70</v>
      </c>
      <c r="C16" s="117"/>
      <c r="D16" s="117"/>
      <c r="E16" s="118">
        <v>1503161</v>
      </c>
      <c r="F16" s="119"/>
      <c r="G16" s="120"/>
    </row>
    <row r="17" spans="2:7" x14ac:dyDescent="0.25">
      <c r="B17" s="116" t="s">
        <v>71</v>
      </c>
      <c r="C17" s="117"/>
      <c r="D17" s="117"/>
      <c r="E17" s="118">
        <f>-134595078</f>
        <v>-134595078</v>
      </c>
      <c r="F17" s="119"/>
      <c r="G17" s="120"/>
    </row>
    <row r="18" spans="2:7" x14ac:dyDescent="0.25">
      <c r="B18" s="116" t="s">
        <v>72</v>
      </c>
      <c r="C18" s="117"/>
      <c r="D18" s="117"/>
      <c r="E18" s="118">
        <v>-3295096</v>
      </c>
      <c r="F18" s="119"/>
      <c r="G18" s="120"/>
    </row>
    <row r="19" spans="2:7" x14ac:dyDescent="0.25">
      <c r="B19" s="116" t="s">
        <v>73</v>
      </c>
      <c r="C19" s="117"/>
      <c r="D19" s="117"/>
      <c r="E19" s="118">
        <v>-2841829</v>
      </c>
      <c r="F19" s="119"/>
      <c r="G19" s="120"/>
    </row>
    <row r="20" spans="2:7" x14ac:dyDescent="0.25">
      <c r="B20" s="116" t="s">
        <v>74</v>
      </c>
      <c r="C20" s="117"/>
      <c r="D20" s="117"/>
      <c r="E20" s="118">
        <v>7032130</v>
      </c>
      <c r="F20" s="119"/>
      <c r="G20" s="120"/>
    </row>
    <row r="21" spans="2:7" x14ac:dyDescent="0.25">
      <c r="B21" s="116" t="s">
        <v>75</v>
      </c>
      <c r="C21" s="117"/>
      <c r="D21" s="117"/>
      <c r="E21" s="118">
        <v>6550896</v>
      </c>
      <c r="F21" s="119"/>
      <c r="G21" s="120"/>
    </row>
    <row r="22" spans="2:7" x14ac:dyDescent="0.25">
      <c r="B22" s="116" t="s">
        <v>76</v>
      </c>
      <c r="C22" s="117"/>
      <c r="D22" s="117"/>
      <c r="E22" s="118">
        <v>884214</v>
      </c>
      <c r="F22" s="119"/>
      <c r="G22" s="120"/>
    </row>
    <row r="23" spans="2:7" x14ac:dyDescent="0.25">
      <c r="B23" s="116" t="s">
        <v>77</v>
      </c>
      <c r="C23" s="117"/>
      <c r="D23" s="117"/>
      <c r="E23" s="118">
        <f>-52594523</f>
        <v>-52594523</v>
      </c>
      <c r="F23" s="119"/>
      <c r="G23" s="120"/>
    </row>
    <row r="24" spans="2:7" ht="15.75" thickBot="1" x14ac:dyDescent="0.3">
      <c r="B24" s="121" t="s">
        <v>78</v>
      </c>
      <c r="C24" s="122"/>
      <c r="D24" s="122"/>
      <c r="E24" s="123">
        <f>-219122</f>
        <v>-219122</v>
      </c>
      <c r="F24" s="124"/>
      <c r="G24" s="125"/>
    </row>
    <row r="25" spans="2:7" x14ac:dyDescent="0.25">
      <c r="B25" s="111" t="s">
        <v>79</v>
      </c>
      <c r="C25" s="112"/>
      <c r="D25" s="112"/>
      <c r="E25" s="113">
        <v>560784</v>
      </c>
      <c r="F25" s="114"/>
      <c r="G25" s="115"/>
    </row>
    <row r="26" spans="2:7" x14ac:dyDescent="0.25">
      <c r="B26" s="116" t="s">
        <v>81</v>
      </c>
      <c r="C26" s="117"/>
      <c r="D26" s="117"/>
      <c r="E26" s="118">
        <v>782488</v>
      </c>
      <c r="F26" s="119"/>
      <c r="G26" s="120"/>
    </row>
    <row r="27" spans="2:7" x14ac:dyDescent="0.25">
      <c r="B27" s="116" t="s">
        <v>80</v>
      </c>
      <c r="C27" s="117"/>
      <c r="D27" s="117"/>
      <c r="E27" s="118">
        <v>0</v>
      </c>
      <c r="F27" s="119"/>
      <c r="G27" s="120"/>
    </row>
    <row r="28" spans="2:7" x14ac:dyDescent="0.25">
      <c r="B28" s="116" t="s">
        <v>82</v>
      </c>
      <c r="C28" s="117"/>
      <c r="D28" s="117"/>
      <c r="E28" s="118">
        <v>5437289</v>
      </c>
      <c r="F28" s="119"/>
      <c r="G28" s="120"/>
    </row>
    <row r="29" spans="2:7" x14ac:dyDescent="0.25">
      <c r="B29" s="116" t="s">
        <v>83</v>
      </c>
      <c r="C29" s="117"/>
      <c r="D29" s="117"/>
      <c r="E29" s="118">
        <v>0</v>
      </c>
      <c r="F29" s="119"/>
      <c r="G29" s="120"/>
    </row>
    <row r="30" spans="2:7" x14ac:dyDescent="0.25">
      <c r="B30" s="116" t="s">
        <v>84</v>
      </c>
      <c r="C30" s="117"/>
      <c r="D30" s="117"/>
      <c r="E30" s="118">
        <v>1424420</v>
      </c>
      <c r="F30" s="119"/>
      <c r="G30" s="120"/>
    </row>
    <row r="31" spans="2:7" x14ac:dyDescent="0.25">
      <c r="B31" s="116" t="s">
        <v>85</v>
      </c>
      <c r="C31" s="117"/>
      <c r="D31" s="117"/>
      <c r="E31" s="118">
        <v>0</v>
      </c>
      <c r="F31" s="119"/>
      <c r="G31" s="120"/>
    </row>
    <row r="32" spans="2:7" x14ac:dyDescent="0.25">
      <c r="B32" s="116" t="s">
        <v>86</v>
      </c>
      <c r="C32" s="117"/>
      <c r="D32" s="117"/>
      <c r="E32" s="118">
        <v>8464</v>
      </c>
      <c r="F32" s="119"/>
      <c r="G32" s="120"/>
    </row>
    <row r="33" spans="2:7" x14ac:dyDescent="0.25">
      <c r="B33" s="116" t="s">
        <v>87</v>
      </c>
      <c r="C33" s="117"/>
      <c r="D33" s="117"/>
      <c r="E33" s="118">
        <v>5027675</v>
      </c>
      <c r="F33" s="119"/>
      <c r="G33" s="120"/>
    </row>
    <row r="34" spans="2:7" x14ac:dyDescent="0.25">
      <c r="B34" s="116" t="s">
        <v>88</v>
      </c>
      <c r="C34" s="117"/>
      <c r="D34" s="117"/>
      <c r="E34" s="118">
        <v>41615</v>
      </c>
      <c r="F34" s="119"/>
      <c r="G34" s="120"/>
    </row>
    <row r="35" spans="2:7" x14ac:dyDescent="0.25">
      <c r="B35" s="116" t="s">
        <v>89</v>
      </c>
      <c r="C35" s="117"/>
      <c r="D35" s="117"/>
      <c r="E35" s="118">
        <v>36275</v>
      </c>
      <c r="F35" s="119"/>
      <c r="G35" s="120"/>
    </row>
    <row r="36" spans="2:7" x14ac:dyDescent="0.25">
      <c r="B36" s="116" t="s">
        <v>90</v>
      </c>
      <c r="C36" s="117"/>
      <c r="D36" s="117"/>
      <c r="E36" s="118">
        <v>852618</v>
      </c>
      <c r="F36" s="119"/>
      <c r="G36" s="120"/>
    </row>
    <row r="37" spans="2:7" x14ac:dyDescent="0.25">
      <c r="B37" s="116" t="s">
        <v>91</v>
      </c>
      <c r="C37" s="117"/>
      <c r="D37" s="117"/>
      <c r="E37" s="118">
        <v>116248</v>
      </c>
      <c r="F37" s="119"/>
      <c r="G37" s="120"/>
    </row>
    <row r="38" spans="2:7" x14ac:dyDescent="0.25">
      <c r="B38" s="116" t="s">
        <v>92</v>
      </c>
      <c r="C38" s="117"/>
      <c r="D38" s="117"/>
      <c r="E38" s="118">
        <v>2339692</v>
      </c>
      <c r="F38" s="119"/>
      <c r="G38" s="120"/>
    </row>
    <row r="39" spans="2:7" x14ac:dyDescent="0.25">
      <c r="B39" s="116" t="s">
        <v>93</v>
      </c>
      <c r="C39" s="117"/>
      <c r="D39" s="117"/>
      <c r="E39" s="118">
        <v>3511773</v>
      </c>
      <c r="F39" s="119"/>
      <c r="G39" s="120"/>
    </row>
    <row r="40" spans="2:7" x14ac:dyDescent="0.25">
      <c r="B40" s="116" t="s">
        <v>94</v>
      </c>
      <c r="C40" s="117"/>
      <c r="D40" s="117"/>
      <c r="E40" s="118">
        <v>12993246</v>
      </c>
      <c r="F40" s="119"/>
      <c r="G40" s="120"/>
    </row>
    <row r="41" spans="2:7" x14ac:dyDescent="0.25">
      <c r="B41" s="116" t="s">
        <v>95</v>
      </c>
      <c r="C41" s="117"/>
      <c r="D41" s="117"/>
      <c r="E41" s="118">
        <v>3586094</v>
      </c>
      <c r="F41" s="119"/>
      <c r="G41" s="120"/>
    </row>
    <row r="42" spans="2:7" x14ac:dyDescent="0.25">
      <c r="B42" s="116" t="s">
        <v>96</v>
      </c>
      <c r="C42" s="117"/>
      <c r="D42" s="117"/>
      <c r="E42" s="118">
        <v>0</v>
      </c>
      <c r="F42" s="119"/>
      <c r="G42" s="120"/>
    </row>
    <row r="43" spans="2:7" x14ac:dyDescent="0.25">
      <c r="B43" s="116" t="s">
        <v>97</v>
      </c>
      <c r="C43" s="117"/>
      <c r="D43" s="117"/>
      <c r="E43" s="118">
        <v>419692</v>
      </c>
      <c r="F43" s="119"/>
      <c r="G43" s="120"/>
    </row>
    <row r="44" spans="2:7" x14ac:dyDescent="0.25">
      <c r="B44" s="116" t="s">
        <v>98</v>
      </c>
      <c r="C44" s="117"/>
      <c r="D44" s="117"/>
      <c r="E44" s="118">
        <v>289953</v>
      </c>
      <c r="F44" s="119"/>
      <c r="G44" s="120"/>
    </row>
    <row r="45" spans="2:7" x14ac:dyDescent="0.25">
      <c r="B45" s="116" t="s">
        <v>99</v>
      </c>
      <c r="C45" s="117"/>
      <c r="D45" s="117"/>
      <c r="E45" s="118">
        <v>251164</v>
      </c>
      <c r="F45" s="119"/>
      <c r="G45" s="120"/>
    </row>
    <row r="46" spans="2:7" x14ac:dyDescent="0.25">
      <c r="B46" s="116" t="s">
        <v>100</v>
      </c>
      <c r="C46" s="117"/>
      <c r="D46" s="117"/>
      <c r="E46" s="118">
        <v>1198999</v>
      </c>
      <c r="F46" s="119"/>
      <c r="G46" s="120"/>
    </row>
    <row r="47" spans="2:7" x14ac:dyDescent="0.25">
      <c r="B47" s="116" t="s">
        <v>101</v>
      </c>
      <c r="C47" s="117"/>
      <c r="D47" s="117"/>
      <c r="E47" s="118">
        <v>511688</v>
      </c>
      <c r="F47" s="119"/>
      <c r="G47" s="120"/>
    </row>
    <row r="48" spans="2:7" x14ac:dyDescent="0.25">
      <c r="B48" s="116" t="s">
        <v>102</v>
      </c>
      <c r="C48" s="117"/>
      <c r="D48" s="117"/>
      <c r="E48" s="118">
        <v>6010631</v>
      </c>
      <c r="F48" s="119"/>
      <c r="G48" s="120"/>
    </row>
    <row r="49" spans="2:7" x14ac:dyDescent="0.25">
      <c r="B49" s="116" t="s">
        <v>103</v>
      </c>
      <c r="C49" s="117"/>
      <c r="D49" s="117"/>
      <c r="E49" s="118">
        <v>1292307</v>
      </c>
      <c r="F49" s="119"/>
      <c r="G49" s="120"/>
    </row>
    <row r="50" spans="2:7" x14ac:dyDescent="0.25">
      <c r="B50" s="116" t="s">
        <v>104</v>
      </c>
      <c r="C50" s="117"/>
      <c r="D50" s="117"/>
      <c r="E50" s="118">
        <v>-784772</v>
      </c>
      <c r="F50" s="119"/>
      <c r="G50" s="120"/>
    </row>
    <row r="51" spans="2:7" x14ac:dyDescent="0.25">
      <c r="B51" s="116" t="s">
        <v>105</v>
      </c>
      <c r="C51" s="117"/>
      <c r="D51" s="117"/>
      <c r="E51" s="118">
        <v>3401517</v>
      </c>
      <c r="F51" s="119"/>
      <c r="G51" s="120"/>
    </row>
    <row r="52" spans="2:7" x14ac:dyDescent="0.25">
      <c r="B52" s="116" t="s">
        <v>106</v>
      </c>
      <c r="C52" s="117"/>
      <c r="D52" s="117"/>
      <c r="E52" s="118">
        <v>304658</v>
      </c>
      <c r="F52" s="119"/>
      <c r="G52" s="120"/>
    </row>
    <row r="53" spans="2:7" x14ac:dyDescent="0.25">
      <c r="B53" s="116" t="s">
        <v>107</v>
      </c>
      <c r="C53" s="117"/>
      <c r="D53" s="117"/>
      <c r="E53" s="118">
        <v>694073</v>
      </c>
      <c r="F53" s="119"/>
      <c r="G53" s="120"/>
    </row>
    <row r="54" spans="2:7" x14ac:dyDescent="0.25">
      <c r="B54" s="116" t="s">
        <v>108</v>
      </c>
      <c r="C54" s="117"/>
      <c r="D54" s="117"/>
      <c r="E54" s="118">
        <v>6917824</v>
      </c>
      <c r="F54" s="119"/>
      <c r="G54" s="120"/>
    </row>
    <row r="55" spans="2:7" x14ac:dyDescent="0.25">
      <c r="B55" s="116" t="s">
        <v>109</v>
      </c>
      <c r="C55" s="117"/>
      <c r="D55" s="117"/>
      <c r="E55" s="118">
        <v>98934</v>
      </c>
      <c r="F55" s="119"/>
      <c r="G55" s="120"/>
    </row>
    <row r="56" spans="2:7" x14ac:dyDescent="0.25">
      <c r="B56" s="116" t="s">
        <v>110</v>
      </c>
      <c r="C56" s="117"/>
      <c r="D56" s="117"/>
      <c r="E56" s="118">
        <v>0</v>
      </c>
      <c r="F56" s="119"/>
      <c r="G56" s="120"/>
    </row>
    <row r="57" spans="2:7" x14ac:dyDescent="0.25">
      <c r="B57" s="116" t="s">
        <v>111</v>
      </c>
      <c r="C57" s="117"/>
      <c r="D57" s="117"/>
      <c r="E57" s="118">
        <v>923973</v>
      </c>
      <c r="F57" s="119"/>
      <c r="G57" s="120"/>
    </row>
    <row r="58" spans="2:7" x14ac:dyDescent="0.25">
      <c r="B58" s="116" t="s">
        <v>112</v>
      </c>
      <c r="C58" s="117"/>
      <c r="D58" s="117"/>
      <c r="E58" s="118">
        <v>100122</v>
      </c>
      <c r="F58" s="119"/>
      <c r="G58" s="120"/>
    </row>
    <row r="59" spans="2:7" ht="15.75" thickBot="1" x14ac:dyDescent="0.3">
      <c r="B59" s="121" t="s">
        <v>113</v>
      </c>
      <c r="C59" s="122"/>
      <c r="D59" s="122"/>
      <c r="E59" s="123">
        <v>47773</v>
      </c>
      <c r="F59" s="124"/>
      <c r="G59" s="125"/>
    </row>
    <row r="60" spans="2:7" x14ac:dyDescent="0.25">
      <c r="B60" s="111" t="s">
        <v>114</v>
      </c>
      <c r="C60" s="112"/>
      <c r="D60" s="112"/>
      <c r="E60" s="113">
        <v>9092644</v>
      </c>
      <c r="F60" s="114"/>
      <c r="G60" s="115"/>
    </row>
    <row r="61" spans="2:7" x14ac:dyDescent="0.25">
      <c r="B61" s="116" t="s">
        <v>115</v>
      </c>
      <c r="C61" s="117"/>
      <c r="D61" s="117"/>
      <c r="E61" s="118">
        <f>635962+895608</f>
        <v>1531570</v>
      </c>
      <c r="F61" s="119"/>
      <c r="G61" s="120"/>
    </row>
    <row r="62" spans="2:7" x14ac:dyDescent="0.25">
      <c r="B62" s="116" t="s">
        <v>116</v>
      </c>
      <c r="C62" s="117"/>
      <c r="D62" s="117"/>
      <c r="E62" s="118">
        <f>1368030+710378</f>
        <v>2078408</v>
      </c>
      <c r="F62" s="119"/>
      <c r="G62" s="120"/>
    </row>
    <row r="63" spans="2:7" x14ac:dyDescent="0.25">
      <c r="B63" s="116" t="s">
        <v>117</v>
      </c>
      <c r="C63" s="117"/>
      <c r="D63" s="117"/>
      <c r="E63" s="118">
        <v>0</v>
      </c>
      <c r="F63" s="119"/>
      <c r="G63" s="120"/>
    </row>
    <row r="64" spans="2:7" ht="15.75" thickBot="1" x14ac:dyDescent="0.3">
      <c r="B64" s="121" t="s">
        <v>118</v>
      </c>
      <c r="C64" s="122"/>
      <c r="D64" s="122"/>
      <c r="E64" s="123">
        <v>4731276</v>
      </c>
      <c r="F64" s="124"/>
      <c r="G64" s="125"/>
    </row>
  </sheetData>
  <mergeCells count="125">
    <mergeCell ref="B62:D62"/>
    <mergeCell ref="E62:G62"/>
    <mergeCell ref="B63:D63"/>
    <mergeCell ref="E63:G63"/>
    <mergeCell ref="B64:D64"/>
    <mergeCell ref="E64:G64"/>
    <mergeCell ref="B60:D60"/>
    <mergeCell ref="E60:G60"/>
    <mergeCell ref="B61:D61"/>
    <mergeCell ref="E61:G61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5:D25"/>
    <mergeCell ref="E25:G25"/>
    <mergeCell ref="B26:D26"/>
    <mergeCell ref="E26:G26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E7:G7"/>
    <mergeCell ref="E8:G8"/>
    <mergeCell ref="E9:G9"/>
    <mergeCell ref="E10:G10"/>
    <mergeCell ref="E11:G11"/>
    <mergeCell ref="E12:G12"/>
    <mergeCell ref="B19:D19"/>
    <mergeCell ref="B20:D20"/>
    <mergeCell ref="B21:D21"/>
    <mergeCell ref="B7:D7"/>
    <mergeCell ref="B8:D8"/>
    <mergeCell ref="B9:D9"/>
    <mergeCell ref="B10:D10"/>
    <mergeCell ref="B11:D11"/>
    <mergeCell ref="B12:D12"/>
    <mergeCell ref="E19:G19"/>
    <mergeCell ref="E20:G20"/>
    <mergeCell ref="E21:G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3:D3"/>
    <mergeCell ref="E3:G3"/>
    <mergeCell ref="B2:G2"/>
    <mergeCell ref="B4:D4"/>
    <mergeCell ref="E4:G4"/>
    <mergeCell ref="B5:D5"/>
    <mergeCell ref="E5:G5"/>
    <mergeCell ref="B6:D6"/>
    <mergeCell ref="E6:G6"/>
  </mergeCells>
  <pageMargins left="0.7" right="0.7" top="0.75" bottom="0.75" header="0.3" footer="0.3"/>
  <pageSetup orientation="portrait" r:id="rId1"/>
  <headerFooter scaleWithDoc="0">
    <oddHeader>&amp;R&amp;"Times New Roman,Bold"&amp;12Rebuttal Exhibit WSS-2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32849F7-1B9A-4905-83D9-4AD917C85F95}"/>
</file>

<file path=customXml/itemProps2.xml><?xml version="1.0" encoding="utf-8"?>
<ds:datastoreItem xmlns:ds="http://schemas.openxmlformats.org/officeDocument/2006/customXml" ds:itemID="{3EFA9FFD-288A-48BF-8944-D8190FF219A4}"/>
</file>

<file path=customXml/itemProps3.xml><?xml version="1.0" encoding="utf-8"?>
<ds:datastoreItem xmlns:ds="http://schemas.openxmlformats.org/officeDocument/2006/customXml" ds:itemID="{70D0559A-BF3D-48EA-B359-8595701BF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 WSS-2</vt:lpstr>
      <vt:lpstr>Not Exhibit Cust-Related Costs</vt:lpstr>
      <vt:lpstr>'Exhibit  WSS-2'!Print_Area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2017-04-06T11:54:27Z</dcterms:created>
  <dcterms:modified xsi:type="dcterms:W3CDTF">2017-04-06T11:54:37Z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