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1600" windowHeight="9432"/>
  </bookViews>
  <sheets>
    <sheet name="Rate Code Summary -slide 4" sheetId="14" r:id="rId1"/>
    <sheet name="Revenue with Month -slide 8,22" sheetId="12" r:id="rId2"/>
    <sheet name="Slide 16 Notes" sheetId="33" r:id="rId3"/>
    <sheet name="Expense- slide 8,22" sheetId="4" r:id="rId4"/>
    <sheet name="Plant Data - slide 8,22" sheetId="2" r:id="rId5"/>
    <sheet name="Sell Lights - slide 16" sheetId="32" r:id="rId6"/>
    <sheet name="Eliminate Lights - slide 19-20" sheetId="25" r:id="rId7"/>
    <sheet name="Energy Savings -slide 8,22" sheetId="24" r:id="rId8"/>
    <sheet name="Option costs -Savings slide-22" sheetId="26" r:id="rId9"/>
    <sheet name="LED Costs Summary" sheetId="31" r:id="rId10"/>
    <sheet name="LED Costs" sheetId="19" r:id="rId11"/>
    <sheet name="LED Costs-Lumen -slide 22" sheetId="29" r:id="rId12"/>
    <sheet name="LED Costs-Watt -slide 22" sheetId="20" r:id="rId13"/>
    <sheet name="Maintenance Exp -slide 22" sheetId="22" r:id="rId14"/>
    <sheet name="NL Prod Cost 12 Mo. Rolling" sheetId="23" r:id="rId15"/>
    <sheet name="KY_PIS NVB P7 (REG)" sheetId="6" r:id="rId16"/>
    <sheet name="VA_PIS NBV P9 (REG)" sheetId="7" r:id="rId17"/>
    <sheet name="TN_PIS NBV P11 (REG)" sheetId="8" r:id="rId18"/>
    <sheet name="Total Elec PIS_NBV-P11 (Reg)" sheetId="9" r:id="rId19"/>
    <sheet name="Rate Code Detail-Code Count" sheetId="17" r:id="rId20"/>
    <sheet name="Rate Code Detail-Qty" sheetId="18" r:id="rId21"/>
    <sheet name="Rate Code Detail" sheetId="16" r:id="rId22"/>
    <sheet name="Pivot-RC" sheetId="28" r:id="rId23"/>
    <sheet name="Revenue with Month (2)" sheetId="27" r:id="rId24"/>
    <sheet name="watt" sheetId="21" r:id="rId25"/>
  </sheets>
  <definedNames>
    <definedName name="_xlnm.Print_Area" localSheetId="13">'Maintenance Exp -slide 22'!$A$1:$H$61</definedName>
    <definedName name="_xlnm.Print_Area" localSheetId="1">'Revenue with Month -slide 8,22'!$A$1:$BL$234</definedName>
  </definedNames>
  <calcPr calcId="152511"/>
  <pivotCaches>
    <pivotCache cacheId="18" r:id="rId26"/>
    <pivotCache cacheId="19" r:id="rId27"/>
    <pivotCache cacheId="20" r:id="rId2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6" l="1"/>
  <c r="B11" i="26"/>
  <c r="J11" i="26"/>
  <c r="W195" i="16" l="1"/>
  <c r="W194" i="16"/>
  <c r="H21" i="25"/>
  <c r="F21" i="25"/>
  <c r="E21" i="25"/>
  <c r="J12" i="2" l="1"/>
  <c r="J11" i="2"/>
  <c r="J13" i="2" s="1"/>
  <c r="J7" i="2"/>
  <c r="J6" i="2"/>
  <c r="J9" i="2" l="1"/>
  <c r="J15" i="2" s="1"/>
  <c r="E27" i="32" l="1"/>
  <c r="C25" i="32"/>
  <c r="E16" i="32"/>
  <c r="E8" i="32" l="1"/>
  <c r="C15" i="32"/>
  <c r="E15" i="32" s="1"/>
  <c r="BI218" i="12" l="1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I35" i="20"/>
  <c r="I34" i="20"/>
  <c r="I33" i="20"/>
  <c r="I18" i="20"/>
  <c r="I17" i="20"/>
  <c r="S186" i="16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8" i="20"/>
  <c r="N17" i="20"/>
  <c r="N16" i="20"/>
  <c r="N15" i="20"/>
  <c r="N14" i="20"/>
  <c r="N13" i="20"/>
  <c r="N12" i="20"/>
  <c r="N11" i="20"/>
  <c r="N10" i="20"/>
  <c r="N9" i="20"/>
  <c r="N8" i="20"/>
  <c r="K18" i="20"/>
  <c r="K17" i="20"/>
  <c r="K35" i="20"/>
  <c r="K34" i="20"/>
  <c r="K33" i="20"/>
  <c r="L33" i="20" s="1"/>
  <c r="L32" i="20"/>
  <c r="K32" i="20"/>
  <c r="I32" i="20"/>
  <c r="K31" i="20"/>
  <c r="L31" i="20" s="1"/>
  <c r="I31" i="20"/>
  <c r="L30" i="20"/>
  <c r="L29" i="20"/>
  <c r="L28" i="20"/>
  <c r="L27" i="20"/>
  <c r="L26" i="20"/>
  <c r="L25" i="20"/>
  <c r="L24" i="20"/>
  <c r="L23" i="20"/>
  <c r="L22" i="20"/>
  <c r="L21" i="20"/>
  <c r="L20" i="20"/>
  <c r="L14" i="20"/>
  <c r="L13" i="20"/>
  <c r="L12" i="20"/>
  <c r="L11" i="20"/>
  <c r="L9" i="20"/>
  <c r="L8" i="20"/>
  <c r="L7" i="20"/>
  <c r="O32" i="20"/>
  <c r="O30" i="20"/>
  <c r="O29" i="20"/>
  <c r="O28" i="20"/>
  <c r="O27" i="20"/>
  <c r="O26" i="20"/>
  <c r="O25" i="20"/>
  <c r="O24" i="20"/>
  <c r="O23" i="20"/>
  <c r="O22" i="20"/>
  <c r="O21" i="20"/>
  <c r="O20" i="20"/>
  <c r="O17" i="20"/>
  <c r="O16" i="20"/>
  <c r="O15" i="20"/>
  <c r="O14" i="20"/>
  <c r="O13" i="20"/>
  <c r="O12" i="20"/>
  <c r="O11" i="20"/>
  <c r="O10" i="20"/>
  <c r="O9" i="20"/>
  <c r="O8" i="20"/>
  <c r="O7" i="20"/>
  <c r="N7" i="20"/>
  <c r="O6" i="20"/>
  <c r="N6" i="20"/>
  <c r="F37" i="16"/>
  <c r="O42" i="29"/>
  <c r="O41" i="29"/>
  <c r="O40" i="29"/>
  <c r="O39" i="29"/>
  <c r="O38" i="29"/>
  <c r="O37" i="29"/>
  <c r="O36" i="29"/>
  <c r="O35" i="29"/>
  <c r="O34" i="29"/>
  <c r="O33" i="29"/>
  <c r="O32" i="29"/>
  <c r="O31" i="29"/>
  <c r="O30" i="29"/>
  <c r="O29" i="29"/>
  <c r="O28" i="29"/>
  <c r="O27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D48" i="29"/>
  <c r="D47" i="29"/>
  <c r="O33" i="20" l="1"/>
  <c r="O31" i="20"/>
  <c r="F26" i="19"/>
  <c r="F25" i="19"/>
  <c r="D26" i="19"/>
  <c r="D25" i="19"/>
  <c r="L6" i="20"/>
  <c r="L42" i="29" l="1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K42" i="29"/>
  <c r="K41" i="29"/>
  <c r="K40" i="29"/>
  <c r="K39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K25" i="29"/>
  <c r="O25" i="29" s="1"/>
  <c r="K24" i="29"/>
  <c r="O24" i="29" s="1"/>
  <c r="K23" i="29"/>
  <c r="O23" i="29" s="1"/>
  <c r="K22" i="29"/>
  <c r="O22" i="29" s="1"/>
  <c r="L35" i="20"/>
  <c r="L34" i="20"/>
  <c r="L25" i="29" l="1"/>
  <c r="L22" i="29"/>
  <c r="L23" i="29"/>
  <c r="L24" i="29"/>
  <c r="O34" i="20"/>
  <c r="O35" i="20"/>
  <c r="L44" i="29"/>
  <c r="L17" i="20"/>
  <c r="L16" i="20"/>
  <c r="L15" i="20"/>
  <c r="L10" i="20"/>
  <c r="O18" i="20"/>
  <c r="L26" i="29" l="1"/>
  <c r="L18" i="20"/>
  <c r="L19" i="20" s="1"/>
  <c r="L36" i="20"/>
  <c r="L46" i="29"/>
  <c r="B14" i="31" s="1"/>
  <c r="D14" i="31" s="1"/>
  <c r="I42" i="29"/>
  <c r="I41" i="29"/>
  <c r="I40" i="29"/>
  <c r="I39" i="29"/>
  <c r="I25" i="29"/>
  <c r="I24" i="29"/>
  <c r="I23" i="29"/>
  <c r="I22" i="29"/>
  <c r="J2" i="16"/>
  <c r="J3" i="16"/>
  <c r="W3" i="16" s="1"/>
  <c r="Z3" i="16" s="1"/>
  <c r="J4" i="16"/>
  <c r="W4" i="16" s="1"/>
  <c r="Z4" i="16" s="1"/>
  <c r="J5" i="16"/>
  <c r="W5" i="16" s="1"/>
  <c r="Z5" i="16" s="1"/>
  <c r="J6" i="16"/>
  <c r="W6" i="16" s="1"/>
  <c r="Z6" i="16" s="1"/>
  <c r="J7" i="16"/>
  <c r="W7" i="16" s="1"/>
  <c r="Z7" i="16" s="1"/>
  <c r="J8" i="16"/>
  <c r="W8" i="16" s="1"/>
  <c r="Z8" i="16" s="1"/>
  <c r="J9" i="16"/>
  <c r="W9" i="16" s="1"/>
  <c r="Z9" i="16" s="1"/>
  <c r="J10" i="16"/>
  <c r="W10" i="16" s="1"/>
  <c r="Z10" i="16" s="1"/>
  <c r="J11" i="16"/>
  <c r="W11" i="16" s="1"/>
  <c r="Z11" i="16" s="1"/>
  <c r="J12" i="16"/>
  <c r="W12" i="16" s="1"/>
  <c r="Z12" i="16" s="1"/>
  <c r="J13" i="16"/>
  <c r="W13" i="16" s="1"/>
  <c r="Z13" i="16" s="1"/>
  <c r="J14" i="16"/>
  <c r="W14" i="16" s="1"/>
  <c r="Z14" i="16" s="1"/>
  <c r="J15" i="16"/>
  <c r="W15" i="16" s="1"/>
  <c r="Z15" i="16" s="1"/>
  <c r="J16" i="16"/>
  <c r="W16" i="16" s="1"/>
  <c r="Z16" i="16" s="1"/>
  <c r="J17" i="16"/>
  <c r="W17" i="16" s="1"/>
  <c r="Z17" i="16" s="1"/>
  <c r="J18" i="16"/>
  <c r="W18" i="16" s="1"/>
  <c r="Z18" i="16" s="1"/>
  <c r="J19" i="16"/>
  <c r="W19" i="16" s="1"/>
  <c r="Z19" i="16" s="1"/>
  <c r="J20" i="16"/>
  <c r="W20" i="16" s="1"/>
  <c r="Z20" i="16" s="1"/>
  <c r="W21" i="16"/>
  <c r="Z21" i="16" s="1"/>
  <c r="W22" i="16"/>
  <c r="Z22" i="16" s="1"/>
  <c r="W23" i="16"/>
  <c r="Z23" i="16" s="1"/>
  <c r="W25" i="16"/>
  <c r="Z25" i="16" s="1"/>
  <c r="W26" i="16"/>
  <c r="Z26" i="16" s="1"/>
  <c r="W27" i="16"/>
  <c r="Z27" i="16" s="1"/>
  <c r="W29" i="16"/>
  <c r="Z29" i="16" s="1"/>
  <c r="W30" i="16"/>
  <c r="Z30" i="16" s="1"/>
  <c r="J31" i="16"/>
  <c r="W31" i="16" s="1"/>
  <c r="Z31" i="16" s="1"/>
  <c r="J32" i="16"/>
  <c r="W32" i="16" s="1"/>
  <c r="Z32" i="16" s="1"/>
  <c r="J33" i="16"/>
  <c r="W33" i="16" s="1"/>
  <c r="Z33" i="16" s="1"/>
  <c r="J34" i="16"/>
  <c r="W34" i="16" s="1"/>
  <c r="Z34" i="16" s="1"/>
  <c r="J35" i="16"/>
  <c r="W35" i="16" s="1"/>
  <c r="Z35" i="16" s="1"/>
  <c r="J36" i="16"/>
  <c r="W36" i="16" s="1"/>
  <c r="Z36" i="16" s="1"/>
  <c r="W37" i="16"/>
  <c r="J38" i="16"/>
  <c r="W38" i="16" s="1"/>
  <c r="W39" i="16"/>
  <c r="J40" i="16"/>
  <c r="W40" i="16" s="1"/>
  <c r="Z40" i="16" s="1"/>
  <c r="J41" i="16"/>
  <c r="W41" i="16" s="1"/>
  <c r="Z41" i="16" s="1"/>
  <c r="J42" i="16"/>
  <c r="W42" i="16" s="1"/>
  <c r="Z42" i="16" s="1"/>
  <c r="J43" i="16"/>
  <c r="W43" i="16" s="1"/>
  <c r="Z43" i="16" s="1"/>
  <c r="J44" i="16"/>
  <c r="W44" i="16" s="1"/>
  <c r="Z44" i="16" s="1"/>
  <c r="J45" i="16"/>
  <c r="W45" i="16" s="1"/>
  <c r="Z45" i="16" s="1"/>
  <c r="J46" i="16"/>
  <c r="W46" i="16" s="1"/>
  <c r="Z46" i="16" s="1"/>
  <c r="J47" i="16"/>
  <c r="W47" i="16" s="1"/>
  <c r="Z47" i="16" s="1"/>
  <c r="J48" i="16"/>
  <c r="W48" i="16" s="1"/>
  <c r="Z48" i="16" s="1"/>
  <c r="J49" i="16"/>
  <c r="W49" i="16" s="1"/>
  <c r="Z49" i="16" s="1"/>
  <c r="J50" i="16"/>
  <c r="W50" i="16" s="1"/>
  <c r="Z50" i="16" s="1"/>
  <c r="J51" i="16"/>
  <c r="W51" i="16" s="1"/>
  <c r="Z51" i="16" s="1"/>
  <c r="J52" i="16"/>
  <c r="W52" i="16" s="1"/>
  <c r="Z52" i="16" s="1"/>
  <c r="J53" i="16"/>
  <c r="W53" i="16" s="1"/>
  <c r="Z53" i="16" s="1"/>
  <c r="J54" i="16"/>
  <c r="W54" i="16" s="1"/>
  <c r="Z54" i="16" s="1"/>
  <c r="J55" i="16"/>
  <c r="W55" i="16" s="1"/>
  <c r="Z55" i="16" s="1"/>
  <c r="J56" i="16"/>
  <c r="W56" i="16" s="1"/>
  <c r="Z56" i="16" s="1"/>
  <c r="J57" i="16"/>
  <c r="W57" i="16" s="1"/>
  <c r="Z57" i="16" s="1"/>
  <c r="J58" i="16"/>
  <c r="W58" i="16" s="1"/>
  <c r="Z58" i="16" s="1"/>
  <c r="J59" i="16"/>
  <c r="W59" i="16" s="1"/>
  <c r="Z59" i="16" s="1"/>
  <c r="J60" i="16"/>
  <c r="W60" i="16" s="1"/>
  <c r="Z60" i="16" s="1"/>
  <c r="J61" i="16"/>
  <c r="W61" i="16" s="1"/>
  <c r="Z61" i="16" s="1"/>
  <c r="J62" i="16"/>
  <c r="W62" i="16" s="1"/>
  <c r="Z62" i="16" s="1"/>
  <c r="J63" i="16"/>
  <c r="W63" i="16" s="1"/>
  <c r="Z63" i="16" s="1"/>
  <c r="J64" i="16"/>
  <c r="W64" i="16" s="1"/>
  <c r="Z64" i="16" s="1"/>
  <c r="J65" i="16"/>
  <c r="W65" i="16" s="1"/>
  <c r="Z65" i="16" s="1"/>
  <c r="J66" i="16"/>
  <c r="W66" i="16" s="1"/>
  <c r="Z66" i="16" s="1"/>
  <c r="J67" i="16"/>
  <c r="W67" i="16" s="1"/>
  <c r="Z67" i="16" s="1"/>
  <c r="J68" i="16"/>
  <c r="W68" i="16" s="1"/>
  <c r="Z68" i="16" s="1"/>
  <c r="J69" i="16"/>
  <c r="W69" i="16" s="1"/>
  <c r="Z69" i="16" s="1"/>
  <c r="J70" i="16"/>
  <c r="W70" i="16" s="1"/>
  <c r="Z70" i="16" s="1"/>
  <c r="J71" i="16"/>
  <c r="W71" i="16" s="1"/>
  <c r="Z71" i="16" s="1"/>
  <c r="J72" i="16"/>
  <c r="W72" i="16" s="1"/>
  <c r="Z72" i="16" s="1"/>
  <c r="J73" i="16"/>
  <c r="W73" i="16" s="1"/>
  <c r="Z73" i="16" s="1"/>
  <c r="J74" i="16"/>
  <c r="W74" i="16" s="1"/>
  <c r="Z74" i="16" s="1"/>
  <c r="J75" i="16"/>
  <c r="W75" i="16" s="1"/>
  <c r="Z75" i="16" s="1"/>
  <c r="J76" i="16"/>
  <c r="W76" i="16" s="1"/>
  <c r="Z76" i="16" s="1"/>
  <c r="J77" i="16"/>
  <c r="W77" i="16" s="1"/>
  <c r="Z77" i="16" s="1"/>
  <c r="J78" i="16"/>
  <c r="W78" i="16" s="1"/>
  <c r="Z78" i="16" s="1"/>
  <c r="J79" i="16"/>
  <c r="W79" i="16" s="1"/>
  <c r="Z79" i="16" s="1"/>
  <c r="J80" i="16"/>
  <c r="W80" i="16" s="1"/>
  <c r="Z80" i="16" s="1"/>
  <c r="J81" i="16"/>
  <c r="W81" i="16" s="1"/>
  <c r="Z81" i="16" s="1"/>
  <c r="J82" i="16"/>
  <c r="W82" i="16" s="1"/>
  <c r="Z82" i="16" s="1"/>
  <c r="J83" i="16"/>
  <c r="W83" i="16" s="1"/>
  <c r="Z83" i="16" s="1"/>
  <c r="J84" i="16"/>
  <c r="W84" i="16" s="1"/>
  <c r="Z84" i="16" s="1"/>
  <c r="J85" i="16"/>
  <c r="W85" i="16" s="1"/>
  <c r="Z85" i="16" s="1"/>
  <c r="J86" i="16"/>
  <c r="W86" i="16" s="1"/>
  <c r="Z86" i="16" s="1"/>
  <c r="J87" i="16"/>
  <c r="W87" i="16" s="1"/>
  <c r="Z87" i="16" s="1"/>
  <c r="J88" i="16"/>
  <c r="W88" i="16" s="1"/>
  <c r="Z88" i="16" s="1"/>
  <c r="J89" i="16"/>
  <c r="W89" i="16" s="1"/>
  <c r="Z89" i="16" s="1"/>
  <c r="J90" i="16"/>
  <c r="W90" i="16" s="1"/>
  <c r="Z90" i="16" s="1"/>
  <c r="J91" i="16"/>
  <c r="W91" i="16" s="1"/>
  <c r="Z91" i="16" s="1"/>
  <c r="J92" i="16"/>
  <c r="W92" i="16" s="1"/>
  <c r="Z92" i="16" s="1"/>
  <c r="J93" i="16"/>
  <c r="W93" i="16" s="1"/>
  <c r="Z93" i="16" s="1"/>
  <c r="J94" i="16"/>
  <c r="W94" i="16" s="1"/>
  <c r="Z94" i="16" s="1"/>
  <c r="J95" i="16"/>
  <c r="W95" i="16" s="1"/>
  <c r="Z95" i="16" s="1"/>
  <c r="J96" i="16"/>
  <c r="W96" i="16" s="1"/>
  <c r="Z96" i="16" s="1"/>
  <c r="J97" i="16"/>
  <c r="W97" i="16" s="1"/>
  <c r="Z97" i="16" s="1"/>
  <c r="J98" i="16"/>
  <c r="W98" i="16" s="1"/>
  <c r="Z98" i="16" s="1"/>
  <c r="J99" i="16"/>
  <c r="W99" i="16" s="1"/>
  <c r="Z99" i="16" s="1"/>
  <c r="J100" i="16"/>
  <c r="W100" i="16" s="1"/>
  <c r="Z100" i="16" s="1"/>
  <c r="J101" i="16"/>
  <c r="W101" i="16" s="1"/>
  <c r="Z101" i="16" s="1"/>
  <c r="J102" i="16"/>
  <c r="W102" i="16" s="1"/>
  <c r="Z102" i="16" s="1"/>
  <c r="J103" i="16"/>
  <c r="W103" i="16" s="1"/>
  <c r="Z103" i="16" s="1"/>
  <c r="J104" i="16"/>
  <c r="W104" i="16" s="1"/>
  <c r="Z104" i="16" s="1"/>
  <c r="J105" i="16"/>
  <c r="W105" i="16" s="1"/>
  <c r="Z105" i="16" s="1"/>
  <c r="J106" i="16"/>
  <c r="W106" i="16" s="1"/>
  <c r="Z106" i="16" s="1"/>
  <c r="J107" i="16"/>
  <c r="W107" i="16" s="1"/>
  <c r="Z107" i="16" s="1"/>
  <c r="J108" i="16"/>
  <c r="W108" i="16" s="1"/>
  <c r="Z108" i="16" s="1"/>
  <c r="J109" i="16"/>
  <c r="W109" i="16" s="1"/>
  <c r="Z109" i="16" s="1"/>
  <c r="J110" i="16"/>
  <c r="W110" i="16" s="1"/>
  <c r="Z110" i="16" s="1"/>
  <c r="J111" i="16"/>
  <c r="W111" i="16" s="1"/>
  <c r="Z111" i="16" s="1"/>
  <c r="J112" i="16"/>
  <c r="W112" i="16" s="1"/>
  <c r="Z112" i="16" s="1"/>
  <c r="J113" i="16"/>
  <c r="W113" i="16" s="1"/>
  <c r="Z113" i="16" s="1"/>
  <c r="J114" i="16"/>
  <c r="W114" i="16" s="1"/>
  <c r="Z114" i="16" s="1"/>
  <c r="J115" i="16"/>
  <c r="W115" i="16" s="1"/>
  <c r="Z115" i="16" s="1"/>
  <c r="J116" i="16"/>
  <c r="W116" i="16" s="1"/>
  <c r="Z116" i="16" s="1"/>
  <c r="J117" i="16"/>
  <c r="W117" i="16" s="1"/>
  <c r="Z117" i="16" s="1"/>
  <c r="J118" i="16"/>
  <c r="W118" i="16" s="1"/>
  <c r="Z118" i="16" s="1"/>
  <c r="J119" i="16"/>
  <c r="W119" i="16" s="1"/>
  <c r="Z119" i="16" s="1"/>
  <c r="J120" i="16"/>
  <c r="W120" i="16" s="1"/>
  <c r="Z120" i="16" s="1"/>
  <c r="J121" i="16"/>
  <c r="W121" i="16" s="1"/>
  <c r="Z121" i="16" s="1"/>
  <c r="J122" i="16"/>
  <c r="W122" i="16" s="1"/>
  <c r="Z122" i="16" s="1"/>
  <c r="J123" i="16"/>
  <c r="W123" i="16" s="1"/>
  <c r="Z123" i="16" s="1"/>
  <c r="J124" i="16"/>
  <c r="W124" i="16" s="1"/>
  <c r="Z124" i="16" s="1"/>
  <c r="J125" i="16"/>
  <c r="W125" i="16" s="1"/>
  <c r="Z125" i="16" s="1"/>
  <c r="J126" i="16"/>
  <c r="W126" i="16" s="1"/>
  <c r="Z126" i="16" s="1"/>
  <c r="J127" i="16"/>
  <c r="W127" i="16" s="1"/>
  <c r="Z127" i="16" s="1"/>
  <c r="J128" i="16"/>
  <c r="W128" i="16" s="1"/>
  <c r="Z128" i="16" s="1"/>
  <c r="J129" i="16"/>
  <c r="W129" i="16" s="1"/>
  <c r="Z129" i="16" s="1"/>
  <c r="J130" i="16"/>
  <c r="W130" i="16" s="1"/>
  <c r="Z130" i="16" s="1"/>
  <c r="J131" i="16"/>
  <c r="W131" i="16" s="1"/>
  <c r="Z131" i="16" s="1"/>
  <c r="J132" i="16"/>
  <c r="W132" i="16" s="1"/>
  <c r="Z132" i="16" s="1"/>
  <c r="J133" i="16"/>
  <c r="W133" i="16" s="1"/>
  <c r="Z133" i="16" s="1"/>
  <c r="J134" i="16"/>
  <c r="W134" i="16" s="1"/>
  <c r="Z134" i="16" s="1"/>
  <c r="J135" i="16"/>
  <c r="W135" i="16" s="1"/>
  <c r="Z135" i="16" s="1"/>
  <c r="J136" i="16"/>
  <c r="W136" i="16" s="1"/>
  <c r="Z136" i="16" s="1"/>
  <c r="J137" i="16"/>
  <c r="W137" i="16" s="1"/>
  <c r="Z137" i="16" s="1"/>
  <c r="J138" i="16"/>
  <c r="W138" i="16" s="1"/>
  <c r="Z138" i="16" s="1"/>
  <c r="J139" i="16"/>
  <c r="W139" i="16" s="1"/>
  <c r="Z139" i="16" s="1"/>
  <c r="J140" i="16"/>
  <c r="W140" i="16" s="1"/>
  <c r="Z140" i="16" s="1"/>
  <c r="J141" i="16"/>
  <c r="W141" i="16" s="1"/>
  <c r="Z141" i="16" s="1"/>
  <c r="J142" i="16"/>
  <c r="W142" i="16" s="1"/>
  <c r="Z142" i="16" s="1"/>
  <c r="J143" i="16"/>
  <c r="W143" i="16" s="1"/>
  <c r="Z143" i="16" s="1"/>
  <c r="J144" i="16"/>
  <c r="W144" i="16" s="1"/>
  <c r="Z144" i="16" s="1"/>
  <c r="J145" i="16"/>
  <c r="W145" i="16" s="1"/>
  <c r="Z145" i="16" s="1"/>
  <c r="J146" i="16"/>
  <c r="W146" i="16" s="1"/>
  <c r="Z146" i="16" s="1"/>
  <c r="J147" i="16"/>
  <c r="W147" i="16" s="1"/>
  <c r="Z147" i="16" s="1"/>
  <c r="J148" i="16"/>
  <c r="W148" i="16" s="1"/>
  <c r="Z148" i="16" s="1"/>
  <c r="J149" i="16"/>
  <c r="W149" i="16" s="1"/>
  <c r="Z149" i="16" s="1"/>
  <c r="J150" i="16"/>
  <c r="W150" i="16" s="1"/>
  <c r="Z150" i="16" s="1"/>
  <c r="J151" i="16"/>
  <c r="W151" i="16" s="1"/>
  <c r="Z151" i="16" s="1"/>
  <c r="J152" i="16"/>
  <c r="W152" i="16" s="1"/>
  <c r="Z152" i="16" s="1"/>
  <c r="J153" i="16"/>
  <c r="W153" i="16" s="1"/>
  <c r="Z153" i="16" s="1"/>
  <c r="J154" i="16"/>
  <c r="W154" i="16" s="1"/>
  <c r="Z154" i="16" s="1"/>
  <c r="J155" i="16"/>
  <c r="W155" i="16" s="1"/>
  <c r="Z155" i="16" s="1"/>
  <c r="J156" i="16"/>
  <c r="W156" i="16" s="1"/>
  <c r="Z156" i="16" s="1"/>
  <c r="J157" i="16"/>
  <c r="W157" i="16" s="1"/>
  <c r="Z157" i="16" s="1"/>
  <c r="J158" i="16"/>
  <c r="W158" i="16" s="1"/>
  <c r="Z158" i="16" s="1"/>
  <c r="J159" i="16"/>
  <c r="W159" i="16" s="1"/>
  <c r="Z159" i="16" s="1"/>
  <c r="J160" i="16"/>
  <c r="W160" i="16" s="1"/>
  <c r="Z160" i="16" s="1"/>
  <c r="J161" i="16"/>
  <c r="W161" i="16" s="1"/>
  <c r="Z161" i="16" s="1"/>
  <c r="J162" i="16"/>
  <c r="W162" i="16" s="1"/>
  <c r="Z162" i="16" s="1"/>
  <c r="J163" i="16"/>
  <c r="W163" i="16" s="1"/>
  <c r="Z163" i="16" s="1"/>
  <c r="J164" i="16"/>
  <c r="W164" i="16" s="1"/>
  <c r="Z164" i="16" s="1"/>
  <c r="J165" i="16"/>
  <c r="W165" i="16" s="1"/>
  <c r="Z165" i="16" s="1"/>
  <c r="J166" i="16"/>
  <c r="W166" i="16" s="1"/>
  <c r="Z166" i="16" s="1"/>
  <c r="J167" i="16"/>
  <c r="W167" i="16" s="1"/>
  <c r="Z167" i="16" s="1"/>
  <c r="J168" i="16"/>
  <c r="W168" i="16" s="1"/>
  <c r="Z168" i="16" s="1"/>
  <c r="J169" i="16"/>
  <c r="W169" i="16" s="1"/>
  <c r="Z169" i="16" s="1"/>
  <c r="J170" i="16"/>
  <c r="W170" i="16" s="1"/>
  <c r="Z170" i="16" s="1"/>
  <c r="J171" i="16"/>
  <c r="W171" i="16" s="1"/>
  <c r="Z171" i="16" s="1"/>
  <c r="J172" i="16"/>
  <c r="W172" i="16" s="1"/>
  <c r="Z172" i="16" s="1"/>
  <c r="J173" i="16"/>
  <c r="W173" i="16" s="1"/>
  <c r="Z173" i="16" s="1"/>
  <c r="J174" i="16"/>
  <c r="W174" i="16" s="1"/>
  <c r="Z174" i="16" s="1"/>
  <c r="J175" i="16"/>
  <c r="W175" i="16" s="1"/>
  <c r="Z175" i="16" s="1"/>
  <c r="J176" i="16"/>
  <c r="W176" i="16" s="1"/>
  <c r="Z176" i="16" s="1"/>
  <c r="J177" i="16"/>
  <c r="W177" i="16" s="1"/>
  <c r="Z177" i="16" s="1"/>
  <c r="J178" i="16"/>
  <c r="W178" i="16" s="1"/>
  <c r="Z178" i="16" s="1"/>
  <c r="J179" i="16"/>
  <c r="W179" i="16" s="1"/>
  <c r="Z179" i="16" s="1"/>
  <c r="J180" i="16"/>
  <c r="W180" i="16" s="1"/>
  <c r="Z180" i="16" s="1"/>
  <c r="J181" i="16"/>
  <c r="W181" i="16" s="1"/>
  <c r="Z181" i="16" s="1"/>
  <c r="J182" i="16"/>
  <c r="W182" i="16" s="1"/>
  <c r="Z182" i="16" s="1"/>
  <c r="J183" i="16"/>
  <c r="W183" i="16" s="1"/>
  <c r="Z183" i="16" s="1"/>
  <c r="J184" i="16"/>
  <c r="W184" i="16" s="1"/>
  <c r="Z184" i="16" s="1"/>
  <c r="W28" i="16"/>
  <c r="Z28" i="16" s="1"/>
  <c r="W24" i="16"/>
  <c r="Z24" i="16" s="1"/>
  <c r="E19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BE20" i="12"/>
  <c r="C20" i="12"/>
  <c r="C19" i="12"/>
  <c r="C92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L9" i="26" l="1"/>
  <c r="Y39" i="16"/>
  <c r="Z39" i="16"/>
  <c r="Y37" i="16"/>
  <c r="Z37" i="16"/>
  <c r="H9" i="26" s="1"/>
  <c r="Y38" i="16"/>
  <c r="Z38" i="16"/>
  <c r="L39" i="20"/>
  <c r="C15" i="31" s="1"/>
  <c r="E15" i="31" s="1"/>
  <c r="Y3" i="16"/>
  <c r="X179" i="16"/>
  <c r="Y179" i="16"/>
  <c r="X175" i="16"/>
  <c r="Y175" i="16"/>
  <c r="X167" i="16"/>
  <c r="Y167" i="16"/>
  <c r="X159" i="16"/>
  <c r="Y159" i="16"/>
  <c r="X151" i="16"/>
  <c r="Y151" i="16"/>
  <c r="X143" i="16"/>
  <c r="Y143" i="16"/>
  <c r="X135" i="16"/>
  <c r="Y135" i="16"/>
  <c r="X127" i="16"/>
  <c r="Y127" i="16"/>
  <c r="X123" i="16"/>
  <c r="Y123" i="16"/>
  <c r="X115" i="16"/>
  <c r="Y115" i="16"/>
  <c r="X107" i="16"/>
  <c r="Y107" i="16"/>
  <c r="X99" i="16"/>
  <c r="Y99" i="16"/>
  <c r="X91" i="16"/>
  <c r="Y91" i="16"/>
  <c r="X83" i="16"/>
  <c r="Y83" i="16"/>
  <c r="X75" i="16"/>
  <c r="Y75" i="16"/>
  <c r="X67" i="16"/>
  <c r="Y67" i="16"/>
  <c r="X59" i="16"/>
  <c r="Y59" i="16"/>
  <c r="X47" i="16"/>
  <c r="Y47" i="16"/>
  <c r="X35" i="16"/>
  <c r="Y35" i="16"/>
  <c r="X21" i="16"/>
  <c r="Y21" i="16"/>
  <c r="X5" i="16"/>
  <c r="Y5" i="16"/>
  <c r="X182" i="16"/>
  <c r="Y182" i="16"/>
  <c r="X170" i="16"/>
  <c r="Y170" i="16"/>
  <c r="X162" i="16"/>
  <c r="Y162" i="16"/>
  <c r="X154" i="16"/>
  <c r="Y154" i="16"/>
  <c r="X146" i="16"/>
  <c r="Y146" i="16"/>
  <c r="X138" i="16"/>
  <c r="Y138" i="16"/>
  <c r="X130" i="16"/>
  <c r="Y130" i="16"/>
  <c r="X122" i="16"/>
  <c r="Y122" i="16"/>
  <c r="X114" i="16"/>
  <c r="Y114" i="16"/>
  <c r="X106" i="16"/>
  <c r="Y106" i="16"/>
  <c r="X98" i="16"/>
  <c r="Y98" i="16"/>
  <c r="X90" i="16"/>
  <c r="Y90" i="16"/>
  <c r="X82" i="16"/>
  <c r="Y82" i="16"/>
  <c r="X74" i="16"/>
  <c r="Y74" i="16"/>
  <c r="X66" i="16"/>
  <c r="Y66" i="16"/>
  <c r="X58" i="16"/>
  <c r="Y58" i="16"/>
  <c r="X50" i="16"/>
  <c r="Y50" i="16"/>
  <c r="X46" i="16"/>
  <c r="Y46" i="16"/>
  <c r="X38" i="16"/>
  <c r="X34" i="16"/>
  <c r="Y34" i="16"/>
  <c r="X30" i="16"/>
  <c r="Y30" i="16"/>
  <c r="X25" i="16"/>
  <c r="Y25" i="16"/>
  <c r="X20" i="16"/>
  <c r="Y20" i="16"/>
  <c r="X16" i="16"/>
  <c r="Y16" i="16"/>
  <c r="X12" i="16"/>
  <c r="Y12" i="16"/>
  <c r="X8" i="16"/>
  <c r="Y8" i="16"/>
  <c r="X4" i="16"/>
  <c r="Y4" i="16"/>
  <c r="X28" i="16"/>
  <c r="Y28" i="16"/>
  <c r="X181" i="16"/>
  <c r="Y181" i="16"/>
  <c r="X177" i="16"/>
  <c r="Y177" i="16"/>
  <c r="X173" i="16"/>
  <c r="Y173" i="16"/>
  <c r="X169" i="16"/>
  <c r="Y169" i="16"/>
  <c r="X165" i="16"/>
  <c r="Y165" i="16"/>
  <c r="X161" i="16"/>
  <c r="Y161" i="16"/>
  <c r="X157" i="16"/>
  <c r="Y157" i="16"/>
  <c r="X153" i="16"/>
  <c r="Y153" i="16"/>
  <c r="X149" i="16"/>
  <c r="Y149" i="16"/>
  <c r="X145" i="16"/>
  <c r="Y145" i="16"/>
  <c r="X141" i="16"/>
  <c r="Y141" i="16"/>
  <c r="X137" i="16"/>
  <c r="Y137" i="16"/>
  <c r="X133" i="16"/>
  <c r="Y133" i="16"/>
  <c r="X129" i="16"/>
  <c r="Y129" i="16"/>
  <c r="X125" i="16"/>
  <c r="Y125" i="16"/>
  <c r="X121" i="16"/>
  <c r="Y121" i="16"/>
  <c r="X117" i="16"/>
  <c r="Y117" i="16"/>
  <c r="X113" i="16"/>
  <c r="Y113" i="16"/>
  <c r="X109" i="16"/>
  <c r="Y109" i="16"/>
  <c r="X105" i="16"/>
  <c r="Y105" i="16"/>
  <c r="X101" i="16"/>
  <c r="Y101" i="16"/>
  <c r="X97" i="16"/>
  <c r="Y97" i="16"/>
  <c r="X93" i="16"/>
  <c r="Y93" i="16"/>
  <c r="X89" i="16"/>
  <c r="Y89" i="16"/>
  <c r="X85" i="16"/>
  <c r="Y85" i="16"/>
  <c r="X81" i="16"/>
  <c r="Y81" i="16"/>
  <c r="X77" i="16"/>
  <c r="Y77" i="16"/>
  <c r="X73" i="16"/>
  <c r="Y73" i="16"/>
  <c r="X69" i="16"/>
  <c r="Y69" i="16"/>
  <c r="X65" i="16"/>
  <c r="Y65" i="16"/>
  <c r="X61" i="16"/>
  <c r="Y61" i="16"/>
  <c r="X57" i="16"/>
  <c r="Y57" i="16"/>
  <c r="X53" i="16"/>
  <c r="Y53" i="16"/>
  <c r="X49" i="16"/>
  <c r="Y49" i="16"/>
  <c r="X45" i="16"/>
  <c r="Y45" i="16"/>
  <c r="X41" i="16"/>
  <c r="Y41" i="16"/>
  <c r="X37" i="16"/>
  <c r="X33" i="16"/>
  <c r="Y33" i="16"/>
  <c r="X29" i="16"/>
  <c r="Y29" i="16"/>
  <c r="X23" i="16"/>
  <c r="Y23" i="16"/>
  <c r="X19" i="16"/>
  <c r="Y19" i="16"/>
  <c r="X15" i="16"/>
  <c r="Y15" i="16"/>
  <c r="X11" i="16"/>
  <c r="Y11" i="16"/>
  <c r="X7" i="16"/>
  <c r="Y7" i="16"/>
  <c r="X3" i="16"/>
  <c r="X183" i="16"/>
  <c r="Y183" i="16"/>
  <c r="X171" i="16"/>
  <c r="Y171" i="16"/>
  <c r="X163" i="16"/>
  <c r="Y163" i="16"/>
  <c r="X155" i="16"/>
  <c r="Y155" i="16"/>
  <c r="X147" i="16"/>
  <c r="Y147" i="16"/>
  <c r="X139" i="16"/>
  <c r="Y139" i="16"/>
  <c r="X131" i="16"/>
  <c r="Y131" i="16"/>
  <c r="X119" i="16"/>
  <c r="Y119" i="16"/>
  <c r="X111" i="16"/>
  <c r="Y111" i="16"/>
  <c r="X103" i="16"/>
  <c r="Y103" i="16"/>
  <c r="X95" i="16"/>
  <c r="Y95" i="16"/>
  <c r="X87" i="16"/>
  <c r="Y87" i="16"/>
  <c r="X79" i="16"/>
  <c r="Y79" i="16"/>
  <c r="X71" i="16"/>
  <c r="Y71" i="16"/>
  <c r="X63" i="16"/>
  <c r="Y63" i="16"/>
  <c r="X55" i="16"/>
  <c r="Y55" i="16"/>
  <c r="X51" i="16"/>
  <c r="Y51" i="16"/>
  <c r="X43" i="16"/>
  <c r="Y43" i="16"/>
  <c r="X39" i="16"/>
  <c r="X31" i="16"/>
  <c r="Y31" i="16"/>
  <c r="X26" i="16"/>
  <c r="Y26" i="16"/>
  <c r="X17" i="16"/>
  <c r="Y17" i="16"/>
  <c r="X13" i="16"/>
  <c r="Y13" i="16"/>
  <c r="X9" i="16"/>
  <c r="Y9" i="16"/>
  <c r="X24" i="16"/>
  <c r="Y24" i="16"/>
  <c r="X178" i="16"/>
  <c r="Y178" i="16"/>
  <c r="X174" i="16"/>
  <c r="Y174" i="16"/>
  <c r="X166" i="16"/>
  <c r="Y166" i="16"/>
  <c r="X158" i="16"/>
  <c r="Y158" i="16"/>
  <c r="X150" i="16"/>
  <c r="Y150" i="16"/>
  <c r="X142" i="16"/>
  <c r="Y142" i="16"/>
  <c r="X134" i="16"/>
  <c r="Y134" i="16"/>
  <c r="X126" i="16"/>
  <c r="Y126" i="16"/>
  <c r="X118" i="16"/>
  <c r="Y118" i="16"/>
  <c r="X110" i="16"/>
  <c r="Y110" i="16"/>
  <c r="X102" i="16"/>
  <c r="Y102" i="16"/>
  <c r="X94" i="16"/>
  <c r="Y94" i="16"/>
  <c r="X86" i="16"/>
  <c r="Y86" i="16"/>
  <c r="X78" i="16"/>
  <c r="Y78" i="16"/>
  <c r="X70" i="16"/>
  <c r="Y70" i="16"/>
  <c r="X62" i="16"/>
  <c r="Y62" i="16"/>
  <c r="X54" i="16"/>
  <c r="Y54" i="16"/>
  <c r="X42" i="16"/>
  <c r="Y42" i="16"/>
  <c r="X184" i="16"/>
  <c r="Y184" i="16"/>
  <c r="X180" i="16"/>
  <c r="Y180" i="16"/>
  <c r="X176" i="16"/>
  <c r="Y176" i="16"/>
  <c r="X172" i="16"/>
  <c r="Y172" i="16"/>
  <c r="X168" i="16"/>
  <c r="Y168" i="16"/>
  <c r="X164" i="16"/>
  <c r="Y164" i="16"/>
  <c r="X160" i="16"/>
  <c r="Y160" i="16"/>
  <c r="X156" i="16"/>
  <c r="Y156" i="16"/>
  <c r="X152" i="16"/>
  <c r="Y152" i="16"/>
  <c r="X148" i="16"/>
  <c r="Y148" i="16"/>
  <c r="X144" i="16"/>
  <c r="Y144" i="16"/>
  <c r="X140" i="16"/>
  <c r="Y140" i="16"/>
  <c r="X136" i="16"/>
  <c r="Y136" i="16"/>
  <c r="X132" i="16"/>
  <c r="Y132" i="16"/>
  <c r="X128" i="16"/>
  <c r="Y128" i="16"/>
  <c r="X124" i="16"/>
  <c r="Y124" i="16"/>
  <c r="X120" i="16"/>
  <c r="Y120" i="16"/>
  <c r="X116" i="16"/>
  <c r="Y116" i="16"/>
  <c r="X112" i="16"/>
  <c r="Y112" i="16"/>
  <c r="X108" i="16"/>
  <c r="Y108" i="16"/>
  <c r="X104" i="16"/>
  <c r="Y104" i="16"/>
  <c r="X100" i="16"/>
  <c r="Y100" i="16"/>
  <c r="X96" i="16"/>
  <c r="Y96" i="16"/>
  <c r="X92" i="16"/>
  <c r="Y92" i="16"/>
  <c r="X88" i="16"/>
  <c r="Y88" i="16"/>
  <c r="X84" i="16"/>
  <c r="Y84" i="16"/>
  <c r="X80" i="16"/>
  <c r="Y80" i="16"/>
  <c r="X76" i="16"/>
  <c r="Y76" i="16"/>
  <c r="X72" i="16"/>
  <c r="Y72" i="16"/>
  <c r="X68" i="16"/>
  <c r="Y68" i="16"/>
  <c r="X64" i="16"/>
  <c r="Y64" i="16"/>
  <c r="X60" i="16"/>
  <c r="Y60" i="16"/>
  <c r="X56" i="16"/>
  <c r="Y56" i="16"/>
  <c r="X52" i="16"/>
  <c r="Y52" i="16"/>
  <c r="X48" i="16"/>
  <c r="Y48" i="16"/>
  <c r="X44" i="16"/>
  <c r="Y44" i="16"/>
  <c r="X40" i="16"/>
  <c r="Y40" i="16"/>
  <c r="X36" i="16"/>
  <c r="Y36" i="16"/>
  <c r="X32" i="16"/>
  <c r="Y32" i="16"/>
  <c r="X27" i="16"/>
  <c r="Y27" i="16"/>
  <c r="X22" i="16"/>
  <c r="Y22" i="16"/>
  <c r="X18" i="16"/>
  <c r="Y18" i="16"/>
  <c r="X14" i="16"/>
  <c r="Y14" i="16"/>
  <c r="X10" i="16"/>
  <c r="Y10" i="16"/>
  <c r="X6" i="16"/>
  <c r="Y6" i="16"/>
  <c r="D7" i="28"/>
  <c r="D23" i="28"/>
  <c r="D34" i="28"/>
  <c r="D44" i="28"/>
  <c r="D55" i="28"/>
  <c r="D66" i="28"/>
  <c r="D76" i="28"/>
  <c r="D90" i="28"/>
  <c r="D106" i="28"/>
  <c r="D130" i="28"/>
  <c r="D154" i="28"/>
  <c r="D12" i="28"/>
  <c r="D18" i="28"/>
  <c r="D28" i="28"/>
  <c r="D39" i="28"/>
  <c r="D50" i="28"/>
  <c r="D60" i="28"/>
  <c r="D71" i="28"/>
  <c r="D82" i="28"/>
  <c r="D98" i="28"/>
  <c r="D114" i="28"/>
  <c r="D122" i="28"/>
  <c r="D138" i="28"/>
  <c r="D146" i="28"/>
  <c r="D162" i="28"/>
  <c r="D169" i="28"/>
  <c r="D165" i="28"/>
  <c r="D161" i="28"/>
  <c r="D157" i="28"/>
  <c r="D153" i="28"/>
  <c r="D149" i="28"/>
  <c r="D145" i="28"/>
  <c r="D141" i="28"/>
  <c r="D137" i="28"/>
  <c r="D133" i="28"/>
  <c r="D129" i="28"/>
  <c r="D125" i="28"/>
  <c r="D121" i="28"/>
  <c r="D117" i="28"/>
  <c r="D113" i="28"/>
  <c r="D109" i="28"/>
  <c r="D105" i="28"/>
  <c r="D101" i="28"/>
  <c r="D97" i="28"/>
  <c r="D93" i="28"/>
  <c r="D89" i="28"/>
  <c r="D85" i="28"/>
  <c r="D81" i="28"/>
  <c r="D77" i="28"/>
  <c r="D73" i="28"/>
  <c r="D69" i="28"/>
  <c r="D65" i="28"/>
  <c r="D61" i="28"/>
  <c r="D57" i="28"/>
  <c r="D53" i="28"/>
  <c r="D49" i="28"/>
  <c r="D45" i="28"/>
  <c r="D41" i="28"/>
  <c r="D37" i="28"/>
  <c r="D33" i="28"/>
  <c r="D29" i="28"/>
  <c r="D25" i="28"/>
  <c r="D21" i="28"/>
  <c r="D17" i="28"/>
  <c r="D13" i="28"/>
  <c r="D9" i="28"/>
  <c r="D5" i="28"/>
  <c r="D168" i="28"/>
  <c r="D164" i="28"/>
  <c r="D160" i="28"/>
  <c r="D156" i="28"/>
  <c r="D152" i="28"/>
  <c r="D148" i="28"/>
  <c r="D144" i="28"/>
  <c r="D140" i="28"/>
  <c r="D136" i="28"/>
  <c r="D132" i="28"/>
  <c r="D128" i="28"/>
  <c r="D124" i="28"/>
  <c r="D120" i="28"/>
  <c r="D116" i="28"/>
  <c r="D112" i="28"/>
  <c r="D108" i="28"/>
  <c r="D104" i="28"/>
  <c r="D100" i="28"/>
  <c r="D96" i="28"/>
  <c r="D92" i="28"/>
  <c r="D88" i="28"/>
  <c r="D84" i="28"/>
  <c r="D8" i="28"/>
  <c r="D14" i="28"/>
  <c r="D19" i="28"/>
  <c r="D24" i="28"/>
  <c r="D30" i="28"/>
  <c r="D35" i="28"/>
  <c r="D40" i="28"/>
  <c r="D46" i="28"/>
  <c r="D51" i="28"/>
  <c r="D56" i="28"/>
  <c r="D62" i="28"/>
  <c r="D67" i="28"/>
  <c r="D72" i="28"/>
  <c r="D78" i="28"/>
  <c r="D83" i="28"/>
  <c r="D91" i="28"/>
  <c r="D99" i="28"/>
  <c r="D107" i="28"/>
  <c r="D115" i="28"/>
  <c r="D123" i="28"/>
  <c r="D131" i="28"/>
  <c r="D139" i="28"/>
  <c r="D147" i="28"/>
  <c r="D155" i="28"/>
  <c r="D163" i="28"/>
  <c r="W2" i="16"/>
  <c r="W186" i="16" s="1"/>
  <c r="D4" i="28"/>
  <c r="D10" i="28"/>
  <c r="D15" i="28"/>
  <c r="D20" i="28"/>
  <c r="D26" i="28"/>
  <c r="D31" i="28"/>
  <c r="D36" i="28"/>
  <c r="D42" i="28"/>
  <c r="D47" i="28"/>
  <c r="D52" i="28"/>
  <c r="D58" i="28"/>
  <c r="D63" i="28"/>
  <c r="D68" i="28"/>
  <c r="D74" i="28"/>
  <c r="D79" i="28"/>
  <c r="D86" i="28"/>
  <c r="D94" i="28"/>
  <c r="D102" i="28"/>
  <c r="D110" i="28"/>
  <c r="D118" i="28"/>
  <c r="D126" i="28"/>
  <c r="D134" i="28"/>
  <c r="D142" i="28"/>
  <c r="D150" i="28"/>
  <c r="D158" i="28"/>
  <c r="D166" i="28"/>
  <c r="D6" i="28"/>
  <c r="D11" i="28"/>
  <c r="D16" i="28"/>
  <c r="D22" i="28"/>
  <c r="D27" i="28"/>
  <c r="D32" i="28"/>
  <c r="D38" i="28"/>
  <c r="D43" i="28"/>
  <c r="D48" i="28"/>
  <c r="D54" i="28"/>
  <c r="D59" i="28"/>
  <c r="D64" i="28"/>
  <c r="D70" i="28"/>
  <c r="D75" i="28"/>
  <c r="D80" i="28"/>
  <c r="D87" i="28"/>
  <c r="D95" i="28"/>
  <c r="D103" i="28"/>
  <c r="D111" i="28"/>
  <c r="D119" i="28"/>
  <c r="D127" i="28"/>
  <c r="D135" i="28"/>
  <c r="D143" i="28"/>
  <c r="D151" i="28"/>
  <c r="D159" i="28"/>
  <c r="D167" i="28"/>
  <c r="F9" i="26" l="1"/>
  <c r="B9" i="26"/>
  <c r="J9" i="26"/>
  <c r="D9" i="26"/>
  <c r="Y2" i="16"/>
  <c r="Z2" i="16"/>
  <c r="W190" i="16"/>
  <c r="X2" i="16"/>
  <c r="X186" i="16" s="1"/>
  <c r="L11" i="26"/>
  <c r="F12" i="26"/>
  <c r="B12" i="26"/>
  <c r="J12" i="26" l="1"/>
  <c r="Z186" i="16"/>
  <c r="P9" i="26"/>
  <c r="Y186" i="16"/>
  <c r="N9" i="26"/>
  <c r="D11" i="26"/>
  <c r="H11" i="26"/>
  <c r="N12" i="26" l="1"/>
  <c r="A4" i="24"/>
  <c r="A7" i="24"/>
  <c r="BB234" i="12"/>
  <c r="A10" i="24" s="1"/>
  <c r="BB230" i="12"/>
  <c r="BB232" i="12"/>
  <c r="BB233" i="12"/>
  <c r="BB227" i="12"/>
  <c r="BB223" i="12"/>
  <c r="BB222" i="12"/>
  <c r="BB220" i="12"/>
  <c r="BB225" i="12"/>
  <c r="A11" i="24" l="1"/>
  <c r="C11" i="24" s="1"/>
  <c r="L14" i="26" s="1"/>
  <c r="C10" i="24"/>
  <c r="J14" i="26" s="1"/>
  <c r="J29" i="25"/>
  <c r="K29" i="25" s="1"/>
  <c r="H33" i="25"/>
  <c r="F33" i="25"/>
  <c r="E33" i="25"/>
  <c r="J33" i="25"/>
  <c r="I32" i="25"/>
  <c r="I33" i="25" s="1"/>
  <c r="G32" i="25"/>
  <c r="K31" i="25"/>
  <c r="G31" i="25"/>
  <c r="K30" i="25"/>
  <c r="G30" i="25"/>
  <c r="G29" i="25"/>
  <c r="G6" i="25"/>
  <c r="G5" i="25"/>
  <c r="G4" i="25"/>
  <c r="G13" i="25"/>
  <c r="G12" i="25"/>
  <c r="G23" i="25"/>
  <c r="G22" i="25"/>
  <c r="G21" i="25"/>
  <c r="G20" i="25"/>
  <c r="K23" i="25"/>
  <c r="K22" i="25"/>
  <c r="K21" i="25"/>
  <c r="K20" i="25"/>
  <c r="K19" i="25"/>
  <c r="J24" i="25"/>
  <c r="I23" i="25"/>
  <c r="I24" i="25"/>
  <c r="K6" i="25"/>
  <c r="K5" i="25"/>
  <c r="J4" i="25"/>
  <c r="I4" i="25"/>
  <c r="I7" i="25" s="1"/>
  <c r="F7" i="25"/>
  <c r="E7" i="25"/>
  <c r="H7" i="25"/>
  <c r="G19" i="25"/>
  <c r="H24" i="25"/>
  <c r="F24" i="25"/>
  <c r="E24" i="25"/>
  <c r="H34" i="14"/>
  <c r="H33" i="14"/>
  <c r="H31" i="14"/>
  <c r="H29" i="14"/>
  <c r="H28" i="14"/>
  <c r="H26" i="14"/>
  <c r="H24" i="14"/>
  <c r="H23" i="14"/>
  <c r="H19" i="14"/>
  <c r="H18" i="14"/>
  <c r="H17" i="14"/>
  <c r="H16" i="14"/>
  <c r="H14" i="14"/>
  <c r="H13" i="14"/>
  <c r="F15" i="14"/>
  <c r="G15" i="14"/>
  <c r="G39" i="14"/>
  <c r="F39" i="14"/>
  <c r="E39" i="14"/>
  <c r="G38" i="14"/>
  <c r="F38" i="14"/>
  <c r="E38" i="14"/>
  <c r="H38" i="14" s="1"/>
  <c r="G37" i="14"/>
  <c r="F37" i="14"/>
  <c r="E37" i="14"/>
  <c r="G36" i="14"/>
  <c r="F36" i="14"/>
  <c r="E36" i="14"/>
  <c r="G35" i="14"/>
  <c r="F35" i="14"/>
  <c r="E35" i="14"/>
  <c r="G30" i="14"/>
  <c r="F30" i="14"/>
  <c r="E30" i="14"/>
  <c r="G25" i="14"/>
  <c r="F25" i="14"/>
  <c r="E25" i="14"/>
  <c r="G20" i="14"/>
  <c r="F20" i="14"/>
  <c r="E20" i="14"/>
  <c r="E15" i="14"/>
  <c r="D12" i="14"/>
  <c r="D37" i="14" s="1"/>
  <c r="D11" i="14"/>
  <c r="H11" i="14" s="1"/>
  <c r="D20" i="14"/>
  <c r="D30" i="14"/>
  <c r="D35" i="14"/>
  <c r="D39" i="14"/>
  <c r="D38" i="14"/>
  <c r="D22" i="14"/>
  <c r="H22" i="14" s="1"/>
  <c r="D21" i="14"/>
  <c r="D25" i="14" s="1"/>
  <c r="C39" i="14"/>
  <c r="C38" i="14"/>
  <c r="C20" i="14"/>
  <c r="C27" i="14"/>
  <c r="H27" i="14" s="1"/>
  <c r="C32" i="14"/>
  <c r="H32" i="14" s="1"/>
  <c r="C12" i="14"/>
  <c r="H12" i="14" s="1"/>
  <c r="C11" i="14"/>
  <c r="C21" i="14"/>
  <c r="C25" i="14" s="1"/>
  <c r="K13" i="25"/>
  <c r="N5" i="26" l="1"/>
  <c r="N6" i="26" s="1"/>
  <c r="J17" i="19"/>
  <c r="J5" i="19"/>
  <c r="B5" i="26"/>
  <c r="H39" i="14"/>
  <c r="H21" i="14"/>
  <c r="H25" i="14" s="1"/>
  <c r="J13" i="19"/>
  <c r="J5" i="26"/>
  <c r="G33" i="25"/>
  <c r="K4" i="25"/>
  <c r="G7" i="25"/>
  <c r="K24" i="25"/>
  <c r="K32" i="25"/>
  <c r="K33" i="25" s="1"/>
  <c r="K7" i="25"/>
  <c r="J7" i="25"/>
  <c r="G24" i="25"/>
  <c r="H30" i="14"/>
  <c r="G40" i="14"/>
  <c r="H20" i="14"/>
  <c r="H35" i="14"/>
  <c r="E40" i="14"/>
  <c r="C15" i="14"/>
  <c r="F40" i="14"/>
  <c r="C36" i="14"/>
  <c r="D36" i="14"/>
  <c r="D40" i="14" s="1"/>
  <c r="D15" i="14"/>
  <c r="C37" i="14"/>
  <c r="H37" i="14" s="1"/>
  <c r="C30" i="14"/>
  <c r="C35" i="14"/>
  <c r="J6" i="26" l="1"/>
  <c r="B6" i="26"/>
  <c r="K17" i="19"/>
  <c r="L17" i="19"/>
  <c r="J18" i="19"/>
  <c r="L5" i="19"/>
  <c r="J6" i="19"/>
  <c r="L6" i="19" s="1"/>
  <c r="L13" i="19"/>
  <c r="J14" i="19"/>
  <c r="K13" i="19"/>
  <c r="H36" i="14"/>
  <c r="H40" i="14" s="1"/>
  <c r="C40" i="14"/>
  <c r="H15" i="14"/>
  <c r="M17" i="19" l="1"/>
  <c r="N17" i="19" s="1"/>
  <c r="L18" i="19"/>
  <c r="K18" i="19"/>
  <c r="M13" i="19"/>
  <c r="N13" i="19" s="1"/>
  <c r="L14" i="19"/>
  <c r="K14" i="19"/>
  <c r="J12" i="25"/>
  <c r="J14" i="25" s="1"/>
  <c r="I12" i="25"/>
  <c r="M18" i="19" l="1"/>
  <c r="N18" i="19" s="1"/>
  <c r="M14" i="19"/>
  <c r="N14" i="19" s="1"/>
  <c r="K12" i="25"/>
  <c r="K14" i="25" s="1"/>
  <c r="I14" i="25"/>
  <c r="E14" i="25"/>
  <c r="F14" i="25"/>
  <c r="G14" i="25"/>
  <c r="H14" i="25"/>
  <c r="F5" i="26" l="1"/>
  <c r="F6" i="26" s="1"/>
  <c r="J9" i="19"/>
  <c r="G12" i="2"/>
  <c r="G11" i="2"/>
  <c r="G7" i="2"/>
  <c r="G6" i="2"/>
  <c r="E12" i="2"/>
  <c r="H12" i="2" s="1"/>
  <c r="E11" i="2"/>
  <c r="A8" i="24"/>
  <c r="C8" i="24" s="1"/>
  <c r="H14" i="26" s="1"/>
  <c r="C7" i="24"/>
  <c r="F14" i="26" s="1"/>
  <c r="D4" i="24"/>
  <c r="D8" i="24" s="1"/>
  <c r="L9" i="19" l="1"/>
  <c r="J10" i="19"/>
  <c r="L10" i="19" s="1"/>
  <c r="H11" i="2"/>
  <c r="H13" i="2" s="1"/>
  <c r="E8" i="24"/>
  <c r="H19" i="26" s="1"/>
  <c r="E13" i="2"/>
  <c r="D5" i="24"/>
  <c r="D7" i="24"/>
  <c r="E7" i="24" l="1"/>
  <c r="F19" i="26" s="1"/>
  <c r="D10" i="24"/>
  <c r="D11" i="24"/>
  <c r="E11" i="24" s="1"/>
  <c r="L19" i="26" s="1"/>
  <c r="K9" i="19"/>
  <c r="M9" i="19" s="1"/>
  <c r="N9" i="19" s="1"/>
  <c r="E10" i="24" l="1"/>
  <c r="J19" i="26" s="1"/>
  <c r="D13" i="24"/>
  <c r="D14" i="24"/>
  <c r="K10" i="19"/>
  <c r="M10" i="19" l="1"/>
  <c r="N10" i="19" s="1"/>
  <c r="BF214" i="12"/>
  <c r="BF213" i="12"/>
  <c r="BF212" i="12"/>
  <c r="C9" i="22" l="1"/>
  <c r="E9" i="22" s="1"/>
  <c r="G9" i="22" s="1"/>
  <c r="C8" i="22"/>
  <c r="C34" i="22" l="1"/>
  <c r="C35" i="22" s="1"/>
  <c r="N20" i="26" s="1"/>
  <c r="C37" i="22"/>
  <c r="C43" i="22"/>
  <c r="E8" i="22"/>
  <c r="G25" i="19"/>
  <c r="G33" i="19" s="1"/>
  <c r="G26" i="19"/>
  <c r="D34" i="19"/>
  <c r="C34" i="19"/>
  <c r="C33" i="19"/>
  <c r="B34" i="19"/>
  <c r="B33" i="19"/>
  <c r="D33" i="19"/>
  <c r="C36" i="22" l="1"/>
  <c r="P20" i="26" s="1"/>
  <c r="C51" i="22"/>
  <c r="C45" i="22"/>
  <c r="G8" i="22"/>
  <c r="E25" i="19"/>
  <c r="E33" i="19" s="1"/>
  <c r="C39" i="19" s="1"/>
  <c r="C46" i="19" s="1"/>
  <c r="F33" i="19"/>
  <c r="B39" i="19" s="1"/>
  <c r="B46" i="19" s="1"/>
  <c r="G34" i="19"/>
  <c r="F34" i="19"/>
  <c r="B40" i="19" s="1"/>
  <c r="B47" i="19" s="1"/>
  <c r="E26" i="19"/>
  <c r="E34" i="19" s="1"/>
  <c r="C53" i="22" l="1"/>
  <c r="E53" i="22" s="1"/>
  <c r="E51" i="22" s="1"/>
  <c r="G51" i="22" s="1"/>
  <c r="H51" i="22" s="1"/>
  <c r="C59" i="22"/>
  <c r="C61" i="22" s="1"/>
  <c r="E45" i="22"/>
  <c r="E43" i="22" s="1"/>
  <c r="C40" i="19"/>
  <c r="C47" i="19" s="1"/>
  <c r="B41" i="19"/>
  <c r="B48" i="19" l="1"/>
  <c r="B5" i="31"/>
  <c r="D5" i="31" s="1"/>
  <c r="G43" i="22"/>
  <c r="H43" i="22" s="1"/>
  <c r="E61" i="22"/>
  <c r="E59" i="22" s="1"/>
  <c r="G59" i="22" s="1"/>
  <c r="H59" i="22" s="1"/>
  <c r="L69" i="22"/>
  <c r="C41" i="19"/>
  <c r="Q25" i="9"/>
  <c r="F12" i="2" s="1"/>
  <c r="K12" i="2" s="1"/>
  <c r="L12" i="2" s="1"/>
  <c r="Q24" i="9"/>
  <c r="F11" i="2" s="1"/>
  <c r="Q23" i="7"/>
  <c r="F7" i="2" s="1"/>
  <c r="Q24" i="6"/>
  <c r="F6" i="2" s="1"/>
  <c r="BD207" i="12"/>
  <c r="BC207" i="12"/>
  <c r="BB215" i="12" s="1"/>
  <c r="BC215" i="12" s="1"/>
  <c r="BB207" i="12"/>
  <c r="BA207" i="12"/>
  <c r="AZ207" i="12"/>
  <c r="AY207" i="12"/>
  <c r="AX207" i="12"/>
  <c r="AW207" i="12"/>
  <c r="AV207" i="12"/>
  <c r="AU207" i="12"/>
  <c r="AT207" i="12"/>
  <c r="AS207" i="12"/>
  <c r="AR207" i="12"/>
  <c r="AQ207" i="12"/>
  <c r="AP207" i="12"/>
  <c r="AO207" i="12"/>
  <c r="AN207" i="12"/>
  <c r="AM207" i="12"/>
  <c r="AL207" i="12"/>
  <c r="AK207" i="12"/>
  <c r="AJ207" i="12"/>
  <c r="AI207" i="12"/>
  <c r="AH207" i="12"/>
  <c r="AG207" i="12"/>
  <c r="AF207" i="12"/>
  <c r="AE207" i="12"/>
  <c r="AD207" i="12"/>
  <c r="AC207" i="12"/>
  <c r="AB207" i="12"/>
  <c r="AA207" i="12"/>
  <c r="Z207" i="12"/>
  <c r="Y207" i="12"/>
  <c r="X207" i="12"/>
  <c r="W207" i="12"/>
  <c r="V207" i="12"/>
  <c r="U207" i="12"/>
  <c r="T207" i="12"/>
  <c r="S207" i="12"/>
  <c r="R207" i="12"/>
  <c r="Q207" i="12"/>
  <c r="P207" i="12"/>
  <c r="O207" i="12"/>
  <c r="N207" i="12"/>
  <c r="M207" i="12"/>
  <c r="L207" i="12"/>
  <c r="K207" i="12"/>
  <c r="J207" i="12"/>
  <c r="I207" i="12"/>
  <c r="H207" i="12"/>
  <c r="G207" i="12"/>
  <c r="F207" i="12"/>
  <c r="E207" i="12"/>
  <c r="BD167" i="12"/>
  <c r="BC167" i="12"/>
  <c r="BB214" i="12" s="1"/>
  <c r="BC214" i="12" s="1"/>
  <c r="BB167" i="12"/>
  <c r="BA167" i="12"/>
  <c r="AZ167" i="12"/>
  <c r="AY167" i="12"/>
  <c r="AX167" i="12"/>
  <c r="AW167" i="12"/>
  <c r="AV167" i="12"/>
  <c r="AU167" i="12"/>
  <c r="AT167" i="12"/>
  <c r="AS167" i="12"/>
  <c r="AR167" i="12"/>
  <c r="AQ167" i="12"/>
  <c r="AP167" i="12"/>
  <c r="AO167" i="12"/>
  <c r="AN167" i="12"/>
  <c r="AM167" i="12"/>
  <c r="AL167" i="12"/>
  <c r="AK167" i="12"/>
  <c r="AJ167" i="12"/>
  <c r="AI167" i="12"/>
  <c r="AH167" i="12"/>
  <c r="AG167" i="12"/>
  <c r="AF167" i="12"/>
  <c r="AE167" i="12"/>
  <c r="AD167" i="12"/>
  <c r="AC167" i="12"/>
  <c r="AB167" i="12"/>
  <c r="AA167" i="12"/>
  <c r="Z167" i="12"/>
  <c r="Y167" i="12"/>
  <c r="X167" i="12"/>
  <c r="W167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BD91" i="12"/>
  <c r="BD208" i="12" s="1"/>
  <c r="C6" i="32" s="1"/>
  <c r="C9" i="32" s="1"/>
  <c r="BC91" i="12"/>
  <c r="BC210" i="12" s="1"/>
  <c r="BB91" i="12"/>
  <c r="BB208" i="12" s="1"/>
  <c r="BA91" i="12"/>
  <c r="BA208" i="12" s="1"/>
  <c r="AZ91" i="12"/>
  <c r="AZ208" i="12" s="1"/>
  <c r="AY91" i="12"/>
  <c r="AY208" i="12" s="1"/>
  <c r="AX91" i="12"/>
  <c r="AX208" i="12" s="1"/>
  <c r="AW91" i="12"/>
  <c r="AW208" i="12" s="1"/>
  <c r="AV91" i="12"/>
  <c r="AV208" i="12" s="1"/>
  <c r="AU91" i="12"/>
  <c r="AU208" i="12" s="1"/>
  <c r="AT91" i="12"/>
  <c r="AT208" i="12" s="1"/>
  <c r="AS91" i="12"/>
  <c r="AS208" i="12" s="1"/>
  <c r="AR91" i="12"/>
  <c r="AR208" i="12" s="1"/>
  <c r="AQ91" i="12"/>
  <c r="AQ208" i="12" s="1"/>
  <c r="AP91" i="12"/>
  <c r="AP208" i="12" s="1"/>
  <c r="AO91" i="12"/>
  <c r="AO208" i="12" s="1"/>
  <c r="AN91" i="12"/>
  <c r="AN208" i="12" s="1"/>
  <c r="AM91" i="12"/>
  <c r="AM208" i="12" s="1"/>
  <c r="AL91" i="12"/>
  <c r="AL208" i="12" s="1"/>
  <c r="AK91" i="12"/>
  <c r="AK208" i="12" s="1"/>
  <c r="AJ91" i="12"/>
  <c r="AJ208" i="12" s="1"/>
  <c r="AI91" i="12"/>
  <c r="AI208" i="12" s="1"/>
  <c r="AH91" i="12"/>
  <c r="AH208" i="12" s="1"/>
  <c r="AG91" i="12"/>
  <c r="AG208" i="12" s="1"/>
  <c r="AF91" i="12"/>
  <c r="AF208" i="12" s="1"/>
  <c r="AE91" i="12"/>
  <c r="AE208" i="12" s="1"/>
  <c r="AD91" i="12"/>
  <c r="AD208" i="12" s="1"/>
  <c r="AC91" i="12"/>
  <c r="AC208" i="12" s="1"/>
  <c r="AB91" i="12"/>
  <c r="AB208" i="12" s="1"/>
  <c r="AA91" i="12"/>
  <c r="AA208" i="12" s="1"/>
  <c r="Z91" i="12"/>
  <c r="Z208" i="12" s="1"/>
  <c r="Y91" i="12"/>
  <c r="Y208" i="12" s="1"/>
  <c r="X91" i="12"/>
  <c r="X208" i="12" s="1"/>
  <c r="W91" i="12"/>
  <c r="W208" i="12" s="1"/>
  <c r="V91" i="12"/>
  <c r="V208" i="12" s="1"/>
  <c r="U91" i="12"/>
  <c r="U208" i="12" s="1"/>
  <c r="T91" i="12"/>
  <c r="T208" i="12" s="1"/>
  <c r="S91" i="12"/>
  <c r="S208" i="12" s="1"/>
  <c r="R91" i="12"/>
  <c r="R208" i="12" s="1"/>
  <c r="Q91" i="12"/>
  <c r="Q208" i="12" s="1"/>
  <c r="P91" i="12"/>
  <c r="P208" i="12" s="1"/>
  <c r="O91" i="12"/>
  <c r="O208" i="12" s="1"/>
  <c r="N91" i="12"/>
  <c r="N208" i="12" s="1"/>
  <c r="M91" i="12"/>
  <c r="M208" i="12" s="1"/>
  <c r="L91" i="12"/>
  <c r="L208" i="12" s="1"/>
  <c r="K91" i="12"/>
  <c r="K208" i="12" s="1"/>
  <c r="J91" i="12"/>
  <c r="J208" i="12" s="1"/>
  <c r="I91" i="12"/>
  <c r="I208" i="12" s="1"/>
  <c r="H91" i="12"/>
  <c r="H208" i="12" s="1"/>
  <c r="G91" i="12"/>
  <c r="G208" i="12" s="1"/>
  <c r="F91" i="12"/>
  <c r="F208" i="12" s="1"/>
  <c r="E91" i="12"/>
  <c r="E208" i="12" s="1"/>
  <c r="E7" i="2"/>
  <c r="H7" i="2" s="1"/>
  <c r="E6" i="2"/>
  <c r="H6" i="2" s="1"/>
  <c r="H11" i="4"/>
  <c r="G11" i="4"/>
  <c r="F11" i="4"/>
  <c r="D10" i="4"/>
  <c r="C10" i="4"/>
  <c r="E9" i="4"/>
  <c r="D9" i="4"/>
  <c r="C9" i="4"/>
  <c r="E8" i="4"/>
  <c r="D8" i="4"/>
  <c r="D11" i="4" s="1"/>
  <c r="C8" i="4"/>
  <c r="C11" i="4" s="1"/>
  <c r="F79" i="16"/>
  <c r="E79" i="16"/>
  <c r="F78" i="16"/>
  <c r="E78" i="16"/>
  <c r="F163" i="16"/>
  <c r="E163" i="16"/>
  <c r="F162" i="16"/>
  <c r="E162" i="16"/>
  <c r="F156" i="16"/>
  <c r="E156" i="16"/>
  <c r="F155" i="16"/>
  <c r="E155" i="16"/>
  <c r="F154" i="16"/>
  <c r="E154" i="16"/>
  <c r="F153" i="16"/>
  <c r="E153" i="16"/>
  <c r="F184" i="16"/>
  <c r="E184" i="16"/>
  <c r="F183" i="16"/>
  <c r="E183" i="16"/>
  <c r="F6" i="16"/>
  <c r="E6" i="16"/>
  <c r="F5" i="16"/>
  <c r="E5" i="16"/>
  <c r="F15" i="16"/>
  <c r="E15" i="16"/>
  <c r="F14" i="16"/>
  <c r="E14" i="16"/>
  <c r="F45" i="16"/>
  <c r="E45" i="16"/>
  <c r="F44" i="16"/>
  <c r="E44" i="16"/>
  <c r="F43" i="16"/>
  <c r="E43" i="16"/>
  <c r="F42" i="16"/>
  <c r="E42" i="16"/>
  <c r="F13" i="16"/>
  <c r="E13" i="16"/>
  <c r="F12" i="16"/>
  <c r="E12" i="16"/>
  <c r="F167" i="16"/>
  <c r="E167" i="16"/>
  <c r="F166" i="16"/>
  <c r="E166" i="16"/>
  <c r="F109" i="16"/>
  <c r="E109" i="16"/>
  <c r="F108" i="16"/>
  <c r="E108" i="16"/>
  <c r="F159" i="16"/>
  <c r="E159" i="16"/>
  <c r="F158" i="16"/>
  <c r="E158" i="16"/>
  <c r="F157" i="16"/>
  <c r="E157" i="16"/>
  <c r="F124" i="16"/>
  <c r="E124" i="16"/>
  <c r="F123" i="16"/>
  <c r="E123" i="16"/>
  <c r="F122" i="16"/>
  <c r="E122" i="16"/>
  <c r="F3" i="16"/>
  <c r="E3" i="16"/>
  <c r="F4" i="16"/>
  <c r="E4" i="16"/>
  <c r="F72" i="16"/>
  <c r="E72" i="16"/>
  <c r="F71" i="16"/>
  <c r="E71" i="16"/>
  <c r="F70" i="16"/>
  <c r="E70" i="16"/>
  <c r="F69" i="16"/>
  <c r="E69" i="16"/>
  <c r="F36" i="16"/>
  <c r="E36" i="16"/>
  <c r="F68" i="16"/>
  <c r="E68" i="16"/>
  <c r="F67" i="16"/>
  <c r="E67" i="16"/>
  <c r="F152" i="16"/>
  <c r="E152" i="16"/>
  <c r="F151" i="16"/>
  <c r="E151" i="16"/>
  <c r="F150" i="16"/>
  <c r="E150" i="16"/>
  <c r="F121" i="16"/>
  <c r="E121" i="16"/>
  <c r="F107" i="16"/>
  <c r="E107" i="16"/>
  <c r="F106" i="16"/>
  <c r="E106" i="16"/>
  <c r="F105" i="16"/>
  <c r="E105" i="16"/>
  <c r="F104" i="16"/>
  <c r="E104" i="16"/>
  <c r="F103" i="16"/>
  <c r="E103" i="16"/>
  <c r="F102" i="16"/>
  <c r="E102" i="16"/>
  <c r="F101" i="16"/>
  <c r="E101" i="16"/>
  <c r="F100" i="16"/>
  <c r="E100" i="16"/>
  <c r="F99" i="16"/>
  <c r="E99" i="16"/>
  <c r="F98" i="16"/>
  <c r="E98" i="16"/>
  <c r="F97" i="16"/>
  <c r="E97" i="16"/>
  <c r="F96" i="16"/>
  <c r="E96" i="16"/>
  <c r="F149" i="16"/>
  <c r="E149" i="16"/>
  <c r="F148" i="16"/>
  <c r="E148" i="16"/>
  <c r="F147" i="16"/>
  <c r="E147" i="16"/>
  <c r="F7" i="16"/>
  <c r="E7" i="16"/>
  <c r="F77" i="16"/>
  <c r="E77" i="16"/>
  <c r="F76" i="16"/>
  <c r="E76" i="16"/>
  <c r="F11" i="16"/>
  <c r="E11" i="16"/>
  <c r="F10" i="16"/>
  <c r="E10" i="16"/>
  <c r="F41" i="16"/>
  <c r="E41" i="16"/>
  <c r="F40" i="16"/>
  <c r="E40" i="16"/>
  <c r="F182" i="16"/>
  <c r="E182" i="16"/>
  <c r="F181" i="16"/>
  <c r="E181" i="16"/>
  <c r="F180" i="16"/>
  <c r="E180" i="16"/>
  <c r="F114" i="16"/>
  <c r="E114" i="16"/>
  <c r="F113" i="16"/>
  <c r="E113" i="16"/>
  <c r="F112" i="16"/>
  <c r="E112" i="16"/>
  <c r="F66" i="16"/>
  <c r="E66" i="16"/>
  <c r="F65" i="16"/>
  <c r="E65" i="16"/>
  <c r="F64" i="16"/>
  <c r="E64" i="16"/>
  <c r="F35" i="16"/>
  <c r="E35" i="16"/>
  <c r="F63" i="16"/>
  <c r="E63" i="16"/>
  <c r="F62" i="16"/>
  <c r="E62" i="16"/>
  <c r="F146" i="16"/>
  <c r="E146" i="16"/>
  <c r="F145" i="16"/>
  <c r="E145" i="16"/>
  <c r="F144" i="16"/>
  <c r="E144" i="16"/>
  <c r="F30" i="16"/>
  <c r="E30" i="16"/>
  <c r="F29" i="16"/>
  <c r="E29" i="16"/>
  <c r="F28" i="16"/>
  <c r="E28" i="16"/>
  <c r="F27" i="16"/>
  <c r="E27" i="16"/>
  <c r="F25" i="16"/>
  <c r="E25" i="16"/>
  <c r="F24" i="16"/>
  <c r="E24" i="16"/>
  <c r="F23" i="16"/>
  <c r="E23" i="16"/>
  <c r="F22" i="16"/>
  <c r="E22" i="16"/>
  <c r="F26" i="16"/>
  <c r="E26" i="16"/>
  <c r="F21" i="16"/>
  <c r="E21" i="16"/>
  <c r="F143" i="16"/>
  <c r="E143" i="16"/>
  <c r="F142" i="16"/>
  <c r="E142" i="16"/>
  <c r="F2" i="16"/>
  <c r="E2" i="16"/>
  <c r="F61" i="16"/>
  <c r="E61" i="16"/>
  <c r="F60" i="16"/>
  <c r="E60" i="16"/>
  <c r="F59" i="16"/>
  <c r="E59" i="16"/>
  <c r="F34" i="16"/>
  <c r="E34" i="16"/>
  <c r="F46" i="16"/>
  <c r="E46" i="16"/>
  <c r="F161" i="16"/>
  <c r="E161" i="16"/>
  <c r="F160" i="16"/>
  <c r="E160" i="16"/>
  <c r="F117" i="16"/>
  <c r="E117" i="16"/>
  <c r="F179" i="16"/>
  <c r="E179" i="16"/>
  <c r="F178" i="16"/>
  <c r="E178" i="16"/>
  <c r="F58" i="16"/>
  <c r="E58" i="16"/>
  <c r="F57" i="16"/>
  <c r="E57" i="16"/>
  <c r="F56" i="16"/>
  <c r="E56" i="16"/>
  <c r="F20" i="16"/>
  <c r="E20" i="16"/>
  <c r="F19" i="16"/>
  <c r="E19" i="16"/>
  <c r="F18" i="16"/>
  <c r="E18" i="16"/>
  <c r="F17" i="16"/>
  <c r="E17" i="16"/>
  <c r="F16" i="16"/>
  <c r="E16" i="16"/>
  <c r="F33" i="16"/>
  <c r="E33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55" i="16"/>
  <c r="E55" i="16"/>
  <c r="F54" i="16"/>
  <c r="E54" i="16"/>
  <c r="F53" i="16"/>
  <c r="E53" i="16"/>
  <c r="F32" i="16"/>
  <c r="E32" i="16"/>
  <c r="F135" i="16"/>
  <c r="E135" i="16"/>
  <c r="F134" i="16"/>
  <c r="E134" i="16"/>
  <c r="F133" i="16"/>
  <c r="E133" i="16"/>
  <c r="F95" i="16"/>
  <c r="E95" i="16"/>
  <c r="F94" i="16"/>
  <c r="E94" i="16"/>
  <c r="F93" i="16"/>
  <c r="E93" i="16"/>
  <c r="F92" i="16"/>
  <c r="E92" i="16"/>
  <c r="F91" i="16"/>
  <c r="E91" i="16"/>
  <c r="F90" i="16"/>
  <c r="E90" i="16"/>
  <c r="F75" i="16"/>
  <c r="E75" i="16"/>
  <c r="F74" i="16"/>
  <c r="E74" i="16"/>
  <c r="F89" i="16"/>
  <c r="E89" i="16"/>
  <c r="F88" i="16"/>
  <c r="E88" i="16"/>
  <c r="F87" i="16"/>
  <c r="E87" i="16"/>
  <c r="F86" i="16"/>
  <c r="E86" i="16"/>
  <c r="F85" i="16"/>
  <c r="E85" i="16"/>
  <c r="F84" i="16"/>
  <c r="E84" i="16"/>
  <c r="F83" i="16"/>
  <c r="E83" i="16"/>
  <c r="F82" i="16"/>
  <c r="E82" i="16"/>
  <c r="F9" i="16"/>
  <c r="E9" i="16"/>
  <c r="F8" i="16"/>
  <c r="E8" i="16"/>
  <c r="F177" i="16"/>
  <c r="E177" i="16"/>
  <c r="F176" i="16"/>
  <c r="E176" i="16"/>
  <c r="F175" i="16"/>
  <c r="E175" i="16"/>
  <c r="F174" i="16"/>
  <c r="E174" i="16"/>
  <c r="F116" i="16"/>
  <c r="E116" i="16"/>
  <c r="F115" i="16"/>
  <c r="E115" i="16"/>
  <c r="F52" i="16"/>
  <c r="E52" i="16"/>
  <c r="F51" i="16"/>
  <c r="E51" i="16"/>
  <c r="F50" i="16"/>
  <c r="E50" i="16"/>
  <c r="F31" i="16"/>
  <c r="E31" i="16"/>
  <c r="F49" i="16"/>
  <c r="E49" i="16"/>
  <c r="F48" i="16"/>
  <c r="E48" i="16"/>
  <c r="F47" i="16"/>
  <c r="E47" i="16"/>
  <c r="F132" i="16"/>
  <c r="E132" i="16"/>
  <c r="F131" i="16"/>
  <c r="E131" i="16"/>
  <c r="F130" i="16"/>
  <c r="E130" i="16"/>
  <c r="F129" i="16"/>
  <c r="E129" i="16"/>
  <c r="F128" i="16"/>
  <c r="E128" i="16"/>
  <c r="F127" i="16"/>
  <c r="E127" i="16"/>
  <c r="F126" i="16"/>
  <c r="E126" i="16"/>
  <c r="F125" i="16"/>
  <c r="E125" i="16"/>
  <c r="E7" i="14"/>
  <c r="D7" i="14"/>
  <c r="C7" i="14"/>
  <c r="B7" i="14"/>
  <c r="F6" i="14"/>
  <c r="F5" i="14"/>
  <c r="F4" i="14"/>
  <c r="F3" i="14"/>
  <c r="F2" i="14"/>
  <c r="Q26" i="9" l="1"/>
  <c r="K11" i="2"/>
  <c r="L11" i="2" s="1"/>
  <c r="L13" i="2" s="1"/>
  <c r="F13" i="2"/>
  <c r="H9" i="2"/>
  <c r="H15" i="2" s="1"/>
  <c r="C13" i="32" s="1"/>
  <c r="C48" i="19"/>
  <c r="C5" i="31"/>
  <c r="E5" i="31" s="1"/>
  <c r="E11" i="4"/>
  <c r="I10" i="4"/>
  <c r="I9" i="4"/>
  <c r="BI217" i="12"/>
  <c r="BC208" i="12"/>
  <c r="C12" i="32" s="1"/>
  <c r="F7" i="14"/>
  <c r="F9" i="2"/>
  <c r="E9" i="2"/>
  <c r="BB213" i="12"/>
  <c r="C6" i="22"/>
  <c r="I8" i="4"/>
  <c r="T186" i="16"/>
  <c r="F15" i="2" l="1"/>
  <c r="C14" i="32" s="1"/>
  <c r="K9" i="2"/>
  <c r="L9" i="2" s="1"/>
  <c r="L15" i="2" s="1"/>
  <c r="E12" i="32"/>
  <c r="D12" i="32"/>
  <c r="C17" i="32"/>
  <c r="C19" i="32" s="1"/>
  <c r="I11" i="4"/>
  <c r="E15" i="2"/>
  <c r="D9" i="2"/>
  <c r="C24" i="22"/>
  <c r="BC213" i="12"/>
  <c r="BC216" i="12" s="1"/>
  <c r="D7" i="32" s="1"/>
  <c r="BB216" i="12"/>
  <c r="A5" i="24"/>
  <c r="C5" i="24" s="1"/>
  <c r="A13" i="24"/>
  <c r="E5" i="24"/>
  <c r="D19" i="26" s="1"/>
  <c r="D14" i="26"/>
  <c r="BF210" i="12"/>
  <c r="C4" i="24"/>
  <c r="E6" i="22"/>
  <c r="E24" i="22" s="1"/>
  <c r="C7" i="22"/>
  <c r="K5" i="19"/>
  <c r="D23" i="32" l="1"/>
  <c r="D12" i="2"/>
  <c r="D11" i="2"/>
  <c r="H16" i="2"/>
  <c r="J17" i="26"/>
  <c r="B17" i="26"/>
  <c r="F17" i="26"/>
  <c r="N17" i="26"/>
  <c r="D9" i="32"/>
  <c r="E7" i="32"/>
  <c r="E9" i="32" s="1"/>
  <c r="E17" i="32"/>
  <c r="D17" i="32"/>
  <c r="A14" i="24"/>
  <c r="C14" i="24" s="1"/>
  <c r="C13" i="24"/>
  <c r="P10" i="26"/>
  <c r="D10" i="26"/>
  <c r="E4" i="24"/>
  <c r="B19" i="26" s="1"/>
  <c r="B14" i="26"/>
  <c r="M5" i="19"/>
  <c r="N5" i="19" s="1"/>
  <c r="K6" i="19"/>
  <c r="C10" i="22"/>
  <c r="C11" i="22"/>
  <c r="G6" i="22"/>
  <c r="E7" i="22"/>
  <c r="J18" i="26" l="1"/>
  <c r="B18" i="26"/>
  <c r="F18" i="26"/>
  <c r="N18" i="26"/>
  <c r="D25" i="32"/>
  <c r="E23" i="32"/>
  <c r="E25" i="32" s="1"/>
  <c r="E19" i="32"/>
  <c r="E20" i="32" s="1"/>
  <c r="D19" i="32"/>
  <c r="D20" i="32" s="1"/>
  <c r="D12" i="26"/>
  <c r="D17" i="26"/>
  <c r="D18" i="26"/>
  <c r="P12" i="26"/>
  <c r="P17" i="26"/>
  <c r="P18" i="26"/>
  <c r="G7" i="22"/>
  <c r="G10" i="22" s="1"/>
  <c r="G24" i="22"/>
  <c r="N14" i="26"/>
  <c r="E13" i="24"/>
  <c r="N19" i="26" s="1"/>
  <c r="P14" i="26"/>
  <c r="E14" i="24"/>
  <c r="P19" i="26" s="1"/>
  <c r="H10" i="26"/>
  <c r="L10" i="26"/>
  <c r="C12" i="22"/>
  <c r="D10" i="22" s="1"/>
  <c r="C15" i="22" s="1"/>
  <c r="E10" i="22"/>
  <c r="E11" i="22"/>
  <c r="M6" i="19"/>
  <c r="N6" i="19" s="1"/>
  <c r="L12" i="26" l="1"/>
  <c r="L17" i="26"/>
  <c r="L18" i="26"/>
  <c r="H12" i="26"/>
  <c r="H17" i="26"/>
  <c r="H18" i="26"/>
  <c r="G11" i="22"/>
  <c r="G12" i="22" s="1"/>
  <c r="H10" i="22" s="1"/>
  <c r="G15" i="22" s="1"/>
  <c r="D11" i="22"/>
  <c r="C16" i="22" s="1"/>
  <c r="C20" i="22" s="1"/>
  <c r="E12" i="22"/>
  <c r="F11" i="22" s="1"/>
  <c r="E16" i="22" s="1"/>
  <c r="E20" i="22" s="1"/>
  <c r="C19" i="22"/>
  <c r="C17" i="22" l="1"/>
  <c r="C21" i="22"/>
  <c r="B20" i="26" s="1"/>
  <c r="H11" i="22"/>
  <c r="G16" i="22" s="1"/>
  <c r="G20" i="22" s="1"/>
  <c r="F10" i="22"/>
  <c r="E15" i="22" s="1"/>
  <c r="E17" i="22" s="1"/>
  <c r="G19" i="22"/>
  <c r="F20" i="26" l="1"/>
  <c r="J20" i="26"/>
  <c r="G21" i="22"/>
  <c r="G17" i="22"/>
  <c r="E19" i="22"/>
  <c r="E21" i="22" s="1"/>
  <c r="D20" i="26" l="1"/>
  <c r="H20" i="26"/>
  <c r="L20" i="26"/>
  <c r="J21" i="26" l="1"/>
  <c r="L21" i="26"/>
  <c r="F21" i="26"/>
  <c r="D21" i="26"/>
  <c r="H21" i="26"/>
  <c r="B21" i="26"/>
  <c r="N21" i="26"/>
  <c r="P21" i="26"/>
</calcChain>
</file>

<file path=xl/sharedStrings.xml><?xml version="1.0" encoding="utf-8"?>
<sst xmlns="http://schemas.openxmlformats.org/spreadsheetml/2006/main" count="4680" uniqueCount="1124">
  <si>
    <t>EDO Street Lighting Expenditures - LGE and KU</t>
  </si>
  <si>
    <t>Actuals - 2013-2015</t>
  </si>
  <si>
    <t>Budget - 2016-2018</t>
  </si>
  <si>
    <t>($000s)</t>
  </si>
  <si>
    <t>Actuals</t>
  </si>
  <si>
    <t>Budget</t>
  </si>
  <si>
    <t>OPEX/Capital</t>
  </si>
  <si>
    <t>Category</t>
  </si>
  <si>
    <t>OPEX</t>
  </si>
  <si>
    <t>Maintain</t>
  </si>
  <si>
    <t>Capital</t>
  </si>
  <si>
    <t>New Business</t>
  </si>
  <si>
    <t>Total</t>
  </si>
  <si>
    <t>KU</t>
  </si>
  <si>
    <t>KENTUCKY UTILITIES COMPANY</t>
  </si>
  <si>
    <t>Beginning</t>
  </si>
  <si>
    <t>Transfers/</t>
  </si>
  <si>
    <t>Ending</t>
  </si>
  <si>
    <t>Total Plant in Service</t>
  </si>
  <si>
    <t>Balance</t>
  </si>
  <si>
    <t>Additions</t>
  </si>
  <si>
    <t>Retirements</t>
  </si>
  <si>
    <t>Adjustments</t>
  </si>
  <si>
    <t>Net Additions</t>
  </si>
  <si>
    <t>Reserve</t>
  </si>
  <si>
    <t>Net Book Value</t>
  </si>
  <si>
    <t>TOTAL 101 &amp; 106</t>
  </si>
  <si>
    <t>Plant in Service</t>
  </si>
  <si>
    <t>Electric Distribution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</si>
  <si>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</si>
  <si>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</si>
  <si>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</si>
  <si>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</si>
  <si>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</si>
  <si>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</si>
  <si>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</si>
  <si>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</si>
  <si>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</si>
  <si>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</si>
  <si>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</si>
  <si>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E370.01-Meters AMS</t>
  </si>
  <si>
    <t>E371.00-Install on Customer Premise</t>
  </si>
  <si>
    <t>E373.00-Street Lighting / Signal Sy</t>
  </si>
  <si>
    <t>E374.05-ARO Cost Elec Dist (L/B)</t>
  </si>
  <si>
    <t>E374.07-ARO Cost Elec Dist (Eqp)</t>
  </si>
  <si>
    <t>Electric General Plant</t>
  </si>
  <si>
    <t>E389.20-Land</t>
  </si>
  <si>
    <t>E390.10-Structures and Improvements</t>
  </si>
  <si>
    <t>E390.20-Improvements to Leased Property</t>
  </si>
  <si>
    <t>E391.10-Office Equipment</t>
  </si>
  <si>
    <t>E391.20-Non PC Computer Equipment</t>
  </si>
  <si>
    <t>E391.30-Cash Processing Equipment</t>
  </si>
  <si>
    <t>E391.31-Personal Computers</t>
  </si>
  <si>
    <t>E392.00-Cars and Light Trucks</t>
  </si>
  <si>
    <t>E392.10-Heavy Trucks and Other</t>
  </si>
  <si>
    <t>E393.00-Stores Equipment</t>
  </si>
  <si>
    <t>E394.00-Tools, Shop, and Garage Equ</t>
  </si>
  <si>
    <t>E395.00-Laboratory Equipment</t>
  </si>
  <si>
    <t>E396.00-Power Op Equip - Lg Mach</t>
  </si>
  <si>
    <t>E397.00- Microwave, Fiber, Other</t>
  </si>
  <si>
    <t>E397.10-Comm Eq Radio and Telephone</t>
  </si>
  <si>
    <t>E397.20-DSM Communication Equipment</t>
  </si>
  <si>
    <t>E398.00-Miscellaneous Equipment</t>
  </si>
  <si>
    <t>Electric Hydro Production</t>
  </si>
  <si>
    <t>E330.10-Land Rights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</si>
  <si>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</si>
  <si>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</si>
  <si>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</si>
  <si>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</si>
  <si>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</si>
  <si>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</si>
  <si>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</si>
  <si>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Electric Intangible Plant</t>
  </si>
  <si>
    <t>E301.00-Organization</t>
  </si>
  <si>
    <t>E302.00-Franchises and Consents</t>
  </si>
  <si>
    <t>E303.00-Misc Intangible Plant</t>
  </si>
  <si>
    <t>E303.10-CCS Software</t>
  </si>
  <si>
    <t>Electric Other Production</t>
  </si>
  <si>
    <t>E340.10-Land Rights</t>
  </si>
  <si>
    <t>E340.20-Land</t>
  </si>
  <si>
    <t>E341.00-Structures and Improvements</t>
  </si>
  <si>
    <t>E342.00-Fuel Holders, Producers, Ac</t>
  </si>
  <si>
    <t>E342.01-AROP Fuel Holders, Prod, Ac</t>
  </si>
  <si>
    <t>E343.00-Prime Movers</t>
  </si>
  <si>
    <t>E344.00-Generators</t>
  </si>
  <si>
    <t>E345.00-Accessory Electric Equipmen</t>
  </si>
  <si>
    <t>E345.01-AROP Accessory Electric Equipmen</t>
  </si>
  <si>
    <t>E346.00-Misc Power Plant Equipment</t>
  </si>
  <si>
    <t>E347.07-ARO Cost Other Prod (Eqp)</t>
  </si>
  <si>
    <t>Electric Steam Production</t>
  </si>
  <si>
    <t>E310.20-Land</t>
  </si>
  <si>
    <t>E311.00-Structures and Improvements</t>
  </si>
  <si>
    <t xml:space="preserve">E311.01-AROP Structures and Improv </t>
  </si>
  <si>
    <t>E312.00-Boiler Plant Equipment</t>
  </si>
  <si>
    <t>E312.01-AROP Boiler Plant Equipment</t>
  </si>
  <si>
    <t>E314.00-Turbogenerator Units</t>
  </si>
  <si>
    <t>E314.01-AROP Turbogenerator Units</t>
  </si>
  <si>
    <t>E315.00-Accessory Electric Equipmen</t>
  </si>
  <si>
    <t>E315.01-AROP Accessory Electric Equipmen</t>
  </si>
  <si>
    <t>E316.00-Misc Power Plant Equip</t>
  </si>
  <si>
    <t>E317.07-ARO Cost Steam (Eqp)</t>
  </si>
  <si>
    <t>Electric Transmission</t>
  </si>
  <si>
    <t>E350.10-Land Rights</t>
  </si>
  <si>
    <t>E350.20-Land</t>
  </si>
  <si>
    <t>E352.10-Struct &amp; Imp-Non Sys Contro</t>
  </si>
  <si>
    <t>E352.20-Struct &amp; Imp-Sys Control/Co</t>
  </si>
  <si>
    <t>E353.10-Station Equipment - Non Sys</t>
  </si>
  <si>
    <t>E353.11-AROP Station Equip Non Sys</t>
  </si>
  <si>
    <t>E353.20-Station Equip-Sys Control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</si>
  <si>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</si>
  <si>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</si>
  <si>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</si>
  <si>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</si>
  <si>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</si>
  <si>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</si>
  <si>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</si>
  <si>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Total Plant in Service - KY</t>
  </si>
  <si>
    <t>KENTUCKY - TOTAL PLANT IN SERVICE - ELECTRIC - NBV - REGULATORY ACCOUNTING</t>
  </si>
  <si>
    <t>depr</t>
  </si>
  <si>
    <t>VIRGINIA - TOTAL PLANT IN SERVICE - ELECTRIC - NBV - REGULATORY ACCOUNTING</t>
  </si>
  <si>
    <t>E390.20-Structures and Improvements</t>
  </si>
  <si>
    <t>E391.20-Non PC Computer Equipmen</t>
  </si>
  <si>
    <t>E358.00-Underground Conductors a</t>
  </si>
  <si>
    <t>Total Plant in Service - Electric - VA</t>
  </si>
  <si>
    <t>TENNESSEE - TOTAL PLANT IN SERVICE - ELECTRIC - NBV - REGULATORY ACCOUNTING</t>
  </si>
  <si>
    <t>E367.00-Underground Conductors a</t>
  </si>
  <si>
    <t>Total Plant in Service - Electric - TN</t>
  </si>
  <si>
    <t>LOUISVILLE GAS &amp; ELECTRIC COMPANY</t>
  </si>
  <si>
    <t>TOTAL COMPANY PLANT IN SERVICE - ELECTRIC - NBV -REGULATORY ACCOUNTING</t>
  </si>
  <si>
    <t>KENTUCKY &amp; INDIANA</t>
  </si>
  <si>
    <t>Total 101 &amp; 106</t>
  </si>
  <si>
    <t>Distribution</t>
  </si>
  <si>
    <t>E369.10-Underground Services</t>
  </si>
  <si>
    <t>E369.20-Overhead Services</t>
  </si>
  <si>
    <t>E370.01-AMS Meters</t>
  </si>
  <si>
    <t>E373.10-Overhead Street Lighting</t>
  </si>
  <si>
    <t>E373.20-Underground Street Lighting</t>
  </si>
  <si>
    <t>E373.40-Street Lighting Transformer</t>
  </si>
  <si>
    <t>E374.07-ARO Cost Elect Dist (Eqp)</t>
  </si>
  <si>
    <t>General</t>
  </si>
  <si>
    <t>E392.20-Transportation  - Trailers</t>
  </si>
  <si>
    <t>E396.10-Power Op Equip-Lg Mach</t>
  </si>
  <si>
    <t>E396.20-Power Op  Equip-Other</t>
  </si>
  <si>
    <t>Hydro</t>
  </si>
  <si>
    <t>E330.20-Land</t>
  </si>
  <si>
    <t>Intangible</t>
  </si>
  <si>
    <t>Other Production</t>
  </si>
  <si>
    <t>E347.05-ARO Cost Other Prod (L/B)</t>
  </si>
  <si>
    <t>Steam Production</t>
  </si>
  <si>
    <t>E310.25-Land ECR 2005</t>
  </si>
  <si>
    <t>E310.26-Land ECR 2011</t>
  </si>
  <si>
    <t>Total Electric Plant in Service</t>
  </si>
  <si>
    <t>Est Depr</t>
  </si>
  <si>
    <t>ODP</t>
  </si>
  <si>
    <t>Tenn</t>
  </si>
  <si>
    <t>LG&amp;E</t>
  </si>
  <si>
    <t>NBV</t>
  </si>
  <si>
    <t>Annual Depreciation</t>
  </si>
  <si>
    <t>Company</t>
  </si>
  <si>
    <t>Total KU</t>
  </si>
  <si>
    <t>Total KU/LG&amp;E</t>
  </si>
  <si>
    <t>Average (3 year actual/3 year budget)</t>
  </si>
  <si>
    <t>Street Light  (1373) Net Book Value at 6/30/2016</t>
  </si>
  <si>
    <t>Overall Result</t>
  </si>
  <si>
    <t>Result</t>
  </si>
  <si>
    <t>Excess Facilities ODL</t>
  </si>
  <si>
    <t>ODUM_828</t>
  </si>
  <si>
    <t>Electric Excess Facilities</t>
  </si>
  <si>
    <t>ODUM_825</t>
  </si>
  <si>
    <t>POLT 489: HPS Directional 50000L - UtlEx</t>
  </si>
  <si>
    <t>ODUM_489UE</t>
  </si>
  <si>
    <t>POLT 489: HPS Directional 50000L - TaxEx</t>
  </si>
  <si>
    <t>ODUM_489TE</t>
  </si>
  <si>
    <t>POLT 489: HPS Directional 50,000L - Ind</t>
  </si>
  <si>
    <t>ODUM_489I</t>
  </si>
  <si>
    <t>POLT 489: HPS Directional 50,000L - Com</t>
  </si>
  <si>
    <t>ODUM_489C</t>
  </si>
  <si>
    <t>POLT 489: HPS Directional 50,000L - Res</t>
  </si>
  <si>
    <t>ODUM_489</t>
  </si>
  <si>
    <t>POLT 488: HPS Directional 22000L - TaxEx</t>
  </si>
  <si>
    <t>ODUM_488TE</t>
  </si>
  <si>
    <t>POLT 488: HPS Directional 22,000L - Com</t>
  </si>
  <si>
    <t>ODUM_488C</t>
  </si>
  <si>
    <t>POLT 488: HPS Directional 22,000L - Res</t>
  </si>
  <si>
    <t>ODUM_488</t>
  </si>
  <si>
    <t>POLT 487: HPS Directional 9500L - Tax Ex</t>
  </si>
  <si>
    <t>ODUM_487TE</t>
  </si>
  <si>
    <t>POLT 487: HPS Directional 9,500L - Com</t>
  </si>
  <si>
    <t>ODUM_487C</t>
  </si>
  <si>
    <t>POLT 487: HPS Directional 9,500L - Res</t>
  </si>
  <si>
    <t>ODUM_487</t>
  </si>
  <si>
    <t>50,000 Lumen HP Sodium Ornamental</t>
  </si>
  <si>
    <t>ODUM_475</t>
  </si>
  <si>
    <t>22,000 Lumen HP Sodium Ornamental</t>
  </si>
  <si>
    <t>ODUM_474</t>
  </si>
  <si>
    <t>9,500 Lumen HP Sodium Ornamental</t>
  </si>
  <si>
    <t>ODUM_473</t>
  </si>
  <si>
    <t>5,800 Lumen HP Sodium Ornamental</t>
  </si>
  <si>
    <t>ODUM_472</t>
  </si>
  <si>
    <t>50,000 Lumen HP Sodium Standard</t>
  </si>
  <si>
    <t>ODUM_465</t>
  </si>
  <si>
    <t>22,000 Lumen HP Sodium Standard</t>
  </si>
  <si>
    <t>ODUM_464</t>
  </si>
  <si>
    <t>9,500 Lumen HP Sodium Standard</t>
  </si>
  <si>
    <t>ODUM_463</t>
  </si>
  <si>
    <t>5,800 Lumen HP Sodium Standard</t>
  </si>
  <si>
    <t>ODUM_462</t>
  </si>
  <si>
    <t>7,000 Lumen Mercury Vapor Ornamental</t>
  </si>
  <si>
    <t>ODUM_456</t>
  </si>
  <si>
    <t>7,000 Lumen Mercury Vapor Standard</t>
  </si>
  <si>
    <t>ODUM_446</t>
  </si>
  <si>
    <t>POLT 429: HPS Cobra Head 22000L - Tax Ex</t>
  </si>
  <si>
    <t>ODUM_429TE</t>
  </si>
  <si>
    <t>POLT 429: HPS Cobra Head 22,000L - Ind</t>
  </si>
  <si>
    <t>ODUM_429I</t>
  </si>
  <si>
    <t>POLT 429: HPS Cobra Head 22,000L - Com</t>
  </si>
  <si>
    <t>ODUM_429C</t>
  </si>
  <si>
    <t>POLT 429: HPS Cobra Head 22,000L - Res</t>
  </si>
  <si>
    <t>ODUM_429</t>
  </si>
  <si>
    <t>POLT 428: HPS Yard Type 9,500L - Utl Ex</t>
  </si>
  <si>
    <t>ODUM_428UE</t>
  </si>
  <si>
    <t>POLT 428: HPS Yard Type 9,500L - Tax Ex</t>
  </si>
  <si>
    <t>ODUM_428TE</t>
  </si>
  <si>
    <t>POLT 428: HPS Yard Type 9,500L - Ind</t>
  </si>
  <si>
    <t>ODUM_428I</t>
  </si>
  <si>
    <t>POLT 428: HPS Yard Type 9,500L - Com</t>
  </si>
  <si>
    <t>ODUM_428C</t>
  </si>
  <si>
    <t>POLT 428: HPS Yard Type 9,500L - Res</t>
  </si>
  <si>
    <t>ODUM_428</t>
  </si>
  <si>
    <t>POLT 407: HPS Cobra Head 50000L - Tax Ex</t>
  </si>
  <si>
    <t>ODUM_407TE</t>
  </si>
  <si>
    <t>POLT 407: HPS Cobra Head 50,000L - Res</t>
  </si>
  <si>
    <t>ODUM_407</t>
  </si>
  <si>
    <t>POLT 406: MV Open Bottom 7,000L - Utl Ex</t>
  </si>
  <si>
    <t>ODUM_406UE</t>
  </si>
  <si>
    <t>POLT 406: MV Open Bottom 7,000L - Tax Ex</t>
  </si>
  <si>
    <t>ODUM_406TE</t>
  </si>
  <si>
    <t>POLT 406: MV Open Bottom 7,000L - Ind</t>
  </si>
  <si>
    <t>ODUM_406I</t>
  </si>
  <si>
    <t>POLT 406: MV Open Bottom 7,000L - Com</t>
  </si>
  <si>
    <t>ODUM_406C</t>
  </si>
  <si>
    <t>POLT 406: MV Open Bottom 7,000L - Res</t>
  </si>
  <si>
    <t>ODUM_406</t>
  </si>
  <si>
    <t>LS 484: UG MH Contemporary 107800L Deco</t>
  </si>
  <si>
    <t>LGUM_484</t>
  </si>
  <si>
    <t>LS 483: UG MH Contemporary 107800L Fix</t>
  </si>
  <si>
    <t>LGUM_483</t>
  </si>
  <si>
    <t>LS 482: UG MH Contemporary 32000L Deco</t>
  </si>
  <si>
    <t>LGUM_482</t>
  </si>
  <si>
    <t>LS 481: UG MH Contemporary 32000L Fix</t>
  </si>
  <si>
    <t>LGUM_481</t>
  </si>
  <si>
    <t>LS 480: UG MH Contemporary 12000L Deco</t>
  </si>
  <si>
    <t>LGUM_480</t>
  </si>
  <si>
    <t>RLS 477: OH MH Directional 107800L Wood</t>
  </si>
  <si>
    <t>LGUM_477</t>
  </si>
  <si>
    <t>LS 476: OH MH Directional 107800L Fix</t>
  </si>
  <si>
    <t>LGUM_476</t>
  </si>
  <si>
    <t>RLS 475: OH MH Directional 32000L Metal</t>
  </si>
  <si>
    <t>LGUM_475</t>
  </si>
  <si>
    <t>RLS 474: OH MH Directional 32000L Wood</t>
  </si>
  <si>
    <t>LGUM_474</t>
  </si>
  <si>
    <t>LS 473: OH MH Directional 32000L Fixture</t>
  </si>
  <si>
    <t>LGUM_473</t>
  </si>
  <si>
    <t>RLS 471: OH MH Directional 12000L Wood</t>
  </si>
  <si>
    <t>LGUM_471</t>
  </si>
  <si>
    <t>LS 470: OH MH Directional 12000L Fixture</t>
  </si>
  <si>
    <t>LGUM_470</t>
  </si>
  <si>
    <t>RETIRED: RLS 458: OH MV Cobra 8000L Fixt</t>
  </si>
  <si>
    <t>LGUM_458</t>
  </si>
  <si>
    <t>LS 457: OH HPS Open Bottom 9500L Fixture</t>
  </si>
  <si>
    <t>LGUM_457</t>
  </si>
  <si>
    <t>LS 456: OH HPS Directional 50000L Fix</t>
  </si>
  <si>
    <t>LGUM_456</t>
  </si>
  <si>
    <t>LS 455: OH HPS Directional 16000L Fix</t>
  </si>
  <si>
    <t>LGUM_455</t>
  </si>
  <si>
    <t>LS 454: OH HPS Cobra Head 50000L Fixture</t>
  </si>
  <si>
    <t>LGUM_454</t>
  </si>
  <si>
    <t>LS 453: OH HPS Cobra Head 28500L Fixture</t>
  </si>
  <si>
    <t>LGUM_453</t>
  </si>
  <si>
    <t>LS 452: OH HPS Cobra Head 16000L Fixture</t>
  </si>
  <si>
    <t>LGUM_452</t>
  </si>
  <si>
    <t>LS 445: UG HPS Acorn 16000L Decorative</t>
  </si>
  <si>
    <t>LGUM_445</t>
  </si>
  <si>
    <t>LS 444: UG HPS Colonial 4-Sided 16000L</t>
  </si>
  <si>
    <t>LGUM_444</t>
  </si>
  <si>
    <t>LS 441: UG HPS Contemporary 50000L Fix</t>
  </si>
  <si>
    <t>LGUM_441</t>
  </si>
  <si>
    <t>LS 440: UG HPS Contemporary 28500L Fix</t>
  </si>
  <si>
    <t>LGUM_440</t>
  </si>
  <si>
    <t>LS 433: UG HPS Victorian 9500L Historic</t>
  </si>
  <si>
    <t>LGUM_433</t>
  </si>
  <si>
    <t>RLS 432: UG HPS Victorian 9500L Deco</t>
  </si>
  <si>
    <t>LGUM_432</t>
  </si>
  <si>
    <t>LS 431: UG HPS Victorian 5800L Historic</t>
  </si>
  <si>
    <t>LGUM_431</t>
  </si>
  <si>
    <t>RLS 430: UG HPS Victorian 5800L Deco</t>
  </si>
  <si>
    <t>LGUM_430</t>
  </si>
  <si>
    <t>LS 429: UG HPS London 9500L Historic</t>
  </si>
  <si>
    <t>LGUM_429</t>
  </si>
  <si>
    <t>RLS 428: UG HPS London 9500L Decorative</t>
  </si>
  <si>
    <t>LGUM_428</t>
  </si>
  <si>
    <t>LS 427: UG HPS London 5800L Historic</t>
  </si>
  <si>
    <t>LGUM_427</t>
  </si>
  <si>
    <t>RLS 426: UG HPS London 5800L Decorative</t>
  </si>
  <si>
    <t>LGUM_426</t>
  </si>
  <si>
    <t>LS 425: UG HPS Cobra Head 50000L Deco</t>
  </si>
  <si>
    <t>LGUM_425</t>
  </si>
  <si>
    <t>LS 424: UG HPS Cobra Head 28500L Deco</t>
  </si>
  <si>
    <t>LGUM_424</t>
  </si>
  <si>
    <t>LS 423: UG HPS Cobra Head 16000L Deco</t>
  </si>
  <si>
    <t>LGUM_423</t>
  </si>
  <si>
    <t>LS 422: UG HPS Contemporary 50000L Deco</t>
  </si>
  <si>
    <t>LGUM_422</t>
  </si>
  <si>
    <t>LS 421: UG HPS Contemporary 28500L Deco</t>
  </si>
  <si>
    <t>LGUM_421</t>
  </si>
  <si>
    <t>LS 420: UG HPS Contemporary 16000L Deco</t>
  </si>
  <si>
    <t>LGUM_420</t>
  </si>
  <si>
    <t>RLS 419: UG HPS Acorn Bronze 16000L Deco</t>
  </si>
  <si>
    <t>LGUM_419</t>
  </si>
  <si>
    <t>RLS 417: UG HPS Acorn Bronze 9500L Deco</t>
  </si>
  <si>
    <t>LGUM_417</t>
  </si>
  <si>
    <t>LS 416: UG HPS Acorn  9500L Decorative</t>
  </si>
  <si>
    <t>LGUM_416</t>
  </si>
  <si>
    <t>LS 415: UG HPS Acorn 5800L Decorative</t>
  </si>
  <si>
    <t>LGUM_415</t>
  </si>
  <si>
    <t>LS 413: UG HPS Colonial 4-Sided 9500L</t>
  </si>
  <si>
    <t>LGUM_413</t>
  </si>
  <si>
    <t>LS 412: UG HPS Colonial 4-Sided 5800L</t>
  </si>
  <si>
    <t>LGUM_412</t>
  </si>
  <si>
    <t>LS 401: Dark Sky 9500L Decorative Smooth</t>
  </si>
  <si>
    <t>LGUM_401</t>
  </si>
  <si>
    <t>LS 400: Dark Sky 4000L Decorative Smooth</t>
  </si>
  <si>
    <t>LGUM_400</t>
  </si>
  <si>
    <t>RLS 349: UG Inc Continental Jr 1500L Dec</t>
  </si>
  <si>
    <t>LGUM_349</t>
  </si>
  <si>
    <t>RLS 348: UG Inc Continental Jr 6000L Dec</t>
  </si>
  <si>
    <t>LGUM_348</t>
  </si>
  <si>
    <t>RLS 318: UG MV Cobra Head 8000L Deco</t>
  </si>
  <si>
    <t>LGUM_318</t>
  </si>
  <si>
    <t>RLS 315: UG MV Cobra Head 25000L Deco</t>
  </si>
  <si>
    <t>LGUM_315</t>
  </si>
  <si>
    <t>RLS 314: UG MV Cobra Head 13000L Deco</t>
  </si>
  <si>
    <t>LGUM_314</t>
  </si>
  <si>
    <t>RLS 283: UG HPS London 9500L Fixture</t>
  </si>
  <si>
    <t>LGUM_283</t>
  </si>
  <si>
    <t>RLS 282: UG HPS London 5800L Fixture</t>
  </si>
  <si>
    <t>LGUM_282</t>
  </si>
  <si>
    <t>RLS 281: UG HPS Victorian 9500L Fixture</t>
  </si>
  <si>
    <t>LGUM_281</t>
  </si>
  <si>
    <t>RLS 280: UG HPS Victorian 5800L Fixture</t>
  </si>
  <si>
    <t>LGUM_280</t>
  </si>
  <si>
    <t>RLS 279: UG HPS Contemporary 120000L Fix</t>
  </si>
  <si>
    <t>LGUM_279</t>
  </si>
  <si>
    <t>RLS 278: UG HPS Contemporary 120000L Dec</t>
  </si>
  <si>
    <t>LGUM_278</t>
  </si>
  <si>
    <t>RLS 277: UG HPS Coach/Acorn 16000L Deco</t>
  </si>
  <si>
    <t>LGUM_277</t>
  </si>
  <si>
    <t>RLS 276: UG HPS Coach/Acorn 5800L Deco</t>
  </si>
  <si>
    <t>LGUM_276</t>
  </si>
  <si>
    <t>RLS 275: UG HPS Cobra/Contemp 16000L</t>
  </si>
  <si>
    <t>LGUM_275</t>
  </si>
  <si>
    <t>RLS 274: UG HPS Coach/Acorn 9500L Deco</t>
  </si>
  <si>
    <t>LGUM_274</t>
  </si>
  <si>
    <t>RLS 267: UG HPS Cobra/Contemp 50000L</t>
  </si>
  <si>
    <t>LGUM_267</t>
  </si>
  <si>
    <t>RLS 266: UG HPS Cobra/Contemp 28500L</t>
  </si>
  <si>
    <t>LGUM_266</t>
  </si>
  <si>
    <t>RLS 252: OH MV Cobra/Open Bottom 8000L</t>
  </si>
  <si>
    <t>LGUM_252</t>
  </si>
  <si>
    <t>RLS 210: OH MV Directional 60000L Fix</t>
  </si>
  <si>
    <t>LGUM_210</t>
  </si>
  <si>
    <t>RLS 209: OH MV Cobra Head 60000L Fixture</t>
  </si>
  <si>
    <t>LGUM_209</t>
  </si>
  <si>
    <t>RLS 208: UG MV Coach 8000L Decorative</t>
  </si>
  <si>
    <t>LGUM_208</t>
  </si>
  <si>
    <t>RLS 207: OH MV Directional 25000L Fix</t>
  </si>
  <si>
    <t>LGUM_207</t>
  </si>
  <si>
    <t>RLS 206: UG MV Coach 4000L Decorative</t>
  </si>
  <si>
    <t>LGUM_206</t>
  </si>
  <si>
    <t>RLS 204: OH MV Cobra Head 25000L Fixture</t>
  </si>
  <si>
    <t>LGUM_204</t>
  </si>
  <si>
    <t>RLS 203: OH MV Cobra Head 13000L Fixture</t>
  </si>
  <si>
    <t>LGUM_203</t>
  </si>
  <si>
    <t>RLS 201: OH MV Open Bottom 4000L Fixture</t>
  </si>
  <si>
    <t>LGUM_201</t>
  </si>
  <si>
    <t>Excess Facilities ODL CIAC</t>
  </si>
  <si>
    <t>LEUM_829</t>
  </si>
  <si>
    <t>LEUM_828</t>
  </si>
  <si>
    <t>Electric Excess Facilities CIAC</t>
  </si>
  <si>
    <t>LEUM_826</t>
  </si>
  <si>
    <t>LEUM_825</t>
  </si>
  <si>
    <t>KUUM_828</t>
  </si>
  <si>
    <t>Direct Assign</t>
  </si>
  <si>
    <t>KUUM_827</t>
  </si>
  <si>
    <t>KUUM_826</t>
  </si>
  <si>
    <t>KUUM_825</t>
  </si>
  <si>
    <t>ODL Facility Charge</t>
  </si>
  <si>
    <t>KUUM_820</t>
  </si>
  <si>
    <t>LS 499: UG HPS Contemporary 50000L Fix</t>
  </si>
  <si>
    <t>KUUM_499</t>
  </si>
  <si>
    <t>LS 498: UG HPS Contemporary 22000L Fix</t>
  </si>
  <si>
    <t>KUUM_498</t>
  </si>
  <si>
    <t>LS 497: UG HPS Contemporary 9500L Fix</t>
  </si>
  <si>
    <t>KUUM_497</t>
  </si>
  <si>
    <t>LS 496: UG MH Contemporary 107800L Deco</t>
  </si>
  <si>
    <t>KUUM_496</t>
  </si>
  <si>
    <t>LS 495: UG MH Contemporary 32000L Deco</t>
  </si>
  <si>
    <t>KUUM_495</t>
  </si>
  <si>
    <t>LS 494: UG MH Contemporary 12000L Deco</t>
  </si>
  <si>
    <t>KUUM_494</t>
  </si>
  <si>
    <t>LS 493: UG MH Contemporary 107800L Fix</t>
  </si>
  <si>
    <t>KUUM_493</t>
  </si>
  <si>
    <t>LS 492: UG HPS Contemporary 5800L Fix</t>
  </si>
  <si>
    <t>KUUM_492</t>
  </si>
  <si>
    <t>LS 491: UG MH Contemporary 32000L Fix</t>
  </si>
  <si>
    <t>KUUM_491</t>
  </si>
  <si>
    <t>LS 490: UG MH Contemporary 12000L Fix</t>
  </si>
  <si>
    <t>KUUM_490</t>
  </si>
  <si>
    <t>LS 489: OH HPS Directional 50000L Fix</t>
  </si>
  <si>
    <t>KUUM_489</t>
  </si>
  <si>
    <t>LS 488: OH HPS Directional 22000L Fix</t>
  </si>
  <si>
    <t>KUUM_488</t>
  </si>
  <si>
    <t>LS 487: OH HPS Directional 9500L Fixture</t>
  </si>
  <si>
    <t>KUUM_487</t>
  </si>
  <si>
    <t>RETIRED: 9,500L Colonial Decor UG Co Use</t>
  </si>
  <si>
    <t>KUUM_482CU</t>
  </si>
  <si>
    <t>LS 479: UG HPS Contemporary 50000L Deco</t>
  </si>
  <si>
    <t>KUUM_479</t>
  </si>
  <si>
    <t>LS 478: UG HPS Contemporary 22000L Deco</t>
  </si>
  <si>
    <t>KUUM_478</t>
  </si>
  <si>
    <t>LS 477: UG HPS Contemporary 9500L Deco</t>
  </si>
  <si>
    <t>KUUM_477</t>
  </si>
  <si>
    <t>LS 476: UG HPS Contemporary 5800L Deco</t>
  </si>
  <si>
    <t>KUUM_476</t>
  </si>
  <si>
    <t>LS 475: OH HPS Cobra 50000L Ornamental</t>
  </si>
  <si>
    <t>KUUM_475</t>
  </si>
  <si>
    <t>LS 474: OH HPS Cobra 22000L Ornamental</t>
  </si>
  <si>
    <t>KUUM_474</t>
  </si>
  <si>
    <t>LS 473: OH HPS Cobra 9500L Ornamental</t>
  </si>
  <si>
    <t>KUUM_473</t>
  </si>
  <si>
    <t>LS 472: OH HPS Cobra 5800L Ornamental</t>
  </si>
  <si>
    <t>KUUM_472</t>
  </si>
  <si>
    <t>RLS 471: OH HPS Cobra Hd 4000L Fix/Pole</t>
  </si>
  <si>
    <t>KUUM_471</t>
  </si>
  <si>
    <t>RLS 470: UG MH Directional 107800L Deco</t>
  </si>
  <si>
    <t>KUUM_470</t>
  </si>
  <si>
    <t>RLS 469: UG MH Directional 32000L Deco</t>
  </si>
  <si>
    <t>KUUM_469</t>
  </si>
  <si>
    <t>LS 468: UG HPS Colonial 9500L Deco</t>
  </si>
  <si>
    <t>KUUM_468</t>
  </si>
  <si>
    <t>LS 467: UG HPS Colonial 5800L Deco</t>
  </si>
  <si>
    <t>KUUM_467</t>
  </si>
  <si>
    <t>RLS 466: UG HPS Colonial 4000L Deco</t>
  </si>
  <si>
    <t>KUUM_466</t>
  </si>
  <si>
    <t>LS 465: OH HPS Cobra Head 50000L Fixture</t>
  </si>
  <si>
    <t>KUUM_465</t>
  </si>
  <si>
    <t>LS 464: OH HPS Cobra Head 22000L Fixture</t>
  </si>
  <si>
    <t>KUUM_464</t>
  </si>
  <si>
    <t>LS 463: OH HPS Cobra Head 9500L Fixture</t>
  </si>
  <si>
    <t>KUUM_463</t>
  </si>
  <si>
    <t>LS 462: OH HPS Cobra Head 5800L Fixture</t>
  </si>
  <si>
    <t>KUUM_462</t>
  </si>
  <si>
    <t>RLS 461: OH HPS Cobra Head 4000L Fixture</t>
  </si>
  <si>
    <t>KUUM_461</t>
  </si>
  <si>
    <t>RLS 460: UG MH Directional 12000L Deco</t>
  </si>
  <si>
    <t>KUUM_460</t>
  </si>
  <si>
    <t>RLS 459: OH MH Directional 107800L Fix/P</t>
  </si>
  <si>
    <t>KUUM_459</t>
  </si>
  <si>
    <t>RLS 458: OH MV Cobra 20000L Fixture/Pole</t>
  </si>
  <si>
    <t>KUUM_458</t>
  </si>
  <si>
    <t>RLS 457: OH MV Cobra 10000L Fixture/Pole</t>
  </si>
  <si>
    <t>KUUM_457</t>
  </si>
  <si>
    <t>RLS 456: OH MV Cobra 7000L Fixture/Pole</t>
  </si>
  <si>
    <t>KUUM_456</t>
  </si>
  <si>
    <t>RLS 455: OH MH Directional 32000L Fix/Po</t>
  </si>
  <si>
    <t>KUUM_455</t>
  </si>
  <si>
    <t>RLS 454: OH MH Directional 12000L Fix/Po</t>
  </si>
  <si>
    <t>KUUM_454</t>
  </si>
  <si>
    <t>LS 452: OH MH Directional 107800L Fix</t>
  </si>
  <si>
    <t>KUUM_452</t>
  </si>
  <si>
    <t>LS 451: OH MH Directional 32000L Fixture</t>
  </si>
  <si>
    <t>KUUM_451</t>
  </si>
  <si>
    <t>LS 450: OH MH Directional 12000L Fixture</t>
  </si>
  <si>
    <t>KUUM_450</t>
  </si>
  <si>
    <t>RLS 448: OH MV Cobra Head 20000L Fixture</t>
  </si>
  <si>
    <t>KUUM_448</t>
  </si>
  <si>
    <t>RLS 447: OH MV Cobra Head 10000L Fixture</t>
  </si>
  <si>
    <t>KUUM_447</t>
  </si>
  <si>
    <t>RLS 446: OH MV Cobra Head 7000L Fixture</t>
  </si>
  <si>
    <t>KUUM_446</t>
  </si>
  <si>
    <t>RLS 440: UG HPS Acorn 4000L Decorative</t>
  </si>
  <si>
    <t>KUUM_440</t>
  </si>
  <si>
    <t>LS 430: UG HPS Acorn 9500L Historic</t>
  </si>
  <si>
    <t>KUUM_430</t>
  </si>
  <si>
    <t>LS 428: OH HPS Open Bottom 9500L Fixture</t>
  </si>
  <si>
    <t>KUUM_428</t>
  </si>
  <si>
    <t>RLS 426: OH HPS Open Bottom 5800L Fix</t>
  </si>
  <si>
    <t>KUUM_426</t>
  </si>
  <si>
    <t>RLS 425: OH Inc Tear Drop 6000L Fix Only</t>
  </si>
  <si>
    <t>KUUM_425</t>
  </si>
  <si>
    <t>RLS 424: OH Inc Tear Drop 4000L Fix Only</t>
  </si>
  <si>
    <t>KUUM_424</t>
  </si>
  <si>
    <t>RLS 422: OH Inc Tear Drop 2500L Fix Only</t>
  </si>
  <si>
    <t>KUUM_422</t>
  </si>
  <si>
    <t>RLS 421: OH Inc Tear Drop 1000L Fix Only</t>
  </si>
  <si>
    <t>KUUM_421</t>
  </si>
  <si>
    <t>LS 420: UG HPS Acorn 9500L Decorative</t>
  </si>
  <si>
    <t>KUUM_420</t>
  </si>
  <si>
    <t>LS 415: UG HPS Victorian 9500L Historic</t>
  </si>
  <si>
    <t>KUUM_415</t>
  </si>
  <si>
    <t>LS 414: UG HPS Victorian 5800L Historic</t>
  </si>
  <si>
    <t>KUUM_414</t>
  </si>
  <si>
    <t>RLS 413: UG HPS Coach 9500L Decorative</t>
  </si>
  <si>
    <t>KUUM_413</t>
  </si>
  <si>
    <t>RLS 412: UG HPS Coach 5800L Decorative</t>
  </si>
  <si>
    <t>KUUM_412</t>
  </si>
  <si>
    <t>LS 411: UG HPS Acorn 5800L Historic</t>
  </si>
  <si>
    <t>KUUM_411</t>
  </si>
  <si>
    <t>RLS 410: UG HPS Acorn 4000L Historic</t>
  </si>
  <si>
    <t>KUUM_410</t>
  </si>
  <si>
    <t>RLS 409: OH HPS Cobra Head 50000L Fix</t>
  </si>
  <si>
    <t>KUUM_409</t>
  </si>
  <si>
    <t>RLS 404: OH MV Open Bottom 7000L Fixture</t>
  </si>
  <si>
    <t>KUUM_404</t>
  </si>
  <si>
    <t>LS 401: UG HPS Acorn 5800L Decorative</t>
  </si>
  <si>
    <t>KUUM_401</t>
  </si>
  <si>
    <t>RLS 360: UG HPS Granville-A 16000L</t>
  </si>
  <si>
    <t>KUUM_360</t>
  </si>
  <si>
    <t>9,500 Lumen Open Bottom HP Sodium</t>
  </si>
  <si>
    <t>KTUM_428</t>
  </si>
  <si>
    <t>7,000 Lumen Open Bottom Mercury Vapor</t>
  </si>
  <si>
    <t>KTUM_406</t>
  </si>
  <si>
    <t>$</t>
  </si>
  <si>
    <t>KWH</t>
  </si>
  <si>
    <t>Rate Category</t>
  </si>
  <si>
    <t>Group Company Code</t>
  </si>
  <si>
    <t>Total Utility Amount</t>
  </si>
  <si>
    <t>KWH Lights</t>
  </si>
  <si>
    <t># Prorated Lights</t>
  </si>
  <si>
    <t># Lights at start of Period</t>
  </si>
  <si>
    <t>007/2015 - 006/2016</t>
  </si>
  <si>
    <t>Revenue Period</t>
  </si>
  <si>
    <t>Key Figures</t>
  </si>
  <si>
    <t>Dynamic Filters</t>
  </si>
  <si>
    <t>07/19/2016 02:30:36</t>
  </si>
  <si>
    <t>Last Data Update:</t>
  </si>
  <si>
    <t>1055 Billed Lights</t>
  </si>
  <si>
    <t>LG&amp;E and KU Energy LLC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</si>
  <si>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</si>
  <si>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</si>
  <si>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</si>
  <si>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</si>
  <si>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</si>
  <si>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</si>
  <si>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</si>
  <si>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</si>
  <si>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</si>
  <si>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</si>
  <si>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</si>
  <si>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</si>
  <si>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KU LE</t>
  </si>
  <si>
    <t>LGE LE</t>
  </si>
  <si>
    <t>ODP LE</t>
  </si>
  <si>
    <t>ODP LE rate does not exist, assume same rate as KU</t>
  </si>
  <si>
    <t>LE Revenue</t>
  </si>
  <si>
    <t>Amount</t>
  </si>
  <si>
    <t>Material Costs</t>
  </si>
  <si>
    <t>Estimated Labor and Material</t>
  </si>
  <si>
    <t>kWh</t>
  </si>
  <si>
    <t>Price</t>
  </si>
  <si>
    <t>Revenue</t>
  </si>
  <si>
    <t>Rate Description</t>
  </si>
  <si>
    <t>JUNE 2016</t>
  </si>
  <si>
    <t>Capital savings - New Business/Maint. (2016 Budget)</t>
  </si>
  <si>
    <t>Standard Rate/Company</t>
  </si>
  <si>
    <t>LS</t>
  </si>
  <si>
    <t>RLS</t>
  </si>
  <si>
    <t>P.O.LT.</t>
  </si>
  <si>
    <t>ST.LT.</t>
  </si>
  <si>
    <t>KU – Tenn.</t>
  </si>
  <si>
    <t>ODP – Juris.</t>
  </si>
  <si>
    <t>ODP – Non-Juris.</t>
  </si>
  <si>
    <t>Fixture Only</t>
  </si>
  <si>
    <t>Cobra Head</t>
  </si>
  <si>
    <t>Rate</t>
  </si>
  <si>
    <t>Service Type</t>
  </si>
  <si>
    <t>Type of Light</t>
  </si>
  <si>
    <t>Sort1 (Lumens/Unique)</t>
  </si>
  <si>
    <t>Sort2 (Fixture/Pole)</t>
  </si>
  <si>
    <t>Sort3</t>
  </si>
  <si>
    <t>Sort4</t>
  </si>
  <si>
    <t>Rate Code</t>
  </si>
  <si>
    <t>Code</t>
  </si>
  <si>
    <t>Type of Fixture</t>
  </si>
  <si>
    <t>Fixture/Pole</t>
  </si>
  <si>
    <t>Approx. Lumens</t>
  </si>
  <si>
    <t>Approx. Lumens Note</t>
  </si>
  <si>
    <t>kW Per Light</t>
  </si>
  <si>
    <t>Monthly Charge</t>
  </si>
  <si>
    <t>Quantity</t>
  </si>
  <si>
    <t>Notes</t>
  </si>
  <si>
    <t>Pole Only-Restricted</t>
  </si>
  <si>
    <t>Overhead</t>
  </si>
  <si>
    <t>Ornamental</t>
  </si>
  <si>
    <t>*</t>
  </si>
  <si>
    <t>Not available for use in residential neighborhoods except by municipal authorities.</t>
  </si>
  <si>
    <t>Directional</t>
  </si>
  <si>
    <t>Open Bottom</t>
  </si>
  <si>
    <t>Metal Halide</t>
  </si>
  <si>
    <t>Underground</t>
  </si>
  <si>
    <t>Colonial</t>
  </si>
  <si>
    <t>Decorative Smooth</t>
  </si>
  <si>
    <t>Acorn</t>
  </si>
  <si>
    <t>Historic Fluted</t>
  </si>
  <si>
    <t>Victorian</t>
  </si>
  <si>
    <t>Contemporary</t>
  </si>
  <si>
    <t>Dark Sky</t>
  </si>
  <si>
    <t>Fixture and Pole</t>
  </si>
  <si>
    <t>Mercury Vapor</t>
  </si>
  <si>
    <t>Incandescent</t>
  </si>
  <si>
    <t>Tear Drop</t>
  </si>
  <si>
    <t>Coach</t>
  </si>
  <si>
    <t>Granville</t>
  </si>
  <si>
    <t>Granville units are restricted to installations for the City of London.</t>
  </si>
  <si>
    <t>PO-R</t>
  </si>
  <si>
    <t>POLT</t>
  </si>
  <si>
    <t>Restricted to fixtures in service 08-01-07. Upon failure, existing fixtures will either be removed from service or replaced, at Customer’s option, with available lighting fixtures shown above.</t>
  </si>
  <si>
    <t>Not available for urban residential use.</t>
  </si>
  <si>
    <t>Yard Type</t>
  </si>
  <si>
    <t>Standard</t>
  </si>
  <si>
    <t>LGE</t>
  </si>
  <si>
    <t>not available for use in residential neighborhoods except by municipal authorities.</t>
  </si>
  <si>
    <t>Colonial, 4-Sided</t>
  </si>
  <si>
    <t>London</t>
  </si>
  <si>
    <t>Victorian/London Bases</t>
  </si>
  <si>
    <t>Westchester/Norfolk</t>
  </si>
  <si>
    <t>Cobra/Open Bottom</t>
  </si>
  <si>
    <t>Fixture &amp; Wood Pole</t>
  </si>
  <si>
    <t>Fixture &amp; Orn. Pole</t>
  </si>
  <si>
    <t>Pole</t>
  </si>
  <si>
    <t>Wood Pole Installed Before 3/1/2010</t>
  </si>
  <si>
    <t>Wood Pole Installed Before 7/1/2004</t>
  </si>
  <si>
    <t>Cobra/Contemporary</t>
  </si>
  <si>
    <t>Coach/Acorn</t>
  </si>
  <si>
    <t>Acorn, Bronze</t>
  </si>
  <si>
    <t>Base</t>
  </si>
  <si>
    <t>Victorian/London Bases Old Town</t>
  </si>
  <si>
    <t>Victorian/London Bases Chesapeake</t>
  </si>
  <si>
    <t>10” Smooth Pole</t>
  </si>
  <si>
    <t>10” Fluted Pole</t>
  </si>
  <si>
    <t>Cobra (State of KY Pole)</t>
  </si>
  <si>
    <t>Continental Jr.</t>
  </si>
  <si>
    <t>KU- TENN</t>
  </si>
  <si>
    <t>Acorn Decorative</t>
  </si>
  <si>
    <t>Acorn Historic</t>
  </si>
  <si>
    <t>Contemporary - Additional Fixture</t>
  </si>
  <si>
    <t>High Pressure Sodium</t>
  </si>
  <si>
    <t>Grand Total</t>
  </si>
  <si>
    <t>ODP-Non-Jur</t>
  </si>
  <si>
    <t>Count of Rate Code</t>
  </si>
  <si>
    <t>(blank)</t>
  </si>
  <si>
    <t>Overhead Total</t>
  </si>
  <si>
    <t>Underground Total</t>
  </si>
  <si>
    <t>LS Total</t>
  </si>
  <si>
    <t>RLS Total</t>
  </si>
  <si>
    <t>KU Total</t>
  </si>
  <si>
    <t>POLT Total</t>
  </si>
  <si>
    <t>KU- TENN Total</t>
  </si>
  <si>
    <t>LGE Total</t>
  </si>
  <si>
    <t>ODP Total</t>
  </si>
  <si>
    <t>ODP-Non-Jur Total</t>
  </si>
  <si>
    <t>Sum of Quantity</t>
  </si>
  <si>
    <t>LGE/KU/ODP Light Count</t>
  </si>
  <si>
    <t>(Does not include count on ODP Non-Jurs light quantity)</t>
  </si>
  <si>
    <t>At July 2015</t>
  </si>
  <si>
    <t>Rate Code Count</t>
  </si>
  <si>
    <t xml:space="preserve">LGE/KU/ODP </t>
  </si>
  <si>
    <t>LED Fixture Type</t>
  </si>
  <si>
    <t>Min</t>
  </si>
  <si>
    <t>Max</t>
  </si>
  <si>
    <t>Low (&lt;50W)</t>
  </si>
  <si>
    <t>Light Output</t>
  </si>
  <si>
    <t>Medium (50W - 100W)</t>
  </si>
  <si>
    <t>High (&gt;100W)</t>
  </si>
  <si>
    <t>Source:</t>
  </si>
  <si>
    <t>Watts</t>
  </si>
  <si>
    <t>70w</t>
  </si>
  <si>
    <t>150w</t>
  </si>
  <si>
    <t>100w</t>
  </si>
  <si>
    <t>50w</t>
  </si>
  <si>
    <t>175w</t>
  </si>
  <si>
    <t>400w</t>
  </si>
  <si>
    <t>200w</t>
  </si>
  <si>
    <t>350w</t>
  </si>
  <si>
    <t>1000w</t>
  </si>
  <si>
    <t>250w</t>
  </si>
  <si>
    <t>85w</t>
  </si>
  <si>
    <t>208w</t>
  </si>
  <si>
    <t>370w</t>
  </si>
  <si>
    <t>60w</t>
  </si>
  <si>
    <t>650w</t>
  </si>
  <si>
    <t>115w</t>
  </si>
  <si>
    <t>Fixture Style</t>
  </si>
  <si>
    <t>Type</t>
  </si>
  <si>
    <t>RC</t>
  </si>
  <si>
    <t>Wattage</t>
  </si>
  <si>
    <t>Lumens</t>
  </si>
  <si>
    <t>LS Code</t>
  </si>
  <si>
    <t>RLS Code</t>
  </si>
  <si>
    <t xml:space="preserve">Open Bottom </t>
  </si>
  <si>
    <t>MV</t>
  </si>
  <si>
    <t xml:space="preserve">Cobra </t>
  </si>
  <si>
    <t xml:space="preserve">Directional </t>
  </si>
  <si>
    <t>Cobra</t>
  </si>
  <si>
    <t>HPS</t>
  </si>
  <si>
    <t>Acorn (On Smooth pole)</t>
  </si>
  <si>
    <t>Victorian  Fixture only</t>
  </si>
  <si>
    <t>London  Fixture only</t>
  </si>
  <si>
    <t>INC</t>
  </si>
  <si>
    <t>Granville (City of London)</t>
  </si>
  <si>
    <t>Acorn (On Fluted Pole)</t>
  </si>
  <si>
    <t>Victorian (On Fluted pole)</t>
  </si>
  <si>
    <t>Acorn (Bronze)</t>
  </si>
  <si>
    <t>London (On Smooth pole)</t>
  </si>
  <si>
    <t>London (On Fluted pole)</t>
  </si>
  <si>
    <t>Victorian (On Smooth pole)</t>
  </si>
  <si>
    <t>MH</t>
  </si>
  <si>
    <t>Wood Pole (Before 7/1/04)</t>
  </si>
  <si>
    <t>10' Smooth  Pole only</t>
  </si>
  <si>
    <t>10' Fluted Pole only</t>
  </si>
  <si>
    <t>Oldtown Base</t>
  </si>
  <si>
    <t>Chesapeake Base</t>
  </si>
  <si>
    <t>Westchester or Norfolk Base</t>
  </si>
  <si>
    <t>Wood Pole (7/1/04  3/1/10)</t>
  </si>
  <si>
    <t>Number of Fixtures in Range</t>
  </si>
  <si>
    <t>Typical LED Street Light Retrofit and Replacement Costs:</t>
  </si>
  <si>
    <t>Page 12</t>
  </si>
  <si>
    <t>Above Costs Applied to LGE/KU/ODP Fixture Quantities:</t>
  </si>
  <si>
    <t xml:space="preserve"> LGE/KU/ODP Fixture Quantities</t>
  </si>
  <si>
    <t xml:space="preserve"> LGE/KU/ODP Estimated Install Costs</t>
  </si>
  <si>
    <t>All Light Output Ranges</t>
  </si>
  <si>
    <t>Cobra head fixture</t>
  </si>
  <si>
    <t>Type of Fixture1</t>
  </si>
  <si>
    <t>Decorative</t>
  </si>
  <si>
    <t xml:space="preserve"> LGE/KU/ODP Average Est. Install Costs</t>
  </si>
  <si>
    <t>Number of Fixtures in Range:</t>
  </si>
  <si>
    <r>
      <t>Decorative retrofit kit</t>
    </r>
    <r>
      <rPr>
        <vertAlign val="superscript"/>
        <sz val="11"/>
        <color theme="1"/>
        <rFont val="Calibri"/>
        <family val="2"/>
        <scheme val="minor"/>
      </rPr>
      <t>1</t>
    </r>
  </si>
  <si>
    <t>Note 1: Retrofit costs for existing decorative fixtures as opposed to new fixture</t>
  </si>
  <si>
    <t/>
  </si>
  <si>
    <t>Maintain/Year</t>
  </si>
  <si>
    <t>Number of Lights billed July 2016</t>
  </si>
  <si>
    <t>Maintain/Light</t>
  </si>
  <si>
    <t>Total Maintenance costs per light</t>
  </si>
  <si>
    <t>Range</t>
  </si>
  <si>
    <t>kwh/year avg</t>
  </si>
  <si>
    <t>Avg kw per light .2898 from tariffs</t>
  </si>
  <si>
    <t>Min kw per light .06 per tariff</t>
  </si>
  <si>
    <t>Max kw per light 1.18 per tariff</t>
  </si>
  <si>
    <t>Check kWh figure</t>
  </si>
  <si>
    <t>hours Kilowatt-Hours Consumed By Lighting Units per tariff sheet</t>
  </si>
  <si>
    <t>Savings</t>
  </si>
  <si>
    <t>kWh 12 months ended June 2016</t>
  </si>
  <si>
    <t>Savings Range per light per year*</t>
  </si>
  <si>
    <t>Assume 5 Year Maintenance Cycle</t>
  </si>
  <si>
    <t xml:space="preserve">Switch to all LED - Maint Savings </t>
  </si>
  <si>
    <t>Estimated Contribution</t>
  </si>
  <si>
    <t>Sell - No Maintenance</t>
  </si>
  <si>
    <t>Sell - Offer Maintenance</t>
  </si>
  <si>
    <t>Sell lights - One Time Event, Move all customers to rate LE:</t>
  </si>
  <si>
    <t>June 2016</t>
  </si>
  <si>
    <t>Rolling</t>
  </si>
  <si>
    <t>Month</t>
  </si>
  <si>
    <t>12 Mo.</t>
  </si>
  <si>
    <t>Current</t>
  </si>
  <si>
    <t>Native Load Production Costs/kWh</t>
  </si>
  <si>
    <t>Property Tax Rates</t>
  </si>
  <si>
    <t>Property Tax Expense</t>
  </si>
  <si>
    <t>RE   1.19632 per $100 of assessment (NBV) – rate represents both State &amp; Local</t>
  </si>
  <si>
    <t>OT  1.676508 per $100 of assessment (NBV) – rate represents both State &amp; Local</t>
  </si>
  <si>
    <t>MM .15 per $100 of assessment (NBV) – rate represents only State.</t>
  </si>
  <si>
    <t>If street lighting is in CWIP-then Cost x rate – (no depr)</t>
  </si>
  <si>
    <t>RE  1.080503 (same details as LGE’s above)</t>
  </si>
  <si>
    <t>OT  1.45749 (same details as LGE’s above)</t>
  </si>
  <si>
    <t>MM  .15 (same details as LGE’s above)</t>
  </si>
  <si>
    <t xml:space="preserve">Mercury Vapor </t>
  </si>
  <si>
    <t>Inactive</t>
  </si>
  <si>
    <r>
      <t>Active</t>
    </r>
    <r>
      <rPr>
        <sz val="20"/>
        <color theme="1"/>
        <rFont val="Polo"/>
      </rPr>
      <t xml:space="preserve">  </t>
    </r>
  </si>
  <si>
    <r>
      <t xml:space="preserve">  </t>
    </r>
    <r>
      <rPr>
        <u/>
        <sz val="20"/>
        <color theme="1"/>
        <rFont val="Polo"/>
      </rPr>
      <t xml:space="preserve">  Total </t>
    </r>
  </si>
  <si>
    <t>Option 1</t>
  </si>
  <si>
    <t>Option 2</t>
  </si>
  <si>
    <t>Option 3</t>
  </si>
  <si>
    <t>Option 4</t>
  </si>
  <si>
    <t>Lamp Type</t>
  </si>
  <si>
    <t>Rate Codes</t>
  </si>
  <si>
    <t>Other (wood pole/base)</t>
  </si>
  <si>
    <t xml:space="preserve">   Total Other (wood pole/base)</t>
  </si>
  <si>
    <t xml:space="preserve">   Total Mercury Vapor</t>
  </si>
  <si>
    <t xml:space="preserve">   Total Metal Halide</t>
  </si>
  <si>
    <t xml:space="preserve">   Total Incandescent</t>
  </si>
  <si>
    <t xml:space="preserve">   Total High Pressure Sodium</t>
  </si>
  <si>
    <t>All Rate Codes</t>
  </si>
  <si>
    <t xml:space="preserve">   Total All Rate Codes</t>
  </si>
  <si>
    <t>KU - Tenn.</t>
  </si>
  <si>
    <t>ODP - Juris.</t>
  </si>
  <si>
    <t>ODP - Non-Juris.</t>
  </si>
  <si>
    <t xml:space="preserve">Status Quo - When burnout replace Mercury Vapor, Incandescent, and 1,000 watt Metal Halide with LS Offering (LG&amp;E/KU/ODP). </t>
  </si>
  <si>
    <t>Metal Halide (excl. 1,000W)</t>
  </si>
  <si>
    <t xml:space="preserve">Metal Halide 1,000W  </t>
  </si>
  <si>
    <t>Wholesale change out of lights mandated by Federal Regulation (LG&amp;E/KU/ODP):</t>
  </si>
  <si>
    <t>Wholesale change out of lights on rate RLS and mandated by Federal Regulation (LG&amp;E/KU/ODP)</t>
  </si>
  <si>
    <t>Wholesale change out of ALL lights to LED</t>
  </si>
  <si>
    <t xml:space="preserve">   Costs</t>
  </si>
  <si>
    <t>Number of Active Lights</t>
  </si>
  <si>
    <t>-</t>
  </si>
  <si>
    <t>Mercury Vapor Energy</t>
  </si>
  <si>
    <t>1000W halide</t>
  </si>
  <si>
    <t>Includes TOTALS</t>
  </si>
  <si>
    <t>High Pressure Sodium - RLS</t>
  </si>
  <si>
    <t xml:space="preserve">   Inventory Costs write-off</t>
  </si>
  <si>
    <t xml:space="preserve">   Maintenance Savings (Expense and Capital)</t>
  </si>
  <si>
    <t xml:space="preserve">            Total</t>
  </si>
  <si>
    <t xml:space="preserve">   Percentage of total</t>
  </si>
  <si>
    <t xml:space="preserve">   Stranded Asset Costs - (Net Book Value)</t>
  </si>
  <si>
    <t>Fed. Reg. Lights</t>
  </si>
  <si>
    <t>RLS/Fed. Reg. Lights</t>
  </si>
  <si>
    <t>All Lights</t>
  </si>
  <si>
    <t>Scenario 1</t>
  </si>
  <si>
    <t>Scenario 2</t>
  </si>
  <si>
    <t>Scenario 3</t>
  </si>
  <si>
    <t>Scenario 4</t>
  </si>
  <si>
    <t>Native load production costs for 12 months ending June 2016 is $27.93/mWh</t>
  </si>
  <si>
    <t>Average Monthly Revenue per light</t>
  </si>
  <si>
    <t>ODP406</t>
  </si>
  <si>
    <t>ODP407</t>
  </si>
  <si>
    <t>ODP428</t>
  </si>
  <si>
    <t>ODP8TE</t>
  </si>
  <si>
    <t>ODP429</t>
  </si>
  <si>
    <t>ODP446</t>
  </si>
  <si>
    <t>ODP456</t>
  </si>
  <si>
    <t>ODP462</t>
  </si>
  <si>
    <t>ODP463</t>
  </si>
  <si>
    <t>ODP464</t>
  </si>
  <si>
    <t>ODP465</t>
  </si>
  <si>
    <t>ODP472</t>
  </si>
  <si>
    <t>ODP473</t>
  </si>
  <si>
    <t>ODP474</t>
  </si>
  <si>
    <t>ODP475</t>
  </si>
  <si>
    <t>ODP487</t>
  </si>
  <si>
    <t>ODP488</t>
  </si>
  <si>
    <t>ODP489</t>
  </si>
  <si>
    <t>ODP825</t>
  </si>
  <si>
    <t>ODP828</t>
  </si>
  <si>
    <t>KT406</t>
  </si>
  <si>
    <t>KT428</t>
  </si>
  <si>
    <t>Row Labels</t>
  </si>
  <si>
    <t>KU360</t>
  </si>
  <si>
    <t>KU401</t>
  </si>
  <si>
    <t>KU404</t>
  </si>
  <si>
    <t>KU409</t>
  </si>
  <si>
    <t>KU410</t>
  </si>
  <si>
    <t>KU411</t>
  </si>
  <si>
    <t>KU412</t>
  </si>
  <si>
    <t>KU413</t>
  </si>
  <si>
    <t>KU414</t>
  </si>
  <si>
    <t>KU415</t>
  </si>
  <si>
    <t>KU420</t>
  </si>
  <si>
    <t>KU421</t>
  </si>
  <si>
    <t>KU422</t>
  </si>
  <si>
    <t>KU424</t>
  </si>
  <si>
    <t>KU425</t>
  </si>
  <si>
    <t>KU426</t>
  </si>
  <si>
    <t>KU428</t>
  </si>
  <si>
    <t>KU430</t>
  </si>
  <si>
    <t>KU440</t>
  </si>
  <si>
    <t>KU446</t>
  </si>
  <si>
    <t>KU447</t>
  </si>
  <si>
    <t>KU448</t>
  </si>
  <si>
    <t>KU450</t>
  </si>
  <si>
    <t>KU451</t>
  </si>
  <si>
    <t>KU452</t>
  </si>
  <si>
    <t>KU454</t>
  </si>
  <si>
    <t>KU455</t>
  </si>
  <si>
    <t>KU456</t>
  </si>
  <si>
    <t>KU457</t>
  </si>
  <si>
    <t>KU458</t>
  </si>
  <si>
    <t>KU459</t>
  </si>
  <si>
    <t>KU460</t>
  </si>
  <si>
    <t>KU461</t>
  </si>
  <si>
    <t>KU462</t>
  </si>
  <si>
    <t>KU463</t>
  </si>
  <si>
    <t>KU464</t>
  </si>
  <si>
    <t>KU465</t>
  </si>
  <si>
    <t>KU466</t>
  </si>
  <si>
    <t>KU467</t>
  </si>
  <si>
    <t>KU468</t>
  </si>
  <si>
    <t>KU469</t>
  </si>
  <si>
    <t>KU470</t>
  </si>
  <si>
    <t>KU471</t>
  </si>
  <si>
    <t>KU472</t>
  </si>
  <si>
    <t>KU473</t>
  </si>
  <si>
    <t>KU474</t>
  </si>
  <si>
    <t>KU475</t>
  </si>
  <si>
    <t>KU476</t>
  </si>
  <si>
    <t>KU477</t>
  </si>
  <si>
    <t>KU478</t>
  </si>
  <si>
    <t>KU479</t>
  </si>
  <si>
    <t>KU487</t>
  </si>
  <si>
    <t>KU488</t>
  </si>
  <si>
    <t>KU489</t>
  </si>
  <si>
    <t>KU490</t>
  </si>
  <si>
    <t>KU491</t>
  </si>
  <si>
    <t>KU492</t>
  </si>
  <si>
    <t>KU493</t>
  </si>
  <si>
    <t>KU494</t>
  </si>
  <si>
    <t>KU495</t>
  </si>
  <si>
    <t>KU496</t>
  </si>
  <si>
    <t>KU497</t>
  </si>
  <si>
    <t>KU498</t>
  </si>
  <si>
    <t>KU499</t>
  </si>
  <si>
    <t>KU820</t>
  </si>
  <si>
    <t>KU825</t>
  </si>
  <si>
    <t>KU826</t>
  </si>
  <si>
    <t>KU827</t>
  </si>
  <si>
    <t>KU828</t>
  </si>
  <si>
    <t>LGE201</t>
  </si>
  <si>
    <t>LGE203</t>
  </si>
  <si>
    <t>LGE204</t>
  </si>
  <si>
    <t>LGE206</t>
  </si>
  <si>
    <t>LGE207</t>
  </si>
  <si>
    <t>LGE208</t>
  </si>
  <si>
    <t>LGE209</t>
  </si>
  <si>
    <t>LGE210</t>
  </si>
  <si>
    <t>LGE252</t>
  </si>
  <si>
    <t>LGE266</t>
  </si>
  <si>
    <t>LGE267</t>
  </si>
  <si>
    <t>LGE274</t>
  </si>
  <si>
    <t>LGE275</t>
  </si>
  <si>
    <t>LGE276</t>
  </si>
  <si>
    <t>LGE277</t>
  </si>
  <si>
    <t>LGE278</t>
  </si>
  <si>
    <t>LGE279</t>
  </si>
  <si>
    <t>LGE280</t>
  </si>
  <si>
    <t>LGE281</t>
  </si>
  <si>
    <t>LGE282</t>
  </si>
  <si>
    <t>LGE283</t>
  </si>
  <si>
    <t>LGE314</t>
  </si>
  <si>
    <t>LGE315</t>
  </si>
  <si>
    <t>LGE318</t>
  </si>
  <si>
    <t>LGE348</t>
  </si>
  <si>
    <t>LGE349</t>
  </si>
  <si>
    <t>LGE400</t>
  </si>
  <si>
    <t>LGE401</t>
  </si>
  <si>
    <t>LGE412</t>
  </si>
  <si>
    <t>LGE413</t>
  </si>
  <si>
    <t>LGE415</t>
  </si>
  <si>
    <t>LGE416</t>
  </si>
  <si>
    <t>LGE417</t>
  </si>
  <si>
    <t>LGE419</t>
  </si>
  <si>
    <t>LGE420</t>
  </si>
  <si>
    <t>LGE421</t>
  </si>
  <si>
    <t>LGE422</t>
  </si>
  <si>
    <t>LGE423</t>
  </si>
  <si>
    <t>LGE424</t>
  </si>
  <si>
    <t>LGE425</t>
  </si>
  <si>
    <t>LGE426</t>
  </si>
  <si>
    <t>LGE427</t>
  </si>
  <si>
    <t>LGE428</t>
  </si>
  <si>
    <t>LGE429</t>
  </si>
  <si>
    <t>LGE430</t>
  </si>
  <si>
    <t>LGE431</t>
  </si>
  <si>
    <t>LGE432</t>
  </si>
  <si>
    <t>LGE433</t>
  </si>
  <si>
    <t>LGE440</t>
  </si>
  <si>
    <t>LGE441</t>
  </si>
  <si>
    <t>LGE444</t>
  </si>
  <si>
    <t>LGE445</t>
  </si>
  <si>
    <t>LGE452</t>
  </si>
  <si>
    <t>LGE453</t>
  </si>
  <si>
    <t>LGE454</t>
  </si>
  <si>
    <t>LGE455</t>
  </si>
  <si>
    <t>LGE456</t>
  </si>
  <si>
    <t>LGE457</t>
  </si>
  <si>
    <t>LGE458</t>
  </si>
  <si>
    <t>LGE470</t>
  </si>
  <si>
    <t>LGE471</t>
  </si>
  <si>
    <t>LGE473</t>
  </si>
  <si>
    <t>LGE474</t>
  </si>
  <si>
    <t>LGE475</t>
  </si>
  <si>
    <t>LGE476</t>
  </si>
  <si>
    <t>LGE477</t>
  </si>
  <si>
    <t>LGE480</t>
  </si>
  <si>
    <t>LGE481</t>
  </si>
  <si>
    <t>LGE482</t>
  </si>
  <si>
    <t>LGE483</t>
  </si>
  <si>
    <t>LGE484</t>
  </si>
  <si>
    <t>LGE825</t>
  </si>
  <si>
    <t>LGE826</t>
  </si>
  <si>
    <t>LGE828</t>
  </si>
  <si>
    <t>LGE829</t>
  </si>
  <si>
    <t>Sum of # Lights at start of Period</t>
  </si>
  <si>
    <t>KU482</t>
  </si>
  <si>
    <t>COST - 60*Monthly costs</t>
  </si>
  <si>
    <t>QTY BILLED JUN 2016</t>
  </si>
  <si>
    <t>(Multiple Items)</t>
  </si>
  <si>
    <t>Sum of QTY BILLED JUN 2016</t>
  </si>
  <si>
    <t>50W LED</t>
  </si>
  <si>
    <t>80W LED</t>
  </si>
  <si>
    <t>Watt</t>
  </si>
  <si>
    <t>Lumen</t>
  </si>
  <si>
    <t>134W LED</t>
  </si>
  <si>
    <t>68W LED</t>
  </si>
  <si>
    <t>228W LED</t>
  </si>
  <si>
    <t>PRICE LED WHOLESALE CHANGEOVER USING PROPOSED LED PRICING</t>
  </si>
  <si>
    <t>228W + 80W</t>
  </si>
  <si>
    <t>228W  * 2</t>
  </si>
  <si>
    <t>228W * 4</t>
  </si>
  <si>
    <t>228W * 5</t>
  </si>
  <si>
    <t>228W + 134W</t>
  </si>
  <si>
    <t>228W * 2</t>
  </si>
  <si>
    <t>228W * 3</t>
  </si>
  <si>
    <t>228W LED x 2</t>
  </si>
  <si>
    <t>Cobra Head/Open Bottom</t>
  </si>
  <si>
    <t>Fixture/Labor Only Price</t>
  </si>
  <si>
    <t>Labor Costs (Used KU Average Labor cost to install HPS fixture- $396)</t>
  </si>
  <si>
    <t xml:space="preserve">USE WATT TO MATCH REPLACEMENT </t>
  </si>
  <si>
    <t xml:space="preserve">USE LUMEN TO MATCH REPLACEMENT </t>
  </si>
  <si>
    <t>LUMEN RPL</t>
  </si>
  <si>
    <t>WATT RPL</t>
  </si>
  <si>
    <t>Fixture</t>
  </si>
  <si>
    <t>228W LED x 3</t>
  </si>
  <si>
    <t>228W LED x 4</t>
  </si>
  <si>
    <t>Metal Halide-1000</t>
  </si>
  <si>
    <t>Scenario1</t>
  </si>
  <si>
    <t>Scenario2</t>
  </si>
  <si>
    <t>Scenario3</t>
  </si>
  <si>
    <t>Price * Qty</t>
  </si>
  <si>
    <t>LED Proposed Price - Used Higest Price between KU and LG&amp;E</t>
  </si>
  <si>
    <t>Number of light maint/year (1/5)</t>
  </si>
  <si>
    <t>Northeast Energy Efficiency Partnership</t>
  </si>
  <si>
    <t>Method</t>
  </si>
  <si>
    <t xml:space="preserve">  -Uses replacement costs for Cobra head fixtures and retrofit kits for all decorative fixtures</t>
  </si>
  <si>
    <t xml:space="preserve">  -Prices fixtures in 3 groups 1) &lt;50W ; 2) between 50W and 100W; 3) 100W and higher</t>
  </si>
  <si>
    <t>Wholesale Change out Pricing</t>
  </si>
  <si>
    <t xml:space="preserve">  - Replace fixtures based on approximate lumen</t>
  </si>
  <si>
    <t xml:space="preserve">  - Replace fixtures based on approximate watt</t>
  </si>
  <si>
    <t>1. Northeast Energy Efficiency Partnerships, “LED Street Lighting Assessment and Strategies for the Northeast and</t>
  </si>
  <si>
    <t>Mid-Atlantic”, dated January 2015.</t>
  </si>
  <si>
    <t>2. New York State Energy Research and Development Authority, "Street Lighting in New York State: Opportunities and</t>
  </si>
  <si>
    <t>Challenges, dated January 2015.</t>
  </si>
  <si>
    <t>Savings for all 270,340 fixtures</t>
  </si>
  <si>
    <t>Amount 
($ in millions)</t>
  </si>
  <si>
    <t>Average Price per fixture (in dollars)</t>
  </si>
  <si>
    <t xml:space="preserve">   -mostly cobra head pricing, pricing for 1 decorative fixture</t>
  </si>
  <si>
    <t xml:space="preserve">  - uses retrofit kit pricing and not full fixture pricing</t>
  </si>
  <si>
    <t xml:space="preserve">  Concerns:</t>
  </si>
  <si>
    <t xml:space="preserve">     cobra head pricing</t>
  </si>
  <si>
    <t xml:space="preserve">   -Understates costs, - 39% of fixtures are higher priced decorative but priced at cheaper</t>
  </si>
  <si>
    <t>Using KU/LG&amp;E Proposed LED fixture and related labor costs</t>
  </si>
  <si>
    <t>LED</t>
  </si>
  <si>
    <t xml:space="preserve">Maintenance cost per year </t>
  </si>
  <si>
    <t>Maintenance cycle in years</t>
  </si>
  <si>
    <t>LED and HPS/MV/INC all costs same to maintain during maintenance cycle</t>
  </si>
  <si>
    <t>Maintenance cycle is 12 years for LED and 5 for all other lights</t>
  </si>
  <si>
    <t>LED Savings per fixture/year</t>
  </si>
  <si>
    <t>LED is 2 times the cost of HPS/MV/INC to maintain during maintenance cycle</t>
  </si>
  <si>
    <t>LED is 1.5 times the cost of HPS/MV/INC to maintain during maintenance cycle</t>
  </si>
  <si>
    <t>Total maintenance costs per cycle</t>
  </si>
  <si>
    <t>Estimated Costs ($ in millions):</t>
  </si>
  <si>
    <t>*:</t>
  </si>
  <si>
    <t>Total Maintenance savings per year 54,068 fixtures</t>
  </si>
  <si>
    <t>Maintenance Savings 50%-75% Estimate</t>
  </si>
  <si>
    <t>Maintenance Costs</t>
  </si>
  <si>
    <t>Maintenance Savings at 50%</t>
  </si>
  <si>
    <t>Maintenance Savings at 75%</t>
  </si>
  <si>
    <t>Maintenance Savings Estimate</t>
  </si>
  <si>
    <t>Annual</t>
  </si>
  <si>
    <t xml:space="preserve">Average Monthly Tariff charge </t>
  </si>
  <si>
    <t>Total Estimated Revenue</t>
  </si>
  <si>
    <t>Change from Current</t>
  </si>
  <si>
    <t xml:space="preserve">   One Time Gain - Net Book Value</t>
  </si>
  <si>
    <t xml:space="preserve">   Inventory  write off</t>
  </si>
  <si>
    <t xml:space="preserve">   Current Revenue - 12 Months Ending June 30, 2016</t>
  </si>
  <si>
    <t xml:space="preserve">   LE Tariff Revenue - Estimated</t>
  </si>
  <si>
    <t xml:space="preserve">   Maintenance Contract Revenue - Estimated</t>
  </si>
  <si>
    <t xml:space="preserve">Estimated Costs </t>
  </si>
  <si>
    <t>Estimated Revenue</t>
  </si>
  <si>
    <t xml:space="preserve">   Estimated Energy Costs</t>
  </si>
  <si>
    <t xml:space="preserve">   Estimated Property Tax</t>
  </si>
  <si>
    <t xml:space="preserve">   Annual Depreciation Expense</t>
  </si>
  <si>
    <t xml:space="preserve">   Maintenance Expense (2016 Budget)</t>
  </si>
  <si>
    <t xml:space="preserve">   Maintenance Expense currently capitalized (2016 Budget)</t>
  </si>
  <si>
    <t xml:space="preserve">Total Estimated Costs </t>
  </si>
  <si>
    <t xml:space="preserve">   Variable Production Costs Savings</t>
  </si>
  <si>
    <t>Annual Energy Savings - GWh (non-peak)</t>
  </si>
  <si>
    <t>Annual Costs/Savings ($ in millions):</t>
  </si>
  <si>
    <t xml:space="preserve">   Additional Property Tax Expense</t>
  </si>
  <si>
    <t xml:space="preserve">   Additional Depreciation Expense</t>
  </si>
  <si>
    <t>Maintenance Savings at 30%</t>
  </si>
  <si>
    <t>BW 1055 Billed Lights</t>
  </si>
  <si>
    <t>Current Revenue and kWh 12 ME June 2016</t>
  </si>
  <si>
    <t>LE Revenue - ODP LE rate does not exist, assume same rate as KU</t>
  </si>
  <si>
    <t>Tariff -sheet</t>
  </si>
  <si>
    <t>Maintenance Contract Revnue - Sum of 2016 Budget Opex and Capex expense for Maintenance</t>
  </si>
  <si>
    <t>Energy Costs - kWh 12 ME June 2016 times Variable Production Cost (Native Load)</t>
  </si>
  <si>
    <t>Property Tax - NBV times rate, for ODP assumed same rate as KU</t>
  </si>
  <si>
    <t>Annual Depreciation - Ending Plant balance June 2016 times rate</t>
  </si>
  <si>
    <t>Maintenance Expense - 2016 Budget Opex expense for Maintenance</t>
  </si>
  <si>
    <t>Maintenance Expense currently capitalized - 2016 Budget Capex expense for Maintenance</t>
  </si>
  <si>
    <t>ITEM:</t>
  </si>
  <si>
    <t xml:space="preserve">Recovery of stranded asset - 1/20th of NBV lighting at June 2016 </t>
  </si>
  <si>
    <t xml:space="preserve">One Time gain -  NBV lighting at June 2016 </t>
  </si>
  <si>
    <t>Inventory - At June 2016</t>
  </si>
  <si>
    <t>MV / Incand / 1000W MH</t>
  </si>
  <si>
    <t>Less Unmetered</t>
  </si>
  <si>
    <t>Budgeting &amp; Forecasting - Distribution Ops/Customer Service</t>
  </si>
  <si>
    <t>Budgeting &amp; Forecasting - Generation Operations</t>
  </si>
  <si>
    <t>Tax Department</t>
  </si>
  <si>
    <t>Property Accounting</t>
  </si>
  <si>
    <t xml:space="preserve">Supply Chain,  Brownstown Electric Supply Co., Inc
</t>
  </si>
  <si>
    <t xml:space="preserve">Range of LED Costs </t>
  </si>
  <si>
    <t>12 month rolling average of native load production costs</t>
  </si>
  <si>
    <t>LGE’s Avg Rates.</t>
  </si>
  <si>
    <t>KU’s Avg Rates.</t>
  </si>
  <si>
    <t>Northeast Energy Efficiency Partnerships, “LED Street Lighting Assessment and Strategies for the Northeast and Mid-Atlantic”, dated January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</si>
</sst>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_);_(&quot;$&quot;* \(#,##0\);_(&quot;$&quot;* &quot;-&quot;??_);_(@_)"/>
    <numFmt numFmtId="166" formatCode="#,##0.00;\-#,##0.00;#,##0.00;@"/>
    <numFmt numFmtId="167" formatCode="#,##0;\-#,##0;#,##0;@"/>
    <numFmt numFmtId="168" formatCode="_(* #,##0_);_(* \(#,##0\);_(* &quot;-&quot;??_);_(@_)"/>
    <numFmt numFmtId="169" formatCode="_(&quot;$&quot;* #,##0.00000_);_(&quot;$&quot;* \(#,##0.00000\);_(&quot;$&quot;* &quot;-&quot;??_);_(@_)"/>
    <numFmt numFmtId="170" formatCode="0.0%"/>
    <numFmt numFmtId="171" formatCode="_(* #,##0.0_);_(* \(#,##0.0\);_(* &quot;-&quot;??_);_(@_)"/>
    <numFmt numFmtId="172" formatCode="&quot;$&quot;#,##0.00"/>
    <numFmt numFmtId="173" formatCode="&quot;$&quot;#,##0"/>
    <numFmt numFmtId="174" formatCode="_(&quot;$&quot;* #,##0.0_);_(&quot;$&quot;* \(#,##0.0\);_(&quot;$&quot;* &quot;-&quot;??_);_(@_)"/>
    <numFmt numFmtId="175" formatCode="&quot;$&quot;#,##0.0_);\(&quot;$&quot;#,##0.0\)"/>
    <numFmt numFmtId="176" formatCode="#,##0.0"/>
    <numFmt numFmtId="177" formatCode="0.0000000"/>
    <numFmt numFmtId="178" formatCode="0.000%"/>
    <numFmt numFmtId="179" formatCode="0.00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B60005"/>
      <name val="Arial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20"/>
      <color theme="1"/>
      <name val="Polo"/>
    </font>
    <font>
      <u/>
      <sz val="20"/>
      <color theme="1"/>
      <name val="Polo"/>
    </font>
    <font>
      <u val="singleAccounting"/>
      <sz val="20"/>
      <color theme="1"/>
      <name val="Polo"/>
    </font>
    <font>
      <sz val="11"/>
      <color theme="1"/>
      <name val="Polo"/>
    </font>
    <font>
      <sz val="11"/>
      <color theme="1"/>
      <name val="Calibri Light"/>
      <family val="2"/>
      <scheme val="maj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0" fontId="0" fillId="0" borderId="0" xfId="0" applyBorder="1"/>
    <xf numFmtId="38" fontId="0" fillId="0" borderId="0" xfId="0" applyNumberFormat="1" applyBorder="1"/>
    <xf numFmtId="0" fontId="5" fillId="0" borderId="0" xfId="3" applyFont="1" applyFill="1" applyProtection="1">
      <protection locked="0"/>
    </xf>
    <xf numFmtId="0" fontId="3" fillId="0" borderId="0" xfId="3" applyFill="1"/>
    <xf numFmtId="164" fontId="7" fillId="0" borderId="0" xfId="3" applyNumberFormat="1" applyFont="1" applyFill="1" applyAlignment="1">
      <alignment horizontal="center"/>
    </xf>
    <xf numFmtId="43" fontId="6" fillId="0" borderId="0" xfId="4" applyFont="1" applyFill="1" applyAlignment="1">
      <alignment horizontal="center"/>
    </xf>
    <xf numFmtId="43" fontId="7" fillId="0" borderId="0" xfId="4" applyFill="1"/>
    <xf numFmtId="0" fontId="6" fillId="0" borderId="0" xfId="3" applyFont="1" applyFill="1"/>
    <xf numFmtId="43" fontId="6" fillId="0" borderId="3" xfId="4" applyFont="1" applyFill="1" applyBorder="1" applyAlignment="1">
      <alignment horizontal="center"/>
    </xf>
    <xf numFmtId="43" fontId="6" fillId="0" borderId="0" xfId="4" applyFont="1" applyFill="1" applyBorder="1" applyAlignment="1">
      <alignment horizontal="center"/>
    </xf>
    <xf numFmtId="39" fontId="7" fillId="0" borderId="0" xfId="5" applyNumberFormat="1" applyFill="1"/>
    <xf numFmtId="43" fontId="3" fillId="0" borderId="0" xfId="3" applyNumberFormat="1" applyFill="1"/>
    <xf numFmtId="39" fontId="7" fillId="0" borderId="0" xfId="5" applyNumberFormat="1" applyFill="1" applyBorder="1"/>
    <xf numFmtId="43" fontId="7" fillId="0" borderId="0" xfId="4" applyFill="1" applyBorder="1"/>
    <xf numFmtId="0" fontId="3" fillId="0" borderId="0" xfId="3" applyFill="1" applyBorder="1"/>
    <xf numFmtId="43" fontId="3" fillId="0" borderId="0" xfId="3" applyNumberFormat="1" applyFill="1" applyBorder="1"/>
    <xf numFmtId="43" fontId="7" fillId="0" borderId="3" xfId="4" applyFill="1" applyBorder="1"/>
    <xf numFmtId="43" fontId="3" fillId="0" borderId="3" xfId="3" applyNumberFormat="1" applyFill="1" applyBorder="1"/>
    <xf numFmtId="0" fontId="7" fillId="0" borderId="0" xfId="3" applyFont="1" applyFill="1"/>
    <xf numFmtId="0" fontId="3" fillId="0" borderId="0" xfId="3"/>
    <xf numFmtId="43" fontId="7" fillId="0" borderId="4" xfId="4" applyFill="1" applyBorder="1"/>
    <xf numFmtId="44" fontId="7" fillId="0" borderId="0" xfId="5" applyFill="1"/>
    <xf numFmtId="43" fontId="3" fillId="4" borderId="0" xfId="3" applyNumberFormat="1" applyFill="1"/>
    <xf numFmtId="0" fontId="3" fillId="4" borderId="0" xfId="3" applyFill="1"/>
    <xf numFmtId="43" fontId="7" fillId="4" borderId="0" xfId="4" applyFill="1"/>
    <xf numFmtId="39" fontId="7" fillId="4" borderId="0" xfId="5" applyNumberFormat="1" applyFill="1" applyBorder="1"/>
    <xf numFmtId="43" fontId="7" fillId="4" borderId="0" xfId="4" applyFill="1" applyBorder="1"/>
    <xf numFmtId="43" fontId="7" fillId="0" borderId="2" xfId="4" applyFill="1" applyBorder="1"/>
    <xf numFmtId="0" fontId="3" fillId="0" borderId="0" xfId="3" quotePrefix="1" applyFill="1" applyAlignment="1">
      <alignment horizontal="left"/>
    </xf>
    <xf numFmtId="0" fontId="7" fillId="0" borderId="0" xfId="3" applyFont="1"/>
    <xf numFmtId="164" fontId="7" fillId="0" borderId="0" xfId="3" applyNumberFormat="1" applyFont="1" applyAlignment="1">
      <alignment horizontal="center"/>
    </xf>
    <xf numFmtId="43" fontId="6" fillId="0" borderId="0" xfId="4" applyFont="1" applyAlignment="1">
      <alignment horizontal="center"/>
    </xf>
    <xf numFmtId="43" fontId="7" fillId="0" borderId="0" xfId="4"/>
    <xf numFmtId="0" fontId="6" fillId="0" borderId="0" xfId="3" applyFont="1"/>
    <xf numFmtId="43" fontId="6" fillId="0" borderId="3" xfId="4" applyFont="1" applyBorder="1" applyAlignment="1">
      <alignment horizontal="center"/>
    </xf>
    <xf numFmtId="43" fontId="6" fillId="0" borderId="0" xfId="4" applyFont="1" applyBorder="1" applyAlignment="1">
      <alignment horizontal="center"/>
    </xf>
    <xf numFmtId="44" fontId="7" fillId="0" borderId="0" xfId="5"/>
    <xf numFmtId="43" fontId="3" fillId="0" borderId="0" xfId="3" applyNumberFormat="1"/>
    <xf numFmtId="44" fontId="7" fillId="0" borderId="0" xfId="5" applyBorder="1"/>
    <xf numFmtId="43" fontId="7" fillId="0" borderId="0" xfId="4" applyBorder="1"/>
    <xf numFmtId="43" fontId="7" fillId="0" borderId="3" xfId="4" applyBorder="1"/>
    <xf numFmtId="43" fontId="3" fillId="0" borderId="3" xfId="3" applyNumberFormat="1" applyBorder="1"/>
    <xf numFmtId="43" fontId="7" fillId="0" borderId="4" xfId="4" applyBorder="1"/>
    <xf numFmtId="43" fontId="7" fillId="4" borderId="3" xfId="4" applyFill="1" applyBorder="1"/>
    <xf numFmtId="44" fontId="7" fillId="4" borderId="0" xfId="5" applyFill="1" applyBorder="1"/>
    <xf numFmtId="44" fontId="7" fillId="4" borderId="0" xfId="5" applyFill="1"/>
    <xf numFmtId="43" fontId="3" fillId="4" borderId="3" xfId="3" applyNumberFormat="1" applyFill="1" applyBorder="1"/>
    <xf numFmtId="43" fontId="7" fillId="0" borderId="0" xfId="4" applyFont="1" applyAlignment="1">
      <alignment horizontal="center"/>
    </xf>
    <xf numFmtId="0" fontId="3" fillId="0" borderId="0" xfId="3" applyBorder="1"/>
    <xf numFmtId="0" fontId="6" fillId="0" borderId="0" xfId="3" applyFont="1" applyAlignment="1">
      <alignment horizontal="center"/>
    </xf>
    <xf numFmtId="43" fontId="3" fillId="0" borderId="0" xfId="3" applyNumberFormat="1" applyBorder="1"/>
    <xf numFmtId="43" fontId="7" fillId="0" borderId="2" xfId="4" applyBorder="1"/>
    <xf numFmtId="0" fontId="7" fillId="0" borderId="0" xfId="3" quotePrefix="1" applyFont="1" applyAlignment="1">
      <alignment horizontal="left" vertical="center"/>
    </xf>
    <xf numFmtId="43" fontId="7" fillId="0" borderId="5" xfId="4" applyBorder="1"/>
    <xf numFmtId="0" fontId="3" fillId="0" borderId="0" xfId="3" applyAlignment="1">
      <alignment horizontal="center"/>
    </xf>
    <xf numFmtId="44" fontId="3" fillId="0" borderId="0" xfId="2" applyFont="1"/>
    <xf numFmtId="44" fontId="3" fillId="0" borderId="0" xfId="2" applyFont="1" applyFill="1"/>
    <xf numFmtId="0" fontId="0" fillId="0" borderId="0" xfId="0" applyFill="1" applyBorder="1"/>
    <xf numFmtId="43" fontId="8" fillId="0" borderId="0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8" fillId="0" borderId="0" xfId="1" applyFont="1" applyBorder="1"/>
    <xf numFmtId="44" fontId="0" fillId="0" borderId="0" xfId="2" applyFont="1" applyBorder="1"/>
    <xf numFmtId="44" fontId="0" fillId="0" borderId="2" xfId="2" applyFont="1" applyBorder="1"/>
    <xf numFmtId="165" fontId="0" fillId="0" borderId="1" xfId="2" applyNumberFormat="1" applyFont="1" applyBorder="1"/>
    <xf numFmtId="165" fontId="2" fillId="0" borderId="1" xfId="2" applyNumberFormat="1" applyFont="1" applyBorder="1"/>
    <xf numFmtId="166" fontId="9" fillId="5" borderId="6" xfId="0" applyNumberFormat="1" applyFont="1" applyFill="1" applyBorder="1" applyAlignment="1">
      <alignment horizontal="right" vertical="center" wrapText="1"/>
    </xf>
    <xf numFmtId="49" fontId="9" fillId="5" borderId="6" xfId="0" applyNumberFormat="1" applyFont="1" applyFill="1" applyBorder="1" applyAlignment="1">
      <alignment horizontal="right" vertical="center" wrapText="1"/>
    </xf>
    <xf numFmtId="167" fontId="9" fillId="5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166" fontId="9" fillId="7" borderId="6" xfId="0" applyNumberFormat="1" applyFont="1" applyFill="1" applyBorder="1" applyAlignment="1">
      <alignment horizontal="right" vertical="center" wrapText="1"/>
    </xf>
    <xf numFmtId="49" fontId="9" fillId="7" borderId="6" xfId="0" applyNumberFormat="1" applyFont="1" applyFill="1" applyBorder="1" applyAlignment="1">
      <alignment horizontal="right" vertical="center" wrapText="1"/>
    </xf>
    <xf numFmtId="167" fontId="9" fillId="7" borderId="6" xfId="0" applyNumberFormat="1" applyFont="1" applyFill="1" applyBorder="1" applyAlignment="1">
      <alignment horizontal="right" vertical="center" wrapText="1"/>
    </xf>
    <xf numFmtId="166" fontId="9" fillId="8" borderId="6" xfId="0" applyNumberFormat="1" applyFont="1" applyFill="1" applyBorder="1" applyAlignment="1">
      <alignment horizontal="right" vertical="center" wrapText="1"/>
    </xf>
    <xf numFmtId="49" fontId="9" fillId="8" borderId="6" xfId="0" applyNumberFormat="1" applyFont="1" applyFill="1" applyBorder="1" applyAlignment="1">
      <alignment horizontal="right" vertical="center" wrapText="1"/>
    </xf>
    <xf numFmtId="167" fontId="9" fillId="8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 wrapText="1"/>
    </xf>
    <xf numFmtId="49" fontId="0" fillId="6" borderId="6" xfId="0" applyNumberForma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49" fontId="9" fillId="8" borderId="0" xfId="0" applyNumberFormat="1" applyFont="1" applyFill="1" applyAlignment="1">
      <alignment wrapText="1"/>
    </xf>
    <xf numFmtId="49" fontId="12" fillId="8" borderId="0" xfId="0" applyNumberFormat="1" applyFont="1" applyFill="1" applyAlignment="1">
      <alignment wrapText="1"/>
    </xf>
    <xf numFmtId="49" fontId="13" fillId="8" borderId="0" xfId="0" applyNumberFormat="1" applyFont="1" applyFill="1" applyAlignment="1">
      <alignment wrapText="1"/>
    </xf>
    <xf numFmtId="49" fontId="9" fillId="5" borderId="6" xfId="0" applyNumberFormat="1" applyFont="1" applyFill="1" applyBorder="1" applyAlignment="1">
      <alignment horizontal="left" vertical="center" wrapText="1"/>
    </xf>
    <xf numFmtId="168" fontId="0" fillId="0" borderId="0" xfId="1" applyNumberFormat="1" applyFont="1"/>
    <xf numFmtId="44" fontId="0" fillId="0" borderId="0" xfId="2" applyFont="1"/>
    <xf numFmtId="167" fontId="0" fillId="0" borderId="0" xfId="0" applyNumberFormat="1"/>
    <xf numFmtId="169" fontId="0" fillId="0" borderId="0" xfId="2" applyNumberFormat="1" applyFont="1"/>
    <xf numFmtId="44" fontId="0" fillId="0" borderId="2" xfId="0" applyNumberFormat="1" applyBorder="1"/>
    <xf numFmtId="165" fontId="0" fillId="0" borderId="0" xfId="2" applyNumberFormat="1" applyFont="1"/>
    <xf numFmtId="165" fontId="0" fillId="0" borderId="2" xfId="2" applyNumberFormat="1" applyFont="1" applyBorder="1"/>
    <xf numFmtId="43" fontId="8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0" borderId="0" xfId="0" applyFont="1"/>
    <xf numFmtId="49" fontId="9" fillId="0" borderId="0" xfId="0" applyNumberFormat="1" applyFont="1" applyFill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7" fontId="9" fillId="0" borderId="14" xfId="0" applyNumberFormat="1" applyFont="1" applyFill="1" applyBorder="1" applyAlignment="1">
      <alignment horizontal="right" vertical="center" wrapText="1"/>
    </xf>
    <xf numFmtId="165" fontId="0" fillId="0" borderId="2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quotePrefix="1"/>
    <xf numFmtId="3" fontId="0" fillId="0" borderId="0" xfId="0" applyNumberFormat="1" applyAlignment="1">
      <alignment horizontal="center"/>
    </xf>
    <xf numFmtId="168" fontId="0" fillId="0" borderId="0" xfId="1" quotePrefix="1" applyNumberFormat="1" applyFont="1"/>
    <xf numFmtId="44" fontId="0" fillId="0" borderId="0" xfId="2" quotePrefix="1" applyFont="1"/>
    <xf numFmtId="8" fontId="0" fillId="0" borderId="0" xfId="0" applyNumberFormat="1"/>
    <xf numFmtId="0" fontId="0" fillId="0" borderId="0" xfId="0" applyNumberFormat="1" applyFill="1"/>
    <xf numFmtId="3" fontId="0" fillId="0" borderId="0" xfId="0" applyNumberFormat="1" applyFill="1" applyAlignment="1">
      <alignment horizontal="center"/>
    </xf>
    <xf numFmtId="14" fontId="0" fillId="0" borderId="0" xfId="0" quotePrefix="1" applyNumberFormat="1"/>
    <xf numFmtId="0" fontId="0" fillId="0" borderId="0" xfId="0" pivotButton="1"/>
    <xf numFmtId="0" fontId="0" fillId="0" borderId="0" xfId="0" applyNumberFormat="1"/>
    <xf numFmtId="168" fontId="0" fillId="0" borderId="0" xfId="0" applyNumberFormat="1"/>
    <xf numFmtId="0" fontId="0" fillId="0" borderId="1" xfId="0" applyBorder="1" applyAlignment="1">
      <alignment horizontal="center"/>
    </xf>
    <xf numFmtId="168" fontId="0" fillId="0" borderId="1" xfId="1" applyNumberFormat="1" applyFont="1" applyBorder="1"/>
    <xf numFmtId="165" fontId="0" fillId="0" borderId="0" xfId="0" applyNumberFormat="1"/>
    <xf numFmtId="165" fontId="0" fillId="0" borderId="0" xfId="2" applyNumberFormat="1" applyFont="1" applyBorder="1"/>
    <xf numFmtId="165" fontId="0" fillId="0" borderId="1" xfId="0" applyNumberFormat="1" applyBorder="1"/>
    <xf numFmtId="168" fontId="0" fillId="0" borderId="1" xfId="1" applyNumberFormat="1" applyFont="1" applyBorder="1" applyAlignment="1">
      <alignment horizontal="center"/>
    </xf>
    <xf numFmtId="165" fontId="0" fillId="0" borderId="0" xfId="0" applyNumberFormat="1" applyBorder="1"/>
    <xf numFmtId="9" fontId="0" fillId="0" borderId="0" xfId="0" applyNumberFormat="1"/>
    <xf numFmtId="0" fontId="0" fillId="0" borderId="0" xfId="0" applyFont="1" applyFill="1" applyBorder="1"/>
    <xf numFmtId="43" fontId="0" fillId="0" borderId="0" xfId="1" applyFont="1"/>
    <xf numFmtId="38" fontId="0" fillId="0" borderId="0" xfId="0" applyNumberFormat="1"/>
    <xf numFmtId="38" fontId="0" fillId="0" borderId="0" xfId="0" applyNumberFormat="1" applyBorder="1" applyAlignment="1"/>
    <xf numFmtId="170" fontId="0" fillId="0" borderId="0" xfId="6" applyNumberFormat="1" applyFont="1"/>
    <xf numFmtId="44" fontId="0" fillId="0" borderId="0" xfId="2" applyFont="1" applyBorder="1" applyAlignment="1"/>
    <xf numFmtId="168" fontId="0" fillId="0" borderId="0" xfId="1" applyNumberFormat="1" applyFont="1" applyFill="1"/>
    <xf numFmtId="0" fontId="0" fillId="0" borderId="0" xfId="0" applyAlignment="1"/>
    <xf numFmtId="43" fontId="8" fillId="0" borderId="0" xfId="1" applyFont="1" applyAlignment="1">
      <alignment horizontal="center" wrapText="1"/>
    </xf>
    <xf numFmtId="165" fontId="17" fillId="0" borderId="0" xfId="2" applyNumberFormat="1" applyFont="1"/>
    <xf numFmtId="165" fontId="8" fillId="0" borderId="0" xfId="2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165" fontId="0" fillId="0" borderId="0" xfId="2" applyNumberFormat="1" applyFont="1" applyBorder="1" applyAlignment="1">
      <alignment horizontal="center" wrapText="1"/>
    </xf>
    <xf numFmtId="0" fontId="18" fillId="0" borderId="0" xfId="7"/>
    <xf numFmtId="44" fontId="3" fillId="9" borderId="0" xfId="8" applyFont="1" applyFill="1"/>
    <xf numFmtId="0" fontId="18" fillId="9" borderId="0" xfId="7" applyFill="1"/>
    <xf numFmtId="0" fontId="18" fillId="9" borderId="0" xfId="7" quotePrefix="1" applyFill="1" applyAlignment="1">
      <alignment horizontal="left"/>
    </xf>
    <xf numFmtId="0" fontId="18" fillId="0" borderId="0" xfId="7" quotePrefix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68" fontId="19" fillId="0" borderId="0" xfId="1" applyNumberFormat="1" applyFont="1" applyAlignment="1">
      <alignment horizontal="center" vertical="center"/>
    </xf>
    <xf numFmtId="168" fontId="19" fillId="0" borderId="0" xfId="1" applyNumberFormat="1" applyFont="1"/>
    <xf numFmtId="0" fontId="19" fillId="0" borderId="0" xfId="0" applyFont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68" fontId="0" fillId="1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10" borderId="15" xfId="0" applyFill="1" applyBorder="1" applyAlignment="1">
      <alignment horizontal="center" vertical="center" wrapText="1"/>
    </xf>
    <xf numFmtId="168" fontId="19" fillId="0" borderId="2" xfId="1" applyNumberFormat="1" applyFont="1" applyBorder="1" applyAlignment="1">
      <alignment horizontal="center" vertical="center"/>
    </xf>
    <xf numFmtId="168" fontId="19" fillId="0" borderId="0" xfId="1" applyNumberFormat="1" applyFont="1" applyAlignment="1">
      <alignment horizontal="right" vertical="center"/>
    </xf>
    <xf numFmtId="168" fontId="19" fillId="0" borderId="2" xfId="0" applyNumberFormat="1" applyFont="1" applyBorder="1"/>
    <xf numFmtId="168" fontId="19" fillId="0" borderId="0" xfId="1" applyNumberFormat="1" applyFont="1" applyBorder="1" applyAlignment="1">
      <alignment horizontal="center" vertical="center"/>
    </xf>
    <xf numFmtId="168" fontId="19" fillId="0" borderId="3" xfId="1" applyNumberFormat="1" applyFont="1" applyBorder="1" applyAlignment="1">
      <alignment horizontal="center" vertical="center"/>
    </xf>
    <xf numFmtId="168" fontId="19" fillId="0" borderId="3" xfId="1" applyNumberFormat="1" applyFont="1" applyBorder="1" applyAlignment="1">
      <alignment horizontal="right" vertical="center"/>
    </xf>
    <xf numFmtId="168" fontId="19" fillId="0" borderId="0" xfId="0" applyNumberFormat="1" applyFont="1"/>
    <xf numFmtId="172" fontId="8" fillId="0" borderId="0" xfId="2" applyNumberFormat="1" applyFont="1" applyAlignment="1">
      <alignment horizontal="center" wrapText="1"/>
    </xf>
    <xf numFmtId="173" fontId="0" fillId="0" borderId="0" xfId="2" applyNumberFormat="1" applyFont="1" applyAlignment="1">
      <alignment horizontal="center"/>
    </xf>
    <xf numFmtId="173" fontId="0" fillId="0" borderId="0" xfId="2" applyNumberFormat="1" applyFont="1" applyFill="1" applyAlignment="1">
      <alignment horizontal="center"/>
    </xf>
    <xf numFmtId="173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173" fontId="14" fillId="0" borderId="0" xfId="0" applyNumberFormat="1" applyFont="1" applyAlignment="1">
      <alignment horizontal="left"/>
    </xf>
    <xf numFmtId="167" fontId="9" fillId="12" borderId="0" xfId="0" applyNumberFormat="1" applyFont="1" applyFill="1" applyBorder="1" applyAlignment="1">
      <alignment horizontal="right" vertical="center" wrapText="1"/>
    </xf>
    <xf numFmtId="166" fontId="9" fillId="12" borderId="0" xfId="0" applyNumberFormat="1" applyFont="1" applyFill="1" applyBorder="1" applyAlignment="1">
      <alignment horizontal="right" vertical="center" wrapText="1"/>
    </xf>
    <xf numFmtId="168" fontId="0" fillId="0" borderId="2" xfId="0" applyNumberFormat="1" applyBorder="1"/>
    <xf numFmtId="0" fontId="22" fillId="0" borderId="0" xfId="0" applyFont="1"/>
    <xf numFmtId="43" fontId="22" fillId="0" borderId="0" xfId="1" applyFont="1"/>
    <xf numFmtId="168" fontId="22" fillId="0" borderId="0" xfId="1" applyNumberFormat="1" applyFont="1"/>
    <xf numFmtId="167" fontId="0" fillId="0" borderId="2" xfId="0" applyNumberFormat="1" applyBorder="1"/>
    <xf numFmtId="43" fontId="0" fillId="0" borderId="0" xfId="0" applyNumberFormat="1"/>
    <xf numFmtId="0" fontId="0" fillId="0" borderId="0" xfId="0" applyFont="1"/>
    <xf numFmtId="43" fontId="0" fillId="11" borderId="0" xfId="1" applyFont="1" applyFill="1" applyAlignment="1">
      <alignment horizontal="center"/>
    </xf>
    <xf numFmtId="43" fontId="8" fillId="11" borderId="0" xfId="1" applyFont="1" applyFill="1" applyAlignment="1">
      <alignment horizontal="center"/>
    </xf>
    <xf numFmtId="168" fontId="0" fillId="11" borderId="0" xfId="1" applyNumberFormat="1" applyFont="1" applyFill="1" applyAlignment="1">
      <alignment horizontal="center"/>
    </xf>
    <xf numFmtId="9" fontId="0" fillId="0" borderId="0" xfId="6" applyFont="1" applyAlignment="1">
      <alignment horizontal="center"/>
    </xf>
    <xf numFmtId="175" fontId="0" fillId="0" borderId="0" xfId="2" applyNumberFormat="1" applyFont="1" applyAlignment="1">
      <alignment horizontal="center"/>
    </xf>
    <xf numFmtId="174" fontId="0" fillId="11" borderId="0" xfId="2" applyNumberFormat="1" applyFont="1" applyFill="1"/>
    <xf numFmtId="175" fontId="0" fillId="0" borderId="0" xfId="2" quotePrefix="1" applyNumberFormat="1" applyFont="1"/>
    <xf numFmtId="175" fontId="0" fillId="0" borderId="2" xfId="2" applyNumberFormat="1" applyFont="1" applyBorder="1" applyAlignment="1">
      <alignment horizontal="center"/>
    </xf>
    <xf numFmtId="175" fontId="0" fillId="0" borderId="2" xfId="2" quotePrefix="1" applyNumberFormat="1" applyFont="1" applyBorder="1"/>
    <xf numFmtId="174" fontId="0" fillId="0" borderId="0" xfId="2" applyNumberFormat="1" applyFont="1" applyAlignment="1">
      <alignment horizontal="center"/>
    </xf>
    <xf numFmtId="174" fontId="0" fillId="0" borderId="0" xfId="2" quotePrefix="1" applyNumberFormat="1" applyFont="1"/>
    <xf numFmtId="0" fontId="0" fillId="0" borderId="0" xfId="0" quotePrefix="1" applyFont="1"/>
    <xf numFmtId="176" fontId="0" fillId="0" borderId="0" xfId="1" applyNumberFormat="1" applyFont="1" applyAlignment="1">
      <alignment horizontal="center"/>
    </xf>
    <xf numFmtId="176" fontId="0" fillId="0" borderId="0" xfId="2" quotePrefix="1" applyNumberFormat="1" applyFont="1"/>
    <xf numFmtId="171" fontId="0" fillId="11" borderId="0" xfId="1" applyNumberFormat="1" applyFont="1" applyFill="1"/>
    <xf numFmtId="171" fontId="0" fillId="0" borderId="0" xfId="1" applyNumberFormat="1" applyFont="1" applyAlignment="1">
      <alignment horizontal="center"/>
    </xf>
    <xf numFmtId="174" fontId="0" fillId="11" borderId="0" xfId="2" applyNumberFormat="1" applyFont="1" applyFill="1" applyAlignment="1">
      <alignment horizontal="right"/>
    </xf>
    <xf numFmtId="0" fontId="23" fillId="0" borderId="0" xfId="0" applyFont="1"/>
    <xf numFmtId="43" fontId="23" fillId="0" borderId="0" xfId="1" applyFont="1"/>
    <xf numFmtId="175" fontId="0" fillId="0" borderId="0" xfId="2" applyNumberFormat="1" applyFont="1" applyFill="1" applyAlignment="1">
      <alignment horizontal="center"/>
    </xf>
    <xf numFmtId="175" fontId="0" fillId="0" borderId="0" xfId="2" quotePrefix="1" applyNumberFormat="1" applyFont="1" applyFill="1"/>
    <xf numFmtId="43" fontId="8" fillId="0" borderId="0" xfId="1" applyFont="1" applyAlignment="1">
      <alignment horizontal="center"/>
    </xf>
    <xf numFmtId="49" fontId="11" fillId="8" borderId="0" xfId="0" applyNumberFormat="1" applyFont="1" applyFill="1" applyAlignment="1">
      <alignment wrapText="1"/>
    </xf>
    <xf numFmtId="49" fontId="0" fillId="6" borderId="11" xfId="0" applyNumberFormat="1" applyFill="1" applyBorder="1" applyAlignment="1">
      <alignment horizontal="left" vertical="center" wrapText="1"/>
    </xf>
    <xf numFmtId="49" fontId="0" fillId="6" borderId="13" xfId="0" applyNumberFormat="1" applyFill="1" applyBorder="1" applyAlignment="1">
      <alignment horizontal="left" vertical="center" wrapText="1"/>
    </xf>
    <xf numFmtId="43" fontId="8" fillId="0" borderId="0" xfId="1" applyFont="1" applyAlignment="1">
      <alignment horizontal="center"/>
    </xf>
    <xf numFmtId="9" fontId="0" fillId="0" borderId="0" xfId="6" applyFont="1" applyAlignment="1">
      <alignment horizontal="center"/>
    </xf>
    <xf numFmtId="0" fontId="9" fillId="6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0" applyBorder="1"/>
    <xf numFmtId="0" fontId="0" fillId="13" borderId="3" xfId="0" applyFill="1" applyBorder="1"/>
    <xf numFmtId="0" fontId="0" fillId="12" borderId="0" xfId="0" applyFill="1"/>
    <xf numFmtId="165" fontId="0" fillId="12" borderId="0" xfId="2" applyNumberFormat="1" applyFont="1" applyFill="1"/>
    <xf numFmtId="168" fontId="0" fillId="0" borderId="1" xfId="1" quotePrefix="1" applyNumberFormat="1" applyFont="1" applyBorder="1"/>
    <xf numFmtId="173" fontId="1" fillId="0" borderId="0" xfId="2" applyNumberFormat="1" applyFont="1" applyAlignment="1">
      <alignment horizontal="center" wrapText="1"/>
    </xf>
    <xf numFmtId="44" fontId="0" fillId="0" borderId="0" xfId="0" applyNumberFormat="1"/>
    <xf numFmtId="44" fontId="8" fillId="0" borderId="0" xfId="2" applyFont="1" applyAlignment="1">
      <alignment horizontal="center"/>
    </xf>
    <xf numFmtId="44" fontId="0" fillId="13" borderId="0" xfId="2" applyFont="1" applyFill="1"/>
    <xf numFmtId="0" fontId="0" fillId="13" borderId="0" xfId="0" applyFill="1" applyBorder="1"/>
    <xf numFmtId="10" fontId="22" fillId="0" borderId="0" xfId="6" applyNumberFormat="1" applyFont="1"/>
    <xf numFmtId="174" fontId="0" fillId="0" borderId="0" xfId="2" applyNumberFormat="1" applyFont="1"/>
    <xf numFmtId="0" fontId="0" fillId="13" borderId="3" xfId="0" applyFill="1" applyBorder="1" applyAlignment="1">
      <alignment horizontal="right"/>
    </xf>
    <xf numFmtId="43" fontId="8" fillId="0" borderId="0" xfId="1" applyFont="1"/>
    <xf numFmtId="174" fontId="0" fillId="0" borderId="20" xfId="2" applyNumberFormat="1" applyFont="1" applyBorder="1"/>
    <xf numFmtId="43" fontId="0" fillId="0" borderId="3" xfId="1" applyFont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43" fontId="0" fillId="0" borderId="0" xfId="1" applyFont="1" applyBorder="1"/>
    <xf numFmtId="9" fontId="0" fillId="0" borderId="0" xfId="6" applyFont="1"/>
    <xf numFmtId="4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77" fontId="0" fillId="0" borderId="0" xfId="0" applyNumberFormat="1"/>
    <xf numFmtId="43" fontId="8" fillId="0" borderId="0" xfId="1" applyFont="1" applyBorder="1" applyAlignment="1">
      <alignment horizontal="center" wrapText="1"/>
    </xf>
    <xf numFmtId="165" fontId="8" fillId="11" borderId="0" xfId="2" applyNumberFormat="1" applyFont="1" applyFill="1" applyAlignment="1">
      <alignment horizontal="center"/>
    </xf>
    <xf numFmtId="165" fontId="0" fillId="11" borderId="0" xfId="2" applyNumberFormat="1" applyFont="1" applyFill="1"/>
    <xf numFmtId="165" fontId="0" fillId="11" borderId="2" xfId="2" applyNumberFormat="1" applyFont="1" applyFill="1" applyBorder="1"/>
    <xf numFmtId="165" fontId="17" fillId="11" borderId="0" xfId="2" applyNumberFormat="1" applyFont="1" applyFill="1"/>
    <xf numFmtId="165" fontId="0" fillId="11" borderId="0" xfId="2" applyNumberFormat="1" applyFont="1" applyFill="1" applyBorder="1"/>
    <xf numFmtId="43" fontId="8" fillId="11" borderId="0" xfId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9" fontId="0" fillId="0" borderId="0" xfId="6" applyFont="1" applyFill="1" applyBorder="1"/>
    <xf numFmtId="10" fontId="0" fillId="0" borderId="0" xfId="6" applyNumberFormat="1" applyFont="1"/>
    <xf numFmtId="178" fontId="0" fillId="0" borderId="0" xfId="6" applyNumberFormat="1" applyFont="1"/>
    <xf numFmtId="179" fontId="0" fillId="0" borderId="0" xfId="6" applyNumberFormat="1" applyFont="1"/>
    <xf numFmtId="10" fontId="0" fillId="0" borderId="0" xfId="6" applyNumberFormat="1" applyFont="1" applyBorder="1"/>
    <xf numFmtId="175" fontId="22" fillId="0" borderId="0" xfId="0" applyNumberFormat="1" applyFont="1"/>
    <xf numFmtId="10" fontId="0" fillId="0" borderId="0" xfId="0" applyNumberFormat="1"/>
    <xf numFmtId="10" fontId="0" fillId="0" borderId="2" xfId="6" applyNumberFormat="1" applyFont="1" applyBorder="1"/>
    <xf numFmtId="175" fontId="0" fillId="0" borderId="0" xfId="2" quotePrefix="1" applyNumberFormat="1" applyFont="1" applyFill="1" applyAlignment="1">
      <alignment horizontal="left"/>
    </xf>
    <xf numFmtId="175" fontId="0" fillId="0" borderId="0" xfId="2" quotePrefix="1" applyNumberFormat="1" applyFont="1" applyFill="1" applyAlignment="1">
      <alignment horizontal="center"/>
    </xf>
    <xf numFmtId="170" fontId="19" fillId="0" borderId="0" xfId="6" applyNumberFormat="1" applyFont="1"/>
    <xf numFmtId="0" fontId="3" fillId="0" borderId="0" xfId="7" applyFont="1"/>
    <xf numFmtId="0" fontId="4" fillId="0" borderId="0" xfId="3" applyFont="1" applyFill="1" applyAlignment="1" applyProtection="1">
      <alignment horizontal="center"/>
    </xf>
    <xf numFmtId="164" fontId="6" fillId="0" borderId="0" xfId="3" applyNumberFormat="1" applyFont="1" applyFill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0" borderId="0" xfId="3" quotePrefix="1" applyFont="1" applyFill="1" applyAlignment="1" applyProtection="1">
      <alignment horizontal="center"/>
    </xf>
    <xf numFmtId="0" fontId="10" fillId="0" borderId="0" xfId="0" applyFont="1"/>
    <xf numFmtId="0" fontId="24" fillId="0" borderId="0" xfId="0" applyFont="1"/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49" fontId="9" fillId="5" borderId="9" xfId="0" applyNumberFormat="1" applyFont="1" applyFill="1" applyBorder="1" applyAlignment="1">
      <alignment horizontal="left" vertical="center" wrapText="1"/>
    </xf>
    <xf numFmtId="49" fontId="9" fillId="5" borderId="8" xfId="0" applyNumberFormat="1" applyFont="1" applyFill="1" applyBorder="1" applyAlignment="1">
      <alignment horizontal="left" vertical="center" wrapText="1"/>
    </xf>
    <xf numFmtId="49" fontId="9" fillId="5" borderId="7" xfId="0" applyNumberFormat="1" applyFont="1" applyFill="1" applyBorder="1" applyAlignment="1">
      <alignment horizontal="left" vertical="center" wrapText="1"/>
    </xf>
    <xf numFmtId="49" fontId="11" fillId="8" borderId="0" xfId="0" applyNumberFormat="1" applyFont="1" applyFill="1" applyAlignment="1">
      <alignment wrapText="1"/>
    </xf>
    <xf numFmtId="49" fontId="0" fillId="6" borderId="10" xfId="0" applyNumberFormat="1" applyFill="1" applyBorder="1" applyAlignment="1">
      <alignment horizontal="left" vertical="center" wrapText="1"/>
    </xf>
    <xf numFmtId="49" fontId="0" fillId="6" borderId="11" xfId="0" applyNumberFormat="1" applyFill="1" applyBorder="1" applyAlignment="1">
      <alignment horizontal="left" vertical="center" wrapText="1"/>
    </xf>
    <xf numFmtId="49" fontId="0" fillId="6" borderId="12" xfId="0" applyNumberFormat="1" applyFill="1" applyBorder="1" applyAlignment="1">
      <alignment horizontal="left" vertical="center" wrapText="1"/>
    </xf>
    <xf numFmtId="49" fontId="0" fillId="6" borderId="13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8" fillId="0" borderId="0" xfId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3" fontId="21" fillId="0" borderId="0" xfId="1" applyFont="1" applyFill="1" applyAlignment="1">
      <alignment horizontal="center" vertical="center"/>
    </xf>
    <xf numFmtId="43" fontId="8" fillId="0" borderId="0" xfId="1" applyFont="1" applyAlignment="1">
      <alignment horizontal="center"/>
    </xf>
    <xf numFmtId="3" fontId="0" fillId="0" borderId="0" xfId="1" applyNumberFormat="1" applyFont="1" applyAlignment="1">
      <alignment horizontal="center"/>
    </xf>
    <xf numFmtId="9" fontId="0" fillId="0" borderId="0" xfId="6" applyFont="1" applyAlignment="1">
      <alignment horizontal="center"/>
    </xf>
    <xf numFmtId="9" fontId="0" fillId="0" borderId="0" xfId="6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8" fillId="0" borderId="0" xfId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43" fontId="8" fillId="0" borderId="0" xfId="1" applyFont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9">
    <cellStyle name="Comma" xfId="1" builtinId="3"/>
    <cellStyle name="Comma 2" xfId="4"/>
    <cellStyle name="Currency" xfId="2" builtinId="4"/>
    <cellStyle name="Currency 2" xfId="5"/>
    <cellStyle name="Currency 3" xfId="8"/>
    <cellStyle name="Normal" xfId="0" builtinId="0"/>
    <cellStyle name="Normal 2" xfId="3"/>
    <cellStyle name="Normal 3" xfId="7"/>
    <cellStyle name="Percent" xfId="6" builtinId="5"/>
  </cellStyles>
  <dxfs count="5"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%20LFUCG%20DR2%20KU%20Attach%20to%20Q04%20-%20Att%204%20Outdoor%20Lighting%20Background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%20LFUCG%20DR2%20KU%20Attach%20to%20Q04%20-%20Att%204%20Outdoor%20Lighting%20Background%20Dat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%20LFUCG%20DR2%20KU%20Attach%20to%20Q04%20-%20Att%204%20Outdoor%20Lighting%20Background%20Data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77.506842476854" createdVersion="5" refreshedVersion="5" minRefreshableVersion="3" recordCount="183">
  <cacheSource type="worksheet">
    <worksheetSource ref="A1:W184" sheet="Rate Code Detail" r:id="rId2"/>
  </cacheSource>
  <cacheFields count="23">
    <cacheField name="Company" numFmtId="0">
      <sharedItems/>
    </cacheField>
    <cacheField name="Rate" numFmtId="0">
      <sharedItems/>
    </cacheField>
    <cacheField name="Service Type" numFmtId="0">
      <sharedItems count="2">
        <s v="Overhead"/>
        <s v="Underground"/>
      </sharedItems>
    </cacheField>
    <cacheField name="Type of Light" numFmtId="0">
      <sharedItems/>
    </cacheField>
    <cacheField name="Sort1 (Lumens/Unique)" numFmtId="0">
      <sharedItems containsBlank="1"/>
    </cacheField>
    <cacheField name="Sort2 (Fixture/Pole)" numFmtId="0">
      <sharedItems containsBlank="1"/>
    </cacheField>
    <cacheField name="Sort3" numFmtId="0">
      <sharedItems containsNonDate="0" containsString="0" containsBlank="1"/>
    </cacheField>
    <cacheField name="Sort4" numFmtId="0">
      <sharedItems containsNonDate="0" containsString="0" containsBlank="1"/>
    </cacheField>
    <cacheField name="Rate Code" numFmtId="0">
      <sharedItems containsMixedTypes="1" containsNumber="1" containsInteger="1" minValue="2" maxValue="958"/>
    </cacheField>
    <cacheField name="Code" numFmtId="0">
      <sharedItems/>
    </cacheField>
    <cacheField name="Type of Fixture" numFmtId="0">
      <sharedItems/>
    </cacheField>
    <cacheField name="Type of Fixture1" numFmtId="0">
      <sharedItems count="3">
        <s v="Cobra Head/Open Bottom"/>
        <s v="Decorative"/>
        <s v="Cobra Head" u="1"/>
      </sharedItems>
    </cacheField>
    <cacheField name="Fixture/Pole" numFmtId="0">
      <sharedItems containsBlank="1" count="11">
        <s v="Fixture Only"/>
        <s v="Pole"/>
        <s v="Historic Fluted"/>
        <s v="Decorative Smooth"/>
        <s v="Fixture and Pole"/>
        <s v="Standard"/>
        <s v="Ornamental"/>
        <s v="Fixture"/>
        <s v="Fixture &amp; Wood Pole"/>
        <s v="Fixture &amp; Orn. Pole"/>
        <m/>
      </sharedItems>
    </cacheField>
    <cacheField name="Approx. Lumens" numFmtId="0">
      <sharedItems containsMixedTypes="1" containsNumber="1" containsInteger="1" minValue="1000" maxValue="120000" count="24">
        <n v="9500"/>
        <s v="Pole"/>
        <s v="Base"/>
        <n v="5800"/>
        <n v="1000"/>
        <n v="2500"/>
        <n v="4000"/>
        <n v="6000"/>
        <n v="7000"/>
        <n v="22000"/>
        <n v="50000"/>
        <n v="16000"/>
        <n v="12000"/>
        <n v="32000"/>
        <n v="107800"/>
        <n v="25000"/>
        <n v="60000"/>
        <n v="1500"/>
        <n v="28500"/>
        <n v="120000"/>
        <n v="8000"/>
        <n v="10000"/>
        <n v="20000"/>
        <n v="13000"/>
      </sharedItems>
    </cacheField>
    <cacheField name="Watts" numFmtId="3">
      <sharedItems containsMixedTypes="1" containsNumber="1" containsInteger="1" minValue="0" maxValue="1000" count="18">
        <n v="100"/>
        <n v="0"/>
        <n v="70"/>
        <n v="85"/>
        <n v="175"/>
        <n v="208"/>
        <n v="370"/>
        <n v="200"/>
        <n v="400"/>
        <n v="150"/>
        <n v="350"/>
        <n v="1000"/>
        <n v="250"/>
        <n v="650"/>
        <n v="50"/>
        <n v="115"/>
        <e v="#N/A"/>
        <n v="60"/>
      </sharedItems>
    </cacheField>
    <cacheField name="Approx. Lumens Note" numFmtId="0">
      <sharedItems containsBlank="1"/>
    </cacheField>
    <cacheField name="kW Per Light" numFmtId="0">
      <sharedItems containsString="0" containsBlank="1" containsNumber="1" minValue="0.06" maxValue="1.18"/>
    </cacheField>
    <cacheField name="Monthly Charge" numFmtId="44">
      <sharedItems containsSemiMixedTypes="0" containsString="0" containsNumber="1" minValue="2.06" maxValue="72.59"/>
    </cacheField>
    <cacheField name="Quantity" numFmtId="168">
      <sharedItems containsMixedTypes="1" containsNumber="1" containsInteger="1" minValue="0" maxValue="36751"/>
    </cacheField>
    <cacheField name="Revenue" numFmtId="44">
      <sharedItems containsBlank="1" containsMixedTypes="1" containsNumber="1" minValue="17.14" maxValue="296815.31"/>
    </cacheField>
    <cacheField name="Notes" numFmtId="0">
      <sharedItems containsBlank="1"/>
    </cacheField>
    <cacheField name="Pole Only-Restricted" numFmtId="0">
      <sharedItems containsBlank="1"/>
    </cacheField>
    <cacheField name="QTY BILLED JUN 2016" numFmtId="0">
      <sharedItems containsMixedTypes="1" containsNumber="1" containsInteger="1" minValue="1" maxValue="369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2777.506843055555" createdVersion="5" refreshedVersion="5" minRefreshableVersion="3" recordCount="186">
  <cacheSource type="worksheet">
    <worksheetSource ref="A3:H189" sheet="Revenue with Month (2)" r:id="rId2"/>
  </cacheSource>
  <cacheFields count="8">
    <cacheField name="Group Company Code" numFmtId="49">
      <sharedItems/>
    </cacheField>
    <cacheField name="Rate Category" numFmtId="49">
      <sharedItems/>
    </cacheField>
    <cacheField name="RC" numFmtId="0">
      <sharedItems count="168">
        <s v="KT406"/>
        <s v="KT428"/>
        <s v="KU360"/>
        <s v="KU401"/>
        <s v="KU404"/>
        <s v="KU409"/>
        <s v="KU410"/>
        <s v="KU411"/>
        <s v="KU412"/>
        <s v="KU413"/>
        <s v="KU414"/>
        <s v="KU415"/>
        <s v="KU420"/>
        <s v="KU421"/>
        <s v="KU422"/>
        <s v="KU424"/>
        <s v="KU425"/>
        <s v="KU426"/>
        <s v="KU428"/>
        <s v="KU430"/>
        <s v="KU440"/>
        <s v="KU446"/>
        <s v="KU447"/>
        <s v="KU448"/>
        <s v="KU450"/>
        <s v="KU451"/>
        <s v="KU452"/>
        <s v="KU454"/>
        <s v="KU455"/>
        <s v="KU456"/>
        <s v="KU457"/>
        <s v="KU458"/>
        <s v="KU459"/>
        <s v="KU460"/>
        <s v="KU461"/>
        <s v="KU462"/>
        <s v="KU463"/>
        <s v="KU464"/>
        <s v="KU465"/>
        <s v="KU466"/>
        <s v="KU467"/>
        <s v="KU468"/>
        <s v="KU469"/>
        <s v="KU470"/>
        <s v="KU471"/>
        <s v="KU472"/>
        <s v="KU473"/>
        <s v="KU474"/>
        <s v="KU475"/>
        <s v="KU476"/>
        <s v="KU477"/>
        <s v="KU478"/>
        <s v="KU479"/>
        <s v="KU482"/>
        <s v="KU487"/>
        <s v="KU488"/>
        <s v="KU489"/>
        <s v="KU490"/>
        <s v="KU491"/>
        <s v="KU492"/>
        <s v="KU493"/>
        <s v="KU494"/>
        <s v="KU495"/>
        <s v="KU496"/>
        <s v="KU497"/>
        <s v="KU498"/>
        <s v="KU499"/>
        <s v="KU820"/>
        <s v="KU825"/>
        <s v="KU826"/>
        <s v="KU827"/>
        <s v="KU828"/>
        <s v="LGE825"/>
        <s v="LGE826"/>
        <s v="LGE828"/>
        <s v="LGE829"/>
        <s v="LGE201"/>
        <s v="LGE203"/>
        <s v="LGE204"/>
        <s v="LGE206"/>
        <s v="LGE207"/>
        <s v="LGE208"/>
        <s v="LGE209"/>
        <s v="LGE210"/>
        <s v="LGE252"/>
        <s v="LGE266"/>
        <s v="LGE267"/>
        <s v="LGE274"/>
        <s v="LGE275"/>
        <s v="LGE276"/>
        <s v="LGE277"/>
        <s v="LGE278"/>
        <s v="LGE279"/>
        <s v="LGE280"/>
        <s v="LGE281"/>
        <s v="LGE282"/>
        <s v="LGE283"/>
        <s v="LGE314"/>
        <s v="LGE315"/>
        <s v="LGE318"/>
        <s v="LGE348"/>
        <s v="LGE349"/>
        <s v="LGE400"/>
        <s v="LGE401"/>
        <s v="LGE412"/>
        <s v="LGE413"/>
        <s v="LGE415"/>
        <s v="LGE416"/>
        <s v="LGE417"/>
        <s v="LGE419"/>
        <s v="LGE420"/>
        <s v="LGE421"/>
        <s v="LGE422"/>
        <s v="LGE423"/>
        <s v="LGE424"/>
        <s v="LGE425"/>
        <s v="LGE426"/>
        <s v="LGE427"/>
        <s v="LGE428"/>
        <s v="LGE429"/>
        <s v="LGE430"/>
        <s v="LGE431"/>
        <s v="LGE432"/>
        <s v="LGE433"/>
        <s v="LGE440"/>
        <s v="LGE441"/>
        <s v="LGE444"/>
        <s v="LGE445"/>
        <s v="LGE452"/>
        <s v="LGE453"/>
        <s v="LGE454"/>
        <s v="LGE455"/>
        <s v="LGE456"/>
        <s v="LGE457"/>
        <s v="LGE458"/>
        <s v="LGE470"/>
        <s v="LGE471"/>
        <s v="LGE473"/>
        <s v="LGE474"/>
        <s v="LGE475"/>
        <s v="LGE476"/>
        <s v="LGE477"/>
        <s v="LGE480"/>
        <s v="LGE481"/>
        <s v="LGE482"/>
        <s v="LGE483"/>
        <s v="LGE484"/>
        <s v="ODP406"/>
        <s v="ODP407"/>
        <s v="ODP428"/>
        <s v="ODP429"/>
        <s v="ODP446"/>
        <s v="ODP456"/>
        <s v="ODP462"/>
        <s v="ODP463"/>
        <s v="ODP464"/>
        <s v="ODP465"/>
        <s v="ODP472"/>
        <s v="ODP473"/>
        <s v="ODP474"/>
        <s v="ODP475"/>
        <s v="ODP487"/>
        <s v="ODP488"/>
        <s v="ODP489"/>
        <s v="ODP825"/>
        <s v="ODP828"/>
        <s v="ODP8TE" u="1"/>
        <s v="KU2CU" u="1"/>
      </sharedItems>
    </cacheField>
    <cacheField name="Rate Description" numFmtId="49">
      <sharedItems/>
    </cacheField>
    <cacheField name="# Lights at start of Period" numFmtId="0">
      <sharedItems containsString="0" containsBlank="1" containsNumber="1" containsInteger="1" minValue="0" maxValue="36978"/>
    </cacheField>
    <cacheField name="# Prorated Lights" numFmtId="0">
      <sharedItems containsString="0" containsBlank="1" containsNumber="1" containsInteger="1" minValue="-3" maxValue="8816"/>
    </cacheField>
    <cacheField name="KWH Lights" numFmtId="0">
      <sharedItems containsString="0" containsBlank="1" containsNumber="1" containsInteger="1" minValue="28" maxValue="1678557"/>
    </cacheField>
    <cacheField name="Total Utility Amount" numFmtId="0">
      <sharedItems containsString="0" containsBlank="1" containsNumber="1" minValue="0" maxValue="344499.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2777.506843518517" createdVersion="5" refreshedVersion="5" minRefreshableVersion="3" recordCount="183">
  <cacheSource type="worksheet">
    <worksheetSource ref="A1:V184" sheet="Rate Code Detail" r:id="rId2"/>
  </cacheSource>
  <cacheFields count="22">
    <cacheField name="Company" numFmtId="0">
      <sharedItems count="5">
        <s v="ODP"/>
        <s v="LGE"/>
        <s v="KU"/>
        <s v="ODP-Non-Jur"/>
        <s v="KU- TENN"/>
      </sharedItems>
    </cacheField>
    <cacheField name="Rate" numFmtId="0">
      <sharedItems count="3">
        <s v="POLT"/>
        <s v="RLS"/>
        <s v="LS"/>
      </sharedItems>
    </cacheField>
    <cacheField name="Service Type" numFmtId="0">
      <sharedItems count="2">
        <s v="Overhead"/>
        <s v="Underground"/>
      </sharedItems>
    </cacheField>
    <cacheField name="Type of Light" numFmtId="0">
      <sharedItems count="7">
        <s v="High Pressure Sodium"/>
        <s v="Pole"/>
        <s v="Base"/>
        <s v="Incandescent"/>
        <s v="Mercury Vapor"/>
        <s v="Metal Halide"/>
        <s v="Metal Halide-1000"/>
      </sharedItems>
    </cacheField>
    <cacheField name="Sort1 (Lumens/Unique)" numFmtId="0">
      <sharedItems containsBlank="1"/>
    </cacheField>
    <cacheField name="Sort2 (Fixture/Pole)" numFmtId="0">
      <sharedItems containsBlank="1"/>
    </cacheField>
    <cacheField name="Sort3" numFmtId="0">
      <sharedItems containsNonDate="0" containsString="0" containsBlank="1"/>
    </cacheField>
    <cacheField name="Sort4" numFmtId="0">
      <sharedItems containsNonDate="0" containsString="0" containsBlank="1"/>
    </cacheField>
    <cacheField name="Rate Code" numFmtId="0">
      <sharedItems containsMixedTypes="1" containsNumber="1" containsInteger="1" minValue="2" maxValue="958"/>
    </cacheField>
    <cacheField name="Code" numFmtId="0">
      <sharedItems/>
    </cacheField>
    <cacheField name="Type of Fixture" numFmtId="0">
      <sharedItems count="32">
        <s v="Yard Type"/>
        <s v="Wood Pole Installed Before 7/1/2004"/>
        <s v="Wood Pole Installed Before 3/1/2010"/>
        <s v="Victorian/London Bases Old Town"/>
        <s v="Victorian/London Bases Chesapeake"/>
        <s v="Victorian/London Bases"/>
        <s v="Victorian"/>
        <s v="Tear Drop"/>
        <s v="Standard"/>
        <s v="Ornamental"/>
        <s v="Open Bottom"/>
        <s v="London"/>
        <s v="Granville"/>
        <s v="Directional"/>
        <s v="Dark Sky"/>
        <s v="Continental Jr."/>
        <s v="Contemporary - Additional Fixture"/>
        <s v="Contemporary"/>
        <s v="Colonial, 4-Sided"/>
        <s v="Colonial"/>
        <s v="Cobra/Open Bottom"/>
        <s v="Cobra/Contemporary"/>
        <s v="Cobra Head"/>
        <s v="Cobra (State of KY Pole)"/>
        <s v="Coach/Acorn"/>
        <s v="Coach"/>
        <s v="Acorn, Bronze"/>
        <s v="Acorn Historic"/>
        <s v="Acorn Decorative"/>
        <s v="Acorn"/>
        <s v="10” Smooth Pole"/>
        <s v="10” Fluted Pole"/>
      </sharedItems>
    </cacheField>
    <cacheField name="Type of Fixture1" numFmtId="0">
      <sharedItems/>
    </cacheField>
    <cacheField name="Fixture/Pole" numFmtId="0">
      <sharedItems containsBlank="1" count="11">
        <s v="Fixture Only"/>
        <s v="Pole"/>
        <s v="Historic Fluted"/>
        <s v="Decorative Smooth"/>
        <s v="Fixture and Pole"/>
        <s v="Standard"/>
        <s v="Ornamental"/>
        <s v="Fixture"/>
        <s v="Fixture &amp; Wood Pole"/>
        <s v="Fixture &amp; Orn. Pole"/>
        <m/>
      </sharedItems>
    </cacheField>
    <cacheField name="Approx. Lumens" numFmtId="0">
      <sharedItems containsMixedTypes="1" containsNumber="1" containsInteger="1" minValue="1000" maxValue="120000" count="24">
        <n v="9500"/>
        <s v="Pole"/>
        <s v="Base"/>
        <n v="5800"/>
        <n v="1000"/>
        <n v="2500"/>
        <n v="4000"/>
        <n v="6000"/>
        <n v="7000"/>
        <n v="22000"/>
        <n v="50000"/>
        <n v="16000"/>
        <n v="12000"/>
        <n v="32000"/>
        <n v="107800"/>
        <n v="25000"/>
        <n v="60000"/>
        <n v="1500"/>
        <n v="28500"/>
        <n v="120000"/>
        <n v="8000"/>
        <n v="10000"/>
        <n v="20000"/>
        <n v="13000"/>
      </sharedItems>
    </cacheField>
    <cacheField name="Watts" numFmtId="3">
      <sharedItems containsMixedTypes="1" containsNumber="1" containsInteger="1" minValue="0" maxValue="1000"/>
    </cacheField>
    <cacheField name="Approx. Lumens Note" numFmtId="0">
      <sharedItems containsBlank="1"/>
    </cacheField>
    <cacheField name="kW Per Light" numFmtId="0">
      <sharedItems containsString="0" containsBlank="1" containsNumber="1" minValue="0.06" maxValue="1.18"/>
    </cacheField>
    <cacheField name="Monthly Charge" numFmtId="44">
      <sharedItems containsSemiMixedTypes="0" containsString="0" containsNumber="1" minValue="2.06" maxValue="72.59"/>
    </cacheField>
    <cacheField name="Quantity" numFmtId="168">
      <sharedItems containsMixedTypes="1" containsNumber="1" containsInteger="1" minValue="0" maxValue="36751"/>
    </cacheField>
    <cacheField name="Revenue" numFmtId="44">
      <sharedItems containsBlank="1" containsMixedTypes="1" containsNumber="1" minValue="17.14" maxValue="296815.31"/>
    </cacheField>
    <cacheField name="Notes" numFmtId="0">
      <sharedItems containsBlank="1"/>
    </cacheField>
    <cacheField name="Pole Only-Restrict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s v="ODP"/>
    <s v="POLT"/>
    <x v="0"/>
    <s v="High Pressure Sodium"/>
    <s v="Group 1 - &lt; 12,000 Lumens"/>
    <s v="Without Pole"/>
    <m/>
    <m/>
    <n v="428"/>
    <s v="ODP428"/>
    <s v="Yard Type"/>
    <x v="0"/>
    <x v="0"/>
    <x v="0"/>
    <x v="0"/>
    <m/>
    <n v="0.11700000000000001"/>
    <n v="11.15"/>
    <n v="2903"/>
    <n v="32163.64"/>
    <m/>
    <m/>
    <n v="3352"/>
  </r>
  <r>
    <s v="LGE"/>
    <s v="RLS"/>
    <x v="0"/>
    <s v="Pole"/>
    <s v="Group 4 - Pole only or Restricted Class"/>
    <s v="With Pole"/>
    <m/>
    <m/>
    <n v="900"/>
    <s v="LGE900"/>
    <s v="Wood Pole Installed Before 7/1/2004"/>
    <x v="1"/>
    <x v="1"/>
    <x v="1"/>
    <x v="1"/>
    <m/>
    <m/>
    <n v="2.06"/>
    <s v=""/>
    <s v=""/>
    <m/>
    <s v="PO-R"/>
    <s v=""/>
  </r>
  <r>
    <s v="LGE"/>
    <s v="RLS"/>
    <x v="0"/>
    <s v="Pole"/>
    <s v="Group 4 - Pole only or Restricted Class"/>
    <s v="With Pole"/>
    <m/>
    <m/>
    <n v="958"/>
    <s v="LGE958"/>
    <s v="Wood Pole Installed Before 3/1/2010"/>
    <x v="1"/>
    <x v="1"/>
    <x v="1"/>
    <x v="1"/>
    <m/>
    <m/>
    <n v="11.32"/>
    <s v=""/>
    <s v=""/>
    <m/>
    <s v="PO-R"/>
    <s v=""/>
  </r>
  <r>
    <s v="LGE"/>
    <s v="RLS"/>
    <x v="1"/>
    <s v="Base"/>
    <s v="Group 4 - Pole only or Restricted Class"/>
    <s v="With Pole"/>
    <m/>
    <m/>
    <n v="950"/>
    <s v="LGE950"/>
    <s v="Victorian/London Bases Old Town"/>
    <x v="1"/>
    <x v="1"/>
    <x v="2"/>
    <x v="1"/>
    <m/>
    <m/>
    <n v="3.47"/>
    <s v=""/>
    <s v=""/>
    <m/>
    <s v="PO-R"/>
    <s v=""/>
  </r>
  <r>
    <s v="LGE"/>
    <s v="RLS"/>
    <x v="1"/>
    <s v="Base"/>
    <s v="Group 4 - Pole only or Restricted Class"/>
    <s v="With Pole"/>
    <m/>
    <m/>
    <n v="951"/>
    <s v="LGE951"/>
    <s v="Victorian/London Bases Chesapeake"/>
    <x v="1"/>
    <x v="1"/>
    <x v="2"/>
    <x v="1"/>
    <m/>
    <m/>
    <n v="3.73"/>
    <s v=""/>
    <s v=""/>
    <m/>
    <s v="PO-R"/>
    <s v=""/>
  </r>
  <r>
    <s v="LGE"/>
    <s v="LS"/>
    <x v="1"/>
    <s v="High Pressure Sodium"/>
    <s v="Group 4 - Pole only or Restricted Class"/>
    <s v="With Pole"/>
    <m/>
    <m/>
    <n v="956"/>
    <s v="LGE956"/>
    <s v="Victorian/London Bases"/>
    <x v="1"/>
    <x v="1"/>
    <x v="2"/>
    <x v="1"/>
    <m/>
    <m/>
    <n v="3.56"/>
    <s v=""/>
    <s v=""/>
    <s v="Westchester/Norfolk"/>
    <s v="PO-R"/>
    <s v=""/>
  </r>
  <r>
    <s v="KU"/>
    <s v="LS"/>
    <x v="1"/>
    <s v="High Pressure Sodium"/>
    <s v="Group 1 - &lt; 12,000 Lumens"/>
    <s v="With Pole"/>
    <m/>
    <m/>
    <n v="414"/>
    <s v="KU414"/>
    <s v="Victorian"/>
    <x v="1"/>
    <x v="2"/>
    <x v="3"/>
    <x v="2"/>
    <m/>
    <n v="8.3000000000000004E-2"/>
    <n v="33.39"/>
    <n v="21"/>
    <n v="647.64"/>
    <m/>
    <m/>
    <n v="21"/>
  </r>
  <r>
    <s v="KU"/>
    <s v="LS"/>
    <x v="1"/>
    <s v="High Pressure Sodium"/>
    <s v="Group 1 - &lt; 12,000 Lumens"/>
    <s v="With Pole"/>
    <m/>
    <m/>
    <n v="415"/>
    <s v="KU415"/>
    <s v="Victorian"/>
    <x v="1"/>
    <x v="2"/>
    <x v="0"/>
    <x v="2"/>
    <m/>
    <n v="0.11700000000000001"/>
    <n v="33.81"/>
    <n v="10"/>
    <n v="312.2"/>
    <m/>
    <m/>
    <n v="10"/>
  </r>
  <r>
    <s v="LGE"/>
    <s v="LS"/>
    <x v="1"/>
    <s v="High Pressure Sodium"/>
    <s v="Group 1 - &lt; 12,000 Lumens"/>
    <s v="With Pole"/>
    <m/>
    <m/>
    <n v="431"/>
    <s v="LGE431"/>
    <s v="Victorian"/>
    <x v="1"/>
    <x v="2"/>
    <x v="3"/>
    <x v="2"/>
    <m/>
    <n v="8.3000000000000004E-2"/>
    <n v="32.950000000000003"/>
    <n v="51"/>
    <n v="1679.8"/>
    <m/>
    <m/>
    <n v="51"/>
  </r>
  <r>
    <s v="LGE"/>
    <s v="LS"/>
    <x v="1"/>
    <s v="High Pressure Sodium"/>
    <s v="Group 1 - &lt; 12,000 Lumens"/>
    <s v="With Pole"/>
    <m/>
    <m/>
    <n v="433"/>
    <s v="LGE433"/>
    <s v="Victorian"/>
    <x v="1"/>
    <x v="2"/>
    <x v="0"/>
    <x v="0"/>
    <m/>
    <n v="0.11700000000000001"/>
    <n v="35.01"/>
    <n v="873"/>
    <n v="30041.32"/>
    <m/>
    <m/>
    <n v="237"/>
  </r>
  <r>
    <s v="LGE"/>
    <s v="RLS"/>
    <x v="1"/>
    <s v="High Pressure Sodium"/>
    <s v="Group 1 - &lt; 12,000 Lumens"/>
    <s v="Without Pole"/>
    <m/>
    <m/>
    <n v="280"/>
    <s v="LGE280"/>
    <s v="Victorian"/>
    <x v="1"/>
    <x v="0"/>
    <x v="3"/>
    <x v="2"/>
    <m/>
    <n v="8.3000000000000004E-2"/>
    <n v="19.39"/>
    <n v="46"/>
    <n v="891.63"/>
    <m/>
    <m/>
    <n v="46"/>
  </r>
  <r>
    <s v="LGE"/>
    <s v="RLS"/>
    <x v="1"/>
    <s v="High Pressure Sodium"/>
    <s v="Group 1 - &lt; 12,000 Lumens"/>
    <s v="Without Pole"/>
    <m/>
    <m/>
    <n v="281"/>
    <s v="LGE281"/>
    <s v="Victorian"/>
    <x v="1"/>
    <x v="0"/>
    <x v="0"/>
    <x v="0"/>
    <m/>
    <n v="0.11700000000000001"/>
    <n v="20.36"/>
    <n v="245"/>
    <n v="4987.18"/>
    <m/>
    <m/>
    <n v="245"/>
  </r>
  <r>
    <s v="LGE"/>
    <s v="RLS"/>
    <x v="1"/>
    <s v="High Pressure Sodium"/>
    <s v="Group 1 - &lt; 12,000 Lumens"/>
    <s v="With Pole"/>
    <m/>
    <m/>
    <n v="430"/>
    <s v="LGE430"/>
    <s v="Victorian"/>
    <x v="1"/>
    <x v="3"/>
    <x v="3"/>
    <x v="0"/>
    <m/>
    <n v="8.3000000000000004E-2"/>
    <n v="32.28"/>
    <n v="13"/>
    <n v="419.62"/>
    <m/>
    <m/>
    <n v="13"/>
  </r>
  <r>
    <s v="LGE"/>
    <s v="RLS"/>
    <x v="1"/>
    <s v="High Pressure Sodium"/>
    <s v="Group 1 - &lt; 12,000 Lumens"/>
    <s v="With Pole"/>
    <m/>
    <m/>
    <n v="432"/>
    <s v="LGE432"/>
    <s v="Victorian"/>
    <x v="1"/>
    <x v="3"/>
    <x v="0"/>
    <x v="0"/>
    <m/>
    <n v="0.11700000000000001"/>
    <n v="34.35"/>
    <n v="10"/>
    <n v="343.35"/>
    <m/>
    <m/>
    <n v="10"/>
  </r>
  <r>
    <s v="KU"/>
    <s v="RLS"/>
    <x v="0"/>
    <s v="Incandescent"/>
    <s v="Group 1 - &lt; 12,000 Lumens"/>
    <s v="Without Pole"/>
    <m/>
    <m/>
    <n v="421"/>
    <s v="KU421"/>
    <s v="Tear Drop"/>
    <x v="1"/>
    <x v="0"/>
    <x v="4"/>
    <x v="3"/>
    <m/>
    <n v="0.10199999999999999"/>
    <n v="3.67"/>
    <n v="5"/>
    <n v="17.14"/>
    <m/>
    <m/>
    <n v="1"/>
  </r>
  <r>
    <s v="KU"/>
    <s v="RLS"/>
    <x v="0"/>
    <s v="Incandescent"/>
    <s v="Group 1 - &lt; 12,000 Lumens"/>
    <s v="Without Pole"/>
    <m/>
    <m/>
    <n v="422"/>
    <s v="KU422"/>
    <s v="Tear Drop"/>
    <x v="1"/>
    <x v="0"/>
    <x v="5"/>
    <x v="4"/>
    <m/>
    <n v="0.20100000000000001"/>
    <n v="4.92"/>
    <n v="578"/>
    <n v="2714.83"/>
    <m/>
    <m/>
    <n v="436"/>
  </r>
  <r>
    <s v="KU"/>
    <s v="RLS"/>
    <x v="0"/>
    <s v="Incandescent"/>
    <s v="Group 1 - &lt; 12,000 Lumens"/>
    <s v="Without Pole"/>
    <m/>
    <m/>
    <n v="424"/>
    <s v="KU424"/>
    <s v="Tear Drop"/>
    <x v="1"/>
    <x v="0"/>
    <x v="6"/>
    <x v="5"/>
    <m/>
    <n v="0.32700000000000001"/>
    <n v="7.34"/>
    <n v="29"/>
    <n v="201.95"/>
    <m/>
    <m/>
    <n v="26"/>
  </r>
  <r>
    <s v="KU"/>
    <s v="RLS"/>
    <x v="0"/>
    <s v="Incandescent"/>
    <s v="Group 1 - &lt; 12,000 Lumens"/>
    <s v="With Pole"/>
    <m/>
    <m/>
    <n v="434"/>
    <s v="KU434"/>
    <s v="Tear Drop"/>
    <x v="1"/>
    <x v="4"/>
    <x v="6"/>
    <x v="5"/>
    <m/>
    <n v="0.32700000000000001"/>
    <n v="8.3800000000000008"/>
    <s v=""/>
    <s v=""/>
    <m/>
    <m/>
    <s v=""/>
  </r>
  <r>
    <s v="KU"/>
    <s v="RLS"/>
    <x v="0"/>
    <s v="Incandescent"/>
    <s v="Group 1 - &lt; 12,000 Lumens"/>
    <s v="Without Pole"/>
    <m/>
    <m/>
    <n v="425"/>
    <s v="KU425"/>
    <s v="Tear Drop"/>
    <x v="1"/>
    <x v="0"/>
    <x v="7"/>
    <x v="6"/>
    <m/>
    <n v="0.44700000000000001"/>
    <n v="9.81"/>
    <n v="2"/>
    <n v="18.510000000000002"/>
    <m/>
    <m/>
    <n v="2"/>
  </r>
  <r>
    <s v="ODP-Non-Jur"/>
    <s v="POLT"/>
    <x v="0"/>
    <s v="Mercury Vapor"/>
    <s v="Group 1 - &lt; 12,000 Lumens"/>
    <s v="With Pole"/>
    <m/>
    <m/>
    <n v="446"/>
    <s v="ODP446"/>
    <s v="Standard"/>
    <x v="1"/>
    <x v="5"/>
    <x v="8"/>
    <x v="4"/>
    <m/>
    <n v="0.20699999999999999"/>
    <n v="9.56"/>
    <s v=""/>
    <s v=""/>
    <m/>
    <m/>
    <n v="43"/>
  </r>
  <r>
    <s v="ODP-Non-Jur"/>
    <s v="POLT"/>
    <x v="0"/>
    <s v="High Pressure Sodium"/>
    <s v="Group 1 - &lt; 12,000 Lumens"/>
    <s v="With Pole"/>
    <m/>
    <m/>
    <n v="462"/>
    <s v="ODP462"/>
    <s v="Standard"/>
    <x v="1"/>
    <x v="5"/>
    <x v="3"/>
    <x v="2"/>
    <m/>
    <n v="8.3000000000000004E-2"/>
    <n v="8.66"/>
    <s v=""/>
    <s v=""/>
    <m/>
    <m/>
    <n v="336"/>
  </r>
  <r>
    <s v="ODP-Non-Jur"/>
    <s v="POLT"/>
    <x v="0"/>
    <s v="High Pressure Sodium"/>
    <s v="Group 1 - &lt; 12,000 Lumens"/>
    <s v="With Pole"/>
    <m/>
    <m/>
    <n v="463"/>
    <s v="ODP463"/>
    <s v="Standard"/>
    <x v="1"/>
    <x v="5"/>
    <x v="0"/>
    <x v="0"/>
    <m/>
    <n v="0.11700000000000001"/>
    <n v="9.14"/>
    <s v=""/>
    <s v=""/>
    <m/>
    <m/>
    <n v="1973"/>
  </r>
  <r>
    <s v="ODP-Non-Jur"/>
    <s v="POLT"/>
    <x v="0"/>
    <s v="High Pressure Sodium"/>
    <s v="Group 2 - Between 12,000 and 100,000 Lumens"/>
    <s v="With Pole"/>
    <m/>
    <m/>
    <n v="464"/>
    <s v="ODP464"/>
    <s v="Standard"/>
    <x v="1"/>
    <x v="5"/>
    <x v="9"/>
    <x v="7"/>
    <m/>
    <n v="0.24199999999999999"/>
    <n v="14.25"/>
    <s v=""/>
    <s v=""/>
    <m/>
    <m/>
    <n v="191"/>
  </r>
  <r>
    <s v="ODP-Non-Jur"/>
    <s v="POLT"/>
    <x v="0"/>
    <s v="High Pressure Sodium"/>
    <s v="Group 2 - Between 12,000 and 100,000 Lumens"/>
    <s v="With Pole"/>
    <m/>
    <m/>
    <n v="465"/>
    <s v="ODP465"/>
    <s v="Standard"/>
    <x v="1"/>
    <x v="5"/>
    <x v="10"/>
    <x v="8"/>
    <m/>
    <n v="0.47099999999999997"/>
    <n v="22.84"/>
    <s v=""/>
    <s v=""/>
    <m/>
    <m/>
    <n v="51"/>
  </r>
  <r>
    <s v="ODP-Non-Jur"/>
    <s v="POLT"/>
    <x v="0"/>
    <s v="Mercury Vapor"/>
    <s v="Group 1 - &lt; 12,000 Lumens"/>
    <s v="With Pole"/>
    <m/>
    <m/>
    <n v="456"/>
    <s v="ODP456"/>
    <s v="Ornamental"/>
    <x v="1"/>
    <x v="6"/>
    <x v="8"/>
    <x v="4"/>
    <m/>
    <n v="0.20699999999999999"/>
    <n v="11.87"/>
    <s v=""/>
    <s v=""/>
    <m/>
    <m/>
    <n v="7"/>
  </r>
  <r>
    <s v="ODP-Non-Jur"/>
    <s v="POLT"/>
    <x v="0"/>
    <s v="High Pressure Sodium"/>
    <s v="Group 1 - &lt; 12,000 Lumens"/>
    <s v="With Pole"/>
    <m/>
    <m/>
    <n v="472"/>
    <s v="ODP472"/>
    <s v="Ornamental"/>
    <x v="1"/>
    <x v="6"/>
    <x v="3"/>
    <x v="2"/>
    <m/>
    <n v="8.3000000000000004E-2"/>
    <n v="11.6"/>
    <s v=""/>
    <s v=""/>
    <m/>
    <m/>
    <n v="9"/>
  </r>
  <r>
    <s v="ODP-Non-Jur"/>
    <s v="POLT"/>
    <x v="0"/>
    <s v="High Pressure Sodium"/>
    <s v="Group 1 - &lt; 12,000 Lumens"/>
    <s v="With Pole"/>
    <m/>
    <m/>
    <n v="473"/>
    <s v="ODP473"/>
    <s v="Ornamental"/>
    <x v="1"/>
    <x v="6"/>
    <x v="0"/>
    <x v="0"/>
    <m/>
    <n v="0.11700000000000001"/>
    <n v="12.3"/>
    <s v=""/>
    <s v=""/>
    <m/>
    <m/>
    <n v="67"/>
  </r>
  <r>
    <s v="ODP-Non-Jur"/>
    <s v="POLT"/>
    <x v="0"/>
    <s v="High Pressure Sodium"/>
    <s v="Group 2 - Between 12,000 and 100,000 Lumens"/>
    <s v="With Pole"/>
    <m/>
    <m/>
    <n v="474"/>
    <s v="ODP474"/>
    <s v="Ornamental"/>
    <x v="1"/>
    <x v="6"/>
    <x v="9"/>
    <x v="7"/>
    <m/>
    <n v="0.24199999999999999"/>
    <n v="17.41"/>
    <s v=""/>
    <s v=""/>
    <m/>
    <m/>
    <n v="225"/>
  </r>
  <r>
    <s v="ODP-Non-Jur"/>
    <s v="POLT"/>
    <x v="0"/>
    <s v="High Pressure Sodium"/>
    <s v="Group 2 - Between 12,000 and 100,000 Lumens"/>
    <s v="With Pole"/>
    <m/>
    <m/>
    <n v="475"/>
    <s v="ODP475"/>
    <s v="Ornamental"/>
    <x v="1"/>
    <x v="6"/>
    <x v="10"/>
    <x v="8"/>
    <m/>
    <n v="0.47099999999999997"/>
    <n v="24.46"/>
    <s v=""/>
    <s v=""/>
    <m/>
    <m/>
    <n v="9"/>
  </r>
  <r>
    <s v="KU"/>
    <s v="LS"/>
    <x v="0"/>
    <s v="High Pressure Sodium"/>
    <s v="Group 1 - &lt; 12,000 Lumens"/>
    <s v="Without Pole"/>
    <m/>
    <m/>
    <n v="428"/>
    <s v="KU428"/>
    <s v="Open Bottom"/>
    <x v="0"/>
    <x v="0"/>
    <x v="0"/>
    <x v="0"/>
    <m/>
    <n v="0.11700000000000001"/>
    <n v="8.49"/>
    <n v="36751"/>
    <n v="296815.31"/>
    <m/>
    <m/>
    <n v="36978"/>
  </r>
  <r>
    <s v="KU"/>
    <s v="RLS"/>
    <x v="0"/>
    <s v="High Pressure Sodium"/>
    <s v="Group 1 - &lt; 12,000 Lumens"/>
    <s v="Without Pole"/>
    <m/>
    <m/>
    <n v="426"/>
    <s v="KU426"/>
    <s v="Open Bottom"/>
    <x v="0"/>
    <x v="0"/>
    <x v="3"/>
    <x v="0"/>
    <m/>
    <n v="8.3000000000000004E-2"/>
    <n v="8.06"/>
    <n v="163"/>
    <n v="1233.81"/>
    <m/>
    <m/>
    <n v="155"/>
  </r>
  <r>
    <s v="KU"/>
    <s v="RLS"/>
    <x v="0"/>
    <s v="Mercury Vapor"/>
    <s v="Group 1 - &lt; 12,000 Lumens"/>
    <s v="Without Pole"/>
    <m/>
    <m/>
    <n v="404"/>
    <s v="KU404"/>
    <s v="Open Bottom"/>
    <x v="0"/>
    <x v="0"/>
    <x v="8"/>
    <x v="4"/>
    <m/>
    <n v="0.20699999999999999"/>
    <n v="11.45"/>
    <n v="6625"/>
    <n v="72239.539999999994"/>
    <m/>
    <m/>
    <n v="6300"/>
  </r>
  <r>
    <s v="ODP"/>
    <s v="POLT"/>
    <x v="0"/>
    <s v="Mercury Vapor"/>
    <s v="Group 1 - &lt; 12,000 Lumens"/>
    <s v="Without Pole"/>
    <m/>
    <m/>
    <n v="406"/>
    <s v="ODP406"/>
    <s v="Open Bottom"/>
    <x v="0"/>
    <x v="0"/>
    <x v="8"/>
    <x v="4"/>
    <s v="*"/>
    <n v="0.20699999999999999"/>
    <n v="10.7"/>
    <n v="1622"/>
    <n v="17272.900000000001"/>
    <s v="Restricted to fixtures in service 08-01-07. Upon failure, existing fixtures will either be removed from service or replaced, at Customer’s option, with available lighting fixtures shown above."/>
    <m/>
    <n v="1815"/>
  </r>
  <r>
    <s v="LGE"/>
    <s v="LS"/>
    <x v="0"/>
    <s v="High Pressure Sodium"/>
    <s v="Group 1 - &lt; 12,000 Lumens"/>
    <s v="Without Pole"/>
    <m/>
    <m/>
    <n v="457"/>
    <s v="LGE457"/>
    <s v="Open Bottom"/>
    <x v="0"/>
    <x v="0"/>
    <x v="0"/>
    <x v="0"/>
    <m/>
    <n v="0.11700000000000001"/>
    <n v="10.87"/>
    <n v="3512"/>
    <n v="37926.21"/>
    <m/>
    <m/>
    <n v="3607"/>
  </r>
  <r>
    <s v="LGE"/>
    <s v="RLS"/>
    <x v="0"/>
    <s v="Mercury Vapor"/>
    <s v="Group 1 - &lt; 12,000 Lumens"/>
    <s v="Without Pole"/>
    <m/>
    <m/>
    <n v="201"/>
    <s v="LGE201"/>
    <s v="Open Bottom"/>
    <x v="0"/>
    <x v="0"/>
    <x v="6"/>
    <x v="0"/>
    <m/>
    <n v="0.1"/>
    <n v="8.15"/>
    <n v="74"/>
    <n v="598.12"/>
    <m/>
    <m/>
    <n v="72"/>
  </r>
  <r>
    <s v="KU- TENN"/>
    <s v="POLT"/>
    <x v="0"/>
    <s v="Mercury Vapor"/>
    <m/>
    <s v="With Pole"/>
    <m/>
    <m/>
    <s v="KT406"/>
    <s v="KT406"/>
    <s v="Open Bottom"/>
    <x v="0"/>
    <x v="7"/>
    <x v="8"/>
    <x v="4"/>
    <m/>
    <n v="0.20699999999999999"/>
    <n v="9.52"/>
    <n v="0"/>
    <m/>
    <s v="7,000 Lumen Open Bottom Mercury Vapor"/>
    <m/>
    <n v="1"/>
  </r>
  <r>
    <s v="KU- TENN"/>
    <s v="POLT"/>
    <x v="0"/>
    <s v="High Pressure Sodium"/>
    <m/>
    <m/>
    <m/>
    <m/>
    <n v="2"/>
    <s v="KU- TENN2"/>
    <s v="Open Bottom"/>
    <x v="0"/>
    <x v="7"/>
    <x v="3"/>
    <x v="2"/>
    <m/>
    <n v="8.3000000000000004E-2"/>
    <n v="6.36"/>
    <n v="0"/>
    <m/>
    <m/>
    <m/>
    <s v=""/>
  </r>
  <r>
    <s v="KU- TENN"/>
    <s v="POLT"/>
    <x v="0"/>
    <s v="High Pressure Sodium"/>
    <m/>
    <m/>
    <m/>
    <m/>
    <s v="KT428"/>
    <s v="KT428"/>
    <s v="Open Bottom"/>
    <x v="0"/>
    <x v="7"/>
    <x v="0"/>
    <x v="0"/>
    <m/>
    <n v="0.11700000000000001"/>
    <n v="6.9"/>
    <n v="0"/>
    <m/>
    <m/>
    <m/>
    <n v="2"/>
  </r>
  <r>
    <s v="LGE"/>
    <s v="LS"/>
    <x v="1"/>
    <s v="High Pressure Sodium"/>
    <s v="Group 1 - &lt; 12,000 Lumens"/>
    <s v="With Pole"/>
    <m/>
    <m/>
    <n v="427"/>
    <s v="LGE427"/>
    <s v="London"/>
    <x v="1"/>
    <x v="2"/>
    <x v="3"/>
    <x v="2"/>
    <m/>
    <n v="8.3000000000000004E-2"/>
    <n v="35.22"/>
    <n v="53"/>
    <n v="1866.03"/>
    <m/>
    <m/>
    <n v="54"/>
  </r>
  <r>
    <s v="LGE"/>
    <s v="LS"/>
    <x v="1"/>
    <s v="High Pressure Sodium"/>
    <s v="Group 1 - &lt; 12,000 Lumens"/>
    <s v="With Pole"/>
    <m/>
    <m/>
    <n v="429"/>
    <s v="LGE429"/>
    <s v="London"/>
    <x v="1"/>
    <x v="2"/>
    <x v="0"/>
    <x v="0"/>
    <m/>
    <n v="0.11700000000000001"/>
    <n v="36.090000000000003"/>
    <n v="214"/>
    <n v="7721.56"/>
    <m/>
    <m/>
    <n v="259"/>
  </r>
  <r>
    <s v="LGE"/>
    <s v="RLS"/>
    <x v="1"/>
    <s v="High Pressure Sodium"/>
    <s v="Group 1 - &lt; 12,000 Lumens"/>
    <s v="Without Pole"/>
    <m/>
    <m/>
    <n v="282"/>
    <s v="LGE282"/>
    <s v="London"/>
    <x v="1"/>
    <x v="0"/>
    <x v="3"/>
    <x v="2"/>
    <m/>
    <n v="8.3000000000000004E-2"/>
    <n v="19.54"/>
    <n v="106"/>
    <n v="2070.7399999999998"/>
    <m/>
    <m/>
    <n v="106"/>
  </r>
  <r>
    <s v="LGE"/>
    <s v="RLS"/>
    <x v="1"/>
    <s v="High Pressure Sodium"/>
    <s v="Group 1 - &lt; 12,000 Lumens"/>
    <s v="Without Pole"/>
    <m/>
    <m/>
    <n v="283"/>
    <s v="LGE283"/>
    <s v="London"/>
    <x v="1"/>
    <x v="0"/>
    <x v="0"/>
    <x v="0"/>
    <m/>
    <n v="0.11700000000000001"/>
    <n v="20.83"/>
    <n v="82"/>
    <n v="1707.84"/>
    <m/>
    <m/>
    <n v="99"/>
  </r>
  <r>
    <s v="LGE"/>
    <s v="RLS"/>
    <x v="1"/>
    <s v="High Pressure Sodium"/>
    <s v="Group 1 - &lt; 12,000 Lumens"/>
    <s v="With Pole"/>
    <m/>
    <m/>
    <n v="426"/>
    <s v="LGE426"/>
    <s v="London"/>
    <x v="1"/>
    <x v="3"/>
    <x v="3"/>
    <x v="0"/>
    <m/>
    <n v="8.3000000000000004E-2"/>
    <n v="33.24"/>
    <n v="34"/>
    <n v="1129.71"/>
    <m/>
    <m/>
    <n v="34"/>
  </r>
  <r>
    <s v="LGE"/>
    <s v="RLS"/>
    <x v="1"/>
    <s v="High Pressure Sodium"/>
    <s v="Group 1 - &lt; 12,000 Lumens"/>
    <s v="With Pole"/>
    <m/>
    <m/>
    <n v="428"/>
    <s v="LGE428"/>
    <s v="London"/>
    <x v="1"/>
    <x v="3"/>
    <x v="0"/>
    <x v="0"/>
    <m/>
    <n v="0.11700000000000001"/>
    <n v="34.11"/>
    <n v="277"/>
    <n v="9445.1200000000008"/>
    <m/>
    <m/>
    <n v="299"/>
  </r>
  <r>
    <s v="KU"/>
    <s v="RLS"/>
    <x v="1"/>
    <s v="High Pressure Sodium"/>
    <s v="Group 4 - Pole only or Restricted Class"/>
    <s v="With Pole"/>
    <m/>
    <m/>
    <n v="360"/>
    <s v="KU360"/>
    <s v="Granville"/>
    <x v="1"/>
    <x v="3"/>
    <x v="11"/>
    <x v="9"/>
    <m/>
    <n v="0.18099999999999999"/>
    <n v="59.91"/>
    <n v="4"/>
    <n v="230.79"/>
    <s v="Granville units are restricted to installations for the City of London."/>
    <s v="PO-R"/>
    <n v="4"/>
  </r>
  <r>
    <s v="KU"/>
    <s v="LS"/>
    <x v="0"/>
    <s v="High Pressure Sodium"/>
    <s v="Group 1 - &lt; 12,000 Lumens"/>
    <s v="Without Pole"/>
    <m/>
    <m/>
    <n v="487"/>
    <s v="KU487"/>
    <s v="Directional"/>
    <x v="1"/>
    <x v="0"/>
    <x v="0"/>
    <x v="9"/>
    <m/>
    <n v="0.11700000000000001"/>
    <n v="9.75"/>
    <n v="10927"/>
    <n v="101709.2"/>
    <m/>
    <m/>
    <n v="11173"/>
  </r>
  <r>
    <s v="KU"/>
    <s v="LS"/>
    <x v="0"/>
    <s v="High Pressure Sodium"/>
    <s v="Group 2 - Between 12,000 and 100,000 Lumens"/>
    <s v="Without Pole"/>
    <m/>
    <m/>
    <n v="488"/>
    <s v="KU488"/>
    <s v="Directional"/>
    <x v="1"/>
    <x v="0"/>
    <x v="9"/>
    <x v="7"/>
    <s v="*"/>
    <n v="0.24199999999999999"/>
    <n v="14.77"/>
    <n v="6677"/>
    <n v="93836.08"/>
    <s v="Not available for use in residential neighborhoods except by municipal authorities."/>
    <m/>
    <n v="6675"/>
  </r>
  <r>
    <s v="KU"/>
    <s v="LS"/>
    <x v="0"/>
    <s v="High Pressure Sodium"/>
    <s v="Group 2 - Between 12,000 and 100,000 Lumens"/>
    <s v="Without Pole"/>
    <m/>
    <m/>
    <n v="489"/>
    <s v="KU489"/>
    <s v="Directional"/>
    <x v="1"/>
    <x v="0"/>
    <x v="10"/>
    <x v="8"/>
    <s v="*"/>
    <n v="0.47099999999999997"/>
    <n v="21.07"/>
    <n v="8578"/>
    <n v="172159.01"/>
    <s v="Not available for use in residential neighborhoods except by municipal authorities."/>
    <m/>
    <n v="8626"/>
  </r>
  <r>
    <s v="KU"/>
    <s v="LS"/>
    <x v="0"/>
    <s v="Metal Halide"/>
    <s v="Group 1 - &lt; 12,000 Lumens"/>
    <s v="Without Pole"/>
    <m/>
    <m/>
    <n v="450"/>
    <s v="KU450"/>
    <s v="Directional"/>
    <x v="1"/>
    <x v="0"/>
    <x v="12"/>
    <x v="9"/>
    <s v="*"/>
    <n v="0.15"/>
    <n v="15.43"/>
    <n v="706"/>
    <n v="10416.299999999999"/>
    <s v="Not available for use in residential neighborhoods except by municipal authorities."/>
    <m/>
    <n v="711"/>
  </r>
  <r>
    <s v="KU"/>
    <s v="LS"/>
    <x v="0"/>
    <s v="Metal Halide"/>
    <s v="Group 2 - Between 12,000 and 100,000 Lumens"/>
    <s v="Without Pole"/>
    <m/>
    <m/>
    <n v="451"/>
    <s v="KU451"/>
    <s v="Directional"/>
    <x v="1"/>
    <x v="0"/>
    <x v="13"/>
    <x v="10"/>
    <s v="*"/>
    <n v="0.35"/>
    <n v="21.87"/>
    <n v="5388"/>
    <n v="112158.42"/>
    <s v="Not available for use in residential neighborhoods except by municipal authorities."/>
    <m/>
    <n v="5639"/>
  </r>
  <r>
    <s v="KU"/>
    <s v="LS"/>
    <x v="0"/>
    <s v="Metal Halide-1000"/>
    <s v="Group 3 - &gt; 100,000 Lumens"/>
    <s v="Without Pole"/>
    <m/>
    <m/>
    <n v="452"/>
    <s v="KU452"/>
    <s v="Directional"/>
    <x v="1"/>
    <x v="0"/>
    <x v="14"/>
    <x v="11"/>
    <s v="*"/>
    <n v="1.08"/>
    <n v="45.86"/>
    <n v="1033"/>
    <n v="45524.21"/>
    <s v="Not available for use in residential neighborhoods except by municipal authorities."/>
    <m/>
    <n v="967"/>
  </r>
  <r>
    <s v="KU"/>
    <s v="RLS"/>
    <x v="0"/>
    <s v="Metal Halide"/>
    <s v="Group 1 - &lt; 12,000 Lumens"/>
    <s v="With Pole"/>
    <m/>
    <m/>
    <n v="454"/>
    <s v="KU454"/>
    <s v="Directional"/>
    <x v="1"/>
    <x v="4"/>
    <x v="12"/>
    <x v="8"/>
    <m/>
    <n v="0.15"/>
    <n v="20.190000000000001"/>
    <n v="151"/>
    <n v="2932.38"/>
    <m/>
    <m/>
    <n v="154"/>
  </r>
  <r>
    <s v="KU"/>
    <s v="RLS"/>
    <x v="0"/>
    <s v="Metal Halide"/>
    <s v="Group 2 - Between 12,000 and 100,000 Lumens"/>
    <s v="With Pole"/>
    <m/>
    <m/>
    <n v="455"/>
    <s v="KU455"/>
    <s v="Directional"/>
    <x v="1"/>
    <x v="4"/>
    <x v="13"/>
    <x v="9"/>
    <m/>
    <n v="0.35"/>
    <n v="26.63"/>
    <n v="1024"/>
    <n v="25979.68"/>
    <m/>
    <m/>
    <n v="1012"/>
  </r>
  <r>
    <s v="KU"/>
    <s v="RLS"/>
    <x v="0"/>
    <s v="Metal Halide-1000"/>
    <s v="Group 3 - &gt; 100,000 Lumens"/>
    <s v="With Pole"/>
    <m/>
    <m/>
    <n v="459"/>
    <s v="KU459"/>
    <s v="Directional"/>
    <x v="1"/>
    <x v="4"/>
    <x v="14"/>
    <x v="11"/>
    <m/>
    <n v="1.08"/>
    <n v="50.61"/>
    <n v="216"/>
    <n v="10533.88"/>
    <m/>
    <m/>
    <n v="188"/>
  </r>
  <r>
    <s v="KU"/>
    <s v="RLS"/>
    <x v="1"/>
    <s v="Metal Halide"/>
    <s v="Group 1 - &lt; 12,000 Lumens"/>
    <s v="With Pole"/>
    <m/>
    <m/>
    <n v="460"/>
    <s v="KU460"/>
    <s v="Directional"/>
    <x v="1"/>
    <x v="3"/>
    <x v="12"/>
    <x v="12"/>
    <m/>
    <n v="0.15"/>
    <n v="29.4"/>
    <n v="23"/>
    <n v="643.44000000000005"/>
    <m/>
    <m/>
    <n v="20"/>
  </r>
  <r>
    <s v="KU"/>
    <s v="RLS"/>
    <x v="1"/>
    <s v="Metal Halide"/>
    <s v="Group 2 - Between 12,000 and 100,000 Lumens"/>
    <s v="With Pole"/>
    <m/>
    <m/>
    <n v="469"/>
    <s v="KU469"/>
    <s v="Directional"/>
    <x v="1"/>
    <x v="3"/>
    <x v="13"/>
    <x v="13"/>
    <m/>
    <n v="0.35"/>
    <n v="35.840000000000003"/>
    <n v="290"/>
    <n v="9903.92"/>
    <m/>
    <m/>
    <n v="296"/>
  </r>
  <r>
    <s v="KU"/>
    <s v="RLS"/>
    <x v="1"/>
    <s v="Metal Halide-1000"/>
    <s v="Group 3 - &gt; 100,000 Lumens"/>
    <s v="With Pole"/>
    <m/>
    <m/>
    <n v="470"/>
    <s v="KU470"/>
    <s v="Directional"/>
    <x v="1"/>
    <x v="3"/>
    <x v="14"/>
    <x v="11"/>
    <m/>
    <n v="1.08"/>
    <n v="59.82"/>
    <n v="58"/>
    <n v="3342.61"/>
    <m/>
    <m/>
    <n v="46"/>
  </r>
  <r>
    <s v="ODP"/>
    <s v="POLT"/>
    <x v="0"/>
    <s v="High Pressure Sodium"/>
    <s v="Group 1 - &lt; 12,000 Lumens"/>
    <s v="Without Pole"/>
    <m/>
    <m/>
    <n v="487"/>
    <s v="ODP487"/>
    <s v="Directional"/>
    <x v="1"/>
    <x v="0"/>
    <x v="0"/>
    <x v="9"/>
    <m/>
    <n v="0.11700000000000001"/>
    <n v="15.68"/>
    <n v="174"/>
    <n v="2728.32"/>
    <m/>
    <m/>
    <n v="237"/>
  </r>
  <r>
    <s v="ODP"/>
    <s v="POLT"/>
    <x v="0"/>
    <s v="High Pressure Sodium"/>
    <s v="Group 2 - Between 12,000 and 100,000 Lumens"/>
    <s v="Without Pole"/>
    <m/>
    <m/>
    <n v="488"/>
    <s v="ODP488"/>
    <s v="Directional"/>
    <x v="1"/>
    <x v="0"/>
    <x v="9"/>
    <x v="7"/>
    <s v="*"/>
    <n v="0.24199999999999999"/>
    <n v="21.56"/>
    <n v="159"/>
    <n v="3410.79"/>
    <s v="Not available for urban residential use."/>
    <m/>
    <n v="404"/>
  </r>
  <r>
    <s v="ODP"/>
    <s v="POLT"/>
    <x v="0"/>
    <s v="High Pressure Sodium"/>
    <s v="Group 2 - Between 12,000 and 100,000 Lumens"/>
    <s v="Without Pole"/>
    <m/>
    <m/>
    <n v="489"/>
    <s v="ODP489"/>
    <s v="Directional"/>
    <x v="1"/>
    <x v="0"/>
    <x v="10"/>
    <x v="8"/>
    <s v="*"/>
    <n v="0.47099999999999997"/>
    <n v="32.520000000000003"/>
    <n v="135"/>
    <n v="4390.2"/>
    <s v="Not available for urban residential use."/>
    <m/>
    <n v="700"/>
  </r>
  <r>
    <s v="LGE"/>
    <s v="LS"/>
    <x v="0"/>
    <s v="High Pressure Sodium"/>
    <s v="Group 2 - Between 12,000 and 100,000 Lumens"/>
    <s v="Without Pole"/>
    <m/>
    <m/>
    <n v="455"/>
    <s v="LGE455"/>
    <s v="Directional"/>
    <x v="1"/>
    <x v="0"/>
    <x v="11"/>
    <x v="9"/>
    <m/>
    <n v="0.18099999999999999"/>
    <n v="13.78"/>
    <n v="416"/>
    <n v="5661.26"/>
    <m/>
    <m/>
    <n v="402"/>
  </r>
  <r>
    <s v="LGE"/>
    <s v="LS"/>
    <x v="0"/>
    <s v="High Pressure Sodium"/>
    <s v="Group 2 - Between 12,000 and 100,000 Lumens"/>
    <s v="Without Pole"/>
    <m/>
    <m/>
    <n v="456"/>
    <s v="LGE456"/>
    <s v="Directional"/>
    <x v="1"/>
    <x v="0"/>
    <x v="10"/>
    <x v="4"/>
    <s v="*"/>
    <n v="0.47099999999999997"/>
    <n v="18.22"/>
    <n v="13210"/>
    <n v="239431.41"/>
    <s v="Not available for use in residential neighborhoods except by municipal authorities."/>
    <m/>
    <n v="12896"/>
  </r>
  <r>
    <s v="LGE"/>
    <s v="LS"/>
    <x v="0"/>
    <s v="Metal Halide"/>
    <s v="Group 1 - &lt; 12,000 Lumens"/>
    <s v="Without Pole"/>
    <m/>
    <m/>
    <n v="470"/>
    <s v="LGE470"/>
    <s v="Directional"/>
    <x v="1"/>
    <x v="0"/>
    <x v="12"/>
    <x v="9"/>
    <m/>
    <n v="0.15"/>
    <n v="12.8"/>
    <n v="33"/>
    <n v="422.17"/>
    <m/>
    <m/>
    <n v="42"/>
  </r>
  <r>
    <s v="LGE"/>
    <s v="LS"/>
    <x v="0"/>
    <s v="Metal Halide"/>
    <s v="Group 2 - Between 12,000 and 100,000 Lumens"/>
    <s v="Without Pole"/>
    <m/>
    <m/>
    <n v="473"/>
    <s v="LGE473"/>
    <s v="Directional"/>
    <x v="1"/>
    <x v="0"/>
    <x v="13"/>
    <x v="0"/>
    <m/>
    <n v="0.35"/>
    <n v="18.690000000000001"/>
    <n v="589"/>
    <n v="11081.14"/>
    <m/>
    <m/>
    <n v="749"/>
  </r>
  <r>
    <s v="LGE"/>
    <s v="LS"/>
    <x v="0"/>
    <s v="Metal Halide-1000"/>
    <s v="Group 3 - &gt; 100,000 Lumens"/>
    <s v="Without Pole"/>
    <m/>
    <m/>
    <n v="476"/>
    <s v="LGE476"/>
    <s v="Directional"/>
    <x v="1"/>
    <x v="0"/>
    <x v="14"/>
    <x v="11"/>
    <s v="*"/>
    <n v="1.08"/>
    <n v="39.619999999999997"/>
    <n v="551"/>
    <n v="21871.56"/>
    <s v="Not available for use in residential neighborhoods except by municipal authorities."/>
    <m/>
    <n v="611"/>
  </r>
  <r>
    <s v="LGE"/>
    <s v="RLS"/>
    <x v="0"/>
    <s v="Mercury Vapor"/>
    <s v="Group 2 - Between 12,000 and 100,000 Lumens"/>
    <s v="Without Pole"/>
    <m/>
    <m/>
    <n v="207"/>
    <s v="LGE207"/>
    <s v="Directional"/>
    <x v="1"/>
    <x v="0"/>
    <x v="15"/>
    <x v="8"/>
    <m/>
    <n v="0.46200000000000002"/>
    <n v="15.55"/>
    <n v="728"/>
    <n v="11136.91"/>
    <m/>
    <m/>
    <n v="665"/>
  </r>
  <r>
    <s v="LGE"/>
    <s v="RLS"/>
    <x v="0"/>
    <s v="Mercury Vapor"/>
    <s v="Group 2 - Between 12,000 and 100,000 Lumens"/>
    <s v="Without Pole"/>
    <m/>
    <m/>
    <n v="210"/>
    <s v="LGE210"/>
    <s v="Directional"/>
    <x v="1"/>
    <x v="0"/>
    <x v="16"/>
    <x v="11"/>
    <m/>
    <n v="1.18"/>
    <n v="28.91"/>
    <n v="324"/>
    <n v="9218.64"/>
    <m/>
    <m/>
    <n v="305"/>
  </r>
  <r>
    <s v="LGE"/>
    <s v="RLS"/>
    <x v="0"/>
    <s v="Metal Halide"/>
    <s v="Group 1 - &lt; 12,000 Lumens"/>
    <s v="With Pole"/>
    <m/>
    <m/>
    <n v="471"/>
    <s v="LGE471"/>
    <s v="Directional"/>
    <x v="1"/>
    <x v="8"/>
    <x v="12"/>
    <x v="14"/>
    <m/>
    <n v="0.15"/>
    <n v="15.08"/>
    <n v="8"/>
    <n v="120.61"/>
    <m/>
    <m/>
    <n v="8"/>
  </r>
  <r>
    <s v="LGE"/>
    <s v="RLS"/>
    <x v="0"/>
    <s v="Metal Halide"/>
    <s v="Group 2 - Between 12,000 and 100,000 Lumens"/>
    <s v="With Pole"/>
    <m/>
    <m/>
    <n v="474"/>
    <s v="LGE474"/>
    <s v="Directional"/>
    <x v="1"/>
    <x v="8"/>
    <x v="13"/>
    <x v="7"/>
    <m/>
    <n v="0.35"/>
    <n v="20.98"/>
    <n v="54"/>
    <n v="1132.6300000000001"/>
    <m/>
    <m/>
    <n v="47"/>
  </r>
  <r>
    <s v="LGE"/>
    <s v="RLS"/>
    <x v="0"/>
    <s v="Metal Halide"/>
    <s v="Group 2 - Between 12,000 and 100,000 Lumens"/>
    <s v="With Pole"/>
    <m/>
    <m/>
    <n v="475"/>
    <s v="LGE475"/>
    <s v="Directional"/>
    <x v="1"/>
    <x v="9"/>
    <x v="13"/>
    <x v="8"/>
    <m/>
    <n v="0.35"/>
    <n v="28.44"/>
    <n v="2"/>
    <n v="56.87"/>
    <m/>
    <m/>
    <n v="2"/>
  </r>
  <r>
    <s v="LGE"/>
    <s v="RLS"/>
    <x v="0"/>
    <s v="Metal Halide-1000"/>
    <s v="Group 3 - &gt; 100,000 Lumens"/>
    <s v="With Pole"/>
    <m/>
    <m/>
    <n v="477"/>
    <s v="LGE477"/>
    <s v="Directional"/>
    <x v="1"/>
    <x v="8"/>
    <x v="14"/>
    <x v="11"/>
    <m/>
    <n v="1.08"/>
    <n v="42.81"/>
    <n v="63"/>
    <n v="2696.02"/>
    <m/>
    <m/>
    <n v="58"/>
  </r>
  <r>
    <s v="KU- TENN"/>
    <s v="POLT"/>
    <x v="0"/>
    <s v="High Pressure Sodium"/>
    <m/>
    <m/>
    <m/>
    <m/>
    <n v="4"/>
    <s v="KU- TENN4"/>
    <s v="Directional"/>
    <x v="1"/>
    <x v="10"/>
    <x v="0"/>
    <x v="0"/>
    <m/>
    <n v="0.11700000000000001"/>
    <n v="8.01"/>
    <n v="0"/>
    <m/>
    <m/>
    <m/>
    <s v=""/>
  </r>
  <r>
    <s v="KU"/>
    <s v="LS"/>
    <x v="1"/>
    <s v="High Pressure Sodium"/>
    <s v="Group 1 - &lt; 12,000 Lumens"/>
    <s v="With Pole"/>
    <m/>
    <m/>
    <n v="300"/>
    <s v="KU300"/>
    <s v="Dark Sky"/>
    <x v="1"/>
    <x v="3"/>
    <x v="6"/>
    <x v="14"/>
    <m/>
    <n v="0.06"/>
    <n v="24.35"/>
    <s v=""/>
    <s v=""/>
    <m/>
    <m/>
    <s v=""/>
  </r>
  <r>
    <s v="KU"/>
    <s v="LS"/>
    <x v="1"/>
    <s v="High Pressure Sodium"/>
    <s v="Group 1 - &lt; 12,000 Lumens"/>
    <s v="With Pole"/>
    <m/>
    <m/>
    <n v="301"/>
    <s v="KU301"/>
    <s v="Dark Sky"/>
    <x v="1"/>
    <x v="3"/>
    <x v="0"/>
    <x v="0"/>
    <m/>
    <n v="0.11700000000000001"/>
    <n v="25.45"/>
    <s v=""/>
    <s v=""/>
    <m/>
    <m/>
    <s v=""/>
  </r>
  <r>
    <s v="LGE"/>
    <s v="LS"/>
    <x v="1"/>
    <s v="High Pressure Sodium"/>
    <s v="Group 1 - &lt; 12,000 Lumens"/>
    <s v="With Pole"/>
    <m/>
    <m/>
    <n v="400"/>
    <s v="LGE400"/>
    <s v="Dark Sky"/>
    <x v="1"/>
    <x v="3"/>
    <x v="6"/>
    <x v="14"/>
    <m/>
    <n v="0.06"/>
    <n v="23.9"/>
    <n v="49"/>
    <n v="1170.82"/>
    <m/>
    <m/>
    <n v="56"/>
  </r>
  <r>
    <s v="LGE"/>
    <s v="LS"/>
    <x v="1"/>
    <s v="High Pressure Sodium"/>
    <s v="Group 1 - &lt; 12,000 Lumens"/>
    <s v="With Pole"/>
    <m/>
    <m/>
    <n v="401"/>
    <s v="LGE401"/>
    <s v="Dark Sky"/>
    <x v="1"/>
    <x v="3"/>
    <x v="0"/>
    <x v="2"/>
    <m/>
    <n v="0.11700000000000001"/>
    <n v="24.92"/>
    <n v="8"/>
    <n v="199.28"/>
    <m/>
    <m/>
    <n v="20"/>
  </r>
  <r>
    <s v="LGE"/>
    <s v="RLS"/>
    <x v="1"/>
    <s v="Incandescent"/>
    <s v="Group 1 - &lt; 12,000 Lumens"/>
    <s v="With Pole"/>
    <m/>
    <m/>
    <n v="349"/>
    <s v="LGE349"/>
    <s v="Continental Jr."/>
    <x v="1"/>
    <x v="3"/>
    <x v="17"/>
    <x v="15"/>
    <m/>
    <n v="0.10199999999999999"/>
    <n v="9.0299999999999994"/>
    <n v="17"/>
    <n v="153.51"/>
    <m/>
    <m/>
    <n v="17"/>
  </r>
  <r>
    <s v="LGE"/>
    <s v="RLS"/>
    <x v="1"/>
    <s v="Incandescent"/>
    <s v="Group 1 - &lt; 12,000 Lumens"/>
    <s v="With Pole"/>
    <m/>
    <m/>
    <n v="348"/>
    <s v="LGE348"/>
    <s v="Continental Jr."/>
    <x v="1"/>
    <x v="3"/>
    <x v="7"/>
    <x v="6"/>
    <m/>
    <n v="0.44700000000000001"/>
    <n v="13.13"/>
    <n v="39"/>
    <n v="512.04999999999995"/>
    <m/>
    <m/>
    <n v="39"/>
  </r>
  <r>
    <s v="KU- TENN"/>
    <s v="POLT"/>
    <x v="1"/>
    <s v="High Pressure Sodium"/>
    <m/>
    <m/>
    <m/>
    <m/>
    <n v="17"/>
    <s v="KU- TENN17"/>
    <s v="Contemporary - Additional Fixture"/>
    <x v="1"/>
    <x v="10"/>
    <x v="3"/>
    <x v="2"/>
    <m/>
    <n v="8.3000000000000004E-2"/>
    <n v="13.99"/>
    <n v="0"/>
    <m/>
    <m/>
    <m/>
    <s v=""/>
  </r>
  <r>
    <s v="KU- TENN"/>
    <s v="POLT"/>
    <x v="1"/>
    <s v="High Pressure Sodium"/>
    <m/>
    <m/>
    <m/>
    <m/>
    <n v="19"/>
    <s v="KU- TENN19"/>
    <s v="Contemporary - Additional Fixture"/>
    <x v="1"/>
    <x v="10"/>
    <x v="0"/>
    <x v="16"/>
    <m/>
    <n v="0.11700000000000001"/>
    <n v="14.12"/>
    <n v="0"/>
    <m/>
    <m/>
    <m/>
    <s v=""/>
  </r>
  <r>
    <s v="KU"/>
    <s v="LS"/>
    <x v="1"/>
    <s v="High Pressure Sodium"/>
    <s v="Group 1 - &lt; 12,000 Lumens"/>
    <s v="Without Pole"/>
    <m/>
    <m/>
    <n v="492"/>
    <s v="KU492"/>
    <s v="Contemporary"/>
    <x v="1"/>
    <x v="0"/>
    <x v="3"/>
    <x v="2"/>
    <m/>
    <n v="8.3000000000000004E-2"/>
    <n v="16.64"/>
    <n v="2"/>
    <n v="32.67"/>
    <m/>
    <m/>
    <n v="2"/>
  </r>
  <r>
    <s v="KU"/>
    <s v="LS"/>
    <x v="1"/>
    <s v="High Pressure Sodium"/>
    <s v="Group 1 - &lt; 12,000 Lumens"/>
    <s v="With Pole"/>
    <m/>
    <m/>
    <n v="476"/>
    <s v="KU476"/>
    <s v="Contemporary"/>
    <x v="1"/>
    <x v="3"/>
    <x v="3"/>
    <x v="11"/>
    <m/>
    <n v="8.3000000000000004E-2"/>
    <n v="18.18"/>
    <n v="4709"/>
    <n v="79075.5"/>
    <m/>
    <m/>
    <n v="4834"/>
  </r>
  <r>
    <s v="KU"/>
    <s v="LS"/>
    <x v="1"/>
    <s v="High Pressure Sodium"/>
    <s v="Group 1 - &lt; 12,000 Lumens"/>
    <s v="Without Pole"/>
    <m/>
    <m/>
    <n v="497"/>
    <s v="KU497"/>
    <s v="Contemporary"/>
    <x v="1"/>
    <x v="0"/>
    <x v="0"/>
    <x v="0"/>
    <m/>
    <n v="0.11700000000000001"/>
    <n v="16.62"/>
    <n v="14"/>
    <n v="226.11"/>
    <m/>
    <m/>
    <n v="18"/>
  </r>
  <r>
    <s v="KU"/>
    <s v="LS"/>
    <x v="1"/>
    <s v="High Pressure Sodium"/>
    <s v="Group 1 - &lt; 12,000 Lumens"/>
    <s v="With Pole"/>
    <m/>
    <m/>
    <n v="477"/>
    <s v="KU477"/>
    <s v="Contemporary"/>
    <x v="1"/>
    <x v="3"/>
    <x v="0"/>
    <x v="11"/>
    <m/>
    <n v="0.11700000000000001"/>
    <n v="22.71"/>
    <n v="1046"/>
    <n v="22230.04"/>
    <m/>
    <m/>
    <n v="1069"/>
  </r>
  <r>
    <s v="KU"/>
    <s v="LS"/>
    <x v="1"/>
    <s v="High Pressure Sodium"/>
    <s v="Group 2 - Between 12,000 and 100,000 Lumens"/>
    <s v="Without Pole"/>
    <m/>
    <m/>
    <n v="498"/>
    <s v="KU498"/>
    <s v="Contemporary"/>
    <x v="1"/>
    <x v="0"/>
    <x v="9"/>
    <x v="7"/>
    <s v="*"/>
    <n v="0.24199999999999999"/>
    <n v="19.190000000000001"/>
    <n v="30"/>
    <n v="541.88"/>
    <s v="Not available for use in residential neighborhoods except by municipal authorities."/>
    <m/>
    <n v="31"/>
  </r>
  <r>
    <s v="KU"/>
    <s v="LS"/>
    <x v="1"/>
    <s v="High Pressure Sodium"/>
    <s v="Group 2 - Between 12,000 and 100,000 Lumens"/>
    <s v="With Pole"/>
    <m/>
    <m/>
    <n v="478"/>
    <s v="KU478"/>
    <s v="Contemporary"/>
    <x v="1"/>
    <x v="3"/>
    <x v="9"/>
    <x v="7"/>
    <s v="*"/>
    <n v="0.24199999999999999"/>
    <n v="29.08"/>
    <n v="1463"/>
    <n v="39933.72"/>
    <s v="Not available for use in residential neighborhoods except by municipal authorities."/>
    <m/>
    <n v="1428"/>
  </r>
  <r>
    <s v="KU"/>
    <s v="LS"/>
    <x v="1"/>
    <s v="High Pressure Sodium"/>
    <s v="Group 2 - Between 12,000 and 100,000 Lumens"/>
    <s v="Without Pole"/>
    <m/>
    <m/>
    <n v="499"/>
    <s v="KU499"/>
    <s v="Contemporary"/>
    <x v="1"/>
    <x v="0"/>
    <x v="10"/>
    <x v="8"/>
    <s v="*"/>
    <n v="0.47099999999999997"/>
    <n v="23.27"/>
    <n v="35"/>
    <n v="782.91"/>
    <s v="Not available for use in residential neighborhoods except by municipal authorities."/>
    <m/>
    <n v="35"/>
  </r>
  <r>
    <s v="KU"/>
    <s v="LS"/>
    <x v="1"/>
    <s v="High Pressure Sodium"/>
    <s v="Group 2 - Between 12,000 and 100,000 Lumens"/>
    <s v="With Pole"/>
    <m/>
    <m/>
    <n v="479"/>
    <s v="KU479"/>
    <s v="Contemporary"/>
    <x v="1"/>
    <x v="3"/>
    <x v="10"/>
    <x v="8"/>
    <s v="*"/>
    <n v="0.47099999999999997"/>
    <n v="35.86"/>
    <n v="945"/>
    <n v="32485.5"/>
    <s v="Not available for use in residential neighborhoods except by municipal authorities."/>
    <m/>
    <n v="935"/>
  </r>
  <r>
    <s v="KU"/>
    <s v="LS"/>
    <x v="1"/>
    <s v="Metal Halide"/>
    <s v="Group 1 - &lt; 12,000 Lumens"/>
    <s v="Without Pole"/>
    <m/>
    <m/>
    <n v="490"/>
    <s v="KU490"/>
    <s v="Contemporary"/>
    <x v="1"/>
    <x v="0"/>
    <x v="12"/>
    <x v="9"/>
    <s v="*"/>
    <n v="0.15"/>
    <n v="16.75"/>
    <n v="59"/>
    <n v="940.19"/>
    <s v="Not available for use in residential neighborhoods except by municipal authorities."/>
    <m/>
    <n v="59"/>
  </r>
  <r>
    <s v="KU"/>
    <s v="LS"/>
    <x v="1"/>
    <s v="Metal Halide"/>
    <s v="Group 1 - &lt; 12,000 Lumens"/>
    <s v="With Pole"/>
    <m/>
    <m/>
    <n v="494"/>
    <s v="KU494"/>
    <s v="Contemporary"/>
    <x v="1"/>
    <x v="3"/>
    <x v="12"/>
    <x v="9"/>
    <s v="*"/>
    <n v="0.15"/>
    <n v="30.72"/>
    <n v="182"/>
    <n v="5274.24"/>
    <s v="Not available for use in residential neighborhoods except by municipal authorities."/>
    <m/>
    <n v="184"/>
  </r>
  <r>
    <s v="KU"/>
    <s v="LS"/>
    <x v="1"/>
    <s v="Metal Halide"/>
    <s v="Group 2 - Between 12,000 and 100,000 Lumens"/>
    <s v="Without Pole"/>
    <m/>
    <m/>
    <n v="491"/>
    <s v="KU491"/>
    <s v="Contemporary"/>
    <x v="1"/>
    <x v="0"/>
    <x v="13"/>
    <x v="10"/>
    <s v="*"/>
    <n v="0.35"/>
    <n v="23.75"/>
    <n v="312"/>
    <n v="7067.48"/>
    <s v="Not available for use in residential neighborhoods except by municipal authorities."/>
    <m/>
    <n v="298"/>
  </r>
  <r>
    <s v="KU"/>
    <s v="LS"/>
    <x v="1"/>
    <s v="Metal Halide"/>
    <s v="Group 2 - Between 12,000 and 100,000 Lumens"/>
    <s v="With Pole"/>
    <m/>
    <m/>
    <n v="495"/>
    <s v="KU495"/>
    <s v="Contemporary"/>
    <x v="1"/>
    <x v="3"/>
    <x v="13"/>
    <x v="10"/>
    <s v="*"/>
    <n v="0.35"/>
    <n v="37.71"/>
    <n v="669"/>
    <n v="24275.83"/>
    <s v="Not available for use in residential neighborhoods except by municipal authorities."/>
    <m/>
    <n v="685"/>
  </r>
  <r>
    <s v="KU"/>
    <s v="LS"/>
    <x v="1"/>
    <s v="Metal Halide-1000"/>
    <s v="Group 3 - &gt; 100,000 Lumens"/>
    <s v="Without Pole"/>
    <m/>
    <m/>
    <n v="493"/>
    <s v="KU493"/>
    <s v="Contemporary"/>
    <x v="1"/>
    <x v="0"/>
    <x v="14"/>
    <x v="11"/>
    <s v="*"/>
    <n v="1.08"/>
    <n v="49.48"/>
    <n v="43"/>
    <n v="2030.14"/>
    <s v="Not available for use in residential neighborhoods except by municipal authorities."/>
    <m/>
    <n v="43"/>
  </r>
  <r>
    <s v="KU"/>
    <s v="LS"/>
    <x v="1"/>
    <s v="Metal Halide-1000"/>
    <s v="Group 3 - &gt; 100,000 Lumens"/>
    <s v="With Pole"/>
    <m/>
    <m/>
    <n v="496"/>
    <s v="KU496"/>
    <s v="Contemporary"/>
    <x v="1"/>
    <x v="3"/>
    <x v="14"/>
    <x v="11"/>
    <s v="*"/>
    <n v="1.08"/>
    <n v="63.44"/>
    <n v="140"/>
    <n v="8517.8700000000008"/>
    <s v="Not available for use in residential neighborhoods except by municipal authorities."/>
    <m/>
    <n v="137"/>
  </r>
  <r>
    <s v="LGE"/>
    <s v="LS"/>
    <x v="1"/>
    <s v="High Pressure Sodium"/>
    <s v="Group 2 - Between 12,000 and 100,000 Lumens"/>
    <s v="Without Pole"/>
    <m/>
    <m/>
    <n v="439"/>
    <s v="LGE439"/>
    <s v="Contemporary"/>
    <x v="1"/>
    <x v="0"/>
    <x v="11"/>
    <x v="9"/>
    <m/>
    <n v="0.18099999999999999"/>
    <n v="16.47"/>
    <s v=""/>
    <s v=""/>
    <m/>
    <m/>
    <s v=""/>
  </r>
  <r>
    <s v="LGE"/>
    <s v="LS"/>
    <x v="1"/>
    <s v="High Pressure Sodium"/>
    <s v="Group 2 - Between 12,000 and 100,000 Lumens"/>
    <s v="With Pole"/>
    <m/>
    <m/>
    <n v="420"/>
    <s v="LGE420"/>
    <s v="Contemporary"/>
    <x v="1"/>
    <x v="3"/>
    <x v="11"/>
    <x v="9"/>
    <m/>
    <n v="0.18099999999999999"/>
    <n v="29.91"/>
    <n v="61"/>
    <n v="1823.77"/>
    <m/>
    <m/>
    <n v="62"/>
  </r>
  <r>
    <s v="LGE"/>
    <s v="LS"/>
    <x v="1"/>
    <s v="High Pressure Sodium"/>
    <s v="Group 2 - Between 12,000 and 100,000 Lumens"/>
    <s v="Without Pole"/>
    <m/>
    <m/>
    <n v="440"/>
    <s v="LGE440"/>
    <s v="Contemporary"/>
    <x v="1"/>
    <x v="0"/>
    <x v="18"/>
    <x v="12"/>
    <s v="*"/>
    <n v="0.29399999999999998"/>
    <n v="18.29"/>
    <n v="10"/>
    <n v="182.82"/>
    <s v="Not available for use in residential neighborhoods except by municipal authorities."/>
    <m/>
    <n v="23"/>
  </r>
  <r>
    <s v="LGE"/>
    <s v="LS"/>
    <x v="1"/>
    <s v="High Pressure Sodium"/>
    <s v="Group 2 - Between 12,000 and 100,000 Lumens"/>
    <s v="With Pole"/>
    <m/>
    <m/>
    <n v="421"/>
    <s v="LGE421"/>
    <s v="Contemporary"/>
    <x v="1"/>
    <x v="3"/>
    <x v="18"/>
    <x v="3"/>
    <s v="*"/>
    <n v="0.29399999999999998"/>
    <n v="32.880000000000003"/>
    <n v="208"/>
    <n v="6837.05"/>
    <s v="Not available for use in residential neighborhoods except by municipal authorities."/>
    <m/>
    <n v="215"/>
  </r>
  <r>
    <s v="LGE"/>
    <s v="LS"/>
    <x v="1"/>
    <s v="High Pressure Sodium"/>
    <s v="Group 2 - Between 12,000 and 100,000 Lumens"/>
    <s v="Without Pole"/>
    <m/>
    <m/>
    <n v="441"/>
    <s v="LGE441"/>
    <s v="Contemporary"/>
    <x v="1"/>
    <x v="0"/>
    <x v="10"/>
    <x v="8"/>
    <s v="*"/>
    <n v="0.47099999999999997"/>
    <n v="22.33"/>
    <n v="40"/>
    <n v="892.95"/>
    <s v="Not available for use in residential neighborhoods except by municipal authorities."/>
    <m/>
    <n v="51"/>
  </r>
  <r>
    <s v="LGE"/>
    <s v="LS"/>
    <x v="1"/>
    <s v="High Pressure Sodium"/>
    <s v="Group 2 - Between 12,000 and 100,000 Lumens"/>
    <s v="With Pole"/>
    <m/>
    <m/>
    <n v="422"/>
    <s v="LGE422"/>
    <s v="Contemporary"/>
    <x v="1"/>
    <x v="3"/>
    <x v="10"/>
    <x v="4"/>
    <s v="*"/>
    <n v="0.47099999999999997"/>
    <n v="38.409999999999997"/>
    <n v="439"/>
    <n v="16677.23"/>
    <s v="Not available for use in residential neighborhoods except by municipal authorities."/>
    <m/>
    <n v="443"/>
  </r>
  <r>
    <s v="LGE"/>
    <s v="LS"/>
    <x v="1"/>
    <s v="Metal Halide"/>
    <s v="Group 1 - &lt; 12,000 Lumens"/>
    <s v="Without Pole"/>
    <m/>
    <m/>
    <n v="479"/>
    <s v="LGE479"/>
    <s v="Contemporary"/>
    <x v="1"/>
    <x v="0"/>
    <x v="12"/>
    <x v="8"/>
    <m/>
    <n v="0.15"/>
    <n v="14.07"/>
    <s v=""/>
    <s v=""/>
    <m/>
    <m/>
    <s v=""/>
  </r>
  <r>
    <s v="LGE"/>
    <s v="LS"/>
    <x v="1"/>
    <s v="Metal Halide"/>
    <s v="Group 1 - &lt; 12,000 Lumens"/>
    <s v="With Pole"/>
    <m/>
    <m/>
    <n v="480"/>
    <s v="LGE480"/>
    <s v="Contemporary"/>
    <x v="1"/>
    <x v="3"/>
    <x v="12"/>
    <x v="9"/>
    <m/>
    <n v="0.15"/>
    <n v="23.84"/>
    <n v="20"/>
    <n v="476.76"/>
    <m/>
    <m/>
    <n v="20"/>
  </r>
  <r>
    <s v="LGE"/>
    <s v="LS"/>
    <x v="1"/>
    <s v="Metal Halide"/>
    <s v="Group 2 - Between 12,000 and 100,000 Lumens"/>
    <s v="Without Pole"/>
    <m/>
    <m/>
    <n v="481"/>
    <s v="LGE481"/>
    <s v="Contemporary"/>
    <x v="1"/>
    <x v="0"/>
    <x v="13"/>
    <x v="10"/>
    <m/>
    <n v="0.35"/>
    <n v="20.47"/>
    <n v="6"/>
    <n v="122.78"/>
    <m/>
    <m/>
    <n v="6"/>
  </r>
  <r>
    <s v="LGE"/>
    <s v="LS"/>
    <x v="1"/>
    <s v="Metal Halide"/>
    <s v="Group 2 - Between 12,000 and 100,000 Lumens"/>
    <s v="With Pole"/>
    <m/>
    <m/>
    <n v="482"/>
    <s v="LGE482"/>
    <s v="Contemporary"/>
    <x v="1"/>
    <x v="3"/>
    <x v="13"/>
    <x v="10"/>
    <m/>
    <n v="0.35"/>
    <n v="30.23"/>
    <n v="100"/>
    <n v="3052.21"/>
    <m/>
    <m/>
    <n v="98"/>
  </r>
  <r>
    <s v="LGE"/>
    <s v="LS"/>
    <x v="1"/>
    <s v="Metal Halide-1000"/>
    <s v="Group 3 - &gt; 100,000 Lumens"/>
    <s v="Without Pole"/>
    <m/>
    <m/>
    <n v="483"/>
    <s v="LGE483"/>
    <s v="Contemporary"/>
    <x v="1"/>
    <x v="0"/>
    <x v="14"/>
    <x v="11"/>
    <s v="*"/>
    <n v="1.08"/>
    <n v="42.59"/>
    <n v="4"/>
    <n v="170.26"/>
    <s v="Not available for use in residential neighborhoods except by municipal authorities."/>
    <m/>
    <n v="5"/>
  </r>
  <r>
    <s v="LGE"/>
    <s v="LS"/>
    <x v="1"/>
    <s v="Metal Halide-1000"/>
    <s v="Group 3 - &gt; 100,000 Lumens"/>
    <s v="With Pole"/>
    <m/>
    <m/>
    <n v="484"/>
    <s v="LGE484"/>
    <s v="Contemporary"/>
    <x v="1"/>
    <x v="3"/>
    <x v="14"/>
    <x v="11"/>
    <s v="*"/>
    <n v="1.08"/>
    <n v="52.34"/>
    <n v="23"/>
    <n v="1252.28"/>
    <s v="Not available for use in residential neighborhoods except by municipal authorities."/>
    <m/>
    <n v="65"/>
  </r>
  <r>
    <s v="LGE"/>
    <s v="RLS"/>
    <x v="1"/>
    <s v="High Pressure Sodium"/>
    <s v="Group 3 - &gt; 100,000 Lumens"/>
    <s v="Without Pole"/>
    <m/>
    <m/>
    <n v="279"/>
    <s v="LGE279"/>
    <s v="Contemporary"/>
    <x v="1"/>
    <x v="0"/>
    <x v="19"/>
    <x v="11"/>
    <m/>
    <n v="1"/>
    <n v="41.46"/>
    <n v="11"/>
    <n v="455.89"/>
    <m/>
    <m/>
    <n v="8"/>
  </r>
  <r>
    <s v="LGE"/>
    <s v="RLS"/>
    <x v="1"/>
    <s v="High Pressure Sodium"/>
    <s v="Group 3 - &gt; 100,000 Lumens"/>
    <s v="With Pole"/>
    <m/>
    <m/>
    <n v="278"/>
    <s v="LGE278"/>
    <s v="Contemporary"/>
    <x v="1"/>
    <x v="3"/>
    <x v="19"/>
    <x v="11"/>
    <m/>
    <n v="1"/>
    <n v="72.59"/>
    <n v="17"/>
    <n v="1233.6500000000001"/>
    <m/>
    <m/>
    <n v="12"/>
  </r>
  <r>
    <s v="KU- TENN"/>
    <s v="POLT"/>
    <x v="1"/>
    <s v="High Pressure Sodium"/>
    <m/>
    <m/>
    <m/>
    <m/>
    <n v="16"/>
    <s v="KU- TENN16"/>
    <s v="Contemporary"/>
    <x v="1"/>
    <x v="10"/>
    <x v="3"/>
    <x v="16"/>
    <m/>
    <n v="8.3000000000000004E-2"/>
    <n v="21.45"/>
    <n v="0"/>
    <m/>
    <m/>
    <m/>
    <s v=""/>
  </r>
  <r>
    <s v="KU- TENN"/>
    <s v="POLT"/>
    <x v="1"/>
    <s v="High Pressure Sodium"/>
    <m/>
    <m/>
    <m/>
    <m/>
    <n v="18"/>
    <s v="KU- TENN18"/>
    <s v="Contemporary"/>
    <x v="1"/>
    <x v="10"/>
    <x v="0"/>
    <x v="16"/>
    <m/>
    <n v="0.11700000000000001"/>
    <n v="21.59"/>
    <n v="0"/>
    <m/>
    <m/>
    <m/>
    <s v=""/>
  </r>
  <r>
    <s v="LGE"/>
    <s v="LS"/>
    <x v="1"/>
    <s v="High Pressure Sodium"/>
    <s v="Group 1 - &lt; 12,000 Lumens"/>
    <s v="With Pole"/>
    <m/>
    <m/>
    <n v="412"/>
    <s v="LGE412"/>
    <s v="Colonial, 4-Sided"/>
    <x v="1"/>
    <x v="3"/>
    <x v="3"/>
    <x v="2"/>
    <m/>
    <n v="8.3000000000000004E-2"/>
    <n v="19.8"/>
    <n v="239"/>
    <n v="4730.8999999999996"/>
    <m/>
    <m/>
    <n v="220"/>
  </r>
  <r>
    <s v="LGE"/>
    <s v="LS"/>
    <x v="1"/>
    <s v="High Pressure Sodium"/>
    <s v="Group 1 - &lt; 12,000 Lumens"/>
    <s v="With Pole"/>
    <m/>
    <m/>
    <n v="413"/>
    <s v="LGE413"/>
    <s v="Colonial, 4-Sided"/>
    <x v="1"/>
    <x v="3"/>
    <x v="0"/>
    <x v="0"/>
    <m/>
    <n v="0.11700000000000001"/>
    <n v="20.5"/>
    <n v="2530"/>
    <n v="51737.7"/>
    <m/>
    <m/>
    <n v="2664"/>
  </r>
  <r>
    <s v="LGE"/>
    <s v="LS"/>
    <x v="1"/>
    <s v="High Pressure Sodium"/>
    <s v="Group 2 - Between 12,000 and 100,000 Lumens"/>
    <s v="With Pole"/>
    <m/>
    <m/>
    <n v="444"/>
    <s v="LGE444"/>
    <s v="Colonial, 4-Sided"/>
    <x v="1"/>
    <x v="3"/>
    <x v="11"/>
    <x v="9"/>
    <m/>
    <n v="0.18099999999999999"/>
    <n v="20.74"/>
    <s v=""/>
    <s v=""/>
    <m/>
    <m/>
    <n v="10"/>
  </r>
  <r>
    <s v="KU"/>
    <s v="LS"/>
    <x v="1"/>
    <s v="High Pressure Sodium"/>
    <s v="Group 1 - &lt; 12,000 Lumens"/>
    <s v="With Pole"/>
    <m/>
    <m/>
    <n v="467"/>
    <s v="KU467"/>
    <s v="Colonial"/>
    <x v="1"/>
    <x v="3"/>
    <x v="3"/>
    <x v="2"/>
    <m/>
    <n v="8.3000000000000004E-2"/>
    <n v="11.66"/>
    <n v="1407"/>
    <n v="15613.59"/>
    <m/>
    <m/>
    <n v="1481"/>
  </r>
  <r>
    <s v="KU"/>
    <s v="LS"/>
    <x v="1"/>
    <s v="High Pressure Sodium"/>
    <s v="Group 1 - &lt; 12,000 Lumens"/>
    <s v="With Pole"/>
    <m/>
    <m/>
    <n v="468"/>
    <s v="KU468"/>
    <s v="Colonial"/>
    <x v="1"/>
    <x v="3"/>
    <x v="0"/>
    <x v="0"/>
    <m/>
    <n v="0.11700000000000001"/>
    <n v="12.08"/>
    <n v="4100"/>
    <n v="46980.94"/>
    <m/>
    <m/>
    <n v="4129"/>
  </r>
  <r>
    <s v="KU"/>
    <s v="RLS"/>
    <x v="1"/>
    <s v="High Pressure Sodium"/>
    <s v="Group 1 - &lt; 12,000 Lumens"/>
    <s v="With Pole"/>
    <m/>
    <m/>
    <n v="466"/>
    <s v="KU466"/>
    <s v="Colonial"/>
    <x v="1"/>
    <x v="3"/>
    <x v="6"/>
    <x v="17"/>
    <m/>
    <n v="0.06"/>
    <n v="10.42"/>
    <n v="856"/>
    <n v="8443.91"/>
    <m/>
    <m/>
    <n v="852"/>
  </r>
  <r>
    <s v="KU- TENN"/>
    <s v="POLT"/>
    <x v="1"/>
    <s v="High Pressure Sodium"/>
    <m/>
    <m/>
    <m/>
    <m/>
    <n v="11"/>
    <s v="KU- TENN11"/>
    <s v="Colonial"/>
    <x v="1"/>
    <x v="10"/>
    <x v="6"/>
    <x v="16"/>
    <m/>
    <n v="0.06"/>
    <n v="8.67"/>
    <n v="0"/>
    <m/>
    <m/>
    <m/>
    <s v=""/>
  </r>
  <r>
    <s v="KU- TENN"/>
    <s v="POLT"/>
    <x v="1"/>
    <s v="High Pressure Sodium"/>
    <m/>
    <m/>
    <m/>
    <m/>
    <n v="12"/>
    <s v="KU- TENN12"/>
    <s v="Colonial"/>
    <x v="1"/>
    <x v="10"/>
    <x v="3"/>
    <x v="16"/>
    <m/>
    <n v="8.3000000000000004E-2"/>
    <n v="9.57"/>
    <n v="0"/>
    <m/>
    <m/>
    <m/>
    <s v=""/>
  </r>
  <r>
    <s v="KU- TENN"/>
    <s v="POLT"/>
    <x v="1"/>
    <s v="High Pressure Sodium"/>
    <m/>
    <m/>
    <m/>
    <m/>
    <n v="13"/>
    <s v="KU- TENN13"/>
    <s v="Colonial"/>
    <x v="1"/>
    <x v="10"/>
    <x v="0"/>
    <x v="16"/>
    <m/>
    <n v="0.11700000000000001"/>
    <n v="10.09"/>
    <n v="0"/>
    <m/>
    <m/>
    <m/>
    <s v=""/>
  </r>
  <r>
    <s v="LGE"/>
    <s v="RLS"/>
    <x v="0"/>
    <s v="Mercury Vapor"/>
    <s v="Group 1 - &lt; 12,000 Lumens"/>
    <s v="Without Pole"/>
    <m/>
    <m/>
    <n v="252"/>
    <s v="LGE252"/>
    <s v="Cobra/Open Bottom"/>
    <x v="0"/>
    <x v="0"/>
    <x v="20"/>
    <x v="4"/>
    <m/>
    <n v="0.21"/>
    <n v="9.59"/>
    <n v="3786"/>
    <n v="36136.99"/>
    <m/>
    <m/>
    <n v="3624"/>
  </r>
  <r>
    <s v="LGE"/>
    <s v="RLS"/>
    <x v="1"/>
    <s v="High Pressure Sodium"/>
    <s v="Group 2 - Between 12,000 and 100,000 Lumens"/>
    <s v="With Pole"/>
    <m/>
    <m/>
    <n v="275"/>
    <s v="LGE275"/>
    <s v="Cobra/Contemporary"/>
    <x v="0"/>
    <x v="3"/>
    <x v="11"/>
    <x v="9"/>
    <m/>
    <n v="0.18099999999999999"/>
    <n v="24.91"/>
    <n v="521"/>
    <n v="12971.94"/>
    <m/>
    <m/>
    <n v="477"/>
  </r>
  <r>
    <s v="LGE"/>
    <s v="RLS"/>
    <x v="1"/>
    <s v="High Pressure Sodium"/>
    <s v="Group 2 - Between 12,000 and 100,000 Lumens"/>
    <s v="With Pole"/>
    <m/>
    <m/>
    <n v="266"/>
    <s v="LGE266"/>
    <s v="Cobra/Contemporary"/>
    <x v="0"/>
    <x v="3"/>
    <x v="18"/>
    <x v="12"/>
    <m/>
    <n v="0.29399999999999998"/>
    <n v="27.36"/>
    <n v="2080"/>
    <n v="56603.12"/>
    <m/>
    <m/>
    <n v="2065"/>
  </r>
  <r>
    <s v="LGE"/>
    <s v="RLS"/>
    <x v="1"/>
    <s v="High Pressure Sodium"/>
    <s v="Group 2 - Between 12,000 and 100,000 Lumens"/>
    <s v="With Pole"/>
    <m/>
    <m/>
    <n v="267"/>
    <s v="LGE267"/>
    <s v="Cobra/Contemporary"/>
    <x v="0"/>
    <x v="3"/>
    <x v="10"/>
    <x v="8"/>
    <m/>
    <n v="0.47099999999999997"/>
    <n v="31.42"/>
    <n v="2320"/>
    <n v="72819.759999999995"/>
    <m/>
    <m/>
    <n v="2291"/>
  </r>
  <r>
    <s v="KU"/>
    <s v="LS"/>
    <x v="0"/>
    <s v="High Pressure Sodium"/>
    <s v="Group 1 - &lt; 12,000 Lumens"/>
    <s v="Without Pole"/>
    <m/>
    <m/>
    <n v="462"/>
    <s v="KU462"/>
    <s v="Cobra Head"/>
    <x v="0"/>
    <x v="0"/>
    <x v="3"/>
    <x v="2"/>
    <m/>
    <n v="8.3000000000000004E-2"/>
    <n v="9.3800000000000008"/>
    <n v="8845"/>
    <n v="77745.429999999993"/>
    <m/>
    <m/>
    <n v="8799"/>
  </r>
  <r>
    <s v="KU"/>
    <s v="LS"/>
    <x v="0"/>
    <s v="High Pressure Sodium"/>
    <s v="Group 1 - &lt; 12,000 Lumens"/>
    <s v="With Pole"/>
    <m/>
    <m/>
    <n v="472"/>
    <s v="KU472"/>
    <s v="Cobra Head"/>
    <x v="0"/>
    <x v="6"/>
    <x v="3"/>
    <x v="2"/>
    <m/>
    <n v="8.3000000000000004E-2"/>
    <n v="12.56"/>
    <n v="9004"/>
    <n v="104673.3"/>
    <m/>
    <m/>
    <n v="9046"/>
  </r>
  <r>
    <s v="KU"/>
    <s v="LS"/>
    <x v="0"/>
    <s v="High Pressure Sodium"/>
    <s v="Group 1 - &lt; 12,000 Lumens"/>
    <s v="Without Pole"/>
    <m/>
    <m/>
    <n v="463"/>
    <s v="KU463"/>
    <s v="Cobra Head"/>
    <x v="0"/>
    <x v="0"/>
    <x v="0"/>
    <x v="0"/>
    <m/>
    <n v="0.11700000000000001"/>
    <n v="9.9"/>
    <n v="21295"/>
    <n v="200832.28"/>
    <m/>
    <m/>
    <n v="21024"/>
  </r>
  <r>
    <s v="KU"/>
    <s v="LS"/>
    <x v="0"/>
    <s v="High Pressure Sodium"/>
    <s v="Group 1 - &lt; 12,000 Lumens"/>
    <s v="With Pole"/>
    <m/>
    <m/>
    <n v="473"/>
    <s v="KU473"/>
    <s v="Cobra Head"/>
    <x v="0"/>
    <x v="6"/>
    <x v="0"/>
    <x v="0"/>
    <m/>
    <n v="0.11700000000000001"/>
    <n v="13.32"/>
    <n v="3460"/>
    <n v="43380.83"/>
    <m/>
    <m/>
    <n v="3311"/>
  </r>
  <r>
    <s v="KU"/>
    <s v="LS"/>
    <x v="0"/>
    <s v="High Pressure Sodium"/>
    <s v="Group 2 - Between 12,000 and 100,000 Lumens"/>
    <s v="Without Pole"/>
    <m/>
    <m/>
    <n v="464"/>
    <s v="KU464"/>
    <s v="Cobra Head"/>
    <x v="0"/>
    <x v="0"/>
    <x v="9"/>
    <x v="7"/>
    <s v="*"/>
    <n v="0.24199999999999999"/>
    <n v="15.43"/>
    <n v="7781"/>
    <n v="113733.65"/>
    <s v="Not available for use in residential neighborhoods except by municipal authorities."/>
    <m/>
    <n v="7722"/>
  </r>
  <r>
    <s v="KU"/>
    <s v="LS"/>
    <x v="0"/>
    <s v="High Pressure Sodium"/>
    <s v="Group 2 - Between 12,000 and 100,000 Lumens"/>
    <s v="With Pole"/>
    <m/>
    <m/>
    <n v="474"/>
    <s v="KU474"/>
    <s v="Cobra Head"/>
    <x v="0"/>
    <x v="6"/>
    <x v="9"/>
    <x v="7"/>
    <s v="*"/>
    <n v="0.24199999999999999"/>
    <n v="18.850000000000001"/>
    <n v="5228"/>
    <n v="92176.53"/>
    <s v="Not available for use in residential neighborhoods except by municipal authorities."/>
    <m/>
    <n v="5349"/>
  </r>
  <r>
    <s v="KU"/>
    <s v="LS"/>
    <x v="0"/>
    <s v="High Pressure Sodium"/>
    <s v="Group 2 - Between 12,000 and 100,000 Lumens"/>
    <s v="Without Pole"/>
    <m/>
    <m/>
    <n v="465"/>
    <s v="KU465"/>
    <s v="Cobra Head"/>
    <x v="0"/>
    <x v="0"/>
    <x v="10"/>
    <x v="8"/>
    <s v="*"/>
    <n v="0.47099999999999997"/>
    <n v="24.73"/>
    <n v="2752"/>
    <n v="64755.519999999997"/>
    <s v="Not available for use in residential neighborhoods except by municipal authorities."/>
    <m/>
    <n v="2749"/>
  </r>
  <r>
    <s v="KU"/>
    <s v="LS"/>
    <x v="0"/>
    <s v="High Pressure Sodium"/>
    <s v="Group 2 - Between 12,000 and 100,000 Lumens"/>
    <s v="With Pole"/>
    <m/>
    <m/>
    <n v="475"/>
    <s v="KU475"/>
    <s v="Cobra Head"/>
    <x v="0"/>
    <x v="6"/>
    <x v="10"/>
    <x v="8"/>
    <s v="*"/>
    <n v="0.47099999999999997"/>
    <n v="26.49"/>
    <n v="530"/>
    <n v="13111.45"/>
    <s v="Not available for use in residential neighborhoods except by municipal authorities."/>
    <m/>
    <n v="553"/>
  </r>
  <r>
    <s v="KU"/>
    <s v="RLS"/>
    <x v="0"/>
    <s v="High Pressure Sodium"/>
    <s v="Group 1 - &lt; 12,000 Lumens"/>
    <s v="Without Pole"/>
    <m/>
    <m/>
    <n v="461"/>
    <s v="KU461"/>
    <s v="Cobra Head"/>
    <x v="0"/>
    <x v="0"/>
    <x v="6"/>
    <x v="14"/>
    <m/>
    <n v="0.06"/>
    <n v="8.16"/>
    <n v="7280"/>
    <n v="56449.1"/>
    <m/>
    <m/>
    <n v="6967"/>
  </r>
  <r>
    <s v="KU"/>
    <s v="RLS"/>
    <x v="0"/>
    <s v="High Pressure Sodium"/>
    <s v="Group 1 - &lt; 12,000 Lumens"/>
    <s v="With Pole"/>
    <m/>
    <m/>
    <n v="471"/>
    <s v="KU471"/>
    <s v="Cobra Head"/>
    <x v="0"/>
    <x v="4"/>
    <x v="6"/>
    <x v="14"/>
    <m/>
    <n v="0.06"/>
    <n v="11.36"/>
    <n v="3625"/>
    <n v="37995.879999999997"/>
    <m/>
    <m/>
    <n v="3611"/>
  </r>
  <r>
    <s v="KU"/>
    <s v="RLS"/>
    <x v="0"/>
    <s v="High Pressure Sodium"/>
    <s v="Group 2 - Between 12,000 and 100,000 Lumens"/>
    <s v="Without Pole"/>
    <m/>
    <m/>
    <n v="409"/>
    <s v="KU409"/>
    <s v="Cobra Head"/>
    <x v="0"/>
    <x v="0"/>
    <x v="10"/>
    <x v="8"/>
    <m/>
    <n v="0.47099999999999997"/>
    <n v="12.68"/>
    <n v="139"/>
    <n v="1667.78"/>
    <m/>
    <m/>
    <n v="133"/>
  </r>
  <r>
    <s v="KU"/>
    <s v="RLS"/>
    <x v="0"/>
    <s v="Mercury Vapor"/>
    <s v="Group 1 - &lt; 12,000 Lumens"/>
    <s v="Without Pole"/>
    <m/>
    <m/>
    <n v="446"/>
    <s v="KU446"/>
    <s v="Cobra Head"/>
    <x v="0"/>
    <x v="0"/>
    <x v="8"/>
    <x v="4"/>
    <m/>
    <n v="0.20699999999999999"/>
    <n v="10.35"/>
    <n v="1097"/>
    <n v="10816.32"/>
    <m/>
    <m/>
    <n v="942"/>
  </r>
  <r>
    <s v="KU"/>
    <s v="RLS"/>
    <x v="0"/>
    <s v="Mercury Vapor"/>
    <s v="Group 1 - &lt; 12,000 Lumens"/>
    <s v="With Pole"/>
    <m/>
    <m/>
    <n v="456"/>
    <s v="KU456"/>
    <s v="Cobra Head"/>
    <x v="0"/>
    <x v="4"/>
    <x v="8"/>
    <x v="4"/>
    <m/>
    <n v="0.20699999999999999"/>
    <n v="12.85"/>
    <n v="138"/>
    <n v="1677.04"/>
    <m/>
    <m/>
    <n v="133"/>
  </r>
  <r>
    <s v="KU"/>
    <s v="RLS"/>
    <x v="0"/>
    <s v="Mercury Vapor"/>
    <s v="Group 1 - &lt; 12,000 Lumens"/>
    <s v="Without Pole"/>
    <m/>
    <m/>
    <n v="447"/>
    <s v="KU447"/>
    <s v="Cobra Head"/>
    <x v="0"/>
    <x v="0"/>
    <x v="21"/>
    <x v="4"/>
    <m/>
    <n v="0.29399999999999998"/>
    <n v="12.26"/>
    <n v="692"/>
    <n v="7841.14"/>
    <m/>
    <m/>
    <n v="673"/>
  </r>
  <r>
    <s v="KU"/>
    <s v="RLS"/>
    <x v="0"/>
    <s v="Mercury Vapor"/>
    <s v="Group 1 - &lt; 12,000 Lumens"/>
    <s v="With Pole"/>
    <m/>
    <m/>
    <n v="457"/>
    <s v="KU457"/>
    <s v="Cobra Head"/>
    <x v="0"/>
    <x v="4"/>
    <x v="21"/>
    <x v="0"/>
    <m/>
    <n v="0.29399999999999998"/>
    <n v="14.47"/>
    <n v="443"/>
    <n v="5918.56"/>
    <m/>
    <m/>
    <n v="435"/>
  </r>
  <r>
    <s v="KU"/>
    <s v="RLS"/>
    <x v="0"/>
    <s v="Mercury Vapor"/>
    <s v="Group 2 - Between 12,000 and 100,000 Lumens"/>
    <s v="Without Pole"/>
    <m/>
    <m/>
    <n v="448"/>
    <s v="KU448"/>
    <s v="Cobra Head"/>
    <x v="0"/>
    <x v="0"/>
    <x v="22"/>
    <x v="12"/>
    <m/>
    <n v="0.45300000000000001"/>
    <n v="13.87"/>
    <n v="1509"/>
    <n v="19818.07"/>
    <m/>
    <m/>
    <n v="1381"/>
  </r>
  <r>
    <s v="KU"/>
    <s v="RLS"/>
    <x v="0"/>
    <s v="Mercury Vapor"/>
    <s v="Group 2 - Between 12,000 and 100,000 Lumens"/>
    <s v="With Pole"/>
    <m/>
    <m/>
    <n v="458"/>
    <s v="KU458"/>
    <s v="Cobra Head"/>
    <x v="0"/>
    <x v="4"/>
    <x v="22"/>
    <x v="12"/>
    <m/>
    <n v="0.45300000000000001"/>
    <n v="16.329999999999998"/>
    <n v="1425"/>
    <n v="21767.39"/>
    <m/>
    <m/>
    <n v="1381"/>
  </r>
  <r>
    <s v="ODP"/>
    <s v="POLT"/>
    <x v="0"/>
    <s v="High Pressure Sodium"/>
    <s v="Group 2 - Between 12,000 and 100,000 Lumens"/>
    <s v="Without Pole"/>
    <m/>
    <m/>
    <n v="429"/>
    <s v="ODP429"/>
    <s v="Cobra Head"/>
    <x v="0"/>
    <x v="0"/>
    <x v="9"/>
    <x v="0"/>
    <s v="*"/>
    <n v="0.24199999999999999"/>
    <n v="19.8"/>
    <n v="4"/>
    <n v="79.2"/>
    <s v="Not available for urban residential use."/>
    <m/>
    <n v="19"/>
  </r>
  <r>
    <s v="ODP"/>
    <s v="POLT"/>
    <x v="0"/>
    <s v="High Pressure Sodium"/>
    <s v="Group 2 - Between 12,000 and 100,000 Lumens"/>
    <s v="Without Pole"/>
    <m/>
    <m/>
    <n v="407"/>
    <s v="ODP407"/>
    <s v="Cobra Head"/>
    <x v="0"/>
    <x v="0"/>
    <x v="10"/>
    <x v="8"/>
    <s v="*"/>
    <n v="0.47099999999999997"/>
    <n v="32.69"/>
    <n v="1"/>
    <n v="32.69"/>
    <s v="Not available for urban residential use."/>
    <m/>
    <n v="2"/>
  </r>
  <r>
    <s v="LGE"/>
    <s v="LS"/>
    <x v="0"/>
    <s v="High Pressure Sodium"/>
    <s v="Group 2 - Between 12,000 and 100,000 Lumens"/>
    <s v="Without Pole"/>
    <m/>
    <m/>
    <n v="452"/>
    <s v="LGE452"/>
    <s v="Cobra Head"/>
    <x v="0"/>
    <x v="0"/>
    <x v="11"/>
    <x v="9"/>
    <m/>
    <n v="0.18099999999999999"/>
    <n v="12.83"/>
    <n v="6755"/>
    <n v="86537.94"/>
    <m/>
    <m/>
    <n v="6855"/>
  </r>
  <r>
    <s v="LGE"/>
    <s v="LS"/>
    <x v="0"/>
    <s v="High Pressure Sodium"/>
    <s v="Group 2 - Between 12,000 and 100,000 Lumens"/>
    <s v="Without Pole"/>
    <m/>
    <m/>
    <n v="453"/>
    <s v="LGE453"/>
    <s v="Cobra Head"/>
    <x v="0"/>
    <x v="0"/>
    <x v="18"/>
    <x v="12"/>
    <m/>
    <n v="0.29399999999999998"/>
    <n v="15.09"/>
    <n v="9849"/>
    <n v="148560.82999999999"/>
    <m/>
    <m/>
    <n v="10421"/>
  </r>
  <r>
    <s v="LGE"/>
    <s v="LS"/>
    <x v="0"/>
    <s v="High Pressure Sodium"/>
    <s v="Group 2 - Between 12,000 and 100,000 Lumens"/>
    <s v="Without Pole"/>
    <m/>
    <m/>
    <n v="454"/>
    <s v="LGE454"/>
    <s v="Cobra Head"/>
    <x v="0"/>
    <x v="0"/>
    <x v="10"/>
    <x v="8"/>
    <s v="*"/>
    <n v="0.47099999999999997"/>
    <n v="17.39"/>
    <n v="5733"/>
    <n v="99460.6"/>
    <s v="Not available for use in residential neighborhoods except by municipal authorities."/>
    <m/>
    <n v="5516"/>
  </r>
  <r>
    <s v="LGE"/>
    <s v="LS"/>
    <x v="1"/>
    <s v="High Pressure Sodium"/>
    <s v="Group 2 - Between 12,000 and 100,000 Lumens"/>
    <s v="With Pole"/>
    <m/>
    <m/>
    <n v="423"/>
    <s v="LGE423"/>
    <s v="Cobra Head"/>
    <x v="0"/>
    <x v="3"/>
    <x v="11"/>
    <x v="9"/>
    <m/>
    <n v="0.18099999999999999"/>
    <n v="26.37"/>
    <n v="23"/>
    <n v="606.30999999999995"/>
    <m/>
    <m/>
    <n v="21"/>
  </r>
  <r>
    <s v="LGE"/>
    <s v="LS"/>
    <x v="1"/>
    <s v="High Pressure Sodium"/>
    <s v="Group 2 - Between 12,000 and 100,000 Lumens"/>
    <s v="With Pole"/>
    <m/>
    <m/>
    <n v="424"/>
    <s v="LGE424"/>
    <s v="Cobra Head"/>
    <x v="0"/>
    <x v="3"/>
    <x v="18"/>
    <x v="5"/>
    <m/>
    <n v="0.29399999999999998"/>
    <n v="28.47"/>
    <n v="544"/>
    <n v="15569.56"/>
    <m/>
    <m/>
    <n v="616"/>
  </r>
  <r>
    <s v="LGE"/>
    <s v="LS"/>
    <x v="1"/>
    <s v="High Pressure Sodium"/>
    <s v="Group 2 - Between 12,000 and 100,000 Lumens"/>
    <s v="With Pole"/>
    <m/>
    <m/>
    <n v="425"/>
    <s v="LGE425"/>
    <s v="Cobra Head"/>
    <x v="0"/>
    <x v="3"/>
    <x v="10"/>
    <x v="6"/>
    <s v="*"/>
    <n v="0.47099999999999997"/>
    <n v="34.049999999999997"/>
    <n v="32"/>
    <n v="1089.3399999999999"/>
    <s v="Not available for use in residential neighborhoods except by municipal authorities."/>
    <m/>
    <n v="32"/>
  </r>
  <r>
    <s v="LGE"/>
    <s v="RLS"/>
    <x v="0"/>
    <s v="Mercury Vapor"/>
    <s v="Group 2 - Between 12,000 and 100,000 Lumens"/>
    <s v="Without Pole"/>
    <m/>
    <m/>
    <n v="203"/>
    <s v="LGE203"/>
    <s v="Cobra Head"/>
    <x v="0"/>
    <x v="0"/>
    <x v="23"/>
    <x v="12"/>
    <m/>
    <n v="0.29799999999999999"/>
    <n v="10.97"/>
    <n v="3481"/>
    <n v="38059.43"/>
    <m/>
    <m/>
    <n v="3197"/>
  </r>
  <r>
    <s v="LGE"/>
    <s v="RLS"/>
    <x v="0"/>
    <s v="Mercury Vapor"/>
    <s v="Group 2 - Between 12,000 and 100,000 Lumens"/>
    <s v="Without Pole"/>
    <m/>
    <m/>
    <n v="204"/>
    <s v="LGE204"/>
    <s v="Cobra Head"/>
    <x v="0"/>
    <x v="0"/>
    <x v="15"/>
    <x v="8"/>
    <m/>
    <n v="0.46200000000000002"/>
    <n v="13.52"/>
    <n v="3492"/>
    <n v="47120.04"/>
    <m/>
    <m/>
    <n v="3266"/>
  </r>
  <r>
    <s v="LGE"/>
    <s v="RLS"/>
    <x v="0"/>
    <s v="Mercury Vapor"/>
    <s v="Group 2 - Between 12,000 and 100,000 Lumens"/>
    <s v="Without Pole"/>
    <m/>
    <m/>
    <n v="209"/>
    <s v="LGE209"/>
    <s v="Cobra Head"/>
    <x v="0"/>
    <x v="0"/>
    <x v="16"/>
    <x v="11"/>
    <m/>
    <n v="1.18"/>
    <n v="27.71"/>
    <n v="41"/>
    <n v="1110.78"/>
    <m/>
    <m/>
    <n v="31"/>
  </r>
  <r>
    <s v="LGE"/>
    <s v="RLS"/>
    <x v="1"/>
    <s v="Mercury Vapor"/>
    <s v="Group 1 - &lt; 12,000 Lumens"/>
    <s v="With Pole"/>
    <m/>
    <m/>
    <n v="318"/>
    <s v="LGE318"/>
    <s v="Cobra Head"/>
    <x v="0"/>
    <x v="3"/>
    <x v="20"/>
    <x v="4"/>
    <m/>
    <n v="0.21"/>
    <n v="17.43"/>
    <n v="50"/>
    <n v="871.49"/>
    <m/>
    <m/>
    <n v="48"/>
  </r>
  <r>
    <s v="LGE"/>
    <s v="RLS"/>
    <x v="1"/>
    <s v="Mercury Vapor"/>
    <s v="Group 2 - Between 12,000 and 100,000 Lumens"/>
    <s v="With Pole"/>
    <m/>
    <m/>
    <n v="314"/>
    <s v="LGE314"/>
    <s v="Cobra Head"/>
    <x v="0"/>
    <x v="3"/>
    <x v="23"/>
    <x v="12"/>
    <m/>
    <n v="0.29799999999999999"/>
    <n v="19.21"/>
    <n v="479"/>
    <n v="9201.0499999999993"/>
    <m/>
    <m/>
    <n v="451"/>
  </r>
  <r>
    <s v="LGE"/>
    <s v="RLS"/>
    <x v="1"/>
    <s v="Mercury Vapor"/>
    <s v="Group 2 - Between 12,000 and 100,000 Lumens"/>
    <s v="With Pole"/>
    <m/>
    <m/>
    <n v="315"/>
    <s v="LGE315"/>
    <s v="Cobra Head"/>
    <x v="0"/>
    <x v="3"/>
    <x v="15"/>
    <x v="8"/>
    <m/>
    <n v="0.46200000000000002"/>
    <n v="22.96"/>
    <n v="476"/>
    <n v="10862.23"/>
    <m/>
    <m/>
    <n v="453"/>
  </r>
  <r>
    <s v="LGE"/>
    <s v="RLS"/>
    <x v="1"/>
    <s v="Mercury Vapor"/>
    <s v="Group 4 - Pole only or Restricted Class"/>
    <s v="Without Pole"/>
    <m/>
    <m/>
    <n v="347"/>
    <s v="LGE347"/>
    <s v="Cobra (State of KY Pole)"/>
    <x v="0"/>
    <x v="0"/>
    <x v="15"/>
    <x v="8"/>
    <m/>
    <n v="0.46200000000000002"/>
    <n v="22.95"/>
    <s v=""/>
    <s v=""/>
    <m/>
    <s v="PO-R"/>
    <s v=""/>
  </r>
  <r>
    <s v="LGE"/>
    <s v="RLS"/>
    <x v="1"/>
    <s v="High Pressure Sodium"/>
    <s v="Group 1 - &lt; 12,000 Lumens"/>
    <s v="With Pole"/>
    <m/>
    <m/>
    <n v="276"/>
    <s v="LGE276"/>
    <s v="Coach/Acorn"/>
    <x v="1"/>
    <x v="3"/>
    <x v="3"/>
    <x v="2"/>
    <m/>
    <n v="8.3000000000000004E-2"/>
    <n v="14.18"/>
    <n v="1347"/>
    <n v="18881.89"/>
    <m/>
    <m/>
    <n v="1361"/>
  </r>
  <r>
    <s v="LGE"/>
    <s v="RLS"/>
    <x v="1"/>
    <s v="High Pressure Sodium"/>
    <s v="Group 1 - &lt; 12,000 Lumens"/>
    <s v="With Pole"/>
    <m/>
    <m/>
    <n v="274"/>
    <s v="LGE274"/>
    <s v="Coach/Acorn"/>
    <x v="1"/>
    <x v="3"/>
    <x v="0"/>
    <x v="0"/>
    <m/>
    <n v="0.11700000000000001"/>
    <n v="17.2"/>
    <n v="17147"/>
    <n v="294765.83"/>
    <m/>
    <m/>
    <n v="16995"/>
  </r>
  <r>
    <s v="LGE"/>
    <s v="RLS"/>
    <x v="1"/>
    <s v="High Pressure Sodium"/>
    <s v="Group 2 - Between 12,000 and 100,000 Lumens"/>
    <s v="With Pole"/>
    <m/>
    <m/>
    <n v="277"/>
    <s v="LGE277"/>
    <s v="Coach/Acorn"/>
    <x v="1"/>
    <x v="3"/>
    <x v="11"/>
    <x v="9"/>
    <m/>
    <n v="0.18099999999999999"/>
    <n v="22.16"/>
    <n v="2327"/>
    <n v="51446.05"/>
    <m/>
    <m/>
    <n v="2334"/>
  </r>
  <r>
    <s v="KU"/>
    <s v="RLS"/>
    <x v="1"/>
    <s v="High Pressure Sodium"/>
    <s v="Group 1 - &lt; 12,000 Lumens"/>
    <s v="With Pole"/>
    <m/>
    <m/>
    <n v="412"/>
    <s v="KU412"/>
    <s v="Coach"/>
    <x v="1"/>
    <x v="3"/>
    <x v="3"/>
    <x v="2"/>
    <m/>
    <n v="8.3000000000000004E-2"/>
    <n v="33.39"/>
    <n v="29"/>
    <n v="896.29"/>
    <m/>
    <m/>
    <n v="29"/>
  </r>
  <r>
    <s v="KU"/>
    <s v="RLS"/>
    <x v="1"/>
    <s v="High Pressure Sodium"/>
    <s v="Group 1 - &lt; 12,000 Lumens"/>
    <s v="With Pole"/>
    <m/>
    <m/>
    <n v="413"/>
    <s v="KU413"/>
    <s v="Coach"/>
    <x v="1"/>
    <x v="3"/>
    <x v="0"/>
    <x v="0"/>
    <m/>
    <n v="0.11700000000000001"/>
    <n v="33.81"/>
    <n v="98"/>
    <n v="3117.94"/>
    <m/>
    <m/>
    <n v="98"/>
  </r>
  <r>
    <s v="LGE"/>
    <s v="RLS"/>
    <x v="1"/>
    <s v="Mercury Vapor"/>
    <s v="Group 1 - &lt; 12,000 Lumens"/>
    <s v="With Pole"/>
    <m/>
    <m/>
    <n v="206"/>
    <s v="LGE206"/>
    <s v="Coach"/>
    <x v="1"/>
    <x v="3"/>
    <x v="6"/>
    <x v="0"/>
    <m/>
    <n v="0.1"/>
    <n v="12.46"/>
    <n v="73"/>
    <n v="909.26"/>
    <m/>
    <m/>
    <n v="72"/>
  </r>
  <r>
    <s v="LGE"/>
    <s v="RLS"/>
    <x v="1"/>
    <s v="Mercury Vapor"/>
    <s v="Group 1 - &lt; 12,000 Lumens"/>
    <s v="With Pole"/>
    <m/>
    <m/>
    <n v="208"/>
    <s v="LGE208"/>
    <s v="Coach"/>
    <x v="1"/>
    <x v="3"/>
    <x v="20"/>
    <x v="4"/>
    <m/>
    <n v="0.21"/>
    <n v="14.25"/>
    <n v="1375"/>
    <n v="19555.3"/>
    <m/>
    <m/>
    <n v="1336"/>
  </r>
  <r>
    <s v="KU- TENN"/>
    <s v="POLT"/>
    <x v="1"/>
    <s v="High Pressure Sodium"/>
    <m/>
    <m/>
    <m/>
    <m/>
    <n v="14"/>
    <s v="KU- TENN14"/>
    <s v="Coach"/>
    <x v="1"/>
    <x v="10"/>
    <x v="3"/>
    <x v="2"/>
    <m/>
    <n v="8.3000000000000004E-2"/>
    <n v="28.88"/>
    <n v="0"/>
    <m/>
    <m/>
    <m/>
    <s v=""/>
  </r>
  <r>
    <s v="KU- TENN"/>
    <s v="POLT"/>
    <x v="1"/>
    <s v="High Pressure Sodium"/>
    <m/>
    <m/>
    <m/>
    <m/>
    <n v="15"/>
    <s v="KU- TENN15"/>
    <s v="Coach"/>
    <x v="1"/>
    <x v="10"/>
    <x v="0"/>
    <x v="0"/>
    <m/>
    <n v="0.11700000000000001"/>
    <n v="29.39"/>
    <n v="0"/>
    <m/>
    <m/>
    <m/>
    <s v=""/>
  </r>
  <r>
    <s v="LGE"/>
    <s v="RLS"/>
    <x v="1"/>
    <s v="High Pressure Sodium"/>
    <s v="Group 1 - &lt; 12,000 Lumens"/>
    <s v="With Pole"/>
    <m/>
    <m/>
    <n v="417"/>
    <s v="LGE417"/>
    <s v="Acorn, Bronze"/>
    <x v="1"/>
    <x v="3"/>
    <x v="0"/>
    <x v="0"/>
    <m/>
    <n v="0.11700000000000001"/>
    <n v="23.69"/>
    <n v="48"/>
    <n v="1136.97"/>
    <m/>
    <m/>
    <n v="49"/>
  </r>
  <r>
    <s v="LGE"/>
    <s v="RLS"/>
    <x v="1"/>
    <s v="High Pressure Sodium"/>
    <s v="Group 2 - Between 12,000 and 100,000 Lumens"/>
    <s v="With Pole"/>
    <m/>
    <m/>
    <n v="419"/>
    <s v="LGE419"/>
    <s v="Acorn, Bronze"/>
    <x v="1"/>
    <x v="3"/>
    <x v="11"/>
    <x v="9"/>
    <m/>
    <n v="0.18"/>
    <n v="24.79"/>
    <n v="119"/>
    <n v="2948.43"/>
    <m/>
    <m/>
    <n v="119"/>
  </r>
  <r>
    <s v="KU- TENN"/>
    <s v="POLT"/>
    <x v="1"/>
    <s v="High Pressure Sodium"/>
    <m/>
    <m/>
    <m/>
    <m/>
    <n v="6"/>
    <s v="KU- TENN6"/>
    <s v="Acorn Historic"/>
    <x v="1"/>
    <x v="10"/>
    <x v="6"/>
    <x v="14"/>
    <m/>
    <n v="0.06"/>
    <n v="18.899999999999999"/>
    <n v="0"/>
    <m/>
    <m/>
    <m/>
    <s v=""/>
  </r>
  <r>
    <s v="KU- TENN"/>
    <s v="POLT"/>
    <x v="1"/>
    <s v="High Pressure Sodium"/>
    <m/>
    <m/>
    <m/>
    <m/>
    <n v="8"/>
    <s v="KU- TENN8"/>
    <s v="Acorn Historic"/>
    <x v="1"/>
    <x v="10"/>
    <x v="3"/>
    <x v="2"/>
    <m/>
    <n v="8.3000000000000004E-2"/>
    <n v="19.78"/>
    <n v="0"/>
    <m/>
    <m/>
    <m/>
    <s v=""/>
  </r>
  <r>
    <s v="KU- TENN"/>
    <s v="POLT"/>
    <x v="1"/>
    <s v="High Pressure Sodium"/>
    <m/>
    <m/>
    <m/>
    <m/>
    <n v="10"/>
    <s v="KU- TENN10"/>
    <s v="Acorn Historic"/>
    <x v="1"/>
    <x v="10"/>
    <x v="0"/>
    <x v="0"/>
    <m/>
    <n v="0.11700000000000001"/>
    <n v="20.52"/>
    <n v="0"/>
    <m/>
    <m/>
    <m/>
    <s v=""/>
  </r>
  <r>
    <s v="KU- TENN"/>
    <s v="POLT"/>
    <x v="1"/>
    <s v="High Pressure Sodium"/>
    <m/>
    <m/>
    <m/>
    <m/>
    <n v="5"/>
    <s v="KU- TENN5"/>
    <s v="Acorn Decorative"/>
    <x v="1"/>
    <x v="10"/>
    <x v="6"/>
    <x v="14"/>
    <m/>
    <n v="0.06"/>
    <n v="12.51"/>
    <n v="0"/>
    <m/>
    <m/>
    <m/>
    <s v=""/>
  </r>
  <r>
    <s v="KU- TENN"/>
    <s v="POLT"/>
    <x v="1"/>
    <s v="High Pressure Sodium"/>
    <m/>
    <m/>
    <m/>
    <m/>
    <n v="7"/>
    <s v="KU- TENN7"/>
    <s v="Acorn Decorative"/>
    <x v="1"/>
    <x v="10"/>
    <x v="3"/>
    <x v="2"/>
    <m/>
    <n v="8.3000000000000004E-2"/>
    <n v="13.5"/>
    <n v="0"/>
    <m/>
    <m/>
    <m/>
    <s v=""/>
  </r>
  <r>
    <s v="KU- TENN"/>
    <s v="POLT"/>
    <x v="1"/>
    <s v="High Pressure Sodium"/>
    <m/>
    <m/>
    <m/>
    <m/>
    <n v="9"/>
    <s v="KU- TENN9"/>
    <s v="Acorn Decorative"/>
    <x v="1"/>
    <x v="10"/>
    <x v="0"/>
    <x v="0"/>
    <m/>
    <n v="0.11700000000000001"/>
    <n v="14.13"/>
    <n v="0"/>
    <m/>
    <m/>
    <m/>
    <s v=""/>
  </r>
  <r>
    <s v="KU"/>
    <s v="LS"/>
    <x v="1"/>
    <s v="High Pressure Sodium"/>
    <s v="Group 1 - &lt; 12,000 Lumens"/>
    <s v="With Pole"/>
    <m/>
    <m/>
    <n v="401"/>
    <s v="KU401"/>
    <s v="Acorn"/>
    <x v="1"/>
    <x v="3"/>
    <x v="3"/>
    <x v="2"/>
    <m/>
    <n v="8.3000000000000004E-2"/>
    <n v="16.09"/>
    <n v="52"/>
    <n v="802.12"/>
    <m/>
    <m/>
    <n v="65"/>
  </r>
  <r>
    <s v="KU"/>
    <s v="LS"/>
    <x v="1"/>
    <s v="High Pressure Sodium"/>
    <s v="Group 1 - &lt; 12,000 Lumens"/>
    <s v="With Pole"/>
    <m/>
    <m/>
    <n v="411"/>
    <s v="KU411"/>
    <s v="Acorn"/>
    <x v="1"/>
    <x v="2"/>
    <x v="3"/>
    <x v="2"/>
    <m/>
    <n v="8.3000000000000004E-2"/>
    <n v="23.15"/>
    <n v="148"/>
    <n v="3268.57"/>
    <m/>
    <m/>
    <n v="145"/>
  </r>
  <r>
    <s v="KU"/>
    <s v="LS"/>
    <x v="1"/>
    <s v="High Pressure Sodium"/>
    <s v="Group 1 - &lt; 12,000 Lumens"/>
    <s v="With Pole"/>
    <m/>
    <m/>
    <n v="420"/>
    <s v="KU420"/>
    <s v="Acorn"/>
    <x v="1"/>
    <x v="3"/>
    <x v="0"/>
    <x v="9"/>
    <m/>
    <n v="0.11700000000000001"/>
    <n v="16.63"/>
    <n v="512"/>
    <n v="8089.75"/>
    <m/>
    <m/>
    <n v="537"/>
  </r>
  <r>
    <s v="KU"/>
    <s v="LS"/>
    <x v="1"/>
    <s v="High Pressure Sodium"/>
    <s v="Group 1 - &lt; 12,000 Lumens"/>
    <s v="With Pole"/>
    <m/>
    <m/>
    <n v="430"/>
    <s v="KU430"/>
    <s v="Acorn"/>
    <x v="1"/>
    <x v="2"/>
    <x v="0"/>
    <x v="0"/>
    <m/>
    <n v="0.11700000000000001"/>
    <n v="23.82"/>
    <n v="1260"/>
    <n v="28579.75"/>
    <m/>
    <m/>
    <n v="1254"/>
  </r>
  <r>
    <s v="KU"/>
    <s v="RLS"/>
    <x v="1"/>
    <s v="High Pressure Sodium"/>
    <s v="Group 1 - &lt; 12,000 Lumens"/>
    <s v="With Pole"/>
    <m/>
    <m/>
    <n v="440"/>
    <s v="KU440"/>
    <s v="Acorn"/>
    <x v="1"/>
    <x v="3"/>
    <x v="6"/>
    <x v="12"/>
    <m/>
    <n v="0.06"/>
    <n v="14.74"/>
    <n v="2"/>
    <n v="28.37"/>
    <m/>
    <m/>
    <n v="2"/>
  </r>
  <r>
    <s v="KU"/>
    <s v="RLS"/>
    <x v="1"/>
    <s v="High Pressure Sodium"/>
    <s v="Group 1 - &lt; 12,000 Lumens"/>
    <s v="With Pole"/>
    <m/>
    <m/>
    <n v="410"/>
    <s v="KU410"/>
    <s v="Acorn"/>
    <x v="1"/>
    <x v="2"/>
    <x v="6"/>
    <x v="14"/>
    <m/>
    <n v="0.06"/>
    <n v="21.94"/>
    <n v="240"/>
    <n v="4976.62"/>
    <m/>
    <m/>
    <n v="240"/>
  </r>
  <r>
    <s v="LGE"/>
    <s v="LS"/>
    <x v="1"/>
    <s v="High Pressure Sodium"/>
    <s v="Group 1 - &lt; 12,000 Lumens"/>
    <s v="With Pole"/>
    <m/>
    <m/>
    <n v="415"/>
    <s v="LGE415"/>
    <s v="Acorn"/>
    <x v="1"/>
    <x v="3"/>
    <x v="3"/>
    <x v="2"/>
    <m/>
    <n v="8.3000000000000004E-2"/>
    <n v="20.190000000000001"/>
    <n v="47"/>
    <n v="948.77"/>
    <m/>
    <m/>
    <n v="47"/>
  </r>
  <r>
    <s v="LGE"/>
    <s v="LS"/>
    <x v="1"/>
    <s v="High Pressure Sodium"/>
    <s v="Group 1 - &lt; 12,000 Lumens"/>
    <s v="With Pole"/>
    <m/>
    <m/>
    <n v="416"/>
    <s v="LGE416"/>
    <s v="Acorn"/>
    <x v="1"/>
    <x v="3"/>
    <x v="0"/>
    <x v="0"/>
    <m/>
    <n v="0.11700000000000001"/>
    <n v="22.57"/>
    <n v="1968"/>
    <n v="44309.41"/>
    <m/>
    <m/>
    <n v="2011"/>
  </r>
  <r>
    <s v="LGE"/>
    <s v="LS"/>
    <x v="1"/>
    <s v="High Pressure Sodium"/>
    <s v="Group 2 - Between 12,000 and 100,000 Lumens"/>
    <s v="With Pole"/>
    <m/>
    <m/>
    <n v="445"/>
    <s v="LGE445"/>
    <s v="Acorn"/>
    <x v="1"/>
    <x v="3"/>
    <x v="11"/>
    <x v="9"/>
    <m/>
    <n v="0.18099999999999999"/>
    <n v="22.68"/>
    <s v=""/>
    <s v=""/>
    <m/>
    <m/>
    <n v="19"/>
  </r>
  <r>
    <s v="LGE"/>
    <s v="RLS"/>
    <x v="1"/>
    <s v="Pole"/>
    <s v="Group 4 - Pole only or Restricted Class"/>
    <s v="With Pole"/>
    <m/>
    <m/>
    <n v="901"/>
    <s v="LGE901"/>
    <s v="10” Smooth Pole"/>
    <x v="1"/>
    <x v="1"/>
    <x v="1"/>
    <x v="1"/>
    <m/>
    <m/>
    <n v="10.82"/>
    <s v=""/>
    <s v=""/>
    <m/>
    <s v="PO-R"/>
    <s v=""/>
  </r>
  <r>
    <s v="LGE"/>
    <s v="RLS"/>
    <x v="1"/>
    <s v="Pole"/>
    <s v="Group 4 - Pole only or Restricted Class"/>
    <s v="With Pole"/>
    <m/>
    <m/>
    <n v="902"/>
    <s v="LGE902"/>
    <s v="10” Fluted Pole"/>
    <x v="1"/>
    <x v="1"/>
    <x v="1"/>
    <x v="1"/>
    <m/>
    <m/>
    <n v="12.91"/>
    <s v=""/>
    <s v=""/>
    <m/>
    <s v="PO-R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6">
  <r>
    <s v="KU"/>
    <s v="KTUM_406"/>
    <x v="0"/>
    <s v="7,000 Lumen Open Bottom Mercury Vapor"/>
    <n v="1"/>
    <m/>
    <n v="54"/>
    <n v="9.52"/>
  </r>
  <r>
    <s v="KU"/>
    <s v="KTUM_428"/>
    <x v="1"/>
    <s v="9,500 Lumen Open Bottom HP Sodium"/>
    <n v="2"/>
    <m/>
    <n v="60"/>
    <n v="13.8"/>
  </r>
  <r>
    <s v="KU"/>
    <s v="KUUM_360"/>
    <x v="2"/>
    <s v="RLS 360: UG HPS Granville-A 16000L"/>
    <n v="4"/>
    <m/>
    <n v="211"/>
    <n v="271.83"/>
  </r>
  <r>
    <s v="KU"/>
    <s v="KUUM_401"/>
    <x v="3"/>
    <s v="LS 401: UG HPS Acorn 5800L Decorative"/>
    <n v="65"/>
    <m/>
    <n v="1540"/>
    <n v="1172.5"/>
  </r>
  <r>
    <s v="KU"/>
    <s v="KUUM_404"/>
    <x v="4"/>
    <s v="RLS 404: OH MV Open Bottom 7000L Fixture"/>
    <n v="6300"/>
    <n v="0"/>
    <n v="359937"/>
    <n v="79368.95"/>
  </r>
  <r>
    <s v="KU"/>
    <s v="KUUM_409"/>
    <x v="5"/>
    <s v="RLS 409: OH HPS Cobra Head 50000L Fix"/>
    <n v="133"/>
    <n v="15"/>
    <n v="16729"/>
    <n v="1901.67"/>
  </r>
  <r>
    <s v="KU"/>
    <s v="KUUM_410"/>
    <x v="6"/>
    <s v="RLS 410: UG HPS Acorn 4000L Historic"/>
    <n v="240"/>
    <m/>
    <n v="3980"/>
    <n v="5826.48"/>
  </r>
  <r>
    <s v="KU"/>
    <s v="KUUM_411"/>
    <x v="7"/>
    <s v="LS 411: UG HPS Acorn 5800L Historic"/>
    <n v="145"/>
    <m/>
    <n v="3398"/>
    <n v="3791.4"/>
  </r>
  <r>
    <s v="KU"/>
    <s v="KUUM_412"/>
    <x v="8"/>
    <s v="RLS 412: UG HPS Coach 5800L Decorative"/>
    <n v="29"/>
    <m/>
    <n v="700"/>
    <n v="1144.45"/>
  </r>
  <r>
    <s v="KU"/>
    <s v="KUUM_413"/>
    <x v="9"/>
    <s v="RLS 413: UG HPS Coach 9500L Decorative"/>
    <n v="98"/>
    <m/>
    <n v="3164"/>
    <n v="3789.21"/>
  </r>
  <r>
    <s v="KU"/>
    <s v="KUUM_414"/>
    <x v="10"/>
    <s v="LS 414: UG HPS Victorian 5800L Historic"/>
    <n v="21"/>
    <m/>
    <n v="462"/>
    <n v="753.22"/>
  </r>
  <r>
    <s v="KU"/>
    <s v="KUUM_415"/>
    <x v="11"/>
    <s v="LS 415: UG HPS Victorian 9500L Historic"/>
    <n v="10"/>
    <m/>
    <n v="310"/>
    <n v="361.43"/>
  </r>
  <r>
    <s v="KU"/>
    <s v="KUUM_420"/>
    <x v="12"/>
    <s v="LS 420: UG HPS Acorn 9500L Decorative"/>
    <n v="537"/>
    <m/>
    <n v="17406"/>
    <n v="9756.41"/>
  </r>
  <r>
    <s v="KU"/>
    <s v="KUUM_421"/>
    <x v="13"/>
    <s v="RLS 421: OH Inc Tear Drop 1000L Fix Only"/>
    <n v="1"/>
    <m/>
    <n v="28"/>
    <n v="4.1100000000000003"/>
  </r>
  <r>
    <s v="KU"/>
    <s v="KUUM_422"/>
    <x v="14"/>
    <s v="RLS 422: OH Inc Tear Drop 2500L Fix Only"/>
    <n v="436"/>
    <n v="258"/>
    <n v="24047"/>
    <n v="2241.17"/>
  </r>
  <r>
    <s v="KU"/>
    <s v="KUUM_424"/>
    <x v="15"/>
    <s v="RLS 424: OH Inc Tear Drop 4000L Fix Only"/>
    <n v="26"/>
    <m/>
    <n v="2359"/>
    <n v="203.8"/>
  </r>
  <r>
    <s v="KU"/>
    <s v="KUUM_425"/>
    <x v="16"/>
    <s v="RLS 425: OH Inc Tear Drop 6000L Fix Only"/>
    <n v="2"/>
    <m/>
    <n v="240"/>
    <n v="20.61"/>
  </r>
  <r>
    <s v="KU"/>
    <s v="KUUM_426"/>
    <x v="17"/>
    <s v="RLS 426: OH HPS Open Bottom 5800L Fix"/>
    <n v="155"/>
    <m/>
    <n v="3522"/>
    <n v="1405.45"/>
  </r>
  <r>
    <s v="KU"/>
    <s v="KUUM_428"/>
    <x v="18"/>
    <s v="LS 428: OH HPS Open Bottom 9500L Fixture"/>
    <n v="36978"/>
    <n v="173"/>
    <n v="1192948"/>
    <n v="344499.37"/>
  </r>
  <r>
    <s v="KU"/>
    <s v="KUUM_430"/>
    <x v="19"/>
    <s v="LS 430: UG HPS Acorn 9500L Historic"/>
    <n v="1254"/>
    <m/>
    <n v="40574"/>
    <n v="33671.19"/>
  </r>
  <r>
    <s v="KU"/>
    <s v="KUUM_440"/>
    <x v="20"/>
    <s v="RLS 440: UG HPS Acorn 4000L Decorative"/>
    <n v="2"/>
    <m/>
    <n v="33"/>
    <n v="34.58"/>
  </r>
  <r>
    <s v="KU"/>
    <s v="KUUM_446"/>
    <x v="21"/>
    <s v="RLS 446: OH MV Cobra Head 7000L Fixture"/>
    <n v="942"/>
    <n v="14"/>
    <n v="53555"/>
    <n v="10641.84"/>
  </r>
  <r>
    <s v="KU"/>
    <s v="KUUM_447"/>
    <x v="22"/>
    <s v="RLS 447: OH MV Cobra Head 10000L Fixture"/>
    <n v="673"/>
    <n v="642"/>
    <n v="58727"/>
    <n v="8674.0400000000009"/>
  </r>
  <r>
    <s v="KU"/>
    <s v="KUUM_448"/>
    <x v="23"/>
    <s v="RLS 448: OH MV Cobra Head 20000L Fixture"/>
    <n v="1381"/>
    <n v="392"/>
    <n v="173186"/>
    <n v="20503.810000000001"/>
  </r>
  <r>
    <s v="KU"/>
    <s v="KUUM_450"/>
    <x v="24"/>
    <s v="LS 450: OH MH Directional 12000L Fixture"/>
    <n v="711"/>
    <n v="0"/>
    <n v="29202"/>
    <n v="12464.81"/>
  </r>
  <r>
    <s v="KU"/>
    <s v="KUUM_451"/>
    <x v="25"/>
    <s v="LS 451: OH MH Directional 32000L Fixture"/>
    <n v="5639"/>
    <n v="25"/>
    <n v="547452"/>
    <n v="141330.06"/>
  </r>
  <r>
    <s v="KU"/>
    <s v="KUUM_452"/>
    <x v="26"/>
    <s v="LS 452: OH MH Directional 107800L Fix"/>
    <n v="967"/>
    <n v="4"/>
    <n v="288194"/>
    <n v="49702.080000000002"/>
  </r>
  <r>
    <s v="KU"/>
    <s v="KUUM_454"/>
    <x v="27"/>
    <s v="RLS 454: OH MH Directional 12000L Fix/Po"/>
    <n v="154"/>
    <m/>
    <n v="6403"/>
    <n v="3525.12"/>
  </r>
  <r>
    <s v="KU"/>
    <s v="KUUM_455"/>
    <x v="28"/>
    <s v="RLS 455: OH MH Directional 32000L Fix/Po"/>
    <n v="1012"/>
    <m/>
    <n v="98911"/>
    <n v="30997.94"/>
  </r>
  <r>
    <s v="KU"/>
    <s v="KUUM_456"/>
    <x v="29"/>
    <s v="RLS 456: OH MV Cobra 7000L Fixture/Pole"/>
    <n v="133"/>
    <m/>
    <n v="7802"/>
    <n v="1854.14"/>
  </r>
  <r>
    <s v="KU"/>
    <s v="KUUM_457"/>
    <x v="30"/>
    <s v="RLS 457: OH MV Cobra 10000L Fixture/Pole"/>
    <n v="435"/>
    <m/>
    <n v="37916"/>
    <n v="6634.41"/>
  </r>
  <r>
    <s v="KU"/>
    <s v="KUUM_458"/>
    <x v="31"/>
    <s v="RLS 458: OH MV Cobra 20000L Fixture/Pole"/>
    <n v="1381"/>
    <n v="0"/>
    <n v="179591"/>
    <n v="24033.33"/>
  </r>
  <r>
    <s v="KU"/>
    <s v="KUUM_459"/>
    <x v="32"/>
    <s v="RLS 459: OH MH Directional 107800L Fix/P"/>
    <n v="188"/>
    <m/>
    <n v="56568"/>
    <n v="10762.91"/>
  </r>
  <r>
    <s v="KU"/>
    <s v="KUUM_460"/>
    <x v="33"/>
    <s v="RLS 460: UG MH Directional 12000L Deco"/>
    <n v="20"/>
    <m/>
    <n v="822"/>
    <n v="672.71"/>
  </r>
  <r>
    <s v="KU"/>
    <s v="KUUM_461"/>
    <x v="34"/>
    <s v="RLS 461: OH HPS Cobra Head 4000L Fixture"/>
    <n v="6967"/>
    <n v="241"/>
    <n v="115561"/>
    <n v="63606.01"/>
  </r>
  <r>
    <s v="KU"/>
    <s v="KUUM_462"/>
    <x v="35"/>
    <s v="LS 462: OH HPS Cobra Head 5800L Fixture"/>
    <n v="8799"/>
    <n v="1875"/>
    <n v="204176"/>
    <n v="92392.85"/>
  </r>
  <r>
    <s v="KU"/>
    <s v="KUUM_463"/>
    <x v="36"/>
    <s v="LS 463: OH HPS Cobra Head 9500L Fixture"/>
    <n v="21024"/>
    <n v="85"/>
    <n v="686803"/>
    <n v="230276.65"/>
  </r>
  <r>
    <s v="KU"/>
    <s v="KUUM_464"/>
    <x v="37"/>
    <s v="LS 464: OH HPS Cobra Head 22000L Fixture"/>
    <n v="7722"/>
    <n v="449"/>
    <n v="520059"/>
    <n v="132069.82"/>
  </r>
  <r>
    <s v="KU"/>
    <s v="KUUM_465"/>
    <x v="38"/>
    <s v="LS 465: OH HPS Cobra Head 50000L Fixture"/>
    <n v="2749"/>
    <n v="1"/>
    <n v="359885"/>
    <n v="75467.31"/>
  </r>
  <r>
    <s v="KU"/>
    <s v="KUUM_466"/>
    <x v="39"/>
    <s v="RLS 466: UG HPS Colonial 4000L Deco"/>
    <n v="852"/>
    <m/>
    <n v="14175"/>
    <n v="10002.44"/>
  </r>
  <r>
    <s v="KU"/>
    <s v="KUUM_467"/>
    <x v="40"/>
    <s v="LS 467: UG HPS Colonial 5800L Deco"/>
    <n v="1481"/>
    <n v="39"/>
    <n v="34471"/>
    <n v="19413.330000000002"/>
  </r>
  <r>
    <s v="KU"/>
    <s v="KUUM_468"/>
    <x v="41"/>
    <s v="LS 468: UG HPS Colonial 9500L Deco"/>
    <n v="4129"/>
    <n v="802"/>
    <n v="134668"/>
    <n v="56256.04"/>
  </r>
  <r>
    <s v="KU"/>
    <s v="KUUM_469"/>
    <x v="42"/>
    <s v="RLS 469: UG MH Directional 32000L Deco"/>
    <n v="296"/>
    <m/>
    <n v="28318"/>
    <n v="11807.08"/>
  </r>
  <r>
    <s v="KU"/>
    <s v="KUUM_470"/>
    <x v="43"/>
    <s v="RLS 470: UG MH Directional 107800L Deco"/>
    <n v="46"/>
    <m/>
    <n v="14004"/>
    <n v="3149.92"/>
  </r>
  <r>
    <s v="KU"/>
    <s v="KUUM_471"/>
    <x v="44"/>
    <s v="RLS 471: OH HPS Cobra Hd 4000L Fix/Pole"/>
    <n v="3611"/>
    <m/>
    <n v="64470"/>
    <n v="44384.95"/>
  </r>
  <r>
    <s v="KU"/>
    <s v="KUUM_472"/>
    <x v="45"/>
    <s v="LS 472: OH HPS Cobra 5800L Ornamental"/>
    <n v="9046"/>
    <n v="8816"/>
    <n v="223327"/>
    <n v="123278.5"/>
  </r>
  <r>
    <s v="KU"/>
    <s v="KUUM_473"/>
    <x v="46"/>
    <s v="LS 473: OH HPS Cobra 9500L Ornamental"/>
    <n v="3311"/>
    <n v="3696"/>
    <n v="112112"/>
    <n v="47864.29"/>
  </r>
  <r>
    <s v="KU"/>
    <s v="KUUM_474"/>
    <x v="47"/>
    <s v="LS 474: OH HPS Cobra 22000L Ornamental"/>
    <n v="5349"/>
    <n v="2855"/>
    <n v="373609"/>
    <n v="109098.71"/>
  </r>
  <r>
    <s v="KU"/>
    <s v="KUUM_475"/>
    <x v="48"/>
    <s v="LS 475: OH HPS Cobra 50000L Ornamental"/>
    <n v="553"/>
    <m/>
    <n v="74481"/>
    <n v="15742.09"/>
  </r>
  <r>
    <s v="KU"/>
    <s v="KUUM_476"/>
    <x v="49"/>
    <s v="LS 476: UG HPS Contemporary 5800L Deco"/>
    <n v="4834"/>
    <n v="4772"/>
    <n v="119378"/>
    <n v="94670.28"/>
  </r>
  <r>
    <s v="KU"/>
    <s v="KUUM_477"/>
    <x v="50"/>
    <s v="LS 477: UG HPS Contemporary 9500L Deco"/>
    <n v="1069"/>
    <n v="11"/>
    <n v="35560"/>
    <n v="26609.31"/>
  </r>
  <r>
    <s v="KU"/>
    <s v="KUUM_478"/>
    <x v="51"/>
    <s v="LS 478: UG HPS Contemporary 22000L Deco"/>
    <n v="1428"/>
    <m/>
    <n v="98179"/>
    <n v="45555.17"/>
  </r>
  <r>
    <s v="KU"/>
    <s v="KUUM_479"/>
    <x v="52"/>
    <s v="LS 479: UG HPS Contemporary 50000L Deco"/>
    <n v="935"/>
    <m/>
    <n v="123021"/>
    <n v="37321.96"/>
  </r>
  <r>
    <s v="KU"/>
    <s v="KUUM_482CU"/>
    <x v="53"/>
    <s v="RETIRED: 9,500L Colonial Decor UG Co Use"/>
    <m/>
    <m/>
    <m/>
    <m/>
  </r>
  <r>
    <s v="KU"/>
    <s v="KUUM_487"/>
    <x v="54"/>
    <s v="LS 487: OH HPS Directional 9500L Fixture"/>
    <n v="11173"/>
    <n v="-3"/>
    <n v="360076"/>
    <n v="120436.89"/>
  </r>
  <r>
    <s v="KU"/>
    <s v="KUUM_488"/>
    <x v="55"/>
    <s v="LS 488: OH HPS Directional 22000L Fix"/>
    <n v="6675"/>
    <n v="11"/>
    <n v="447470"/>
    <n v="111470.22"/>
  </r>
  <r>
    <s v="KU"/>
    <s v="KUUM_489"/>
    <x v="56"/>
    <s v="LS 489: OH HPS Directional 50000L Fix"/>
    <n v="8626"/>
    <n v="21"/>
    <n v="1122594"/>
    <n v="204931.3"/>
  </r>
  <r>
    <s v="KU"/>
    <s v="KUUM_490"/>
    <x v="57"/>
    <s v="LS 490: UG MH Contemporary 12000L Fix"/>
    <n v="59"/>
    <m/>
    <n v="2423"/>
    <n v="1148.49"/>
  </r>
  <r>
    <s v="KU"/>
    <s v="KUUM_491"/>
    <x v="58"/>
    <s v="LS 491: UG MH Contemporary 32000L Fix"/>
    <n v="298"/>
    <m/>
    <n v="28322"/>
    <n v="8119.27"/>
  </r>
  <r>
    <s v="KU"/>
    <s v="KUUM_492"/>
    <x v="59"/>
    <s v="LS 492: UG HPS Contemporary 5800L Fix"/>
    <n v="2"/>
    <m/>
    <n v="48"/>
    <n v="37.57"/>
  </r>
  <r>
    <s v="KU"/>
    <s v="KUUM_493"/>
    <x v="60"/>
    <s v="LS 493: UG MH Contemporary 107800L Fix"/>
    <n v="43"/>
    <m/>
    <n v="12665"/>
    <n v="2412.6"/>
  </r>
  <r>
    <s v="KU"/>
    <s v="KUUM_494"/>
    <x v="61"/>
    <s v="LS 494: UG MH Contemporary 12000L Deco"/>
    <n v="184"/>
    <m/>
    <n v="7630"/>
    <n v="6447.52"/>
  </r>
  <r>
    <s v="KU"/>
    <s v="KUUM_495"/>
    <x v="62"/>
    <s v="LS 495: UG MH Contemporary 32000L Deco"/>
    <n v="685"/>
    <n v="9"/>
    <n v="65798"/>
    <n v="29496.22"/>
  </r>
  <r>
    <s v="KU"/>
    <s v="KUUM_496"/>
    <x v="63"/>
    <s v="LS 496: UG MH Contemporary 107800L Deco"/>
    <n v="137"/>
    <m/>
    <n v="40902"/>
    <n v="9926.76"/>
  </r>
  <r>
    <s v="KU"/>
    <s v="KUUM_497"/>
    <x v="64"/>
    <s v="LS 497: UG HPS Contemporary 9500L Fix"/>
    <n v="18"/>
    <m/>
    <n v="558"/>
    <n v="333.37"/>
  </r>
  <r>
    <s v="KU"/>
    <s v="KUUM_498"/>
    <x v="65"/>
    <s v="LS 498: UG HPS Contemporary 22000L Fix"/>
    <n v="31"/>
    <m/>
    <n v="2081"/>
    <n v="683.65"/>
  </r>
  <r>
    <s v="KU"/>
    <s v="KUUM_499"/>
    <x v="66"/>
    <s v="LS 499: UG HPS Contemporary 50000L Fix"/>
    <n v="35"/>
    <m/>
    <n v="4398"/>
    <n v="927.2"/>
  </r>
  <r>
    <s v="KU"/>
    <s v="KUUM_820"/>
    <x v="67"/>
    <s v="ODL Facility Charge"/>
    <n v="0"/>
    <m/>
    <m/>
    <n v="0"/>
  </r>
  <r>
    <s v="KU"/>
    <s v="KUUM_825"/>
    <x v="68"/>
    <s v="Electric Excess Facilities"/>
    <n v="0"/>
    <m/>
    <m/>
    <n v="87452.59"/>
  </r>
  <r>
    <s v="KU"/>
    <s v="KUUM_826"/>
    <x v="69"/>
    <s v="Electric Excess Facilities CIAC"/>
    <n v="0"/>
    <m/>
    <m/>
    <n v="9737.08"/>
  </r>
  <r>
    <s v="KU"/>
    <s v="KUUM_827"/>
    <x v="70"/>
    <s v="Direct Assign"/>
    <n v="0"/>
    <m/>
    <m/>
    <n v="34795.65"/>
  </r>
  <r>
    <s v="KU"/>
    <s v="KUUM_828"/>
    <x v="71"/>
    <s v="Excess Facilities ODL"/>
    <n v="0"/>
    <m/>
    <m/>
    <n v="33468.949999999997"/>
  </r>
  <r>
    <s v="LG&amp;E"/>
    <s v="LEUM_825"/>
    <x v="72"/>
    <s v="Electric Excess Facilities"/>
    <n v="0"/>
    <m/>
    <m/>
    <n v="48365.64"/>
  </r>
  <r>
    <s v="LG&amp;E"/>
    <s v="LEUM_826"/>
    <x v="73"/>
    <s v="Electric Excess Facilities CIAC"/>
    <n v="0"/>
    <m/>
    <m/>
    <n v="872.16"/>
  </r>
  <r>
    <s v="LG&amp;E"/>
    <s v="LEUM_828"/>
    <x v="74"/>
    <s v="Excess Facilities ODL"/>
    <n v="0"/>
    <m/>
    <m/>
    <n v="2810.46"/>
  </r>
  <r>
    <s v="LG&amp;E"/>
    <s v="LEUM_829"/>
    <x v="75"/>
    <s v="Excess Facilities ODL CIAC"/>
    <n v="0"/>
    <m/>
    <m/>
    <n v="5"/>
  </r>
  <r>
    <s v="LG&amp;E"/>
    <s v="LGUM_201"/>
    <x v="76"/>
    <s v="RLS 201: OH MV Open Bottom 4000L Fixture"/>
    <n v="72"/>
    <m/>
    <n v="2467"/>
    <n v="690.74"/>
  </r>
  <r>
    <s v="LG&amp;E"/>
    <s v="LGUM_203"/>
    <x v="77"/>
    <s v="RLS 203: OH MV Cobra Head 13000L Fixture"/>
    <n v="3197"/>
    <n v="920"/>
    <n v="269015"/>
    <n v="38936.449999999997"/>
  </r>
  <r>
    <s v="LG&amp;E"/>
    <s v="LGUM_204"/>
    <x v="78"/>
    <s v="RLS 204: OH MV Cobra Head 25000L Fixture"/>
    <n v="3266"/>
    <n v="1741"/>
    <n v="426633"/>
    <n v="48834.77"/>
  </r>
  <r>
    <s v="LG&amp;E"/>
    <s v="LGUM_206"/>
    <x v="79"/>
    <s v="RLS 206: UG MV Coach 4000L Decorative"/>
    <n v="72"/>
    <m/>
    <n v="2478"/>
    <n v="994.18"/>
  </r>
  <r>
    <s v="LG&amp;E"/>
    <s v="LGUM_207"/>
    <x v="80"/>
    <s v="RLS 207: OH MV Directional 25000L Fix"/>
    <n v="665"/>
    <m/>
    <n v="85022"/>
    <n v="12232.07"/>
  </r>
  <r>
    <s v="LG&amp;E"/>
    <s v="LGUM_208"/>
    <x v="81"/>
    <s v="RLS 208: UG MV Coach 8000L Decorative"/>
    <n v="1336"/>
    <n v="4"/>
    <n v="78048"/>
    <n v="20976.34"/>
  </r>
  <r>
    <s v="LG&amp;E"/>
    <s v="LGUM_209"/>
    <x v="82"/>
    <s v="RLS 209: OH MV Cobra Head 60000L Fixture"/>
    <n v="31"/>
    <m/>
    <n v="9371"/>
    <n v="1018.74"/>
  </r>
  <r>
    <s v="LG&amp;E"/>
    <s v="LGUM_210"/>
    <x v="83"/>
    <s v="RLS 210: OH MV Directional 60000L Fix"/>
    <n v="305"/>
    <m/>
    <n v="91603"/>
    <n v="10154.709999999999"/>
  </r>
  <r>
    <s v="LG&amp;E"/>
    <s v="LGUM_252"/>
    <x v="84"/>
    <s v="RLS 252: OH MV Cobra/Open Bottom 8000L"/>
    <n v="3624"/>
    <n v="369"/>
    <n v="210769"/>
    <n v="39905.68"/>
  </r>
  <r>
    <s v="LG&amp;E"/>
    <s v="LGUM_266"/>
    <x v="85"/>
    <s v="RLS 266: UG HPS Cobra/Contemp 28500L"/>
    <n v="2065"/>
    <m/>
    <n v="181420"/>
    <n v="61426.12"/>
  </r>
  <r>
    <s v="LG&amp;E"/>
    <s v="LGUM_267"/>
    <x v="86"/>
    <s v="RLS 267: UG HPS Cobra/Contemp 50000L"/>
    <n v="2291"/>
    <n v="1"/>
    <n v="312612"/>
    <n v="79140.539999999994"/>
  </r>
  <r>
    <s v="LG&amp;E"/>
    <s v="LGUM_274"/>
    <x v="87"/>
    <s v="RLS 274: UG HPS Coach/Acorn 9500L Deco"/>
    <n v="16995"/>
    <n v="14"/>
    <n v="681127"/>
    <n v="332850.39"/>
  </r>
  <r>
    <s v="LG&amp;E"/>
    <s v="LGUM_275"/>
    <x v="88"/>
    <s v="RLS 275: UG HPS Cobra/Contemp 16000L"/>
    <n v="477"/>
    <m/>
    <n v="27103"/>
    <n v="13004.97"/>
  </r>
  <r>
    <s v="LG&amp;E"/>
    <s v="LGUM_276"/>
    <x v="89"/>
    <s v="RLS 276: UG HPS Coach/Acorn 5800L Deco"/>
    <n v="1361"/>
    <m/>
    <n v="41723"/>
    <n v="22267.31"/>
  </r>
  <r>
    <s v="LG&amp;E"/>
    <s v="LGUM_277"/>
    <x v="90"/>
    <s v="RLS 277: UG HPS Coach/Acorn 16000L Deco"/>
    <n v="2334"/>
    <m/>
    <n v="129461"/>
    <n v="57900.69"/>
  </r>
  <r>
    <s v="LG&amp;E"/>
    <s v="LGUM_278"/>
    <x v="91"/>
    <s v="RLS 278: UG HPS Contemporary 120000L Dec"/>
    <n v="12"/>
    <m/>
    <n v="3120"/>
    <n v="843.55"/>
  </r>
  <r>
    <s v="LG&amp;E"/>
    <s v="LGUM_279"/>
    <x v="92"/>
    <s v="RLS 279: UG HPS Contemporary 120000L Fix"/>
    <n v="8"/>
    <m/>
    <n v="1854"/>
    <n v="299.36"/>
  </r>
  <r>
    <s v="LG&amp;E"/>
    <s v="LGUM_280"/>
    <x v="93"/>
    <s v="RLS 280: UG HPS Victorian 5800L Fixture"/>
    <n v="46"/>
    <m/>
    <n v="1365"/>
    <n v="1824.91"/>
  </r>
  <r>
    <s v="LG&amp;E"/>
    <s v="LGUM_281"/>
    <x v="94"/>
    <s v="RLS 281: UG HPS Victorian 9500L Fixture"/>
    <n v="245"/>
    <m/>
    <n v="9637"/>
    <n v="9690.58"/>
  </r>
  <r>
    <s v="LG&amp;E"/>
    <s v="LGUM_282"/>
    <x v="95"/>
    <s v="RLS 282: UG HPS London 5800L Fixture"/>
    <n v="106"/>
    <m/>
    <n v="3197"/>
    <n v="3441.01"/>
  </r>
  <r>
    <s v="LG&amp;E"/>
    <s v="LGUM_283"/>
    <x v="96"/>
    <s v="RLS 283: UG HPS London 9500L Fixture"/>
    <n v="99"/>
    <m/>
    <n v="4071"/>
    <n v="3787.09"/>
  </r>
  <r>
    <s v="LG&amp;E"/>
    <s v="LGUM_314"/>
    <x v="97"/>
    <s v="RLS 314: UG MV Cobra Head 13000L Deco"/>
    <n v="451"/>
    <m/>
    <n v="38010"/>
    <n v="9302.86"/>
  </r>
  <r>
    <s v="LG&amp;E"/>
    <s v="LGUM_315"/>
    <x v="98"/>
    <s v="RLS 315: UG MV Cobra Head 25000L Deco"/>
    <n v="453"/>
    <m/>
    <n v="59367"/>
    <n v="11101.43"/>
  </r>
  <r>
    <s v="LG&amp;E"/>
    <s v="LGUM_318"/>
    <x v="99"/>
    <s v="RLS 318: UG MV Cobra Head 8000L Deco"/>
    <n v="48"/>
    <m/>
    <n v="2870"/>
    <n v="897.5"/>
  </r>
  <r>
    <s v="LG&amp;E"/>
    <s v="LGUM_348"/>
    <x v="100"/>
    <s v="RLS 348: UG Inc Continental Jr 6000L Dec"/>
    <n v="39"/>
    <m/>
    <n v="3331"/>
    <n v="556.59"/>
  </r>
  <r>
    <s v="LG&amp;E"/>
    <s v="LGUM_349"/>
    <x v="101"/>
    <s v="RLS 349: UG Inc Continental Jr 1500L Dec"/>
    <n v="17"/>
    <m/>
    <n v="484"/>
    <n v="168.33"/>
  </r>
  <r>
    <s v="LG&amp;E"/>
    <s v="LGUM_400"/>
    <x v="102"/>
    <s v="LS 400: Dark Sky 4000L Decorative Smooth"/>
    <n v="56"/>
    <m/>
    <n v="796"/>
    <n v="1662.56"/>
  </r>
  <r>
    <s v="LG&amp;E"/>
    <s v="LGUM_401"/>
    <x v="103"/>
    <s v="LS 401: Dark Sky 9500L Decorative Smooth"/>
    <n v="20"/>
    <m/>
    <n v="579"/>
    <n v="604.71"/>
  </r>
  <r>
    <s v="LG&amp;E"/>
    <s v="LGUM_412"/>
    <x v="104"/>
    <s v="LS 412: UG HPS Colonial 4-Sided 5800L"/>
    <n v="220"/>
    <m/>
    <n v="5247"/>
    <n v="5008.8599999999997"/>
  </r>
  <r>
    <s v="LG&amp;E"/>
    <s v="LGUM_413"/>
    <x v="105"/>
    <s v="LS 413: UG HPS Colonial 4-Sided 9500L"/>
    <n v="2664"/>
    <n v="4"/>
    <n v="86713"/>
    <n v="62354.85"/>
  </r>
  <r>
    <s v="LG&amp;E"/>
    <s v="LGUM_415"/>
    <x v="106"/>
    <s v="LS 415: UG HPS Acorn 5800L Decorative"/>
    <n v="47"/>
    <m/>
    <n v="1088"/>
    <n v="1089.04"/>
  </r>
  <r>
    <s v="LG&amp;E"/>
    <s v="LGUM_416"/>
    <x v="107"/>
    <s v="LS 416: UG HPS Acorn  9500L Decorative"/>
    <n v="2011"/>
    <n v="12"/>
    <n v="65634"/>
    <n v="52257.65"/>
  </r>
  <r>
    <s v="LG&amp;E"/>
    <s v="LGUM_417"/>
    <x v="108"/>
    <s v="RLS 417: UG HPS Acorn Bronze 9500L Deco"/>
    <n v="49"/>
    <m/>
    <n v="1615"/>
    <n v="1332"/>
  </r>
  <r>
    <s v="LG&amp;E"/>
    <s v="LGUM_419"/>
    <x v="109"/>
    <s v="RLS 419: UG HPS Acorn Bronze 16000L Deco"/>
    <n v="119"/>
    <m/>
    <n v="5893"/>
    <n v="3298.47"/>
  </r>
  <r>
    <s v="LG&amp;E"/>
    <s v="LGUM_420"/>
    <x v="110"/>
    <s v="LS 420: UG HPS Contemporary 16000L Deco"/>
    <n v="62"/>
    <m/>
    <n v="3192"/>
    <n v="2012.84"/>
  </r>
  <r>
    <s v="LG&amp;E"/>
    <s v="LGUM_421"/>
    <x v="111"/>
    <s v="LS 421: UG HPS Contemporary 28500L Deco"/>
    <n v="215"/>
    <n v="1"/>
    <n v="17683"/>
    <n v="7974.15"/>
  </r>
  <r>
    <s v="LG&amp;E"/>
    <s v="LGUM_422"/>
    <x v="112"/>
    <s v="LS 422: UG HPS Contemporary 50000L Deco"/>
    <n v="443"/>
    <m/>
    <n v="57369"/>
    <n v="18972.3"/>
  </r>
  <r>
    <s v="LG&amp;E"/>
    <s v="LGUM_423"/>
    <x v="113"/>
    <s v="LS 423: UG HPS Cobra Head 16000L Deco"/>
    <n v="21"/>
    <m/>
    <n v="1080"/>
    <n v="608.44000000000005"/>
  </r>
  <r>
    <s v="LG&amp;E"/>
    <s v="LGUM_424"/>
    <x v="114"/>
    <s v="LS 424: UG HPS Cobra Head 28500L Deco"/>
    <n v="616"/>
    <m/>
    <n v="51426"/>
    <n v="18862.72"/>
  </r>
  <r>
    <s v="LG&amp;E"/>
    <s v="LGUM_425"/>
    <x v="115"/>
    <s v="LS 425: UG HPS Cobra Head 50000L Deco"/>
    <n v="32"/>
    <m/>
    <n v="4132"/>
    <n v="1201.5999999999999"/>
  </r>
  <r>
    <s v="LG&amp;E"/>
    <s v="LGUM_426"/>
    <x v="116"/>
    <s v="RLS 426: UG HPS London 5800L Decorative"/>
    <n v="34"/>
    <m/>
    <n v="755"/>
    <n v="1286.8499999999999"/>
  </r>
  <r>
    <s v="LG&amp;E"/>
    <s v="LGUM_427"/>
    <x v="117"/>
    <s v="LS 427: UG HPS London 5800L Historic"/>
    <n v="54"/>
    <m/>
    <n v="1219"/>
    <n v="2217.33"/>
  </r>
  <r>
    <s v="LG&amp;E"/>
    <s v="LGUM_428"/>
    <x v="118"/>
    <s v="RLS 428: UG HPS London 9500L Decorative"/>
    <n v="299"/>
    <m/>
    <n v="9447"/>
    <n v="11925.59"/>
  </r>
  <r>
    <s v="LG&amp;E"/>
    <s v="LGUM_429"/>
    <x v="119"/>
    <s v="LS 429: UG HPS London 9500L Historic"/>
    <n v="259"/>
    <m/>
    <n v="8229"/>
    <n v="11507.27"/>
  </r>
  <r>
    <s v="LG&amp;E"/>
    <s v="LGUM_430"/>
    <x v="120"/>
    <s v="RLS 430: UG HPS Victorian 5800L Deco"/>
    <n v="13"/>
    <m/>
    <n v="308"/>
    <n v="453.17"/>
  </r>
  <r>
    <s v="LG&amp;E"/>
    <s v="LGUM_431"/>
    <x v="121"/>
    <s v="LS 431: UG HPS Victorian 5800L Historic"/>
    <n v="51"/>
    <m/>
    <n v="1175"/>
    <n v="2079.9"/>
  </r>
  <r>
    <s v="LG&amp;E"/>
    <s v="LGUM_432"/>
    <x v="122"/>
    <s v="RLS 432: UG HPS Victorian 9500L Deco"/>
    <n v="10"/>
    <m/>
    <n v="333"/>
    <n v="394.68"/>
  </r>
  <r>
    <s v="LG&amp;E"/>
    <s v="LGUM_433"/>
    <x v="123"/>
    <s v="LS 433: UG HPS Victorian 9500L Historic"/>
    <n v="237"/>
    <m/>
    <n v="7738"/>
    <n v="10219.120000000001"/>
  </r>
  <r>
    <s v="LG&amp;E"/>
    <s v="LGUM_440"/>
    <x v="124"/>
    <s v="LS 440: UG HPS Contemporary 28500L Fix"/>
    <n v="23"/>
    <m/>
    <n v="1794"/>
    <n v="487.03"/>
  </r>
  <r>
    <s v="LG&amp;E"/>
    <s v="LGUM_441"/>
    <x v="125"/>
    <s v="LS 441: UG HPS Contemporary 50000L Fix"/>
    <n v="51"/>
    <m/>
    <n v="6511"/>
    <n v="1287.76"/>
  </r>
  <r>
    <s v="LG&amp;E"/>
    <s v="LGUM_444"/>
    <x v="126"/>
    <s v="LS 444: UG HPS Colonial 4-Sided 16000L"/>
    <n v="10"/>
    <m/>
    <n v="507"/>
    <n v="234.3"/>
  </r>
  <r>
    <s v="LG&amp;E"/>
    <s v="LGUM_445"/>
    <x v="127"/>
    <s v="LS 445: UG HPS Acorn 16000L Decorative"/>
    <n v="19"/>
    <m/>
    <n v="919"/>
    <n v="471.04"/>
  </r>
  <r>
    <s v="LG&amp;E"/>
    <s v="LGUM_452"/>
    <x v="128"/>
    <s v="LS 452: OH HPS Cobra Head 16000L Fixture"/>
    <n v="6855"/>
    <n v="751"/>
    <n v="349427"/>
    <n v="99769.600000000006"/>
  </r>
  <r>
    <s v="LG&amp;E"/>
    <s v="LGUM_453"/>
    <x v="129"/>
    <s v="LS 453: OH HPS Cobra Head 28500L Fixture"/>
    <n v="10421"/>
    <n v="3862"/>
    <n v="869031"/>
    <n v="175595.37"/>
  </r>
  <r>
    <s v="LG&amp;E"/>
    <s v="LGUM_454"/>
    <x v="130"/>
    <s v="LS 454: OH HPS Cobra Head 50000L Fixture"/>
    <n v="5516"/>
    <n v="204"/>
    <n v="724364"/>
    <n v="110487.66"/>
  </r>
  <r>
    <s v="LG&amp;E"/>
    <s v="LGUM_455"/>
    <x v="131"/>
    <s v="LS 455: OH HPS Directional 16000L Fix"/>
    <n v="402"/>
    <m/>
    <n v="20237"/>
    <n v="6590.94"/>
  </r>
  <r>
    <s v="LG&amp;E"/>
    <s v="LGUM_456"/>
    <x v="132"/>
    <s v="LS 456: OH HPS Directional 50000L Fix"/>
    <n v="12896"/>
    <n v="3"/>
    <n v="1678557"/>
    <n v="275119.11"/>
  </r>
  <r>
    <s v="LG&amp;E"/>
    <s v="LGUM_457"/>
    <x v="133"/>
    <s v="LS 457: OH HPS Open Bottom 9500L Fixture"/>
    <n v="3607"/>
    <n v="27"/>
    <n v="116757"/>
    <n v="46964.45"/>
  </r>
  <r>
    <s v="LG&amp;E"/>
    <s v="LGUM_458"/>
    <x v="134"/>
    <s v="RETIRED: RLS 458: OH MV Cobra 8000L Fixt"/>
    <m/>
    <m/>
    <m/>
    <m/>
  </r>
  <r>
    <s v="LG&amp;E"/>
    <s v="LGUM_470"/>
    <x v="135"/>
    <s v="LS 470: OH MH Directional 12000L Fixture"/>
    <n v="42"/>
    <m/>
    <n v="1740"/>
    <n v="623.04999999999995"/>
  </r>
  <r>
    <s v="LG&amp;E"/>
    <s v="LGUM_471"/>
    <x v="136"/>
    <s v="RLS 471: OH MH Directional 12000L Wood"/>
    <n v="8"/>
    <m/>
    <n v="345"/>
    <n v="135.84"/>
  </r>
  <r>
    <s v="LG&amp;E"/>
    <s v="LGUM_473"/>
    <x v="137"/>
    <s v="LS 473: OH MH Directional 32000L Fixture"/>
    <n v="749"/>
    <n v="8"/>
    <n v="71807"/>
    <n v="16052.19"/>
  </r>
  <r>
    <s v="LG&amp;E"/>
    <s v="LGUM_474"/>
    <x v="138"/>
    <s v="RLS 474: OH MH Directional 32000L Wood"/>
    <n v="47"/>
    <m/>
    <n v="4451"/>
    <n v="1167.49"/>
  </r>
  <r>
    <s v="LG&amp;E"/>
    <s v="LGUM_475"/>
    <x v="139"/>
    <s v="RLS 475: OH MH Directional 32000L Metal"/>
    <n v="2"/>
    <m/>
    <n v="187"/>
    <n v="64.98"/>
  </r>
  <r>
    <s v="LG&amp;E"/>
    <s v="LGUM_476"/>
    <x v="140"/>
    <s v="LS 476: OH MH Directional 107800L Fix"/>
    <n v="611"/>
    <n v="3"/>
    <n v="179937"/>
    <n v="27776.36"/>
  </r>
  <r>
    <s v="LG&amp;E"/>
    <s v="LGUM_477"/>
    <x v="141"/>
    <s v="RLS 477: OH MH Directional 107800L Wood"/>
    <n v="58"/>
    <m/>
    <n v="17289"/>
    <n v="2870.11"/>
  </r>
  <r>
    <s v="LG&amp;E"/>
    <s v="LGUM_480"/>
    <x v="142"/>
    <s v="LS 480: UG MH Contemporary 12000L Deco"/>
    <n v="20"/>
    <m/>
    <n v="790"/>
    <n v="519.57000000000005"/>
  </r>
  <r>
    <s v="LG&amp;E"/>
    <s v="LGUM_481"/>
    <x v="143"/>
    <s v="LS 481: UG MH Contemporary 32000L Fix"/>
    <n v="6"/>
    <n v="2"/>
    <n v="771"/>
    <n v="186.5"/>
  </r>
  <r>
    <s v="LG&amp;E"/>
    <s v="LGUM_482"/>
    <x v="144"/>
    <s v="LS 482: UG MH Contemporary 32000L Deco"/>
    <n v="98"/>
    <n v="11"/>
    <n v="10525"/>
    <n v="3718.57"/>
  </r>
  <r>
    <s v="LG&amp;E"/>
    <s v="LGUM_483"/>
    <x v="145"/>
    <s v="LS 483: UG MH Contemporary 107800L Fix"/>
    <n v="5"/>
    <n v="2"/>
    <n v="2064"/>
    <n v="330.12"/>
  </r>
  <r>
    <s v="LG&amp;E"/>
    <s v="LGUM_484"/>
    <x v="146"/>
    <s v="LS 484: UG MH Contemporary 107800L Deco"/>
    <n v="65"/>
    <n v="2"/>
    <n v="20175"/>
    <n v="3968.08"/>
  </r>
  <r>
    <s v="ODP"/>
    <s v="ODUM_406"/>
    <x v="147"/>
    <s v="POLT 406: MV Open Bottom 7,000L - Res"/>
    <n v="1503"/>
    <m/>
    <n v="85852"/>
    <n v="19262.580000000002"/>
  </r>
  <r>
    <s v="ODP"/>
    <s v="ODUM_406C"/>
    <x v="147"/>
    <s v="POLT 406: MV Open Bottom 7,000L - Com"/>
    <n v="203"/>
    <m/>
    <n v="11719"/>
    <n v="2629.43"/>
  </r>
  <r>
    <s v="ODP"/>
    <s v="ODUM_406I"/>
    <x v="147"/>
    <s v="POLT 406: MV Open Bottom 7,000L - Ind"/>
    <n v="1"/>
    <m/>
    <n v="60"/>
    <n v="12.97"/>
  </r>
  <r>
    <s v="ODP"/>
    <s v="ODUM_406TE"/>
    <x v="147"/>
    <s v="POLT 406: MV Open Bottom 7,000L - Tax Ex"/>
    <n v="107"/>
    <m/>
    <n v="6151"/>
    <n v="1372.13"/>
  </r>
  <r>
    <s v="ODP"/>
    <s v="ODUM_406UE"/>
    <x v="147"/>
    <s v="POLT 406: MV Open Bottom 7,000L - Utl Ex"/>
    <n v="1"/>
    <m/>
    <n v="59"/>
    <n v="12.95"/>
  </r>
  <r>
    <s v="ODP"/>
    <s v="ODUM_407"/>
    <x v="148"/>
    <s v="POLT 407: HPS Cobra Head 50,000L - Res"/>
    <n v="1"/>
    <m/>
    <n v="136"/>
    <n v="38.5"/>
  </r>
  <r>
    <s v="ODP"/>
    <s v="ODUM_407TE"/>
    <x v="148"/>
    <s v="POLT 407: HPS Cobra Head 50000L - Tax Ex"/>
    <n v="1"/>
    <m/>
    <n v="129"/>
    <n v="38.130000000000003"/>
  </r>
  <r>
    <s v="ODP"/>
    <s v="ODUM_428"/>
    <x v="149"/>
    <s v="POLT 428: HPS Yard Type 9,500L - Res"/>
    <n v="3071"/>
    <n v="11"/>
    <n v="99307"/>
    <n v="39130.639999999999"/>
  </r>
  <r>
    <s v="ODP"/>
    <s v="ODUM_428C"/>
    <x v="149"/>
    <s v="POLT 428: HPS Yard Type 9,500L - Com"/>
    <n v="177"/>
    <m/>
    <n v="5778"/>
    <n v="2267.73"/>
  </r>
  <r>
    <s v="ODP"/>
    <s v="ODUM_428I"/>
    <x v="149"/>
    <s v="POLT 428: HPS Yard Type 9,500L - Ind"/>
    <n v="5"/>
    <m/>
    <n v="164"/>
    <n v="63.99"/>
  </r>
  <r>
    <s v="ODP"/>
    <s v="ODUM_428TE"/>
    <x v="149"/>
    <s v="POLT 428: HPS Yard Type 9,500L - Tax Ex"/>
    <n v="95"/>
    <m/>
    <n v="3136"/>
    <n v="1211.67"/>
  </r>
  <r>
    <s v="ODP"/>
    <s v="ODUM_428UE"/>
    <x v="149"/>
    <s v="POLT 428: HPS Yard Type 9,500L - Utl Ex"/>
    <n v="4"/>
    <m/>
    <n v="131"/>
    <n v="51.19"/>
  </r>
  <r>
    <s v="ODP"/>
    <s v="ODUM_429"/>
    <x v="150"/>
    <s v="POLT 429: HPS Cobra Head 22,000L - Res"/>
    <n v="4"/>
    <m/>
    <n v="262"/>
    <n v="91.63"/>
  </r>
  <r>
    <s v="ODP"/>
    <s v="ODUM_429C"/>
    <x v="150"/>
    <s v="POLT 429: HPS Cobra Head 22,000L - Com"/>
    <n v="9"/>
    <m/>
    <n v="619"/>
    <n v="206.88"/>
  </r>
  <r>
    <s v="ODP"/>
    <s v="ODUM_429I"/>
    <x v="150"/>
    <s v="POLT 429: HPS Cobra Head 22,000L - Ind"/>
    <n v="1"/>
    <m/>
    <n v="66"/>
    <n v="22.92"/>
  </r>
  <r>
    <s v="ODP"/>
    <s v="ODUM_429TE"/>
    <x v="150"/>
    <s v="POLT 429: HPS Cobra Head 22000L - Tax Ex"/>
    <n v="5"/>
    <m/>
    <n v="341"/>
    <n v="114.35"/>
  </r>
  <r>
    <s v="ODP"/>
    <s v="ODUM_446"/>
    <x v="151"/>
    <s v="7,000 Lumen Mercury Vapor Standard"/>
    <n v="43"/>
    <m/>
    <n v="2427"/>
    <n v="445.05"/>
  </r>
  <r>
    <s v="ODP"/>
    <s v="ODUM_456"/>
    <x v="152"/>
    <s v="7,000 Lumen Mercury Vapor Ornamental"/>
    <n v="7"/>
    <m/>
    <n v="377"/>
    <n v="89.95"/>
  </r>
  <r>
    <s v="ODP"/>
    <s v="ODUM_462"/>
    <x v="153"/>
    <s v="5,800 Lumen HP Sodium Standard"/>
    <n v="336"/>
    <m/>
    <n v="7630"/>
    <n v="3151.68"/>
  </r>
  <r>
    <s v="ODP"/>
    <s v="ODUM_463"/>
    <x v="154"/>
    <s v="9,500 Lumen HP Sodium Standard"/>
    <n v="1973"/>
    <n v="2"/>
    <n v="62844"/>
    <n v="19534.02"/>
  </r>
  <r>
    <s v="ODP"/>
    <s v="ODUM_464"/>
    <x v="155"/>
    <s v="22,000 Lumen HP Sodium Standard"/>
    <n v="191"/>
    <m/>
    <n v="12813"/>
    <n v="2947.13"/>
  </r>
  <r>
    <s v="ODP"/>
    <s v="ODUM_465"/>
    <x v="156"/>
    <s v="50,000 Lumen HP Sodium Standard"/>
    <n v="51"/>
    <m/>
    <n v="6804"/>
    <n v="1261.23"/>
  </r>
  <r>
    <s v="ODP"/>
    <s v="ODUM_472"/>
    <x v="157"/>
    <s v="5,800 Lumen HP Sodium Ornamental"/>
    <n v="9"/>
    <m/>
    <n v="204"/>
    <n v="113.04"/>
  </r>
  <r>
    <s v="ODP"/>
    <s v="ODUM_473"/>
    <x v="158"/>
    <s v="9,500 Lumen HP Sodium Ornamental"/>
    <n v="67"/>
    <m/>
    <n v="2206"/>
    <n v="892.44"/>
  </r>
  <r>
    <s v="ODP"/>
    <s v="ODUM_474"/>
    <x v="159"/>
    <s v="22,000 Lumen HP Sodium Ornamental"/>
    <n v="225"/>
    <m/>
    <n v="14807"/>
    <n v="4241.25"/>
  </r>
  <r>
    <s v="ODP"/>
    <s v="ODUM_475"/>
    <x v="160"/>
    <s v="50,000 Lumen HP Sodium Ornamental"/>
    <n v="9"/>
    <m/>
    <n v="1187"/>
    <n v="238.41"/>
  </r>
  <r>
    <s v="ODP"/>
    <s v="ODUM_487"/>
    <x v="161"/>
    <s v="POLT 487: HPS Directional 9,500L - Res"/>
    <n v="169"/>
    <m/>
    <n v="5542"/>
    <n v="2991.16"/>
  </r>
  <r>
    <s v="ODP"/>
    <s v="ODUM_487C"/>
    <x v="161"/>
    <s v="POLT 487: HPS Directional 9,500L - Com"/>
    <n v="30"/>
    <m/>
    <n v="995"/>
    <n v="530.72"/>
  </r>
  <r>
    <s v="ODP"/>
    <s v="ODUM_487TE"/>
    <x v="161"/>
    <s v="POLT 487: HPS Directional 9500L - Tax Ex"/>
    <n v="38"/>
    <m/>
    <n v="1231"/>
    <n v="669.2"/>
  </r>
  <r>
    <s v="ODP"/>
    <s v="ODUM_488"/>
    <x v="162"/>
    <s v="POLT 488: HPS Directional 22,000L - Res"/>
    <n v="171"/>
    <n v="0"/>
    <n v="11490"/>
    <n v="4236.76"/>
  </r>
  <r>
    <s v="ODP"/>
    <s v="ODUM_488C"/>
    <x v="162"/>
    <s v="POLT 488: HPS Directional 22,000L - Com"/>
    <n v="151"/>
    <m/>
    <n v="10082"/>
    <n v="3714.35"/>
  </r>
  <r>
    <s v="ODP"/>
    <s v="ODUM_488TE"/>
    <x v="162"/>
    <s v="POLT 488: HPS Directional 22000L - TaxEx"/>
    <n v="82"/>
    <m/>
    <n v="5577"/>
    <n v="2029.93"/>
  </r>
  <r>
    <s v="ODP"/>
    <s v="ODUM_489"/>
    <x v="163"/>
    <s v="POLT 489: HPS Directional 50,000L - Res"/>
    <n v="134"/>
    <m/>
    <n v="17618"/>
    <n v="5121.82"/>
  </r>
  <r>
    <s v="ODP"/>
    <s v="ODUM_489C"/>
    <x v="163"/>
    <s v="POLT 489: HPS Directional 50,000L - Com"/>
    <n v="315"/>
    <m/>
    <n v="41416"/>
    <n v="12016.6"/>
  </r>
  <r>
    <s v="ODP"/>
    <s v="ODUM_489I"/>
    <x v="163"/>
    <s v="POLT 489: HPS Directional 50,000L - Ind"/>
    <n v="10"/>
    <m/>
    <n v="1342"/>
    <n v="382.61"/>
  </r>
  <r>
    <s v="ODP"/>
    <s v="ODUM_489TE"/>
    <x v="163"/>
    <s v="POLT 489: HPS Directional 50000L - TaxEx"/>
    <n v="240"/>
    <m/>
    <n v="31029"/>
    <n v="9013.66"/>
  </r>
  <r>
    <s v="ODP"/>
    <s v="ODUM_489UE"/>
    <x v="163"/>
    <s v="POLT 489: HPS Directional 50000L - UtlEx"/>
    <n v="1"/>
    <m/>
    <n v="128"/>
    <n v="38.11"/>
  </r>
  <r>
    <s v="ODP"/>
    <s v="ODUM_825"/>
    <x v="164"/>
    <s v="Electric Excess Facilities"/>
    <n v="0"/>
    <m/>
    <m/>
    <n v="14772.82"/>
  </r>
  <r>
    <s v="ODP"/>
    <s v="ODUM_828"/>
    <x v="165"/>
    <s v="Excess Facilities ODL"/>
    <n v="0"/>
    <m/>
    <m/>
    <n v="1325.3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3">
  <r>
    <x v="0"/>
    <x v="0"/>
    <x v="0"/>
    <x v="0"/>
    <s v="Group 1 - &lt; 12,000 Lumens"/>
    <s v="Without Pole"/>
    <m/>
    <m/>
    <n v="428"/>
    <s v="ODP428"/>
    <x v="0"/>
    <s v="Cobra Head/Open Bottom"/>
    <x v="0"/>
    <x v="0"/>
    <n v="100"/>
    <m/>
    <n v="0.11700000000000001"/>
    <n v="11.15"/>
    <n v="2903"/>
    <n v="32163.64"/>
    <m/>
    <m/>
  </r>
  <r>
    <x v="1"/>
    <x v="1"/>
    <x v="0"/>
    <x v="1"/>
    <s v="Group 4 - Pole only or Restricted Class"/>
    <s v="With Pole"/>
    <m/>
    <m/>
    <n v="900"/>
    <s v="LGE900"/>
    <x v="1"/>
    <s v="Decorative"/>
    <x v="1"/>
    <x v="1"/>
    <n v="0"/>
    <m/>
    <m/>
    <n v="2.06"/>
    <s v=""/>
    <s v=""/>
    <m/>
    <s v="PO-R"/>
  </r>
  <r>
    <x v="1"/>
    <x v="1"/>
    <x v="0"/>
    <x v="1"/>
    <s v="Group 4 - Pole only or Restricted Class"/>
    <s v="With Pole"/>
    <m/>
    <m/>
    <n v="958"/>
    <s v="LGE958"/>
    <x v="2"/>
    <s v="Decorative"/>
    <x v="1"/>
    <x v="1"/>
    <n v="0"/>
    <m/>
    <m/>
    <n v="11.32"/>
    <s v=""/>
    <s v=""/>
    <m/>
    <s v="PO-R"/>
  </r>
  <r>
    <x v="1"/>
    <x v="1"/>
    <x v="1"/>
    <x v="2"/>
    <s v="Group 4 - Pole only or Restricted Class"/>
    <s v="With Pole"/>
    <m/>
    <m/>
    <n v="950"/>
    <s v="LGE950"/>
    <x v="3"/>
    <s v="Decorative"/>
    <x v="1"/>
    <x v="2"/>
    <n v="0"/>
    <m/>
    <m/>
    <n v="3.47"/>
    <s v=""/>
    <s v=""/>
    <m/>
    <s v="PO-R"/>
  </r>
  <r>
    <x v="1"/>
    <x v="1"/>
    <x v="1"/>
    <x v="2"/>
    <s v="Group 4 - Pole only or Restricted Class"/>
    <s v="With Pole"/>
    <m/>
    <m/>
    <n v="951"/>
    <s v="LGE951"/>
    <x v="4"/>
    <s v="Decorative"/>
    <x v="1"/>
    <x v="2"/>
    <n v="0"/>
    <m/>
    <m/>
    <n v="3.73"/>
    <s v=""/>
    <s v=""/>
    <m/>
    <s v="PO-R"/>
  </r>
  <r>
    <x v="1"/>
    <x v="2"/>
    <x v="1"/>
    <x v="0"/>
    <s v="Group 4 - Pole only or Restricted Class"/>
    <s v="With Pole"/>
    <m/>
    <m/>
    <n v="956"/>
    <s v="LGE956"/>
    <x v="5"/>
    <s v="Decorative"/>
    <x v="1"/>
    <x v="2"/>
    <n v="0"/>
    <m/>
    <m/>
    <n v="3.56"/>
    <s v=""/>
    <s v=""/>
    <s v="Westchester/Norfolk"/>
    <s v="PO-R"/>
  </r>
  <r>
    <x v="2"/>
    <x v="2"/>
    <x v="1"/>
    <x v="0"/>
    <s v="Group 1 - &lt; 12,000 Lumens"/>
    <s v="With Pole"/>
    <m/>
    <m/>
    <n v="414"/>
    <s v="KU414"/>
    <x v="6"/>
    <s v="Decorative"/>
    <x v="2"/>
    <x v="3"/>
    <n v="70"/>
    <m/>
    <n v="8.3000000000000004E-2"/>
    <n v="33.39"/>
    <n v="21"/>
    <n v="647.64"/>
    <m/>
    <m/>
  </r>
  <r>
    <x v="2"/>
    <x v="2"/>
    <x v="1"/>
    <x v="0"/>
    <s v="Group 1 - &lt; 12,000 Lumens"/>
    <s v="With Pole"/>
    <m/>
    <m/>
    <n v="415"/>
    <s v="KU415"/>
    <x v="6"/>
    <s v="Decorative"/>
    <x v="2"/>
    <x v="0"/>
    <n v="70"/>
    <m/>
    <n v="0.11700000000000001"/>
    <n v="33.81"/>
    <n v="10"/>
    <n v="312.2"/>
    <m/>
    <m/>
  </r>
  <r>
    <x v="1"/>
    <x v="2"/>
    <x v="1"/>
    <x v="0"/>
    <s v="Group 1 - &lt; 12,000 Lumens"/>
    <s v="With Pole"/>
    <m/>
    <m/>
    <n v="431"/>
    <s v="LGE431"/>
    <x v="6"/>
    <s v="Decorative"/>
    <x v="2"/>
    <x v="3"/>
    <n v="70"/>
    <m/>
    <n v="8.3000000000000004E-2"/>
    <n v="32.950000000000003"/>
    <n v="51"/>
    <n v="1679.8"/>
    <m/>
    <m/>
  </r>
  <r>
    <x v="1"/>
    <x v="2"/>
    <x v="1"/>
    <x v="0"/>
    <s v="Group 1 - &lt; 12,000 Lumens"/>
    <s v="With Pole"/>
    <m/>
    <m/>
    <n v="433"/>
    <s v="LGE433"/>
    <x v="6"/>
    <s v="Decorative"/>
    <x v="2"/>
    <x v="0"/>
    <n v="100"/>
    <m/>
    <n v="0.11700000000000001"/>
    <n v="35.01"/>
    <n v="873"/>
    <n v="30041.32"/>
    <m/>
    <m/>
  </r>
  <r>
    <x v="1"/>
    <x v="1"/>
    <x v="1"/>
    <x v="0"/>
    <s v="Group 1 - &lt; 12,000 Lumens"/>
    <s v="Without Pole"/>
    <m/>
    <m/>
    <n v="280"/>
    <s v="LGE280"/>
    <x v="6"/>
    <s v="Decorative"/>
    <x v="0"/>
    <x v="3"/>
    <n v="70"/>
    <m/>
    <n v="8.3000000000000004E-2"/>
    <n v="19.39"/>
    <n v="46"/>
    <n v="891.63"/>
    <m/>
    <m/>
  </r>
  <r>
    <x v="1"/>
    <x v="1"/>
    <x v="1"/>
    <x v="0"/>
    <s v="Group 1 - &lt; 12,000 Lumens"/>
    <s v="Without Pole"/>
    <m/>
    <m/>
    <n v="281"/>
    <s v="LGE281"/>
    <x v="6"/>
    <s v="Decorative"/>
    <x v="0"/>
    <x v="0"/>
    <n v="100"/>
    <m/>
    <n v="0.11700000000000001"/>
    <n v="20.36"/>
    <n v="245"/>
    <n v="4987.18"/>
    <m/>
    <m/>
  </r>
  <r>
    <x v="1"/>
    <x v="1"/>
    <x v="1"/>
    <x v="0"/>
    <s v="Group 1 - &lt; 12,000 Lumens"/>
    <s v="With Pole"/>
    <m/>
    <m/>
    <n v="430"/>
    <s v="LGE430"/>
    <x v="6"/>
    <s v="Decorative"/>
    <x v="3"/>
    <x v="3"/>
    <n v="100"/>
    <m/>
    <n v="8.3000000000000004E-2"/>
    <n v="32.28"/>
    <n v="13"/>
    <n v="419.62"/>
    <m/>
    <m/>
  </r>
  <r>
    <x v="1"/>
    <x v="1"/>
    <x v="1"/>
    <x v="0"/>
    <s v="Group 1 - &lt; 12,000 Lumens"/>
    <s v="With Pole"/>
    <m/>
    <m/>
    <n v="432"/>
    <s v="LGE432"/>
    <x v="6"/>
    <s v="Decorative"/>
    <x v="3"/>
    <x v="0"/>
    <n v="100"/>
    <m/>
    <n v="0.11700000000000001"/>
    <n v="34.35"/>
    <n v="10"/>
    <n v="343.35"/>
    <m/>
    <m/>
  </r>
  <r>
    <x v="2"/>
    <x v="1"/>
    <x v="0"/>
    <x v="3"/>
    <s v="Group 1 - &lt; 12,000 Lumens"/>
    <s v="Without Pole"/>
    <m/>
    <m/>
    <n v="421"/>
    <s v="KU421"/>
    <x v="7"/>
    <s v="Decorative"/>
    <x v="0"/>
    <x v="4"/>
    <n v="85"/>
    <m/>
    <n v="0.10199999999999999"/>
    <n v="3.67"/>
    <n v="5"/>
    <n v="17.14"/>
    <m/>
    <m/>
  </r>
  <r>
    <x v="2"/>
    <x v="1"/>
    <x v="0"/>
    <x v="3"/>
    <s v="Group 1 - &lt; 12,000 Lumens"/>
    <s v="Without Pole"/>
    <m/>
    <m/>
    <n v="422"/>
    <s v="KU422"/>
    <x v="7"/>
    <s v="Decorative"/>
    <x v="0"/>
    <x v="5"/>
    <n v="175"/>
    <m/>
    <n v="0.20100000000000001"/>
    <n v="4.92"/>
    <n v="578"/>
    <n v="2714.83"/>
    <m/>
    <m/>
  </r>
  <r>
    <x v="2"/>
    <x v="1"/>
    <x v="0"/>
    <x v="3"/>
    <s v="Group 1 - &lt; 12,000 Lumens"/>
    <s v="Without Pole"/>
    <m/>
    <m/>
    <n v="424"/>
    <s v="KU424"/>
    <x v="7"/>
    <s v="Decorative"/>
    <x v="0"/>
    <x v="6"/>
    <n v="208"/>
    <m/>
    <n v="0.32700000000000001"/>
    <n v="7.34"/>
    <n v="29"/>
    <n v="201.95"/>
    <m/>
    <m/>
  </r>
  <r>
    <x v="2"/>
    <x v="1"/>
    <x v="0"/>
    <x v="3"/>
    <s v="Group 1 - &lt; 12,000 Lumens"/>
    <s v="With Pole"/>
    <m/>
    <m/>
    <n v="434"/>
    <s v="KU434"/>
    <x v="7"/>
    <s v="Decorative"/>
    <x v="4"/>
    <x v="6"/>
    <n v="208"/>
    <m/>
    <n v="0.32700000000000001"/>
    <n v="8.3800000000000008"/>
    <s v=""/>
    <s v=""/>
    <m/>
    <m/>
  </r>
  <r>
    <x v="2"/>
    <x v="1"/>
    <x v="0"/>
    <x v="3"/>
    <s v="Group 1 - &lt; 12,000 Lumens"/>
    <s v="Without Pole"/>
    <m/>
    <m/>
    <n v="425"/>
    <s v="KU425"/>
    <x v="7"/>
    <s v="Decorative"/>
    <x v="0"/>
    <x v="7"/>
    <n v="370"/>
    <m/>
    <n v="0.44700000000000001"/>
    <n v="9.81"/>
    <n v="2"/>
    <n v="18.510000000000002"/>
    <m/>
    <m/>
  </r>
  <r>
    <x v="3"/>
    <x v="0"/>
    <x v="0"/>
    <x v="4"/>
    <s v="Group 1 - &lt; 12,000 Lumens"/>
    <s v="With Pole"/>
    <m/>
    <m/>
    <n v="446"/>
    <s v="ODP446"/>
    <x v="8"/>
    <s v="Decorative"/>
    <x v="5"/>
    <x v="8"/>
    <n v="175"/>
    <m/>
    <n v="0.20699999999999999"/>
    <n v="9.56"/>
    <s v=""/>
    <s v=""/>
    <m/>
    <m/>
  </r>
  <r>
    <x v="3"/>
    <x v="0"/>
    <x v="0"/>
    <x v="0"/>
    <s v="Group 1 - &lt; 12,000 Lumens"/>
    <s v="With Pole"/>
    <m/>
    <m/>
    <n v="462"/>
    <s v="ODP462"/>
    <x v="8"/>
    <s v="Decorative"/>
    <x v="5"/>
    <x v="3"/>
    <n v="70"/>
    <m/>
    <n v="8.3000000000000004E-2"/>
    <n v="8.66"/>
    <s v=""/>
    <s v=""/>
    <m/>
    <m/>
  </r>
  <r>
    <x v="3"/>
    <x v="0"/>
    <x v="0"/>
    <x v="0"/>
    <s v="Group 1 - &lt; 12,000 Lumens"/>
    <s v="With Pole"/>
    <m/>
    <m/>
    <n v="463"/>
    <s v="ODP463"/>
    <x v="8"/>
    <s v="Decorative"/>
    <x v="5"/>
    <x v="0"/>
    <n v="100"/>
    <m/>
    <n v="0.11700000000000001"/>
    <n v="9.14"/>
    <s v=""/>
    <s v=""/>
    <m/>
    <m/>
  </r>
  <r>
    <x v="3"/>
    <x v="0"/>
    <x v="0"/>
    <x v="0"/>
    <s v="Group 2 - Between 12,000 and 100,000 Lumens"/>
    <s v="With Pole"/>
    <m/>
    <m/>
    <n v="464"/>
    <s v="ODP464"/>
    <x v="8"/>
    <s v="Decorative"/>
    <x v="5"/>
    <x v="9"/>
    <n v="200"/>
    <m/>
    <n v="0.24199999999999999"/>
    <n v="14.25"/>
    <s v=""/>
    <s v=""/>
    <m/>
    <m/>
  </r>
  <r>
    <x v="3"/>
    <x v="0"/>
    <x v="0"/>
    <x v="0"/>
    <s v="Group 2 - Between 12,000 and 100,000 Lumens"/>
    <s v="With Pole"/>
    <m/>
    <m/>
    <n v="465"/>
    <s v="ODP465"/>
    <x v="8"/>
    <s v="Decorative"/>
    <x v="5"/>
    <x v="10"/>
    <n v="400"/>
    <m/>
    <n v="0.47099999999999997"/>
    <n v="22.84"/>
    <s v=""/>
    <s v=""/>
    <m/>
    <m/>
  </r>
  <r>
    <x v="3"/>
    <x v="0"/>
    <x v="0"/>
    <x v="4"/>
    <s v="Group 1 - &lt; 12,000 Lumens"/>
    <s v="With Pole"/>
    <m/>
    <m/>
    <n v="456"/>
    <s v="ODP456"/>
    <x v="9"/>
    <s v="Decorative"/>
    <x v="6"/>
    <x v="8"/>
    <n v="175"/>
    <m/>
    <n v="0.20699999999999999"/>
    <n v="11.87"/>
    <s v=""/>
    <s v=""/>
    <m/>
    <m/>
  </r>
  <r>
    <x v="3"/>
    <x v="0"/>
    <x v="0"/>
    <x v="0"/>
    <s v="Group 1 - &lt; 12,000 Lumens"/>
    <s v="With Pole"/>
    <m/>
    <m/>
    <n v="472"/>
    <s v="ODP472"/>
    <x v="9"/>
    <s v="Decorative"/>
    <x v="6"/>
    <x v="3"/>
    <n v="70"/>
    <m/>
    <n v="8.3000000000000004E-2"/>
    <n v="11.6"/>
    <s v=""/>
    <s v=""/>
    <m/>
    <m/>
  </r>
  <r>
    <x v="3"/>
    <x v="0"/>
    <x v="0"/>
    <x v="0"/>
    <s v="Group 1 - &lt; 12,000 Lumens"/>
    <s v="With Pole"/>
    <m/>
    <m/>
    <n v="473"/>
    <s v="ODP473"/>
    <x v="9"/>
    <s v="Decorative"/>
    <x v="6"/>
    <x v="0"/>
    <n v="100"/>
    <m/>
    <n v="0.11700000000000001"/>
    <n v="12.3"/>
    <s v=""/>
    <s v=""/>
    <m/>
    <m/>
  </r>
  <r>
    <x v="3"/>
    <x v="0"/>
    <x v="0"/>
    <x v="0"/>
    <s v="Group 2 - Between 12,000 and 100,000 Lumens"/>
    <s v="With Pole"/>
    <m/>
    <m/>
    <n v="474"/>
    <s v="ODP474"/>
    <x v="9"/>
    <s v="Decorative"/>
    <x v="6"/>
    <x v="9"/>
    <n v="200"/>
    <m/>
    <n v="0.24199999999999999"/>
    <n v="17.41"/>
    <s v=""/>
    <s v=""/>
    <m/>
    <m/>
  </r>
  <r>
    <x v="3"/>
    <x v="0"/>
    <x v="0"/>
    <x v="0"/>
    <s v="Group 2 - Between 12,000 and 100,000 Lumens"/>
    <s v="With Pole"/>
    <m/>
    <m/>
    <n v="475"/>
    <s v="ODP475"/>
    <x v="9"/>
    <s v="Decorative"/>
    <x v="6"/>
    <x v="10"/>
    <n v="400"/>
    <m/>
    <n v="0.47099999999999997"/>
    <n v="24.46"/>
    <s v=""/>
    <s v=""/>
    <m/>
    <m/>
  </r>
  <r>
    <x v="2"/>
    <x v="2"/>
    <x v="0"/>
    <x v="0"/>
    <s v="Group 1 - &lt; 12,000 Lumens"/>
    <s v="Without Pole"/>
    <m/>
    <m/>
    <n v="428"/>
    <s v="KU428"/>
    <x v="10"/>
    <s v="Cobra Head/Open Bottom"/>
    <x v="0"/>
    <x v="0"/>
    <n v="100"/>
    <m/>
    <n v="0.11700000000000001"/>
    <n v="8.49"/>
    <n v="36751"/>
    <n v="296815.31"/>
    <m/>
    <m/>
  </r>
  <r>
    <x v="2"/>
    <x v="1"/>
    <x v="0"/>
    <x v="0"/>
    <s v="Group 1 - &lt; 12,000 Lumens"/>
    <s v="Without Pole"/>
    <m/>
    <m/>
    <n v="426"/>
    <s v="KU426"/>
    <x v="10"/>
    <s v="Cobra Head/Open Bottom"/>
    <x v="0"/>
    <x v="3"/>
    <n v="100"/>
    <m/>
    <n v="8.3000000000000004E-2"/>
    <n v="8.06"/>
    <n v="163"/>
    <n v="1233.81"/>
    <m/>
    <m/>
  </r>
  <r>
    <x v="2"/>
    <x v="1"/>
    <x v="0"/>
    <x v="4"/>
    <s v="Group 1 - &lt; 12,000 Lumens"/>
    <s v="Without Pole"/>
    <m/>
    <m/>
    <n v="404"/>
    <s v="KU404"/>
    <x v="10"/>
    <s v="Cobra Head/Open Bottom"/>
    <x v="0"/>
    <x v="8"/>
    <n v="175"/>
    <m/>
    <n v="0.20699999999999999"/>
    <n v="11.45"/>
    <n v="6625"/>
    <n v="72239.539999999994"/>
    <m/>
    <m/>
  </r>
  <r>
    <x v="0"/>
    <x v="0"/>
    <x v="0"/>
    <x v="4"/>
    <s v="Group 1 - &lt; 12,000 Lumens"/>
    <s v="Without Pole"/>
    <m/>
    <m/>
    <n v="406"/>
    <s v="ODP406"/>
    <x v="10"/>
    <s v="Cobra Head/Open Bottom"/>
    <x v="0"/>
    <x v="8"/>
    <n v="175"/>
    <s v="*"/>
    <n v="0.20699999999999999"/>
    <n v="10.7"/>
    <n v="1622"/>
    <n v="17272.900000000001"/>
    <s v="Restricted to fixtures in service 08-01-07. Upon failure, existing fixtures will either be removed from service or replaced, at Customer’s option, with available lighting fixtures shown above."/>
    <m/>
  </r>
  <r>
    <x v="1"/>
    <x v="2"/>
    <x v="0"/>
    <x v="0"/>
    <s v="Group 1 - &lt; 12,000 Lumens"/>
    <s v="Without Pole"/>
    <m/>
    <m/>
    <n v="457"/>
    <s v="LGE457"/>
    <x v="10"/>
    <s v="Cobra Head/Open Bottom"/>
    <x v="0"/>
    <x v="0"/>
    <n v="100"/>
    <m/>
    <n v="0.11700000000000001"/>
    <n v="10.87"/>
    <n v="3512"/>
    <n v="37926.21"/>
    <m/>
    <m/>
  </r>
  <r>
    <x v="1"/>
    <x v="1"/>
    <x v="0"/>
    <x v="4"/>
    <s v="Group 1 - &lt; 12,000 Lumens"/>
    <s v="Without Pole"/>
    <m/>
    <m/>
    <n v="201"/>
    <s v="LGE201"/>
    <x v="10"/>
    <s v="Cobra Head/Open Bottom"/>
    <x v="0"/>
    <x v="6"/>
    <n v="100"/>
    <m/>
    <n v="0.1"/>
    <n v="8.15"/>
    <n v="74"/>
    <n v="598.12"/>
    <m/>
    <m/>
  </r>
  <r>
    <x v="4"/>
    <x v="0"/>
    <x v="0"/>
    <x v="4"/>
    <m/>
    <s v="With Pole"/>
    <m/>
    <m/>
    <s v="KT406"/>
    <s v="KT406"/>
    <x v="10"/>
    <s v="Cobra Head/Open Bottom"/>
    <x v="7"/>
    <x v="8"/>
    <n v="175"/>
    <m/>
    <n v="0.20699999999999999"/>
    <n v="9.52"/>
    <n v="0"/>
    <m/>
    <s v="7,000 Lumen Open Bottom Mercury Vapor"/>
    <m/>
  </r>
  <r>
    <x v="4"/>
    <x v="0"/>
    <x v="0"/>
    <x v="0"/>
    <m/>
    <m/>
    <m/>
    <m/>
    <n v="2"/>
    <s v="KU- TENN2"/>
    <x v="10"/>
    <s v="Cobra Head/Open Bottom"/>
    <x v="7"/>
    <x v="3"/>
    <n v="70"/>
    <m/>
    <n v="8.3000000000000004E-2"/>
    <n v="6.36"/>
    <n v="0"/>
    <m/>
    <m/>
    <m/>
  </r>
  <r>
    <x v="4"/>
    <x v="0"/>
    <x v="0"/>
    <x v="0"/>
    <m/>
    <m/>
    <m/>
    <m/>
    <s v="KT428"/>
    <s v="KT428"/>
    <x v="10"/>
    <s v="Cobra Head/Open Bottom"/>
    <x v="7"/>
    <x v="0"/>
    <n v="100"/>
    <m/>
    <n v="0.11700000000000001"/>
    <n v="6.9"/>
    <n v="0"/>
    <m/>
    <m/>
    <m/>
  </r>
  <r>
    <x v="1"/>
    <x v="2"/>
    <x v="1"/>
    <x v="0"/>
    <s v="Group 1 - &lt; 12,000 Lumens"/>
    <s v="With Pole"/>
    <m/>
    <m/>
    <n v="427"/>
    <s v="LGE427"/>
    <x v="11"/>
    <s v="Decorative"/>
    <x v="2"/>
    <x v="3"/>
    <n v="70"/>
    <m/>
    <n v="8.3000000000000004E-2"/>
    <n v="35.22"/>
    <n v="53"/>
    <n v="1866.03"/>
    <m/>
    <m/>
  </r>
  <r>
    <x v="1"/>
    <x v="2"/>
    <x v="1"/>
    <x v="0"/>
    <s v="Group 1 - &lt; 12,000 Lumens"/>
    <s v="With Pole"/>
    <m/>
    <m/>
    <n v="429"/>
    <s v="LGE429"/>
    <x v="11"/>
    <s v="Decorative"/>
    <x v="2"/>
    <x v="0"/>
    <n v="100"/>
    <m/>
    <n v="0.11700000000000001"/>
    <n v="36.090000000000003"/>
    <n v="214"/>
    <n v="7721.56"/>
    <m/>
    <m/>
  </r>
  <r>
    <x v="1"/>
    <x v="1"/>
    <x v="1"/>
    <x v="0"/>
    <s v="Group 1 - &lt; 12,000 Lumens"/>
    <s v="Without Pole"/>
    <m/>
    <m/>
    <n v="282"/>
    <s v="LGE282"/>
    <x v="11"/>
    <s v="Decorative"/>
    <x v="0"/>
    <x v="3"/>
    <n v="70"/>
    <m/>
    <n v="8.3000000000000004E-2"/>
    <n v="19.54"/>
    <n v="106"/>
    <n v="2070.7399999999998"/>
    <m/>
    <m/>
  </r>
  <r>
    <x v="1"/>
    <x v="1"/>
    <x v="1"/>
    <x v="0"/>
    <s v="Group 1 - &lt; 12,000 Lumens"/>
    <s v="Without Pole"/>
    <m/>
    <m/>
    <n v="283"/>
    <s v="LGE283"/>
    <x v="11"/>
    <s v="Decorative"/>
    <x v="0"/>
    <x v="0"/>
    <n v="100"/>
    <m/>
    <n v="0.11700000000000001"/>
    <n v="20.83"/>
    <n v="82"/>
    <n v="1707.84"/>
    <m/>
    <m/>
  </r>
  <r>
    <x v="1"/>
    <x v="1"/>
    <x v="1"/>
    <x v="0"/>
    <s v="Group 1 - &lt; 12,000 Lumens"/>
    <s v="With Pole"/>
    <m/>
    <m/>
    <n v="426"/>
    <s v="LGE426"/>
    <x v="11"/>
    <s v="Decorative"/>
    <x v="3"/>
    <x v="3"/>
    <n v="100"/>
    <m/>
    <n v="8.3000000000000004E-2"/>
    <n v="33.24"/>
    <n v="34"/>
    <n v="1129.71"/>
    <m/>
    <m/>
  </r>
  <r>
    <x v="1"/>
    <x v="1"/>
    <x v="1"/>
    <x v="0"/>
    <s v="Group 1 - &lt; 12,000 Lumens"/>
    <s v="With Pole"/>
    <m/>
    <m/>
    <n v="428"/>
    <s v="LGE428"/>
    <x v="11"/>
    <s v="Decorative"/>
    <x v="3"/>
    <x v="0"/>
    <n v="100"/>
    <m/>
    <n v="0.11700000000000001"/>
    <n v="34.11"/>
    <n v="277"/>
    <n v="9445.1200000000008"/>
    <m/>
    <m/>
  </r>
  <r>
    <x v="2"/>
    <x v="1"/>
    <x v="1"/>
    <x v="0"/>
    <s v="Group 4 - Pole only or Restricted Class"/>
    <s v="With Pole"/>
    <m/>
    <m/>
    <n v="360"/>
    <s v="KU360"/>
    <x v="12"/>
    <s v="Decorative"/>
    <x v="3"/>
    <x v="11"/>
    <n v="150"/>
    <m/>
    <n v="0.18099999999999999"/>
    <n v="59.91"/>
    <n v="4"/>
    <n v="230.79"/>
    <s v="Granville units are restricted to installations for the City of London."/>
    <s v="PO-R"/>
  </r>
  <r>
    <x v="2"/>
    <x v="2"/>
    <x v="0"/>
    <x v="0"/>
    <s v="Group 1 - &lt; 12,000 Lumens"/>
    <s v="Without Pole"/>
    <m/>
    <m/>
    <n v="487"/>
    <s v="KU487"/>
    <x v="13"/>
    <s v="Decorative"/>
    <x v="0"/>
    <x v="0"/>
    <n v="150"/>
    <m/>
    <n v="0.11700000000000001"/>
    <n v="9.75"/>
    <n v="10927"/>
    <n v="101709.2"/>
    <m/>
    <m/>
  </r>
  <r>
    <x v="2"/>
    <x v="2"/>
    <x v="0"/>
    <x v="0"/>
    <s v="Group 2 - Between 12,000 and 100,000 Lumens"/>
    <s v="Without Pole"/>
    <m/>
    <m/>
    <n v="488"/>
    <s v="KU488"/>
    <x v="13"/>
    <s v="Decorative"/>
    <x v="0"/>
    <x v="9"/>
    <n v="200"/>
    <s v="*"/>
    <n v="0.24199999999999999"/>
    <n v="14.77"/>
    <n v="6677"/>
    <n v="93836.08"/>
    <s v="Not available for use in residential neighborhoods except by municipal authorities."/>
    <m/>
  </r>
  <r>
    <x v="2"/>
    <x v="2"/>
    <x v="0"/>
    <x v="0"/>
    <s v="Group 2 - Between 12,000 and 100,000 Lumens"/>
    <s v="Without Pole"/>
    <m/>
    <m/>
    <n v="489"/>
    <s v="KU489"/>
    <x v="13"/>
    <s v="Decorative"/>
    <x v="0"/>
    <x v="10"/>
    <n v="400"/>
    <s v="*"/>
    <n v="0.47099999999999997"/>
    <n v="21.07"/>
    <n v="8578"/>
    <n v="172159.01"/>
    <s v="Not available for use in residential neighborhoods except by municipal authorities."/>
    <m/>
  </r>
  <r>
    <x v="2"/>
    <x v="2"/>
    <x v="0"/>
    <x v="5"/>
    <s v="Group 1 - &lt; 12,000 Lumens"/>
    <s v="Without Pole"/>
    <m/>
    <m/>
    <n v="450"/>
    <s v="KU450"/>
    <x v="13"/>
    <s v="Decorative"/>
    <x v="0"/>
    <x v="12"/>
    <n v="150"/>
    <s v="*"/>
    <n v="0.15"/>
    <n v="15.43"/>
    <n v="706"/>
    <n v="10416.299999999999"/>
    <s v="Not available for use in residential neighborhoods except by municipal authorities."/>
    <m/>
  </r>
  <r>
    <x v="2"/>
    <x v="2"/>
    <x v="0"/>
    <x v="5"/>
    <s v="Group 2 - Between 12,000 and 100,000 Lumens"/>
    <s v="Without Pole"/>
    <m/>
    <m/>
    <n v="451"/>
    <s v="KU451"/>
    <x v="13"/>
    <s v="Decorative"/>
    <x v="0"/>
    <x v="13"/>
    <n v="350"/>
    <s v="*"/>
    <n v="0.35"/>
    <n v="21.87"/>
    <n v="5388"/>
    <n v="112158.42"/>
    <s v="Not available for use in residential neighborhoods except by municipal authorities."/>
    <m/>
  </r>
  <r>
    <x v="2"/>
    <x v="2"/>
    <x v="0"/>
    <x v="6"/>
    <s v="Group 3 - &gt; 100,000 Lumens"/>
    <s v="Without Pole"/>
    <m/>
    <m/>
    <n v="452"/>
    <s v="KU452"/>
    <x v="13"/>
    <s v="Decorative"/>
    <x v="0"/>
    <x v="14"/>
    <n v="1000"/>
    <s v="*"/>
    <n v="1.08"/>
    <n v="45.86"/>
    <n v="1033"/>
    <n v="45524.21"/>
    <s v="Not available for use in residential neighborhoods except by municipal authorities."/>
    <m/>
  </r>
  <r>
    <x v="2"/>
    <x v="1"/>
    <x v="0"/>
    <x v="5"/>
    <s v="Group 1 - &lt; 12,000 Lumens"/>
    <s v="With Pole"/>
    <m/>
    <m/>
    <n v="454"/>
    <s v="KU454"/>
    <x v="13"/>
    <s v="Decorative"/>
    <x v="4"/>
    <x v="12"/>
    <n v="400"/>
    <m/>
    <n v="0.15"/>
    <n v="20.190000000000001"/>
    <n v="151"/>
    <n v="2932.38"/>
    <m/>
    <m/>
  </r>
  <r>
    <x v="2"/>
    <x v="1"/>
    <x v="0"/>
    <x v="5"/>
    <s v="Group 2 - Between 12,000 and 100,000 Lumens"/>
    <s v="With Pole"/>
    <m/>
    <m/>
    <n v="455"/>
    <s v="KU455"/>
    <x v="13"/>
    <s v="Decorative"/>
    <x v="4"/>
    <x v="13"/>
    <n v="150"/>
    <m/>
    <n v="0.35"/>
    <n v="26.63"/>
    <n v="1024"/>
    <n v="25979.68"/>
    <m/>
    <m/>
  </r>
  <r>
    <x v="2"/>
    <x v="1"/>
    <x v="0"/>
    <x v="6"/>
    <s v="Group 3 - &gt; 100,000 Lumens"/>
    <s v="With Pole"/>
    <m/>
    <m/>
    <n v="459"/>
    <s v="KU459"/>
    <x v="13"/>
    <s v="Decorative"/>
    <x v="4"/>
    <x v="14"/>
    <n v="1000"/>
    <m/>
    <n v="1.08"/>
    <n v="50.61"/>
    <n v="216"/>
    <n v="10533.88"/>
    <m/>
    <m/>
  </r>
  <r>
    <x v="2"/>
    <x v="1"/>
    <x v="1"/>
    <x v="5"/>
    <s v="Group 1 - &lt; 12,000 Lumens"/>
    <s v="With Pole"/>
    <m/>
    <m/>
    <n v="460"/>
    <s v="KU460"/>
    <x v="13"/>
    <s v="Decorative"/>
    <x v="3"/>
    <x v="12"/>
    <n v="250"/>
    <m/>
    <n v="0.15"/>
    <n v="29.4"/>
    <n v="23"/>
    <n v="643.44000000000005"/>
    <m/>
    <m/>
  </r>
  <r>
    <x v="2"/>
    <x v="1"/>
    <x v="1"/>
    <x v="5"/>
    <s v="Group 2 - Between 12,000 and 100,000 Lumens"/>
    <s v="With Pole"/>
    <m/>
    <m/>
    <n v="469"/>
    <s v="KU469"/>
    <x v="13"/>
    <s v="Decorative"/>
    <x v="3"/>
    <x v="13"/>
    <n v="650"/>
    <m/>
    <n v="0.35"/>
    <n v="35.840000000000003"/>
    <n v="290"/>
    <n v="9903.92"/>
    <m/>
    <m/>
  </r>
  <r>
    <x v="2"/>
    <x v="1"/>
    <x v="1"/>
    <x v="6"/>
    <s v="Group 3 - &gt; 100,000 Lumens"/>
    <s v="With Pole"/>
    <m/>
    <m/>
    <n v="470"/>
    <s v="KU470"/>
    <x v="13"/>
    <s v="Decorative"/>
    <x v="3"/>
    <x v="14"/>
    <n v="1000"/>
    <m/>
    <n v="1.08"/>
    <n v="59.82"/>
    <n v="58"/>
    <n v="3342.61"/>
    <m/>
    <m/>
  </r>
  <r>
    <x v="0"/>
    <x v="0"/>
    <x v="0"/>
    <x v="0"/>
    <s v="Group 1 - &lt; 12,000 Lumens"/>
    <s v="Without Pole"/>
    <m/>
    <m/>
    <n v="487"/>
    <s v="ODP487"/>
    <x v="13"/>
    <s v="Decorative"/>
    <x v="0"/>
    <x v="0"/>
    <n v="150"/>
    <m/>
    <n v="0.11700000000000001"/>
    <n v="15.68"/>
    <n v="174"/>
    <n v="2728.32"/>
    <m/>
    <m/>
  </r>
  <r>
    <x v="0"/>
    <x v="0"/>
    <x v="0"/>
    <x v="0"/>
    <s v="Group 2 - Between 12,000 and 100,000 Lumens"/>
    <s v="Without Pole"/>
    <m/>
    <m/>
    <n v="488"/>
    <s v="ODP488"/>
    <x v="13"/>
    <s v="Decorative"/>
    <x v="0"/>
    <x v="9"/>
    <n v="200"/>
    <s v="*"/>
    <n v="0.24199999999999999"/>
    <n v="21.56"/>
    <n v="159"/>
    <n v="3410.79"/>
    <s v="Not available for urban residential use."/>
    <m/>
  </r>
  <r>
    <x v="0"/>
    <x v="0"/>
    <x v="0"/>
    <x v="0"/>
    <s v="Group 2 - Between 12,000 and 100,000 Lumens"/>
    <s v="Without Pole"/>
    <m/>
    <m/>
    <n v="489"/>
    <s v="ODP489"/>
    <x v="13"/>
    <s v="Decorative"/>
    <x v="0"/>
    <x v="10"/>
    <n v="400"/>
    <s v="*"/>
    <n v="0.47099999999999997"/>
    <n v="32.520000000000003"/>
    <n v="135"/>
    <n v="4390.2"/>
    <s v="Not available for urban residential use."/>
    <m/>
  </r>
  <r>
    <x v="1"/>
    <x v="2"/>
    <x v="0"/>
    <x v="0"/>
    <s v="Group 2 - Between 12,000 and 100,000 Lumens"/>
    <s v="Without Pole"/>
    <m/>
    <m/>
    <n v="455"/>
    <s v="LGE455"/>
    <x v="13"/>
    <s v="Decorative"/>
    <x v="0"/>
    <x v="11"/>
    <n v="150"/>
    <m/>
    <n v="0.18099999999999999"/>
    <n v="13.78"/>
    <n v="416"/>
    <n v="5661.26"/>
    <m/>
    <m/>
  </r>
  <r>
    <x v="1"/>
    <x v="2"/>
    <x v="0"/>
    <x v="0"/>
    <s v="Group 2 - Between 12,000 and 100,000 Lumens"/>
    <s v="Without Pole"/>
    <m/>
    <m/>
    <n v="456"/>
    <s v="LGE456"/>
    <x v="13"/>
    <s v="Decorative"/>
    <x v="0"/>
    <x v="10"/>
    <n v="175"/>
    <s v="*"/>
    <n v="0.47099999999999997"/>
    <n v="18.22"/>
    <n v="13210"/>
    <n v="239431.41"/>
    <s v="Not available for use in residential neighborhoods except by municipal authorities."/>
    <m/>
  </r>
  <r>
    <x v="1"/>
    <x v="2"/>
    <x v="0"/>
    <x v="5"/>
    <s v="Group 1 - &lt; 12,000 Lumens"/>
    <s v="Without Pole"/>
    <m/>
    <m/>
    <n v="470"/>
    <s v="LGE470"/>
    <x v="13"/>
    <s v="Decorative"/>
    <x v="0"/>
    <x v="12"/>
    <n v="150"/>
    <m/>
    <n v="0.15"/>
    <n v="12.8"/>
    <n v="33"/>
    <n v="422.17"/>
    <m/>
    <m/>
  </r>
  <r>
    <x v="1"/>
    <x v="2"/>
    <x v="0"/>
    <x v="5"/>
    <s v="Group 2 - Between 12,000 and 100,000 Lumens"/>
    <s v="Without Pole"/>
    <m/>
    <m/>
    <n v="473"/>
    <s v="LGE473"/>
    <x v="13"/>
    <s v="Decorative"/>
    <x v="0"/>
    <x v="13"/>
    <n v="100"/>
    <m/>
    <n v="0.35"/>
    <n v="18.690000000000001"/>
    <n v="589"/>
    <n v="11081.14"/>
    <m/>
    <m/>
  </r>
  <r>
    <x v="1"/>
    <x v="2"/>
    <x v="0"/>
    <x v="6"/>
    <s v="Group 3 - &gt; 100,000 Lumens"/>
    <s v="Without Pole"/>
    <m/>
    <m/>
    <n v="476"/>
    <s v="LGE476"/>
    <x v="13"/>
    <s v="Decorative"/>
    <x v="0"/>
    <x v="14"/>
    <n v="1000"/>
    <s v="*"/>
    <n v="1.08"/>
    <n v="39.619999999999997"/>
    <n v="551"/>
    <n v="21871.56"/>
    <s v="Not available for use in residential neighborhoods except by municipal authorities."/>
    <m/>
  </r>
  <r>
    <x v="1"/>
    <x v="1"/>
    <x v="0"/>
    <x v="4"/>
    <s v="Group 2 - Between 12,000 and 100,000 Lumens"/>
    <s v="Without Pole"/>
    <m/>
    <m/>
    <n v="207"/>
    <s v="LGE207"/>
    <x v="13"/>
    <s v="Decorative"/>
    <x v="0"/>
    <x v="15"/>
    <n v="400"/>
    <m/>
    <n v="0.46200000000000002"/>
    <n v="15.55"/>
    <n v="728"/>
    <n v="11136.91"/>
    <m/>
    <m/>
  </r>
  <r>
    <x v="1"/>
    <x v="1"/>
    <x v="0"/>
    <x v="4"/>
    <s v="Group 2 - Between 12,000 and 100,000 Lumens"/>
    <s v="Without Pole"/>
    <m/>
    <m/>
    <n v="210"/>
    <s v="LGE210"/>
    <x v="13"/>
    <s v="Decorative"/>
    <x v="0"/>
    <x v="16"/>
    <n v="1000"/>
    <m/>
    <n v="1.18"/>
    <n v="28.91"/>
    <n v="324"/>
    <n v="9218.64"/>
    <m/>
    <m/>
  </r>
  <r>
    <x v="1"/>
    <x v="1"/>
    <x v="0"/>
    <x v="5"/>
    <s v="Group 1 - &lt; 12,000 Lumens"/>
    <s v="With Pole"/>
    <m/>
    <m/>
    <n v="471"/>
    <s v="LGE471"/>
    <x v="13"/>
    <s v="Decorative"/>
    <x v="8"/>
    <x v="12"/>
    <n v="50"/>
    <m/>
    <n v="0.15"/>
    <n v="15.08"/>
    <n v="8"/>
    <n v="120.61"/>
    <m/>
    <m/>
  </r>
  <r>
    <x v="1"/>
    <x v="1"/>
    <x v="0"/>
    <x v="5"/>
    <s v="Group 2 - Between 12,000 and 100,000 Lumens"/>
    <s v="With Pole"/>
    <m/>
    <m/>
    <n v="474"/>
    <s v="LGE474"/>
    <x v="13"/>
    <s v="Decorative"/>
    <x v="8"/>
    <x v="13"/>
    <n v="200"/>
    <m/>
    <n v="0.35"/>
    <n v="20.98"/>
    <n v="54"/>
    <n v="1132.6300000000001"/>
    <m/>
    <m/>
  </r>
  <r>
    <x v="1"/>
    <x v="1"/>
    <x v="0"/>
    <x v="5"/>
    <s v="Group 2 - Between 12,000 and 100,000 Lumens"/>
    <s v="With Pole"/>
    <m/>
    <m/>
    <n v="475"/>
    <s v="LGE475"/>
    <x v="13"/>
    <s v="Decorative"/>
    <x v="9"/>
    <x v="13"/>
    <n v="400"/>
    <m/>
    <n v="0.35"/>
    <n v="28.44"/>
    <n v="2"/>
    <n v="56.87"/>
    <m/>
    <m/>
  </r>
  <r>
    <x v="1"/>
    <x v="1"/>
    <x v="0"/>
    <x v="6"/>
    <s v="Group 3 - &gt; 100,000 Lumens"/>
    <s v="With Pole"/>
    <m/>
    <m/>
    <n v="477"/>
    <s v="LGE477"/>
    <x v="13"/>
    <s v="Decorative"/>
    <x v="8"/>
    <x v="14"/>
    <n v="1000"/>
    <m/>
    <n v="1.08"/>
    <n v="42.81"/>
    <n v="63"/>
    <n v="2696.02"/>
    <m/>
    <m/>
  </r>
  <r>
    <x v="4"/>
    <x v="0"/>
    <x v="0"/>
    <x v="0"/>
    <m/>
    <m/>
    <m/>
    <m/>
    <n v="4"/>
    <s v="KU- TENN4"/>
    <x v="13"/>
    <s v="Decorative"/>
    <x v="10"/>
    <x v="0"/>
    <n v="100"/>
    <m/>
    <n v="0.11700000000000001"/>
    <n v="8.01"/>
    <n v="0"/>
    <m/>
    <m/>
    <m/>
  </r>
  <r>
    <x v="2"/>
    <x v="2"/>
    <x v="1"/>
    <x v="0"/>
    <s v="Group 1 - &lt; 12,000 Lumens"/>
    <s v="With Pole"/>
    <m/>
    <m/>
    <n v="300"/>
    <s v="KU300"/>
    <x v="14"/>
    <s v="Decorative"/>
    <x v="3"/>
    <x v="6"/>
    <n v="50"/>
    <m/>
    <n v="0.06"/>
    <n v="24.35"/>
    <s v=""/>
    <s v=""/>
    <m/>
    <m/>
  </r>
  <r>
    <x v="2"/>
    <x v="2"/>
    <x v="1"/>
    <x v="0"/>
    <s v="Group 1 - &lt; 12,000 Lumens"/>
    <s v="With Pole"/>
    <m/>
    <m/>
    <n v="301"/>
    <s v="KU301"/>
    <x v="14"/>
    <s v="Decorative"/>
    <x v="3"/>
    <x v="0"/>
    <n v="100"/>
    <m/>
    <n v="0.11700000000000001"/>
    <n v="25.45"/>
    <s v=""/>
    <s v=""/>
    <m/>
    <m/>
  </r>
  <r>
    <x v="1"/>
    <x v="2"/>
    <x v="1"/>
    <x v="0"/>
    <s v="Group 1 - &lt; 12,000 Lumens"/>
    <s v="With Pole"/>
    <m/>
    <m/>
    <n v="400"/>
    <s v="LGE400"/>
    <x v="14"/>
    <s v="Decorative"/>
    <x v="3"/>
    <x v="6"/>
    <n v="50"/>
    <m/>
    <n v="0.06"/>
    <n v="23.9"/>
    <n v="49"/>
    <n v="1170.82"/>
    <m/>
    <m/>
  </r>
  <r>
    <x v="1"/>
    <x v="2"/>
    <x v="1"/>
    <x v="0"/>
    <s v="Group 1 - &lt; 12,000 Lumens"/>
    <s v="With Pole"/>
    <m/>
    <m/>
    <n v="401"/>
    <s v="LGE401"/>
    <x v="14"/>
    <s v="Decorative"/>
    <x v="3"/>
    <x v="0"/>
    <n v="70"/>
    <m/>
    <n v="0.11700000000000001"/>
    <n v="24.92"/>
    <n v="8"/>
    <n v="199.28"/>
    <m/>
    <m/>
  </r>
  <r>
    <x v="1"/>
    <x v="1"/>
    <x v="1"/>
    <x v="3"/>
    <s v="Group 1 - &lt; 12,000 Lumens"/>
    <s v="With Pole"/>
    <m/>
    <m/>
    <n v="349"/>
    <s v="LGE349"/>
    <x v="15"/>
    <s v="Decorative"/>
    <x v="3"/>
    <x v="17"/>
    <n v="115"/>
    <m/>
    <n v="0.10199999999999999"/>
    <n v="9.0299999999999994"/>
    <n v="17"/>
    <n v="153.51"/>
    <m/>
    <m/>
  </r>
  <r>
    <x v="1"/>
    <x v="1"/>
    <x v="1"/>
    <x v="3"/>
    <s v="Group 1 - &lt; 12,000 Lumens"/>
    <s v="With Pole"/>
    <m/>
    <m/>
    <n v="348"/>
    <s v="LGE348"/>
    <x v="15"/>
    <s v="Decorative"/>
    <x v="3"/>
    <x v="7"/>
    <n v="370"/>
    <m/>
    <n v="0.44700000000000001"/>
    <n v="13.13"/>
    <n v="39"/>
    <n v="512.04999999999995"/>
    <m/>
    <m/>
  </r>
  <r>
    <x v="4"/>
    <x v="0"/>
    <x v="1"/>
    <x v="0"/>
    <m/>
    <m/>
    <m/>
    <m/>
    <n v="17"/>
    <s v="KU- TENN17"/>
    <x v="16"/>
    <s v="Decorative"/>
    <x v="10"/>
    <x v="3"/>
    <n v="70"/>
    <m/>
    <n v="8.3000000000000004E-2"/>
    <n v="13.99"/>
    <n v="0"/>
    <m/>
    <m/>
    <m/>
  </r>
  <r>
    <x v="4"/>
    <x v="0"/>
    <x v="1"/>
    <x v="0"/>
    <m/>
    <m/>
    <m/>
    <m/>
    <n v="19"/>
    <s v="KU- TENN19"/>
    <x v="16"/>
    <s v="Decorative"/>
    <x v="10"/>
    <x v="0"/>
    <e v="#N/A"/>
    <m/>
    <n v="0.11700000000000001"/>
    <n v="14.12"/>
    <n v="0"/>
    <m/>
    <m/>
    <m/>
  </r>
  <r>
    <x v="2"/>
    <x v="2"/>
    <x v="1"/>
    <x v="0"/>
    <s v="Group 1 - &lt; 12,000 Lumens"/>
    <s v="Without Pole"/>
    <m/>
    <m/>
    <n v="492"/>
    <s v="KU492"/>
    <x v="17"/>
    <s v="Decorative"/>
    <x v="0"/>
    <x v="3"/>
    <n v="70"/>
    <m/>
    <n v="8.3000000000000004E-2"/>
    <n v="16.64"/>
    <n v="2"/>
    <n v="32.67"/>
    <m/>
    <m/>
  </r>
  <r>
    <x v="2"/>
    <x v="2"/>
    <x v="1"/>
    <x v="0"/>
    <s v="Group 1 - &lt; 12,000 Lumens"/>
    <s v="With Pole"/>
    <m/>
    <m/>
    <n v="476"/>
    <s v="KU476"/>
    <x v="17"/>
    <s v="Decorative"/>
    <x v="3"/>
    <x v="3"/>
    <n v="1000"/>
    <m/>
    <n v="8.3000000000000004E-2"/>
    <n v="18.18"/>
    <n v="4709"/>
    <n v="79075.5"/>
    <m/>
    <m/>
  </r>
  <r>
    <x v="2"/>
    <x v="2"/>
    <x v="1"/>
    <x v="0"/>
    <s v="Group 1 - &lt; 12,000 Lumens"/>
    <s v="Without Pole"/>
    <m/>
    <m/>
    <n v="497"/>
    <s v="KU497"/>
    <x v="17"/>
    <s v="Decorative"/>
    <x v="0"/>
    <x v="0"/>
    <n v="100"/>
    <m/>
    <n v="0.11700000000000001"/>
    <n v="16.62"/>
    <n v="14"/>
    <n v="226.11"/>
    <m/>
    <m/>
  </r>
  <r>
    <x v="2"/>
    <x v="2"/>
    <x v="1"/>
    <x v="0"/>
    <s v="Group 1 - &lt; 12,000 Lumens"/>
    <s v="With Pole"/>
    <m/>
    <m/>
    <n v="477"/>
    <s v="KU477"/>
    <x v="17"/>
    <s v="Decorative"/>
    <x v="3"/>
    <x v="0"/>
    <n v="1000"/>
    <m/>
    <n v="0.11700000000000001"/>
    <n v="22.71"/>
    <n v="1046"/>
    <n v="22230.04"/>
    <m/>
    <m/>
  </r>
  <r>
    <x v="2"/>
    <x v="2"/>
    <x v="1"/>
    <x v="0"/>
    <s v="Group 2 - Between 12,000 and 100,000 Lumens"/>
    <s v="Without Pole"/>
    <m/>
    <m/>
    <n v="498"/>
    <s v="KU498"/>
    <x v="17"/>
    <s v="Decorative"/>
    <x v="0"/>
    <x v="9"/>
    <n v="200"/>
    <s v="*"/>
    <n v="0.24199999999999999"/>
    <n v="19.190000000000001"/>
    <n v="30"/>
    <n v="541.88"/>
    <s v="Not available for use in residential neighborhoods except by municipal authorities."/>
    <m/>
  </r>
  <r>
    <x v="2"/>
    <x v="2"/>
    <x v="1"/>
    <x v="0"/>
    <s v="Group 2 - Between 12,000 and 100,000 Lumens"/>
    <s v="With Pole"/>
    <m/>
    <m/>
    <n v="478"/>
    <s v="KU478"/>
    <x v="17"/>
    <s v="Decorative"/>
    <x v="3"/>
    <x v="9"/>
    <n v="200"/>
    <s v="*"/>
    <n v="0.24199999999999999"/>
    <n v="29.08"/>
    <n v="1463"/>
    <n v="39933.72"/>
    <s v="Not available for use in residential neighborhoods except by municipal authorities."/>
    <m/>
  </r>
  <r>
    <x v="2"/>
    <x v="2"/>
    <x v="1"/>
    <x v="0"/>
    <s v="Group 2 - Between 12,000 and 100,000 Lumens"/>
    <s v="Without Pole"/>
    <m/>
    <m/>
    <n v="499"/>
    <s v="KU499"/>
    <x v="17"/>
    <s v="Decorative"/>
    <x v="0"/>
    <x v="10"/>
    <n v="400"/>
    <s v="*"/>
    <n v="0.47099999999999997"/>
    <n v="23.27"/>
    <n v="35"/>
    <n v="782.91"/>
    <s v="Not available for use in residential neighborhoods except by municipal authorities."/>
    <m/>
  </r>
  <r>
    <x v="2"/>
    <x v="2"/>
    <x v="1"/>
    <x v="0"/>
    <s v="Group 2 - Between 12,000 and 100,000 Lumens"/>
    <s v="With Pole"/>
    <m/>
    <m/>
    <n v="479"/>
    <s v="KU479"/>
    <x v="17"/>
    <s v="Decorative"/>
    <x v="3"/>
    <x v="10"/>
    <n v="400"/>
    <s v="*"/>
    <n v="0.47099999999999997"/>
    <n v="35.86"/>
    <n v="945"/>
    <n v="32485.5"/>
    <s v="Not available for use in residential neighborhoods except by municipal authorities."/>
    <m/>
  </r>
  <r>
    <x v="2"/>
    <x v="2"/>
    <x v="1"/>
    <x v="5"/>
    <s v="Group 1 - &lt; 12,000 Lumens"/>
    <s v="Without Pole"/>
    <m/>
    <m/>
    <n v="490"/>
    <s v="KU490"/>
    <x v="17"/>
    <s v="Decorative"/>
    <x v="0"/>
    <x v="12"/>
    <n v="150"/>
    <s v="*"/>
    <n v="0.15"/>
    <n v="16.75"/>
    <n v="59"/>
    <n v="940.19"/>
    <s v="Not available for use in residential neighborhoods except by municipal authorities."/>
    <m/>
  </r>
  <r>
    <x v="2"/>
    <x v="2"/>
    <x v="1"/>
    <x v="5"/>
    <s v="Group 1 - &lt; 12,000 Lumens"/>
    <s v="With Pole"/>
    <m/>
    <m/>
    <n v="494"/>
    <s v="KU494"/>
    <x v="17"/>
    <s v="Decorative"/>
    <x v="3"/>
    <x v="12"/>
    <n v="150"/>
    <s v="*"/>
    <n v="0.15"/>
    <n v="30.72"/>
    <n v="182"/>
    <n v="5274.24"/>
    <s v="Not available for use in residential neighborhoods except by municipal authorities."/>
    <m/>
  </r>
  <r>
    <x v="2"/>
    <x v="2"/>
    <x v="1"/>
    <x v="5"/>
    <s v="Group 2 - Between 12,000 and 100,000 Lumens"/>
    <s v="Without Pole"/>
    <m/>
    <m/>
    <n v="491"/>
    <s v="KU491"/>
    <x v="17"/>
    <s v="Decorative"/>
    <x v="0"/>
    <x v="13"/>
    <n v="350"/>
    <s v="*"/>
    <n v="0.35"/>
    <n v="23.75"/>
    <n v="312"/>
    <n v="7067.48"/>
    <s v="Not available for use in residential neighborhoods except by municipal authorities."/>
    <m/>
  </r>
  <r>
    <x v="2"/>
    <x v="2"/>
    <x v="1"/>
    <x v="5"/>
    <s v="Group 2 - Between 12,000 and 100,000 Lumens"/>
    <s v="With Pole"/>
    <m/>
    <m/>
    <n v="495"/>
    <s v="KU495"/>
    <x v="17"/>
    <s v="Decorative"/>
    <x v="3"/>
    <x v="13"/>
    <n v="350"/>
    <s v="*"/>
    <n v="0.35"/>
    <n v="37.71"/>
    <n v="669"/>
    <n v="24275.83"/>
    <s v="Not available for use in residential neighborhoods except by municipal authorities."/>
    <m/>
  </r>
  <r>
    <x v="2"/>
    <x v="2"/>
    <x v="1"/>
    <x v="6"/>
    <s v="Group 3 - &gt; 100,000 Lumens"/>
    <s v="Without Pole"/>
    <m/>
    <m/>
    <n v="493"/>
    <s v="KU493"/>
    <x v="17"/>
    <s v="Decorative"/>
    <x v="0"/>
    <x v="14"/>
    <n v="1000"/>
    <s v="*"/>
    <n v="1.08"/>
    <n v="49.48"/>
    <n v="43"/>
    <n v="2030.14"/>
    <s v="Not available for use in residential neighborhoods except by municipal authorities."/>
    <m/>
  </r>
  <r>
    <x v="2"/>
    <x v="2"/>
    <x v="1"/>
    <x v="6"/>
    <s v="Group 3 - &gt; 100,000 Lumens"/>
    <s v="With Pole"/>
    <m/>
    <m/>
    <n v="496"/>
    <s v="KU496"/>
    <x v="17"/>
    <s v="Decorative"/>
    <x v="3"/>
    <x v="14"/>
    <n v="1000"/>
    <s v="*"/>
    <n v="1.08"/>
    <n v="63.44"/>
    <n v="140"/>
    <n v="8517.8700000000008"/>
    <s v="Not available for use in residential neighborhoods except by municipal authorities."/>
    <m/>
  </r>
  <r>
    <x v="1"/>
    <x v="2"/>
    <x v="1"/>
    <x v="0"/>
    <s v="Group 2 - Between 12,000 and 100,000 Lumens"/>
    <s v="Without Pole"/>
    <m/>
    <m/>
    <n v="439"/>
    <s v="LGE439"/>
    <x v="17"/>
    <s v="Decorative"/>
    <x v="0"/>
    <x v="11"/>
    <n v="150"/>
    <m/>
    <n v="0.18099999999999999"/>
    <n v="16.47"/>
    <s v=""/>
    <s v=""/>
    <m/>
    <m/>
  </r>
  <r>
    <x v="1"/>
    <x v="2"/>
    <x v="1"/>
    <x v="0"/>
    <s v="Group 2 - Between 12,000 and 100,000 Lumens"/>
    <s v="With Pole"/>
    <m/>
    <m/>
    <n v="420"/>
    <s v="LGE420"/>
    <x v="17"/>
    <s v="Decorative"/>
    <x v="3"/>
    <x v="11"/>
    <n v="150"/>
    <m/>
    <n v="0.18099999999999999"/>
    <n v="29.91"/>
    <n v="61"/>
    <n v="1823.77"/>
    <m/>
    <m/>
  </r>
  <r>
    <x v="1"/>
    <x v="2"/>
    <x v="1"/>
    <x v="0"/>
    <s v="Group 2 - Between 12,000 and 100,000 Lumens"/>
    <s v="Without Pole"/>
    <m/>
    <m/>
    <n v="440"/>
    <s v="LGE440"/>
    <x v="17"/>
    <s v="Decorative"/>
    <x v="0"/>
    <x v="18"/>
    <n v="250"/>
    <s v="*"/>
    <n v="0.29399999999999998"/>
    <n v="18.29"/>
    <n v="10"/>
    <n v="182.82"/>
    <s v="Not available for use in residential neighborhoods except by municipal authorities."/>
    <m/>
  </r>
  <r>
    <x v="1"/>
    <x v="2"/>
    <x v="1"/>
    <x v="0"/>
    <s v="Group 2 - Between 12,000 and 100,000 Lumens"/>
    <s v="With Pole"/>
    <m/>
    <m/>
    <n v="421"/>
    <s v="LGE421"/>
    <x v="17"/>
    <s v="Decorative"/>
    <x v="3"/>
    <x v="18"/>
    <n v="85"/>
    <s v="*"/>
    <n v="0.29399999999999998"/>
    <n v="32.880000000000003"/>
    <n v="208"/>
    <n v="6837.05"/>
    <s v="Not available for use in residential neighborhoods except by municipal authorities."/>
    <m/>
  </r>
  <r>
    <x v="1"/>
    <x v="2"/>
    <x v="1"/>
    <x v="0"/>
    <s v="Group 2 - Between 12,000 and 100,000 Lumens"/>
    <s v="Without Pole"/>
    <m/>
    <m/>
    <n v="441"/>
    <s v="LGE441"/>
    <x v="17"/>
    <s v="Decorative"/>
    <x v="0"/>
    <x v="10"/>
    <n v="400"/>
    <s v="*"/>
    <n v="0.47099999999999997"/>
    <n v="22.33"/>
    <n v="40"/>
    <n v="892.95"/>
    <s v="Not available for use in residential neighborhoods except by municipal authorities."/>
    <m/>
  </r>
  <r>
    <x v="1"/>
    <x v="2"/>
    <x v="1"/>
    <x v="0"/>
    <s v="Group 2 - Between 12,000 and 100,000 Lumens"/>
    <s v="With Pole"/>
    <m/>
    <m/>
    <n v="422"/>
    <s v="LGE422"/>
    <x v="17"/>
    <s v="Decorative"/>
    <x v="3"/>
    <x v="10"/>
    <n v="175"/>
    <s v="*"/>
    <n v="0.47099999999999997"/>
    <n v="38.409999999999997"/>
    <n v="439"/>
    <n v="16677.23"/>
    <s v="Not available for use in residential neighborhoods except by municipal authorities."/>
    <m/>
  </r>
  <r>
    <x v="1"/>
    <x v="2"/>
    <x v="1"/>
    <x v="5"/>
    <s v="Group 1 - &lt; 12,000 Lumens"/>
    <s v="Without Pole"/>
    <m/>
    <m/>
    <n v="479"/>
    <s v="LGE479"/>
    <x v="17"/>
    <s v="Decorative"/>
    <x v="0"/>
    <x v="12"/>
    <n v="400"/>
    <m/>
    <n v="0.15"/>
    <n v="14.07"/>
    <s v=""/>
    <s v=""/>
    <m/>
    <m/>
  </r>
  <r>
    <x v="1"/>
    <x v="2"/>
    <x v="1"/>
    <x v="5"/>
    <s v="Group 1 - &lt; 12,000 Lumens"/>
    <s v="With Pole"/>
    <m/>
    <m/>
    <n v="480"/>
    <s v="LGE480"/>
    <x v="17"/>
    <s v="Decorative"/>
    <x v="3"/>
    <x v="12"/>
    <n v="150"/>
    <m/>
    <n v="0.15"/>
    <n v="23.84"/>
    <n v="20"/>
    <n v="476.76"/>
    <m/>
    <m/>
  </r>
  <r>
    <x v="1"/>
    <x v="2"/>
    <x v="1"/>
    <x v="5"/>
    <s v="Group 2 - Between 12,000 and 100,000 Lumens"/>
    <s v="Without Pole"/>
    <m/>
    <m/>
    <n v="481"/>
    <s v="LGE481"/>
    <x v="17"/>
    <s v="Decorative"/>
    <x v="0"/>
    <x v="13"/>
    <n v="350"/>
    <m/>
    <n v="0.35"/>
    <n v="20.47"/>
    <n v="6"/>
    <n v="122.78"/>
    <m/>
    <m/>
  </r>
  <r>
    <x v="1"/>
    <x v="2"/>
    <x v="1"/>
    <x v="5"/>
    <s v="Group 2 - Between 12,000 and 100,000 Lumens"/>
    <s v="With Pole"/>
    <m/>
    <m/>
    <n v="482"/>
    <s v="LGE482"/>
    <x v="17"/>
    <s v="Decorative"/>
    <x v="3"/>
    <x v="13"/>
    <n v="350"/>
    <m/>
    <n v="0.35"/>
    <n v="30.23"/>
    <n v="100"/>
    <n v="3052.21"/>
    <m/>
    <m/>
  </r>
  <r>
    <x v="1"/>
    <x v="2"/>
    <x v="1"/>
    <x v="6"/>
    <s v="Group 3 - &gt; 100,000 Lumens"/>
    <s v="Without Pole"/>
    <m/>
    <m/>
    <n v="483"/>
    <s v="LGE483"/>
    <x v="17"/>
    <s v="Decorative"/>
    <x v="0"/>
    <x v="14"/>
    <n v="1000"/>
    <s v="*"/>
    <n v="1.08"/>
    <n v="42.59"/>
    <n v="4"/>
    <n v="170.26"/>
    <s v="Not available for use in residential neighborhoods except by municipal authorities."/>
    <m/>
  </r>
  <r>
    <x v="1"/>
    <x v="2"/>
    <x v="1"/>
    <x v="6"/>
    <s v="Group 3 - &gt; 100,000 Lumens"/>
    <s v="With Pole"/>
    <m/>
    <m/>
    <n v="484"/>
    <s v="LGE484"/>
    <x v="17"/>
    <s v="Decorative"/>
    <x v="3"/>
    <x v="14"/>
    <n v="1000"/>
    <s v="*"/>
    <n v="1.08"/>
    <n v="52.34"/>
    <n v="23"/>
    <n v="1252.28"/>
    <s v="Not available for use in residential neighborhoods except by municipal authorities."/>
    <m/>
  </r>
  <r>
    <x v="1"/>
    <x v="1"/>
    <x v="1"/>
    <x v="0"/>
    <s v="Group 3 - &gt; 100,000 Lumens"/>
    <s v="Without Pole"/>
    <m/>
    <m/>
    <n v="279"/>
    <s v="LGE279"/>
    <x v="17"/>
    <s v="Decorative"/>
    <x v="0"/>
    <x v="19"/>
    <n v="1000"/>
    <m/>
    <n v="1"/>
    <n v="41.46"/>
    <n v="11"/>
    <n v="455.89"/>
    <m/>
    <m/>
  </r>
  <r>
    <x v="1"/>
    <x v="1"/>
    <x v="1"/>
    <x v="0"/>
    <s v="Group 3 - &gt; 100,000 Lumens"/>
    <s v="With Pole"/>
    <m/>
    <m/>
    <n v="278"/>
    <s v="LGE278"/>
    <x v="17"/>
    <s v="Decorative"/>
    <x v="3"/>
    <x v="19"/>
    <n v="1000"/>
    <m/>
    <n v="1"/>
    <n v="72.59"/>
    <n v="17"/>
    <n v="1233.6500000000001"/>
    <m/>
    <m/>
  </r>
  <r>
    <x v="4"/>
    <x v="0"/>
    <x v="1"/>
    <x v="0"/>
    <m/>
    <m/>
    <m/>
    <m/>
    <n v="16"/>
    <s v="KU- TENN16"/>
    <x v="17"/>
    <s v="Decorative"/>
    <x v="10"/>
    <x v="3"/>
    <e v="#N/A"/>
    <m/>
    <n v="8.3000000000000004E-2"/>
    <n v="21.45"/>
    <n v="0"/>
    <m/>
    <m/>
    <m/>
  </r>
  <r>
    <x v="4"/>
    <x v="0"/>
    <x v="1"/>
    <x v="0"/>
    <m/>
    <m/>
    <m/>
    <m/>
    <n v="18"/>
    <s v="KU- TENN18"/>
    <x v="17"/>
    <s v="Decorative"/>
    <x v="10"/>
    <x v="0"/>
    <e v="#N/A"/>
    <m/>
    <n v="0.11700000000000001"/>
    <n v="21.59"/>
    <n v="0"/>
    <m/>
    <m/>
    <m/>
  </r>
  <r>
    <x v="1"/>
    <x v="2"/>
    <x v="1"/>
    <x v="0"/>
    <s v="Group 1 - &lt; 12,000 Lumens"/>
    <s v="With Pole"/>
    <m/>
    <m/>
    <n v="412"/>
    <s v="LGE412"/>
    <x v="18"/>
    <s v="Decorative"/>
    <x v="3"/>
    <x v="3"/>
    <n v="70"/>
    <m/>
    <n v="8.3000000000000004E-2"/>
    <n v="19.8"/>
    <n v="239"/>
    <n v="4730.8999999999996"/>
    <m/>
    <m/>
  </r>
  <r>
    <x v="1"/>
    <x v="2"/>
    <x v="1"/>
    <x v="0"/>
    <s v="Group 1 - &lt; 12,000 Lumens"/>
    <s v="With Pole"/>
    <m/>
    <m/>
    <n v="413"/>
    <s v="LGE413"/>
    <x v="18"/>
    <s v="Decorative"/>
    <x v="3"/>
    <x v="0"/>
    <n v="100"/>
    <m/>
    <n v="0.11700000000000001"/>
    <n v="20.5"/>
    <n v="2530"/>
    <n v="51737.7"/>
    <m/>
    <m/>
  </r>
  <r>
    <x v="1"/>
    <x v="2"/>
    <x v="1"/>
    <x v="0"/>
    <s v="Group 2 - Between 12,000 and 100,000 Lumens"/>
    <s v="With Pole"/>
    <m/>
    <m/>
    <n v="444"/>
    <s v="LGE444"/>
    <x v="18"/>
    <s v="Decorative"/>
    <x v="3"/>
    <x v="11"/>
    <n v="150"/>
    <m/>
    <n v="0.18099999999999999"/>
    <n v="20.74"/>
    <s v=""/>
    <s v=""/>
    <m/>
    <m/>
  </r>
  <r>
    <x v="2"/>
    <x v="2"/>
    <x v="1"/>
    <x v="0"/>
    <s v="Group 1 - &lt; 12,000 Lumens"/>
    <s v="With Pole"/>
    <m/>
    <m/>
    <n v="467"/>
    <s v="KU467"/>
    <x v="19"/>
    <s v="Decorative"/>
    <x v="3"/>
    <x v="3"/>
    <n v="70"/>
    <m/>
    <n v="8.3000000000000004E-2"/>
    <n v="11.66"/>
    <n v="1407"/>
    <n v="15613.59"/>
    <m/>
    <m/>
  </r>
  <r>
    <x v="2"/>
    <x v="2"/>
    <x v="1"/>
    <x v="0"/>
    <s v="Group 1 - &lt; 12,000 Lumens"/>
    <s v="With Pole"/>
    <m/>
    <m/>
    <n v="468"/>
    <s v="KU468"/>
    <x v="19"/>
    <s v="Decorative"/>
    <x v="3"/>
    <x v="0"/>
    <n v="100"/>
    <m/>
    <n v="0.11700000000000001"/>
    <n v="12.08"/>
    <n v="4100"/>
    <n v="46980.94"/>
    <m/>
    <m/>
  </r>
  <r>
    <x v="2"/>
    <x v="1"/>
    <x v="1"/>
    <x v="0"/>
    <s v="Group 1 - &lt; 12,000 Lumens"/>
    <s v="With Pole"/>
    <m/>
    <m/>
    <n v="466"/>
    <s v="KU466"/>
    <x v="19"/>
    <s v="Decorative"/>
    <x v="3"/>
    <x v="6"/>
    <n v="60"/>
    <m/>
    <n v="0.06"/>
    <n v="10.42"/>
    <n v="856"/>
    <n v="8443.91"/>
    <m/>
    <m/>
  </r>
  <r>
    <x v="4"/>
    <x v="0"/>
    <x v="1"/>
    <x v="0"/>
    <m/>
    <m/>
    <m/>
    <m/>
    <n v="11"/>
    <s v="KU- TENN11"/>
    <x v="19"/>
    <s v="Decorative"/>
    <x v="10"/>
    <x v="6"/>
    <e v="#N/A"/>
    <m/>
    <n v="0.06"/>
    <n v="8.67"/>
    <n v="0"/>
    <m/>
    <m/>
    <m/>
  </r>
  <r>
    <x v="4"/>
    <x v="0"/>
    <x v="1"/>
    <x v="0"/>
    <m/>
    <m/>
    <m/>
    <m/>
    <n v="12"/>
    <s v="KU- TENN12"/>
    <x v="19"/>
    <s v="Decorative"/>
    <x v="10"/>
    <x v="3"/>
    <e v="#N/A"/>
    <m/>
    <n v="8.3000000000000004E-2"/>
    <n v="9.57"/>
    <n v="0"/>
    <m/>
    <m/>
    <m/>
  </r>
  <r>
    <x v="4"/>
    <x v="0"/>
    <x v="1"/>
    <x v="0"/>
    <m/>
    <m/>
    <m/>
    <m/>
    <n v="13"/>
    <s v="KU- TENN13"/>
    <x v="19"/>
    <s v="Decorative"/>
    <x v="10"/>
    <x v="0"/>
    <e v="#N/A"/>
    <m/>
    <n v="0.11700000000000001"/>
    <n v="10.09"/>
    <n v="0"/>
    <m/>
    <m/>
    <m/>
  </r>
  <r>
    <x v="1"/>
    <x v="1"/>
    <x v="0"/>
    <x v="4"/>
    <s v="Group 1 - &lt; 12,000 Lumens"/>
    <s v="Without Pole"/>
    <m/>
    <m/>
    <n v="252"/>
    <s v="LGE252"/>
    <x v="20"/>
    <s v="Cobra Head/Open Bottom"/>
    <x v="0"/>
    <x v="20"/>
    <n v="175"/>
    <m/>
    <n v="0.21"/>
    <n v="9.59"/>
    <n v="3786"/>
    <n v="36136.99"/>
    <m/>
    <m/>
  </r>
  <r>
    <x v="1"/>
    <x v="1"/>
    <x v="1"/>
    <x v="0"/>
    <s v="Group 2 - Between 12,000 and 100,000 Lumens"/>
    <s v="With Pole"/>
    <m/>
    <m/>
    <n v="275"/>
    <s v="LGE275"/>
    <x v="21"/>
    <s v="Cobra Head/Open Bottom"/>
    <x v="3"/>
    <x v="11"/>
    <n v="150"/>
    <m/>
    <n v="0.18099999999999999"/>
    <n v="24.91"/>
    <n v="521"/>
    <n v="12971.94"/>
    <m/>
    <m/>
  </r>
  <r>
    <x v="1"/>
    <x v="1"/>
    <x v="1"/>
    <x v="0"/>
    <s v="Group 2 - Between 12,000 and 100,000 Lumens"/>
    <s v="With Pole"/>
    <m/>
    <m/>
    <n v="266"/>
    <s v="LGE266"/>
    <x v="21"/>
    <s v="Cobra Head/Open Bottom"/>
    <x v="3"/>
    <x v="18"/>
    <n v="250"/>
    <m/>
    <n v="0.29399999999999998"/>
    <n v="27.36"/>
    <n v="2080"/>
    <n v="56603.12"/>
    <m/>
    <m/>
  </r>
  <r>
    <x v="1"/>
    <x v="1"/>
    <x v="1"/>
    <x v="0"/>
    <s v="Group 2 - Between 12,000 and 100,000 Lumens"/>
    <s v="With Pole"/>
    <m/>
    <m/>
    <n v="267"/>
    <s v="LGE267"/>
    <x v="21"/>
    <s v="Cobra Head/Open Bottom"/>
    <x v="3"/>
    <x v="10"/>
    <n v="400"/>
    <m/>
    <n v="0.47099999999999997"/>
    <n v="31.42"/>
    <n v="2320"/>
    <n v="72819.759999999995"/>
    <m/>
    <m/>
  </r>
  <r>
    <x v="2"/>
    <x v="2"/>
    <x v="0"/>
    <x v="0"/>
    <s v="Group 1 - &lt; 12,000 Lumens"/>
    <s v="Without Pole"/>
    <m/>
    <m/>
    <n v="462"/>
    <s v="KU462"/>
    <x v="22"/>
    <s v="Cobra Head/Open Bottom"/>
    <x v="0"/>
    <x v="3"/>
    <n v="70"/>
    <m/>
    <n v="8.3000000000000004E-2"/>
    <n v="9.3800000000000008"/>
    <n v="8845"/>
    <n v="77745.429999999993"/>
    <m/>
    <m/>
  </r>
  <r>
    <x v="2"/>
    <x v="2"/>
    <x v="0"/>
    <x v="0"/>
    <s v="Group 1 - &lt; 12,000 Lumens"/>
    <s v="With Pole"/>
    <m/>
    <m/>
    <n v="472"/>
    <s v="KU472"/>
    <x v="22"/>
    <s v="Cobra Head/Open Bottom"/>
    <x v="6"/>
    <x v="3"/>
    <n v="70"/>
    <m/>
    <n v="8.3000000000000004E-2"/>
    <n v="12.56"/>
    <n v="9004"/>
    <n v="104673.3"/>
    <m/>
    <m/>
  </r>
  <r>
    <x v="2"/>
    <x v="2"/>
    <x v="0"/>
    <x v="0"/>
    <s v="Group 1 - &lt; 12,000 Lumens"/>
    <s v="Without Pole"/>
    <m/>
    <m/>
    <n v="463"/>
    <s v="KU463"/>
    <x v="22"/>
    <s v="Cobra Head/Open Bottom"/>
    <x v="0"/>
    <x v="0"/>
    <n v="100"/>
    <m/>
    <n v="0.11700000000000001"/>
    <n v="9.9"/>
    <n v="21295"/>
    <n v="200832.28"/>
    <m/>
    <m/>
  </r>
  <r>
    <x v="2"/>
    <x v="2"/>
    <x v="0"/>
    <x v="0"/>
    <s v="Group 1 - &lt; 12,000 Lumens"/>
    <s v="With Pole"/>
    <m/>
    <m/>
    <n v="473"/>
    <s v="KU473"/>
    <x v="22"/>
    <s v="Cobra Head/Open Bottom"/>
    <x v="6"/>
    <x v="0"/>
    <n v="100"/>
    <m/>
    <n v="0.11700000000000001"/>
    <n v="13.32"/>
    <n v="3460"/>
    <n v="43380.83"/>
    <m/>
    <m/>
  </r>
  <r>
    <x v="2"/>
    <x v="2"/>
    <x v="0"/>
    <x v="0"/>
    <s v="Group 2 - Between 12,000 and 100,000 Lumens"/>
    <s v="Without Pole"/>
    <m/>
    <m/>
    <n v="464"/>
    <s v="KU464"/>
    <x v="22"/>
    <s v="Cobra Head/Open Bottom"/>
    <x v="0"/>
    <x v="9"/>
    <n v="200"/>
    <s v="*"/>
    <n v="0.24199999999999999"/>
    <n v="15.43"/>
    <n v="7781"/>
    <n v="113733.65"/>
    <s v="Not available for use in residential neighborhoods except by municipal authorities."/>
    <m/>
  </r>
  <r>
    <x v="2"/>
    <x v="2"/>
    <x v="0"/>
    <x v="0"/>
    <s v="Group 2 - Between 12,000 and 100,000 Lumens"/>
    <s v="With Pole"/>
    <m/>
    <m/>
    <n v="474"/>
    <s v="KU474"/>
    <x v="22"/>
    <s v="Cobra Head/Open Bottom"/>
    <x v="6"/>
    <x v="9"/>
    <n v="200"/>
    <s v="*"/>
    <n v="0.24199999999999999"/>
    <n v="18.850000000000001"/>
    <n v="5228"/>
    <n v="92176.53"/>
    <s v="Not available for use in residential neighborhoods except by municipal authorities."/>
    <m/>
  </r>
  <r>
    <x v="2"/>
    <x v="2"/>
    <x v="0"/>
    <x v="0"/>
    <s v="Group 2 - Between 12,000 and 100,000 Lumens"/>
    <s v="Without Pole"/>
    <m/>
    <m/>
    <n v="465"/>
    <s v="KU465"/>
    <x v="22"/>
    <s v="Cobra Head/Open Bottom"/>
    <x v="0"/>
    <x v="10"/>
    <n v="400"/>
    <s v="*"/>
    <n v="0.47099999999999997"/>
    <n v="24.73"/>
    <n v="2752"/>
    <n v="64755.519999999997"/>
    <s v="Not available for use in residential neighborhoods except by municipal authorities."/>
    <m/>
  </r>
  <r>
    <x v="2"/>
    <x v="2"/>
    <x v="0"/>
    <x v="0"/>
    <s v="Group 2 - Between 12,000 and 100,000 Lumens"/>
    <s v="With Pole"/>
    <m/>
    <m/>
    <n v="475"/>
    <s v="KU475"/>
    <x v="22"/>
    <s v="Cobra Head/Open Bottom"/>
    <x v="6"/>
    <x v="10"/>
    <n v="400"/>
    <s v="*"/>
    <n v="0.47099999999999997"/>
    <n v="26.49"/>
    <n v="530"/>
    <n v="13111.45"/>
    <s v="Not available for use in residential neighborhoods except by municipal authorities."/>
    <m/>
  </r>
  <r>
    <x v="2"/>
    <x v="1"/>
    <x v="0"/>
    <x v="0"/>
    <s v="Group 1 - &lt; 12,000 Lumens"/>
    <s v="Without Pole"/>
    <m/>
    <m/>
    <n v="461"/>
    <s v="KU461"/>
    <x v="22"/>
    <s v="Cobra Head/Open Bottom"/>
    <x v="0"/>
    <x v="6"/>
    <n v="50"/>
    <m/>
    <n v="0.06"/>
    <n v="8.16"/>
    <n v="7280"/>
    <n v="56449.1"/>
    <m/>
    <m/>
  </r>
  <r>
    <x v="2"/>
    <x v="1"/>
    <x v="0"/>
    <x v="0"/>
    <s v="Group 1 - &lt; 12,000 Lumens"/>
    <s v="With Pole"/>
    <m/>
    <m/>
    <n v="471"/>
    <s v="KU471"/>
    <x v="22"/>
    <s v="Cobra Head/Open Bottom"/>
    <x v="4"/>
    <x v="6"/>
    <n v="50"/>
    <m/>
    <n v="0.06"/>
    <n v="11.36"/>
    <n v="3625"/>
    <n v="37995.879999999997"/>
    <m/>
    <m/>
  </r>
  <r>
    <x v="2"/>
    <x v="1"/>
    <x v="0"/>
    <x v="0"/>
    <s v="Group 2 - Between 12,000 and 100,000 Lumens"/>
    <s v="Without Pole"/>
    <m/>
    <m/>
    <n v="409"/>
    <s v="KU409"/>
    <x v="22"/>
    <s v="Cobra Head/Open Bottom"/>
    <x v="0"/>
    <x v="10"/>
    <n v="400"/>
    <m/>
    <n v="0.47099999999999997"/>
    <n v="12.68"/>
    <n v="139"/>
    <n v="1667.78"/>
    <m/>
    <m/>
  </r>
  <r>
    <x v="2"/>
    <x v="1"/>
    <x v="0"/>
    <x v="4"/>
    <s v="Group 1 - &lt; 12,000 Lumens"/>
    <s v="Without Pole"/>
    <m/>
    <m/>
    <n v="446"/>
    <s v="KU446"/>
    <x v="22"/>
    <s v="Cobra Head/Open Bottom"/>
    <x v="0"/>
    <x v="8"/>
    <n v="175"/>
    <m/>
    <n v="0.20699999999999999"/>
    <n v="10.35"/>
    <n v="1097"/>
    <n v="10816.32"/>
    <m/>
    <m/>
  </r>
  <r>
    <x v="2"/>
    <x v="1"/>
    <x v="0"/>
    <x v="4"/>
    <s v="Group 1 - &lt; 12,000 Lumens"/>
    <s v="With Pole"/>
    <m/>
    <m/>
    <n v="456"/>
    <s v="KU456"/>
    <x v="22"/>
    <s v="Cobra Head/Open Bottom"/>
    <x v="4"/>
    <x v="8"/>
    <n v="175"/>
    <m/>
    <n v="0.20699999999999999"/>
    <n v="12.85"/>
    <n v="138"/>
    <n v="1677.04"/>
    <m/>
    <m/>
  </r>
  <r>
    <x v="2"/>
    <x v="1"/>
    <x v="0"/>
    <x v="4"/>
    <s v="Group 1 - &lt; 12,000 Lumens"/>
    <s v="Without Pole"/>
    <m/>
    <m/>
    <n v="447"/>
    <s v="KU447"/>
    <x v="22"/>
    <s v="Cobra Head/Open Bottom"/>
    <x v="0"/>
    <x v="21"/>
    <n v="175"/>
    <m/>
    <n v="0.29399999999999998"/>
    <n v="12.26"/>
    <n v="692"/>
    <n v="7841.14"/>
    <m/>
    <m/>
  </r>
  <r>
    <x v="2"/>
    <x v="1"/>
    <x v="0"/>
    <x v="4"/>
    <s v="Group 1 - &lt; 12,000 Lumens"/>
    <s v="With Pole"/>
    <m/>
    <m/>
    <n v="457"/>
    <s v="KU457"/>
    <x v="22"/>
    <s v="Cobra Head/Open Bottom"/>
    <x v="4"/>
    <x v="21"/>
    <n v="100"/>
    <m/>
    <n v="0.29399999999999998"/>
    <n v="14.47"/>
    <n v="443"/>
    <n v="5918.56"/>
    <m/>
    <m/>
  </r>
  <r>
    <x v="2"/>
    <x v="1"/>
    <x v="0"/>
    <x v="4"/>
    <s v="Group 2 - Between 12,000 and 100,000 Lumens"/>
    <s v="Without Pole"/>
    <m/>
    <m/>
    <n v="448"/>
    <s v="KU448"/>
    <x v="22"/>
    <s v="Cobra Head/Open Bottom"/>
    <x v="0"/>
    <x v="22"/>
    <n v="250"/>
    <m/>
    <n v="0.45300000000000001"/>
    <n v="13.87"/>
    <n v="1509"/>
    <n v="19818.07"/>
    <m/>
    <m/>
  </r>
  <r>
    <x v="2"/>
    <x v="1"/>
    <x v="0"/>
    <x v="4"/>
    <s v="Group 2 - Between 12,000 and 100,000 Lumens"/>
    <s v="With Pole"/>
    <m/>
    <m/>
    <n v="458"/>
    <s v="KU458"/>
    <x v="22"/>
    <s v="Cobra Head/Open Bottom"/>
    <x v="4"/>
    <x v="22"/>
    <n v="250"/>
    <m/>
    <n v="0.45300000000000001"/>
    <n v="16.329999999999998"/>
    <n v="1425"/>
    <n v="21767.39"/>
    <m/>
    <m/>
  </r>
  <r>
    <x v="0"/>
    <x v="0"/>
    <x v="0"/>
    <x v="0"/>
    <s v="Group 2 - Between 12,000 and 100,000 Lumens"/>
    <s v="Without Pole"/>
    <m/>
    <m/>
    <n v="429"/>
    <s v="ODP429"/>
    <x v="22"/>
    <s v="Cobra Head/Open Bottom"/>
    <x v="0"/>
    <x v="9"/>
    <n v="100"/>
    <s v="*"/>
    <n v="0.24199999999999999"/>
    <n v="19.8"/>
    <n v="4"/>
    <n v="79.2"/>
    <s v="Not available for urban residential use."/>
    <m/>
  </r>
  <r>
    <x v="0"/>
    <x v="0"/>
    <x v="0"/>
    <x v="0"/>
    <s v="Group 2 - Between 12,000 and 100,000 Lumens"/>
    <s v="Without Pole"/>
    <m/>
    <m/>
    <n v="407"/>
    <s v="ODP407"/>
    <x v="22"/>
    <s v="Cobra Head/Open Bottom"/>
    <x v="0"/>
    <x v="10"/>
    <n v="400"/>
    <s v="*"/>
    <n v="0.47099999999999997"/>
    <n v="32.69"/>
    <n v="1"/>
    <n v="32.69"/>
    <s v="Not available for urban residential use."/>
    <m/>
  </r>
  <r>
    <x v="1"/>
    <x v="2"/>
    <x v="0"/>
    <x v="0"/>
    <s v="Group 2 - Between 12,000 and 100,000 Lumens"/>
    <s v="Without Pole"/>
    <m/>
    <m/>
    <n v="452"/>
    <s v="LGE452"/>
    <x v="22"/>
    <s v="Cobra Head/Open Bottom"/>
    <x v="0"/>
    <x v="11"/>
    <n v="150"/>
    <m/>
    <n v="0.18099999999999999"/>
    <n v="12.83"/>
    <n v="6755"/>
    <n v="86537.94"/>
    <m/>
    <m/>
  </r>
  <r>
    <x v="1"/>
    <x v="2"/>
    <x v="0"/>
    <x v="0"/>
    <s v="Group 2 - Between 12,000 and 100,000 Lumens"/>
    <s v="Without Pole"/>
    <m/>
    <m/>
    <n v="453"/>
    <s v="LGE453"/>
    <x v="22"/>
    <s v="Cobra Head/Open Bottom"/>
    <x v="0"/>
    <x v="18"/>
    <n v="250"/>
    <m/>
    <n v="0.29399999999999998"/>
    <n v="15.09"/>
    <n v="9849"/>
    <n v="148560.82999999999"/>
    <m/>
    <m/>
  </r>
  <r>
    <x v="1"/>
    <x v="2"/>
    <x v="0"/>
    <x v="0"/>
    <s v="Group 2 - Between 12,000 and 100,000 Lumens"/>
    <s v="Without Pole"/>
    <m/>
    <m/>
    <n v="454"/>
    <s v="LGE454"/>
    <x v="22"/>
    <s v="Cobra Head/Open Bottom"/>
    <x v="0"/>
    <x v="10"/>
    <n v="400"/>
    <s v="*"/>
    <n v="0.47099999999999997"/>
    <n v="17.39"/>
    <n v="5733"/>
    <n v="99460.6"/>
    <s v="Not available for use in residential neighborhoods except by municipal authorities."/>
    <m/>
  </r>
  <r>
    <x v="1"/>
    <x v="2"/>
    <x v="1"/>
    <x v="0"/>
    <s v="Group 2 - Between 12,000 and 100,000 Lumens"/>
    <s v="With Pole"/>
    <m/>
    <m/>
    <n v="423"/>
    <s v="LGE423"/>
    <x v="22"/>
    <s v="Cobra Head/Open Bottom"/>
    <x v="3"/>
    <x v="11"/>
    <n v="150"/>
    <m/>
    <n v="0.18099999999999999"/>
    <n v="26.37"/>
    <n v="23"/>
    <n v="606.30999999999995"/>
    <m/>
    <m/>
  </r>
  <r>
    <x v="1"/>
    <x v="2"/>
    <x v="1"/>
    <x v="0"/>
    <s v="Group 2 - Between 12,000 and 100,000 Lumens"/>
    <s v="With Pole"/>
    <m/>
    <m/>
    <n v="424"/>
    <s v="LGE424"/>
    <x v="22"/>
    <s v="Cobra Head/Open Bottom"/>
    <x v="3"/>
    <x v="18"/>
    <n v="208"/>
    <m/>
    <n v="0.29399999999999998"/>
    <n v="28.47"/>
    <n v="544"/>
    <n v="15569.56"/>
    <m/>
    <m/>
  </r>
  <r>
    <x v="1"/>
    <x v="2"/>
    <x v="1"/>
    <x v="0"/>
    <s v="Group 2 - Between 12,000 and 100,000 Lumens"/>
    <s v="With Pole"/>
    <m/>
    <m/>
    <n v="425"/>
    <s v="LGE425"/>
    <x v="22"/>
    <s v="Cobra Head/Open Bottom"/>
    <x v="3"/>
    <x v="10"/>
    <n v="370"/>
    <s v="*"/>
    <n v="0.47099999999999997"/>
    <n v="34.049999999999997"/>
    <n v="32"/>
    <n v="1089.3399999999999"/>
    <s v="Not available for use in residential neighborhoods except by municipal authorities."/>
    <m/>
  </r>
  <r>
    <x v="1"/>
    <x v="1"/>
    <x v="0"/>
    <x v="4"/>
    <s v="Group 2 - Between 12,000 and 100,000 Lumens"/>
    <s v="Without Pole"/>
    <m/>
    <m/>
    <n v="203"/>
    <s v="LGE203"/>
    <x v="22"/>
    <s v="Cobra Head/Open Bottom"/>
    <x v="0"/>
    <x v="23"/>
    <n v="250"/>
    <m/>
    <n v="0.29799999999999999"/>
    <n v="10.97"/>
    <n v="3481"/>
    <n v="38059.43"/>
    <m/>
    <m/>
  </r>
  <r>
    <x v="1"/>
    <x v="1"/>
    <x v="0"/>
    <x v="4"/>
    <s v="Group 2 - Between 12,000 and 100,000 Lumens"/>
    <s v="Without Pole"/>
    <m/>
    <m/>
    <n v="204"/>
    <s v="LGE204"/>
    <x v="22"/>
    <s v="Cobra Head/Open Bottom"/>
    <x v="0"/>
    <x v="15"/>
    <n v="400"/>
    <m/>
    <n v="0.46200000000000002"/>
    <n v="13.52"/>
    <n v="3492"/>
    <n v="47120.04"/>
    <m/>
    <m/>
  </r>
  <r>
    <x v="1"/>
    <x v="1"/>
    <x v="0"/>
    <x v="4"/>
    <s v="Group 2 - Between 12,000 and 100,000 Lumens"/>
    <s v="Without Pole"/>
    <m/>
    <m/>
    <n v="209"/>
    <s v="LGE209"/>
    <x v="22"/>
    <s v="Cobra Head/Open Bottom"/>
    <x v="0"/>
    <x v="16"/>
    <n v="1000"/>
    <m/>
    <n v="1.18"/>
    <n v="27.71"/>
    <n v="41"/>
    <n v="1110.78"/>
    <m/>
    <m/>
  </r>
  <r>
    <x v="1"/>
    <x v="1"/>
    <x v="1"/>
    <x v="4"/>
    <s v="Group 1 - &lt; 12,000 Lumens"/>
    <s v="With Pole"/>
    <m/>
    <m/>
    <n v="318"/>
    <s v="LGE318"/>
    <x v="22"/>
    <s v="Cobra Head/Open Bottom"/>
    <x v="3"/>
    <x v="20"/>
    <n v="175"/>
    <m/>
    <n v="0.21"/>
    <n v="17.43"/>
    <n v="50"/>
    <n v="871.49"/>
    <m/>
    <m/>
  </r>
  <r>
    <x v="1"/>
    <x v="1"/>
    <x v="1"/>
    <x v="4"/>
    <s v="Group 2 - Between 12,000 and 100,000 Lumens"/>
    <s v="With Pole"/>
    <m/>
    <m/>
    <n v="314"/>
    <s v="LGE314"/>
    <x v="22"/>
    <s v="Cobra Head/Open Bottom"/>
    <x v="3"/>
    <x v="23"/>
    <n v="250"/>
    <m/>
    <n v="0.29799999999999999"/>
    <n v="19.21"/>
    <n v="479"/>
    <n v="9201.0499999999993"/>
    <m/>
    <m/>
  </r>
  <r>
    <x v="1"/>
    <x v="1"/>
    <x v="1"/>
    <x v="4"/>
    <s v="Group 2 - Between 12,000 and 100,000 Lumens"/>
    <s v="With Pole"/>
    <m/>
    <m/>
    <n v="315"/>
    <s v="LGE315"/>
    <x v="22"/>
    <s v="Cobra Head/Open Bottom"/>
    <x v="3"/>
    <x v="15"/>
    <n v="400"/>
    <m/>
    <n v="0.46200000000000002"/>
    <n v="22.96"/>
    <n v="476"/>
    <n v="10862.23"/>
    <m/>
    <m/>
  </r>
  <r>
    <x v="1"/>
    <x v="1"/>
    <x v="1"/>
    <x v="4"/>
    <s v="Group 4 - Pole only or Restricted Class"/>
    <s v="Without Pole"/>
    <m/>
    <m/>
    <n v="347"/>
    <s v="LGE347"/>
    <x v="23"/>
    <s v="Cobra Head/Open Bottom"/>
    <x v="0"/>
    <x v="15"/>
    <n v="400"/>
    <m/>
    <n v="0.46200000000000002"/>
    <n v="22.95"/>
    <s v=""/>
    <s v=""/>
    <m/>
    <s v="PO-R"/>
  </r>
  <r>
    <x v="1"/>
    <x v="1"/>
    <x v="1"/>
    <x v="0"/>
    <s v="Group 1 - &lt; 12,000 Lumens"/>
    <s v="With Pole"/>
    <m/>
    <m/>
    <n v="276"/>
    <s v="LGE276"/>
    <x v="24"/>
    <s v="Decorative"/>
    <x v="3"/>
    <x v="3"/>
    <n v="70"/>
    <m/>
    <n v="8.3000000000000004E-2"/>
    <n v="14.18"/>
    <n v="1347"/>
    <n v="18881.89"/>
    <m/>
    <m/>
  </r>
  <r>
    <x v="1"/>
    <x v="1"/>
    <x v="1"/>
    <x v="0"/>
    <s v="Group 1 - &lt; 12,000 Lumens"/>
    <s v="With Pole"/>
    <m/>
    <m/>
    <n v="274"/>
    <s v="LGE274"/>
    <x v="24"/>
    <s v="Decorative"/>
    <x v="3"/>
    <x v="0"/>
    <n v="100"/>
    <m/>
    <n v="0.11700000000000001"/>
    <n v="17.2"/>
    <n v="17147"/>
    <n v="294765.83"/>
    <m/>
    <m/>
  </r>
  <r>
    <x v="1"/>
    <x v="1"/>
    <x v="1"/>
    <x v="0"/>
    <s v="Group 2 - Between 12,000 and 100,000 Lumens"/>
    <s v="With Pole"/>
    <m/>
    <m/>
    <n v="277"/>
    <s v="LGE277"/>
    <x v="24"/>
    <s v="Decorative"/>
    <x v="3"/>
    <x v="11"/>
    <n v="150"/>
    <m/>
    <n v="0.18099999999999999"/>
    <n v="22.16"/>
    <n v="2327"/>
    <n v="51446.05"/>
    <m/>
    <m/>
  </r>
  <r>
    <x v="2"/>
    <x v="1"/>
    <x v="1"/>
    <x v="0"/>
    <s v="Group 1 - &lt; 12,000 Lumens"/>
    <s v="With Pole"/>
    <m/>
    <m/>
    <n v="412"/>
    <s v="KU412"/>
    <x v="25"/>
    <s v="Decorative"/>
    <x v="3"/>
    <x v="3"/>
    <n v="70"/>
    <m/>
    <n v="8.3000000000000004E-2"/>
    <n v="33.39"/>
    <n v="29"/>
    <n v="896.29"/>
    <m/>
    <m/>
  </r>
  <r>
    <x v="2"/>
    <x v="1"/>
    <x v="1"/>
    <x v="0"/>
    <s v="Group 1 - &lt; 12,000 Lumens"/>
    <s v="With Pole"/>
    <m/>
    <m/>
    <n v="413"/>
    <s v="KU413"/>
    <x v="25"/>
    <s v="Decorative"/>
    <x v="3"/>
    <x v="0"/>
    <n v="100"/>
    <m/>
    <n v="0.11700000000000001"/>
    <n v="33.81"/>
    <n v="98"/>
    <n v="3117.94"/>
    <m/>
    <m/>
  </r>
  <r>
    <x v="1"/>
    <x v="1"/>
    <x v="1"/>
    <x v="4"/>
    <s v="Group 1 - &lt; 12,000 Lumens"/>
    <s v="With Pole"/>
    <m/>
    <m/>
    <n v="206"/>
    <s v="LGE206"/>
    <x v="25"/>
    <s v="Decorative"/>
    <x v="3"/>
    <x v="6"/>
    <n v="100"/>
    <m/>
    <n v="0.1"/>
    <n v="12.46"/>
    <n v="73"/>
    <n v="909.26"/>
    <m/>
    <m/>
  </r>
  <r>
    <x v="1"/>
    <x v="1"/>
    <x v="1"/>
    <x v="4"/>
    <s v="Group 1 - &lt; 12,000 Lumens"/>
    <s v="With Pole"/>
    <m/>
    <m/>
    <n v="208"/>
    <s v="LGE208"/>
    <x v="25"/>
    <s v="Decorative"/>
    <x v="3"/>
    <x v="20"/>
    <n v="175"/>
    <m/>
    <n v="0.21"/>
    <n v="14.25"/>
    <n v="1375"/>
    <n v="19555.3"/>
    <m/>
    <m/>
  </r>
  <r>
    <x v="4"/>
    <x v="0"/>
    <x v="1"/>
    <x v="0"/>
    <m/>
    <m/>
    <m/>
    <m/>
    <n v="14"/>
    <s v="KU- TENN14"/>
    <x v="25"/>
    <s v="Decorative"/>
    <x v="10"/>
    <x v="3"/>
    <n v="70"/>
    <m/>
    <n v="8.3000000000000004E-2"/>
    <n v="28.88"/>
    <n v="0"/>
    <m/>
    <m/>
    <m/>
  </r>
  <r>
    <x v="4"/>
    <x v="0"/>
    <x v="1"/>
    <x v="0"/>
    <m/>
    <m/>
    <m/>
    <m/>
    <n v="15"/>
    <s v="KU- TENN15"/>
    <x v="25"/>
    <s v="Decorative"/>
    <x v="10"/>
    <x v="0"/>
    <n v="100"/>
    <m/>
    <n v="0.11700000000000001"/>
    <n v="29.39"/>
    <n v="0"/>
    <m/>
    <m/>
    <m/>
  </r>
  <r>
    <x v="1"/>
    <x v="1"/>
    <x v="1"/>
    <x v="0"/>
    <s v="Group 1 - &lt; 12,000 Lumens"/>
    <s v="With Pole"/>
    <m/>
    <m/>
    <n v="417"/>
    <s v="LGE417"/>
    <x v="26"/>
    <s v="Decorative"/>
    <x v="3"/>
    <x v="0"/>
    <n v="100"/>
    <m/>
    <n v="0.11700000000000001"/>
    <n v="23.69"/>
    <n v="48"/>
    <n v="1136.97"/>
    <m/>
    <m/>
  </r>
  <r>
    <x v="1"/>
    <x v="1"/>
    <x v="1"/>
    <x v="0"/>
    <s v="Group 2 - Between 12,000 and 100,000 Lumens"/>
    <s v="With Pole"/>
    <m/>
    <m/>
    <n v="419"/>
    <s v="LGE419"/>
    <x v="26"/>
    <s v="Decorative"/>
    <x v="3"/>
    <x v="11"/>
    <n v="150"/>
    <m/>
    <n v="0.18"/>
    <n v="24.79"/>
    <n v="119"/>
    <n v="2948.43"/>
    <m/>
    <m/>
  </r>
  <r>
    <x v="4"/>
    <x v="0"/>
    <x v="1"/>
    <x v="0"/>
    <m/>
    <m/>
    <m/>
    <m/>
    <n v="6"/>
    <s v="KU- TENN6"/>
    <x v="27"/>
    <s v="Decorative"/>
    <x v="10"/>
    <x v="6"/>
    <n v="50"/>
    <m/>
    <n v="0.06"/>
    <n v="18.899999999999999"/>
    <n v="0"/>
    <m/>
    <m/>
    <m/>
  </r>
  <r>
    <x v="4"/>
    <x v="0"/>
    <x v="1"/>
    <x v="0"/>
    <m/>
    <m/>
    <m/>
    <m/>
    <n v="8"/>
    <s v="KU- TENN8"/>
    <x v="27"/>
    <s v="Decorative"/>
    <x v="10"/>
    <x v="3"/>
    <n v="70"/>
    <m/>
    <n v="8.3000000000000004E-2"/>
    <n v="19.78"/>
    <n v="0"/>
    <m/>
    <m/>
    <m/>
  </r>
  <r>
    <x v="4"/>
    <x v="0"/>
    <x v="1"/>
    <x v="0"/>
    <m/>
    <m/>
    <m/>
    <m/>
    <n v="10"/>
    <s v="KU- TENN10"/>
    <x v="27"/>
    <s v="Decorative"/>
    <x v="10"/>
    <x v="0"/>
    <n v="100"/>
    <m/>
    <n v="0.11700000000000001"/>
    <n v="20.52"/>
    <n v="0"/>
    <m/>
    <m/>
    <m/>
  </r>
  <r>
    <x v="4"/>
    <x v="0"/>
    <x v="1"/>
    <x v="0"/>
    <m/>
    <m/>
    <m/>
    <m/>
    <n v="5"/>
    <s v="KU- TENN5"/>
    <x v="28"/>
    <s v="Decorative"/>
    <x v="10"/>
    <x v="6"/>
    <n v="50"/>
    <m/>
    <n v="0.06"/>
    <n v="12.51"/>
    <n v="0"/>
    <m/>
    <m/>
    <m/>
  </r>
  <r>
    <x v="4"/>
    <x v="0"/>
    <x v="1"/>
    <x v="0"/>
    <m/>
    <m/>
    <m/>
    <m/>
    <n v="7"/>
    <s v="KU- TENN7"/>
    <x v="28"/>
    <s v="Decorative"/>
    <x v="10"/>
    <x v="3"/>
    <n v="70"/>
    <m/>
    <n v="8.3000000000000004E-2"/>
    <n v="13.5"/>
    <n v="0"/>
    <m/>
    <m/>
    <m/>
  </r>
  <r>
    <x v="4"/>
    <x v="0"/>
    <x v="1"/>
    <x v="0"/>
    <m/>
    <m/>
    <m/>
    <m/>
    <n v="9"/>
    <s v="KU- TENN9"/>
    <x v="28"/>
    <s v="Decorative"/>
    <x v="10"/>
    <x v="0"/>
    <n v="100"/>
    <m/>
    <n v="0.11700000000000001"/>
    <n v="14.13"/>
    <n v="0"/>
    <m/>
    <m/>
    <m/>
  </r>
  <r>
    <x v="2"/>
    <x v="2"/>
    <x v="1"/>
    <x v="0"/>
    <s v="Group 1 - &lt; 12,000 Lumens"/>
    <s v="With Pole"/>
    <m/>
    <m/>
    <n v="401"/>
    <s v="KU401"/>
    <x v="29"/>
    <s v="Decorative"/>
    <x v="3"/>
    <x v="3"/>
    <n v="70"/>
    <m/>
    <n v="8.3000000000000004E-2"/>
    <n v="16.09"/>
    <n v="52"/>
    <n v="802.12"/>
    <m/>
    <m/>
  </r>
  <r>
    <x v="2"/>
    <x v="2"/>
    <x v="1"/>
    <x v="0"/>
    <s v="Group 1 - &lt; 12,000 Lumens"/>
    <s v="With Pole"/>
    <m/>
    <m/>
    <n v="411"/>
    <s v="KU411"/>
    <x v="29"/>
    <s v="Decorative"/>
    <x v="2"/>
    <x v="3"/>
    <n v="70"/>
    <m/>
    <n v="8.3000000000000004E-2"/>
    <n v="23.15"/>
    <n v="148"/>
    <n v="3268.57"/>
    <m/>
    <m/>
  </r>
  <r>
    <x v="2"/>
    <x v="2"/>
    <x v="1"/>
    <x v="0"/>
    <s v="Group 1 - &lt; 12,000 Lumens"/>
    <s v="With Pole"/>
    <m/>
    <m/>
    <n v="420"/>
    <s v="KU420"/>
    <x v="29"/>
    <s v="Decorative"/>
    <x v="3"/>
    <x v="0"/>
    <n v="150"/>
    <m/>
    <n v="0.11700000000000001"/>
    <n v="16.63"/>
    <n v="512"/>
    <n v="8089.75"/>
    <m/>
    <m/>
  </r>
  <r>
    <x v="2"/>
    <x v="2"/>
    <x v="1"/>
    <x v="0"/>
    <s v="Group 1 - &lt; 12,000 Lumens"/>
    <s v="With Pole"/>
    <m/>
    <m/>
    <n v="430"/>
    <s v="KU430"/>
    <x v="29"/>
    <s v="Decorative"/>
    <x v="2"/>
    <x v="0"/>
    <n v="100"/>
    <m/>
    <n v="0.11700000000000001"/>
    <n v="23.82"/>
    <n v="1260"/>
    <n v="28579.75"/>
    <m/>
    <m/>
  </r>
  <r>
    <x v="2"/>
    <x v="1"/>
    <x v="1"/>
    <x v="0"/>
    <s v="Group 1 - &lt; 12,000 Lumens"/>
    <s v="With Pole"/>
    <m/>
    <m/>
    <n v="440"/>
    <s v="KU440"/>
    <x v="29"/>
    <s v="Decorative"/>
    <x v="3"/>
    <x v="6"/>
    <n v="250"/>
    <m/>
    <n v="0.06"/>
    <n v="14.74"/>
    <n v="2"/>
    <n v="28.37"/>
    <m/>
    <m/>
  </r>
  <r>
    <x v="2"/>
    <x v="1"/>
    <x v="1"/>
    <x v="0"/>
    <s v="Group 1 - &lt; 12,000 Lumens"/>
    <s v="With Pole"/>
    <m/>
    <m/>
    <n v="410"/>
    <s v="KU410"/>
    <x v="29"/>
    <s v="Decorative"/>
    <x v="2"/>
    <x v="6"/>
    <n v="50"/>
    <m/>
    <n v="0.06"/>
    <n v="21.94"/>
    <n v="240"/>
    <n v="4976.62"/>
    <m/>
    <m/>
  </r>
  <r>
    <x v="1"/>
    <x v="2"/>
    <x v="1"/>
    <x v="0"/>
    <s v="Group 1 - &lt; 12,000 Lumens"/>
    <s v="With Pole"/>
    <m/>
    <m/>
    <n v="415"/>
    <s v="LGE415"/>
    <x v="29"/>
    <s v="Decorative"/>
    <x v="3"/>
    <x v="3"/>
    <n v="70"/>
    <m/>
    <n v="8.3000000000000004E-2"/>
    <n v="20.190000000000001"/>
    <n v="47"/>
    <n v="948.77"/>
    <m/>
    <m/>
  </r>
  <r>
    <x v="1"/>
    <x v="2"/>
    <x v="1"/>
    <x v="0"/>
    <s v="Group 1 - &lt; 12,000 Lumens"/>
    <s v="With Pole"/>
    <m/>
    <m/>
    <n v="416"/>
    <s v="LGE416"/>
    <x v="29"/>
    <s v="Decorative"/>
    <x v="3"/>
    <x v="0"/>
    <n v="100"/>
    <m/>
    <n v="0.11700000000000001"/>
    <n v="22.57"/>
    <n v="1968"/>
    <n v="44309.41"/>
    <m/>
    <m/>
  </r>
  <r>
    <x v="1"/>
    <x v="2"/>
    <x v="1"/>
    <x v="0"/>
    <s v="Group 2 - Between 12,000 and 100,000 Lumens"/>
    <s v="With Pole"/>
    <m/>
    <m/>
    <n v="445"/>
    <s v="LGE445"/>
    <x v="29"/>
    <s v="Decorative"/>
    <x v="3"/>
    <x v="11"/>
    <n v="150"/>
    <m/>
    <n v="0.18099999999999999"/>
    <n v="22.68"/>
    <s v=""/>
    <s v=""/>
    <m/>
    <m/>
  </r>
  <r>
    <x v="1"/>
    <x v="1"/>
    <x v="1"/>
    <x v="1"/>
    <s v="Group 4 - Pole only or Restricted Class"/>
    <s v="With Pole"/>
    <m/>
    <m/>
    <n v="901"/>
    <s v="LGE901"/>
    <x v="30"/>
    <s v="Decorative"/>
    <x v="1"/>
    <x v="1"/>
    <n v="0"/>
    <m/>
    <m/>
    <n v="10.82"/>
    <s v=""/>
    <s v=""/>
    <m/>
    <s v="PO-R"/>
  </r>
  <r>
    <x v="1"/>
    <x v="1"/>
    <x v="1"/>
    <x v="1"/>
    <s v="Group 4 - Pole only or Restricted Class"/>
    <s v="With Pole"/>
    <m/>
    <m/>
    <n v="902"/>
    <s v="LGE902"/>
    <x v="31"/>
    <s v="Decorative"/>
    <x v="1"/>
    <x v="1"/>
    <n v="0"/>
    <m/>
    <m/>
    <n v="12.91"/>
    <s v=""/>
    <s v=""/>
    <m/>
    <s v="PO-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4:E44" firstHeaderRow="1" firstDataRow="2" firstDataCol="2" rowPageCount="1" colPageCount="1"/>
  <pivotFields count="23"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Col" compact="0" outline="0" showAll="0" defaultSubtotal="0">
      <items count="3">
        <item m="1" x="2"/>
        <item x="1"/>
        <item x="0"/>
      </items>
    </pivotField>
    <pivotField axis="axisPage" compact="0" outline="0" multipleItemSelectionAllowed="1" showAll="0" defaultSubtotal="0">
      <items count="11">
        <item x="3"/>
        <item x="9"/>
        <item x="8"/>
        <item x="4"/>
        <item x="0"/>
        <item x="2"/>
        <item x="6"/>
        <item x="5"/>
        <item h="1" x="10"/>
        <item h="1" x="1"/>
        <item x="7"/>
      </items>
    </pivotField>
    <pivotField axis="axisRow" compact="0" outline="0" showAll="0" defaultSubtotal="0">
      <items count="24">
        <item x="4"/>
        <item x="17"/>
        <item x="5"/>
        <item x="6"/>
        <item x="3"/>
        <item x="7"/>
        <item x="8"/>
        <item x="20"/>
        <item x="0"/>
        <item x="21"/>
        <item x="12"/>
        <item x="23"/>
        <item x="11"/>
        <item x="22"/>
        <item x="9"/>
        <item x="15"/>
        <item x="18"/>
        <item x="13"/>
        <item x="10"/>
        <item x="16"/>
        <item x="14"/>
        <item x="19"/>
        <item x="2"/>
        <item x="1"/>
      </items>
    </pivotField>
    <pivotField compact="0" outline="0" showAll="0" sortType="ascending" defaultSubtotal="0"/>
    <pivotField compact="0" outline="0" showAll="0"/>
    <pivotField compact="0" outline="0" showAll="0"/>
    <pivotField compact="0" numFmtId="44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</pivotFields>
  <rowFields count="2">
    <field x="2"/>
    <field x="13"/>
  </rowFields>
  <rowItems count="39">
    <i>
      <x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/>
    </i>
    <i>
      <x v="1"/>
      <x v="1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t="default">
      <x v="1"/>
    </i>
    <i t="grand">
      <x/>
    </i>
  </rowItems>
  <colFields count="1">
    <field x="11"/>
  </colFields>
  <colItems count="3">
    <i>
      <x v="1"/>
    </i>
    <i>
      <x v="2"/>
    </i>
    <i t="grand">
      <x/>
    </i>
  </colItems>
  <pageFields count="1">
    <pageField fld="12" hier="-1"/>
  </pageFields>
  <dataFields count="1">
    <dataField name="Sum of QTY BILLED JUN 2016" fld="22" baseField="14" baseItem="2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4:E37" firstHeaderRow="1" firstDataRow="2" firstDataCol="2" rowPageCount="1" colPageCount="1"/>
  <pivotFields count="23"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Col" compact="0" outline="0" showAll="0" defaultSubtotal="0">
      <items count="3">
        <item m="1" x="2"/>
        <item x="1"/>
        <item x="0"/>
      </items>
    </pivotField>
    <pivotField axis="axisPage" compact="0" outline="0" multipleItemSelectionAllowed="1" showAll="0" defaultSubtotal="0">
      <items count="11">
        <item x="3"/>
        <item x="9"/>
        <item x="8"/>
        <item x="4"/>
        <item x="0"/>
        <item x="2"/>
        <item x="6"/>
        <item x="5"/>
        <item h="1" x="10"/>
        <item h="1" x="1"/>
        <item x="7"/>
      </items>
    </pivotField>
    <pivotField compact="0" outline="0" showAll="0" defaultSubtotal="0"/>
    <pivotField axis="axisRow" compact="0" outline="0" showAll="0" sortType="ascending" defaultSubtotal="0">
      <items count="18">
        <item x="1"/>
        <item x="14"/>
        <item x="17"/>
        <item x="2"/>
        <item x="3"/>
        <item x="0"/>
        <item x="15"/>
        <item x="9"/>
        <item x="4"/>
        <item x="7"/>
        <item x="5"/>
        <item x="12"/>
        <item x="10"/>
        <item x="6"/>
        <item x="8"/>
        <item x="13"/>
        <item x="11"/>
        <item x="16"/>
      </items>
    </pivotField>
    <pivotField compact="0" outline="0" showAll="0"/>
    <pivotField compact="0" outline="0" showAll="0"/>
    <pivotField compact="0" numFmtId="44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</pivotFields>
  <rowFields count="2">
    <field x="2"/>
    <field x="14"/>
  </rowFields>
  <rowItems count="32">
    <i>
      <x/>
      <x v="1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1"/>
    </i>
    <i t="grand">
      <x/>
    </i>
  </rowItems>
  <colFields count="1">
    <field x="11"/>
  </colFields>
  <colItems count="3">
    <i>
      <x v="1"/>
    </i>
    <i>
      <x v="2"/>
    </i>
    <i t="grand">
      <x/>
    </i>
  </colItems>
  <pageFields count="1">
    <pageField fld="12" hier="-1"/>
  </pageFields>
  <dataFields count="1">
    <dataField name="Sum of QTY BILLED JUN 2016" fld="22" baseField="14" baseItem="2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4:J18" firstHeaderRow="1" firstDataRow="2" firstDataCol="2"/>
  <pivotFields count="22">
    <pivotField axis="axisRow" compact="0" outline="0" showAll="0">
      <items count="6">
        <item x="2"/>
        <item x="4"/>
        <item x="1"/>
        <item x="0"/>
        <item x="3"/>
        <item t="default"/>
      </items>
    </pivotField>
    <pivotField axis="axisRow" compact="0" outline="0" showAll="0">
      <items count="4">
        <item x="2"/>
        <item x="0"/>
        <item x="1"/>
        <item t="default"/>
      </items>
    </pivotField>
    <pivotField compact="0" outline="0" showAll="0"/>
    <pivotField axis="axisCol" compact="0" outline="0" showAll="0">
      <items count="8">
        <item x="2"/>
        <item x="0"/>
        <item x="3"/>
        <item x="4"/>
        <item x="5"/>
        <item x="1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numFmtId="44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1"/>
  </rowFields>
  <rowItems count="13">
    <i>
      <x/>
      <x/>
    </i>
    <i r="1">
      <x v="2"/>
    </i>
    <i t="default">
      <x/>
    </i>
    <i>
      <x v="1"/>
      <x v="1"/>
    </i>
    <i t="default">
      <x v="1"/>
    </i>
    <i>
      <x v="2"/>
      <x/>
    </i>
    <i r="1">
      <x v="2"/>
    </i>
    <i t="default">
      <x v="2"/>
    </i>
    <i>
      <x v="3"/>
      <x v="1"/>
    </i>
    <i t="default">
      <x v="3"/>
    </i>
    <i>
      <x v="4"/>
      <x v="1"/>
    </i>
    <i t="default">
      <x v="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Rate Code" fld="8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4:N213" firstHeaderRow="1" firstDataRow="2" firstDataCol="6"/>
  <pivotFields count="22">
    <pivotField axis="axisRow" compact="0" outline="0" showAll="0">
      <items count="6">
        <item x="2"/>
        <item x="4"/>
        <item x="1"/>
        <item x="0"/>
        <item x="3"/>
        <item t="default"/>
      </items>
    </pivotField>
    <pivotField axis="axisRow" compact="0" outline="0" showAll="0">
      <items count="4">
        <item x="2"/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8">
        <item x="2"/>
        <item x="0"/>
        <item x="3"/>
        <item x="4"/>
        <item x="5"/>
        <item x="1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2"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compact="0" outline="0" showAll="0" defaultSubtotal="0"/>
    <pivotField axis="axisRow" compact="0" outline="0" showAll="0" defaultSubtotal="0">
      <items count="11">
        <item x="3"/>
        <item x="9"/>
        <item x="8"/>
        <item x="4"/>
        <item x="0"/>
        <item x="2"/>
        <item x="6"/>
        <item x="5"/>
        <item x="10"/>
        <item x="1"/>
        <item x="7"/>
      </items>
    </pivotField>
    <pivotField axis="axisRow" compact="0" outline="0" showAll="0" defaultSubtotal="0">
      <items count="24">
        <item x="4"/>
        <item x="17"/>
        <item x="5"/>
        <item x="6"/>
        <item x="3"/>
        <item x="7"/>
        <item x="8"/>
        <item x="20"/>
        <item x="0"/>
        <item x="21"/>
        <item x="12"/>
        <item x="23"/>
        <item x="11"/>
        <item x="22"/>
        <item x="9"/>
        <item x="15"/>
        <item x="18"/>
        <item x="13"/>
        <item x="10"/>
        <item x="16"/>
        <item x="14"/>
        <item x="19"/>
        <item x="2"/>
        <item x="1"/>
      </items>
    </pivotField>
    <pivotField compact="0" outline="0" showAll="0" defaultSubtotal="0"/>
    <pivotField compact="0" outline="0" showAll="0"/>
    <pivotField compact="0" outline="0" showAll="0"/>
    <pivotField compact="0" numFmtId="44" outline="0" showAll="0"/>
    <pivotField dataField="1" compact="0" outline="0" showAll="0"/>
    <pivotField compact="0" outline="0" showAll="0"/>
    <pivotField compact="0" outline="0" showAll="0"/>
    <pivotField compact="0" outline="0" showAll="0"/>
  </pivotFields>
  <rowFields count="6">
    <field x="0"/>
    <field x="1"/>
    <field x="2"/>
    <field x="10"/>
    <field x="13"/>
    <field x="12"/>
  </rowFields>
  <rowItems count="208">
    <i>
      <x/>
      <x/>
      <x/>
      <x v="9"/>
      <x v="4"/>
      <x v="4"/>
    </i>
    <i r="5">
      <x v="6"/>
    </i>
    <i r="4">
      <x v="8"/>
      <x v="4"/>
    </i>
    <i r="5">
      <x v="6"/>
    </i>
    <i r="4">
      <x v="14"/>
      <x v="4"/>
    </i>
    <i r="5">
      <x v="6"/>
    </i>
    <i r="4">
      <x v="18"/>
      <x v="4"/>
    </i>
    <i r="5">
      <x v="6"/>
    </i>
    <i r="3">
      <x v="18"/>
      <x v="8"/>
      <x v="4"/>
    </i>
    <i r="4">
      <x v="10"/>
      <x v="4"/>
    </i>
    <i r="4">
      <x v="14"/>
      <x v="4"/>
    </i>
    <i r="4">
      <x v="17"/>
      <x v="4"/>
    </i>
    <i r="4">
      <x v="18"/>
      <x v="4"/>
    </i>
    <i r="4">
      <x v="20"/>
      <x v="4"/>
    </i>
    <i r="3">
      <x v="21"/>
      <x v="8"/>
      <x v="4"/>
    </i>
    <i t="default" r="2">
      <x/>
    </i>
    <i r="2">
      <x v="1"/>
      <x v="2"/>
      <x v="4"/>
      <x/>
    </i>
    <i r="5">
      <x v="5"/>
    </i>
    <i r="4">
      <x v="8"/>
      <x/>
    </i>
    <i r="5">
      <x v="5"/>
    </i>
    <i r="3">
      <x v="12"/>
      <x v="4"/>
      <x/>
    </i>
    <i r="4">
      <x v="8"/>
      <x/>
    </i>
    <i r="3">
      <x v="14"/>
      <x v="4"/>
      <x/>
    </i>
    <i r="5">
      <x v="4"/>
    </i>
    <i r="4">
      <x v="8"/>
      <x/>
    </i>
    <i r="5">
      <x v="4"/>
    </i>
    <i r="4">
      <x v="10"/>
      <x/>
    </i>
    <i r="5">
      <x v="4"/>
    </i>
    <i r="4">
      <x v="14"/>
      <x/>
    </i>
    <i r="5">
      <x v="4"/>
    </i>
    <i r="4">
      <x v="17"/>
      <x/>
    </i>
    <i r="5">
      <x v="4"/>
    </i>
    <i r="4">
      <x v="18"/>
      <x/>
    </i>
    <i r="5">
      <x v="4"/>
    </i>
    <i r="4">
      <x v="20"/>
      <x/>
    </i>
    <i r="5">
      <x v="4"/>
    </i>
    <i r="3">
      <x v="17"/>
      <x v="3"/>
      <x/>
    </i>
    <i r="4">
      <x v="8"/>
      <x/>
    </i>
    <i r="3">
      <x v="25"/>
      <x v="4"/>
      <x v="5"/>
    </i>
    <i r="4">
      <x v="8"/>
      <x v="5"/>
    </i>
    <i t="default" r="2">
      <x v="1"/>
    </i>
    <i t="default" r="1">
      <x/>
    </i>
    <i r="1">
      <x v="2"/>
      <x/>
      <x v="9"/>
      <x v="3"/>
      <x v="3"/>
    </i>
    <i r="5">
      <x v="4"/>
    </i>
    <i r="4">
      <x v="6"/>
      <x v="3"/>
    </i>
    <i r="5">
      <x v="4"/>
    </i>
    <i r="4">
      <x v="9"/>
      <x v="3"/>
    </i>
    <i r="5">
      <x v="4"/>
    </i>
    <i r="4">
      <x v="13"/>
      <x v="3"/>
    </i>
    <i r="5">
      <x v="4"/>
    </i>
    <i r="4">
      <x v="18"/>
      <x v="4"/>
    </i>
    <i r="3">
      <x v="18"/>
      <x v="10"/>
      <x v="3"/>
    </i>
    <i r="4">
      <x v="17"/>
      <x v="3"/>
    </i>
    <i r="4">
      <x v="20"/>
      <x v="3"/>
    </i>
    <i r="3">
      <x v="21"/>
      <x v="4"/>
      <x v="4"/>
    </i>
    <i r="4">
      <x v="6"/>
      <x v="4"/>
    </i>
    <i r="3">
      <x v="24"/>
      <x/>
      <x v="4"/>
    </i>
    <i r="4">
      <x v="2"/>
      <x v="4"/>
    </i>
    <i r="4">
      <x v="3"/>
      <x v="3"/>
    </i>
    <i r="5">
      <x v="4"/>
    </i>
    <i r="4">
      <x v="5"/>
      <x v="4"/>
    </i>
    <i t="default" r="2">
      <x/>
    </i>
    <i r="2">
      <x v="1"/>
      <x v="2"/>
      <x v="3"/>
      <x/>
    </i>
    <i r="5">
      <x v="5"/>
    </i>
    <i r="3">
      <x v="6"/>
      <x v="4"/>
      <x/>
    </i>
    <i r="4">
      <x v="8"/>
      <x/>
    </i>
    <i r="3">
      <x v="12"/>
      <x v="3"/>
      <x/>
    </i>
    <i r="3">
      <x v="18"/>
      <x v="10"/>
      <x/>
    </i>
    <i r="4">
      <x v="17"/>
      <x/>
    </i>
    <i r="4">
      <x v="20"/>
      <x/>
    </i>
    <i r="3">
      <x v="19"/>
      <x v="12"/>
      <x/>
    </i>
    <i t="default" r="2">
      <x v="1"/>
    </i>
    <i t="default" r="1">
      <x v="2"/>
    </i>
    <i t="default">
      <x/>
    </i>
    <i>
      <x v="1"/>
      <x v="1"/>
      <x/>
      <x v="18"/>
      <x v="8"/>
      <x v="8"/>
    </i>
    <i r="3">
      <x v="21"/>
      <x v="4"/>
      <x v="10"/>
    </i>
    <i r="4">
      <x v="6"/>
      <x v="10"/>
    </i>
    <i r="4">
      <x v="8"/>
      <x v="10"/>
    </i>
    <i t="default" r="2">
      <x/>
    </i>
    <i r="2">
      <x v="1"/>
      <x v="3"/>
      <x v="3"/>
      <x v="8"/>
    </i>
    <i r="4">
      <x v="4"/>
      <x v="8"/>
    </i>
    <i r="4">
      <x v="8"/>
      <x v="8"/>
    </i>
    <i r="3">
      <x v="4"/>
      <x v="3"/>
      <x v="8"/>
    </i>
    <i r="4">
      <x v="4"/>
      <x v="8"/>
    </i>
    <i r="4">
      <x v="8"/>
      <x v="8"/>
    </i>
    <i r="3">
      <x v="6"/>
      <x v="4"/>
      <x v="8"/>
    </i>
    <i r="4">
      <x v="8"/>
      <x v="8"/>
    </i>
    <i r="3">
      <x v="12"/>
      <x v="3"/>
      <x v="8"/>
    </i>
    <i r="4">
      <x v="4"/>
      <x v="8"/>
    </i>
    <i r="4">
      <x v="8"/>
      <x v="8"/>
    </i>
    <i r="3">
      <x v="14"/>
      <x v="4"/>
      <x v="8"/>
    </i>
    <i r="4">
      <x v="8"/>
      <x v="8"/>
    </i>
    <i r="3">
      <x v="15"/>
      <x v="4"/>
      <x v="8"/>
    </i>
    <i r="4">
      <x v="8"/>
      <x v="8"/>
    </i>
    <i t="default" r="2">
      <x v="1"/>
    </i>
    <i t="default" r="1">
      <x v="1"/>
    </i>
    <i t="default">
      <x v="1"/>
    </i>
    <i>
      <x v="2"/>
      <x/>
      <x/>
      <x v="9"/>
      <x v="12"/>
      <x v="4"/>
    </i>
    <i r="4">
      <x v="16"/>
      <x v="4"/>
    </i>
    <i r="4">
      <x v="18"/>
      <x v="4"/>
    </i>
    <i r="3">
      <x v="18"/>
      <x v="10"/>
      <x v="4"/>
    </i>
    <i r="4">
      <x v="12"/>
      <x v="4"/>
    </i>
    <i r="4">
      <x v="17"/>
      <x v="4"/>
    </i>
    <i r="4">
      <x v="18"/>
      <x v="4"/>
    </i>
    <i r="4">
      <x v="20"/>
      <x v="4"/>
    </i>
    <i r="3">
      <x v="21"/>
      <x v="8"/>
      <x v="4"/>
    </i>
    <i t="default" r="2">
      <x/>
    </i>
    <i r="2">
      <x v="1"/>
      <x v="2"/>
      <x v="4"/>
      <x/>
    </i>
    <i r="4">
      <x v="8"/>
      <x/>
    </i>
    <i r="4">
      <x v="12"/>
      <x/>
    </i>
    <i r="3">
      <x v="9"/>
      <x v="12"/>
      <x/>
    </i>
    <i r="4">
      <x v="16"/>
      <x/>
    </i>
    <i r="4">
      <x v="18"/>
      <x/>
    </i>
    <i r="3">
      <x v="13"/>
      <x v="4"/>
      <x/>
    </i>
    <i r="4">
      <x v="8"/>
      <x/>
    </i>
    <i r="4">
      <x v="12"/>
      <x/>
    </i>
    <i r="3">
      <x v="14"/>
      <x v="10"/>
      <x/>
    </i>
    <i r="5">
      <x v="4"/>
    </i>
    <i r="4">
      <x v="12"/>
      <x/>
    </i>
    <i r="5">
      <x v="4"/>
    </i>
    <i r="4">
      <x v="16"/>
      <x/>
    </i>
    <i r="5">
      <x v="4"/>
    </i>
    <i r="4">
      <x v="17"/>
      <x/>
    </i>
    <i r="5">
      <x v="4"/>
    </i>
    <i r="4">
      <x v="18"/>
      <x/>
    </i>
    <i r="5">
      <x v="4"/>
    </i>
    <i r="4">
      <x v="20"/>
      <x/>
    </i>
    <i r="5">
      <x v="4"/>
    </i>
    <i r="3">
      <x v="17"/>
      <x v="3"/>
      <x/>
    </i>
    <i r="4">
      <x v="8"/>
      <x/>
    </i>
    <i r="3">
      <x v="20"/>
      <x v="4"/>
      <x v="5"/>
    </i>
    <i r="4">
      <x v="8"/>
      <x v="5"/>
    </i>
    <i r="3">
      <x v="25"/>
      <x v="4"/>
      <x v="5"/>
    </i>
    <i r="4">
      <x v="8"/>
      <x v="5"/>
    </i>
    <i r="3">
      <x v="26"/>
      <x v="22"/>
      <x v="9"/>
    </i>
    <i t="default" r="2">
      <x v="1"/>
    </i>
    <i t="default" r="1">
      <x/>
    </i>
    <i r="1">
      <x v="2"/>
      <x/>
      <x v="9"/>
      <x v="11"/>
      <x v="4"/>
    </i>
    <i r="4">
      <x v="15"/>
      <x v="4"/>
    </i>
    <i r="4">
      <x v="19"/>
      <x v="4"/>
    </i>
    <i r="3">
      <x v="11"/>
      <x v="7"/>
      <x v="4"/>
    </i>
    <i r="3">
      <x v="18"/>
      <x v="10"/>
      <x v="2"/>
    </i>
    <i r="4">
      <x v="15"/>
      <x v="4"/>
    </i>
    <i r="4">
      <x v="17"/>
      <x v="1"/>
    </i>
    <i r="5">
      <x v="2"/>
    </i>
    <i r="4">
      <x v="19"/>
      <x v="4"/>
    </i>
    <i r="4">
      <x v="20"/>
      <x v="2"/>
    </i>
    <i r="3">
      <x v="21"/>
      <x v="3"/>
      <x v="4"/>
    </i>
    <i r="3">
      <x v="29"/>
      <x v="23"/>
      <x v="9"/>
    </i>
    <i r="3">
      <x v="30"/>
      <x v="23"/>
      <x v="9"/>
    </i>
    <i t="default" r="2">
      <x/>
    </i>
    <i r="2">
      <x v="1"/>
      <x/>
      <x v="23"/>
      <x v="9"/>
    </i>
    <i r="3">
      <x v="1"/>
      <x v="23"/>
      <x v="9"/>
    </i>
    <i r="3">
      <x v="5"/>
      <x v="8"/>
      <x/>
    </i>
    <i r="4">
      <x v="12"/>
      <x/>
    </i>
    <i r="3">
      <x v="6"/>
      <x v="3"/>
      <x/>
    </i>
    <i r="4">
      <x v="7"/>
      <x/>
    </i>
    <i r="3">
      <x v="7"/>
      <x v="4"/>
      <x/>
    </i>
    <i r="4">
      <x v="8"/>
      <x/>
    </i>
    <i r="4">
      <x v="12"/>
      <x/>
    </i>
    <i r="3">
      <x v="8"/>
      <x v="15"/>
      <x v="4"/>
    </i>
    <i r="3">
      <x v="9"/>
      <x v="7"/>
      <x/>
    </i>
    <i r="4">
      <x v="11"/>
      <x/>
    </i>
    <i r="4">
      <x v="15"/>
      <x/>
    </i>
    <i r="3">
      <x v="10"/>
      <x v="12"/>
      <x/>
    </i>
    <i r="4">
      <x v="16"/>
      <x/>
    </i>
    <i r="4">
      <x v="18"/>
      <x/>
    </i>
    <i r="3">
      <x v="14"/>
      <x v="21"/>
      <x/>
    </i>
    <i r="5">
      <x v="4"/>
    </i>
    <i r="3">
      <x v="16"/>
      <x v="1"/>
      <x/>
    </i>
    <i r="4">
      <x v="5"/>
      <x/>
    </i>
    <i r="3">
      <x v="20"/>
      <x v="4"/>
      <x/>
    </i>
    <i r="5">
      <x v="4"/>
    </i>
    <i r="4">
      <x v="8"/>
      <x/>
    </i>
    <i r="5">
      <x v="4"/>
    </i>
    <i r="3">
      <x v="25"/>
      <x v="4"/>
      <x/>
    </i>
    <i r="5">
      <x v="4"/>
    </i>
    <i r="4">
      <x v="8"/>
      <x/>
    </i>
    <i r="5">
      <x v="4"/>
    </i>
    <i r="3">
      <x v="27"/>
      <x v="22"/>
      <x v="9"/>
    </i>
    <i r="3">
      <x v="28"/>
      <x v="22"/>
      <x v="9"/>
    </i>
    <i t="default" r="2">
      <x v="1"/>
    </i>
    <i t="default" r="1">
      <x v="2"/>
    </i>
    <i t="default">
      <x v="2"/>
    </i>
    <i>
      <x v="3"/>
      <x v="1"/>
      <x/>
      <x v="9"/>
      <x v="14"/>
      <x v="4"/>
    </i>
    <i r="4">
      <x v="18"/>
      <x v="4"/>
    </i>
    <i r="3">
      <x v="18"/>
      <x v="8"/>
      <x v="4"/>
    </i>
    <i r="4">
      <x v="14"/>
      <x v="4"/>
    </i>
    <i r="4">
      <x v="18"/>
      <x v="4"/>
    </i>
    <i r="3">
      <x v="21"/>
      <x v="6"/>
      <x v="4"/>
    </i>
    <i r="3">
      <x v="31"/>
      <x v="8"/>
      <x v="4"/>
    </i>
    <i t="default" r="2">
      <x/>
    </i>
    <i t="default" r="1">
      <x v="1"/>
    </i>
    <i t="default">
      <x v="3"/>
    </i>
    <i>
      <x v="4"/>
      <x v="1"/>
      <x/>
      <x v="22"/>
      <x v="4"/>
      <x v="6"/>
    </i>
    <i r="4">
      <x v="6"/>
      <x v="6"/>
    </i>
    <i r="4">
      <x v="8"/>
      <x v="6"/>
    </i>
    <i r="4">
      <x v="14"/>
      <x v="6"/>
    </i>
    <i r="4">
      <x v="18"/>
      <x v="6"/>
    </i>
    <i r="3">
      <x v="23"/>
      <x v="4"/>
      <x v="7"/>
    </i>
    <i r="4">
      <x v="6"/>
      <x v="7"/>
    </i>
    <i r="4">
      <x v="8"/>
      <x v="7"/>
    </i>
    <i r="4">
      <x v="14"/>
      <x v="7"/>
    </i>
    <i r="4">
      <x v="18"/>
      <x v="7"/>
    </i>
    <i t="default" r="2">
      <x/>
    </i>
    <i t="default" r="1">
      <x v="1"/>
    </i>
    <i t="default">
      <x v="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Quantity" fld="18" baseField="11" baseItem="4" numFmtId="168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70" firstHeaderRow="1" firstDataRow="1" firstDataCol="1"/>
  <pivotFields count="8">
    <pivotField showAll="0"/>
    <pivotField showAll="0"/>
    <pivotField axis="axisRow" showAll="0">
      <items count="169">
        <item x="0"/>
        <item x="1"/>
        <item m="1" x="16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72"/>
        <item x="73"/>
        <item x="74"/>
        <item x="7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m="1" x="166"/>
        <item x="53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2"/>
  </rowFields>
  <rowItems count="167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7"/>
    </i>
    <i t="grand">
      <x/>
    </i>
  </rowItems>
  <colItems count="1">
    <i/>
  </colItems>
  <dataFields count="1">
    <dataField name="Sum of # Lights at start of Period" fld="4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0"/>
  <sheetViews>
    <sheetView showGridLines="0" tabSelected="1" zoomScaleNormal="100" workbookViewId="0"/>
  </sheetViews>
  <sheetFormatPr defaultRowHeight="14.4" x14ac:dyDescent="0.3"/>
  <cols>
    <col min="1" max="1" width="28.44140625" customWidth="1"/>
    <col min="8" max="8" width="10" bestFit="1" customWidth="1"/>
    <col min="12" max="12" width="11" customWidth="1"/>
    <col min="13" max="14" width="15.5546875" customWidth="1"/>
  </cols>
  <sheetData>
    <row r="1" spans="1:8" x14ac:dyDescent="0.3">
      <c r="A1" s="106" t="s">
        <v>574</v>
      </c>
      <c r="B1" s="107" t="s">
        <v>575</v>
      </c>
      <c r="C1" s="107" t="s">
        <v>576</v>
      </c>
      <c r="D1" s="107" t="s">
        <v>577</v>
      </c>
      <c r="E1" s="107" t="s">
        <v>578</v>
      </c>
      <c r="F1" s="107" t="s">
        <v>12</v>
      </c>
    </row>
    <row r="2" spans="1:8" x14ac:dyDescent="0.3">
      <c r="A2" s="106" t="s">
        <v>155</v>
      </c>
      <c r="B2" s="107">
        <v>37</v>
      </c>
      <c r="C2" s="107">
        <v>43</v>
      </c>
      <c r="D2" s="107"/>
      <c r="E2" s="107"/>
      <c r="F2" s="107">
        <f>SUM(B2:E2)</f>
        <v>80</v>
      </c>
    </row>
    <row r="3" spans="1:8" x14ac:dyDescent="0.3">
      <c r="A3" s="106" t="s">
        <v>13</v>
      </c>
      <c r="B3" s="107">
        <v>39</v>
      </c>
      <c r="C3" s="107">
        <v>28</v>
      </c>
      <c r="D3" s="107"/>
      <c r="E3" s="107"/>
      <c r="F3" s="107">
        <f>SUM(B3:E3)</f>
        <v>67</v>
      </c>
    </row>
    <row r="4" spans="1:8" x14ac:dyDescent="0.3">
      <c r="A4" s="106" t="s">
        <v>579</v>
      </c>
      <c r="B4" s="107"/>
      <c r="C4" s="107"/>
      <c r="D4" s="107">
        <v>19</v>
      </c>
      <c r="E4" s="107"/>
      <c r="F4" s="107">
        <f>SUM(B4:E4)</f>
        <v>19</v>
      </c>
    </row>
    <row r="5" spans="1:8" x14ac:dyDescent="0.3">
      <c r="A5" s="106" t="s">
        <v>580</v>
      </c>
      <c r="B5" s="107"/>
      <c r="C5" s="107"/>
      <c r="D5" s="107">
        <v>7</v>
      </c>
      <c r="E5" s="107"/>
      <c r="F5" s="107">
        <f>SUM(B5:E5)</f>
        <v>7</v>
      </c>
    </row>
    <row r="6" spans="1:8" x14ac:dyDescent="0.3">
      <c r="A6" s="106" t="s">
        <v>581</v>
      </c>
      <c r="B6" s="107"/>
      <c r="C6" s="107"/>
      <c r="D6" s="107"/>
      <c r="E6" s="107">
        <v>10</v>
      </c>
      <c r="F6" s="107">
        <f>SUM(B6:E6)</f>
        <v>10</v>
      </c>
    </row>
    <row r="7" spans="1:8" x14ac:dyDescent="0.3">
      <c r="A7" s="106" t="s">
        <v>12</v>
      </c>
      <c r="B7" s="107">
        <f>SUM(B2:B6)</f>
        <v>76</v>
      </c>
      <c r="C7" s="107">
        <f>SUM(C2:C6)</f>
        <v>71</v>
      </c>
      <c r="D7" s="107">
        <f>SUM(D2:D6)</f>
        <v>26</v>
      </c>
      <c r="E7" s="107">
        <f>SUM(E2:E6)</f>
        <v>10</v>
      </c>
      <c r="F7" s="107">
        <f>SUM(F2:F6)</f>
        <v>183</v>
      </c>
    </row>
    <row r="9" spans="1:8" x14ac:dyDescent="0.3">
      <c r="B9" s="264" t="s">
        <v>793</v>
      </c>
      <c r="C9" s="265"/>
      <c r="D9" s="265"/>
      <c r="E9" s="265"/>
      <c r="F9" s="265"/>
      <c r="G9" s="265"/>
      <c r="H9" s="266"/>
    </row>
    <row r="10" spans="1:8" ht="43.2" x14ac:dyDescent="0.3">
      <c r="A10" s="159" t="s">
        <v>792</v>
      </c>
      <c r="B10" s="107" t="s">
        <v>584</v>
      </c>
      <c r="C10" s="107" t="s">
        <v>630</v>
      </c>
      <c r="D10" s="156" t="s">
        <v>13</v>
      </c>
      <c r="E10" s="107" t="s">
        <v>802</v>
      </c>
      <c r="F10" s="156" t="s">
        <v>803</v>
      </c>
      <c r="G10" s="107" t="s">
        <v>804</v>
      </c>
      <c r="H10" s="156" t="s">
        <v>12</v>
      </c>
    </row>
    <row r="11" spans="1:8" x14ac:dyDescent="0.3">
      <c r="A11" s="159" t="s">
        <v>656</v>
      </c>
      <c r="B11" s="158" t="s">
        <v>575</v>
      </c>
      <c r="C11" s="155">
        <f>6+15+6</f>
        <v>27</v>
      </c>
      <c r="D11" s="157">
        <f>12+18</f>
        <v>30</v>
      </c>
      <c r="E11" s="155">
        <v>0</v>
      </c>
      <c r="F11" s="157">
        <v>0</v>
      </c>
      <c r="G11" s="155">
        <v>0</v>
      </c>
      <c r="H11" s="157">
        <f>SUM(C11:G11)</f>
        <v>57</v>
      </c>
    </row>
    <row r="12" spans="1:8" x14ac:dyDescent="0.3">
      <c r="A12" s="161"/>
      <c r="B12" s="158" t="s">
        <v>576</v>
      </c>
      <c r="C12" s="155">
        <f>14+4</f>
        <v>18</v>
      </c>
      <c r="D12" s="157">
        <f>4+6</f>
        <v>10</v>
      </c>
      <c r="E12" s="155">
        <v>0</v>
      </c>
      <c r="F12" s="157">
        <v>0</v>
      </c>
      <c r="G12" s="155">
        <v>0</v>
      </c>
      <c r="H12" s="157">
        <f t="shared" ref="H12:H14" si="0">SUM(C12:G12)</f>
        <v>28</v>
      </c>
    </row>
    <row r="13" spans="1:8" x14ac:dyDescent="0.3">
      <c r="A13" s="161"/>
      <c r="B13" s="158" t="s">
        <v>577</v>
      </c>
      <c r="C13" s="155">
        <v>0</v>
      </c>
      <c r="D13" s="157">
        <v>0</v>
      </c>
      <c r="E13" s="155">
        <v>18</v>
      </c>
      <c r="F13" s="157">
        <v>0</v>
      </c>
      <c r="G13" s="155">
        <v>0</v>
      </c>
      <c r="H13" s="157">
        <f t="shared" si="0"/>
        <v>18</v>
      </c>
    </row>
    <row r="14" spans="1:8" x14ac:dyDescent="0.3">
      <c r="A14" s="161"/>
      <c r="B14" s="158" t="s">
        <v>578</v>
      </c>
      <c r="C14" s="155">
        <v>0</v>
      </c>
      <c r="D14" s="157">
        <v>0</v>
      </c>
      <c r="E14" s="155">
        <v>0</v>
      </c>
      <c r="F14" s="157">
        <v>6</v>
      </c>
      <c r="G14" s="155">
        <v>8</v>
      </c>
      <c r="H14" s="157">
        <f t="shared" si="0"/>
        <v>14</v>
      </c>
    </row>
    <row r="15" spans="1:8" x14ac:dyDescent="0.3">
      <c r="A15" s="160" t="s">
        <v>799</v>
      </c>
      <c r="B15" s="162"/>
      <c r="C15" s="157">
        <f>SUM(C11:C14)</f>
        <v>45</v>
      </c>
      <c r="D15" s="157">
        <f t="shared" ref="D15" si="1">SUM(D11:D14)</f>
        <v>40</v>
      </c>
      <c r="E15" s="157">
        <f t="shared" ref="E15" si="2">SUM(E11:E14)</f>
        <v>18</v>
      </c>
      <c r="F15" s="157">
        <f t="shared" ref="F15" si="3">SUM(F11:F14)</f>
        <v>6</v>
      </c>
      <c r="G15" s="157">
        <f t="shared" ref="G15" si="4">SUM(G11:G14)</f>
        <v>8</v>
      </c>
      <c r="H15" s="157">
        <f t="shared" ref="H15" si="5">SUM(H11:H14)</f>
        <v>117</v>
      </c>
    </row>
    <row r="16" spans="1:8" x14ac:dyDescent="0.3">
      <c r="A16" s="159" t="s">
        <v>619</v>
      </c>
      <c r="B16" s="107" t="s">
        <v>575</v>
      </c>
      <c r="C16" s="155">
        <v>0</v>
      </c>
      <c r="D16" s="157">
        <v>0</v>
      </c>
      <c r="E16" s="155">
        <v>0</v>
      </c>
      <c r="F16" s="157">
        <v>0</v>
      </c>
      <c r="G16" s="155">
        <v>0</v>
      </c>
      <c r="H16" s="157">
        <f>SUM(C16:G16)</f>
        <v>0</v>
      </c>
    </row>
    <row r="17" spans="1:8" x14ac:dyDescent="0.3">
      <c r="A17" s="161"/>
      <c r="B17" s="107" t="s">
        <v>576</v>
      </c>
      <c r="C17" s="155">
        <v>2</v>
      </c>
      <c r="D17" s="157">
        <v>5</v>
      </c>
      <c r="E17" s="155">
        <v>0</v>
      </c>
      <c r="F17" s="157">
        <v>0</v>
      </c>
      <c r="G17" s="155">
        <v>0</v>
      </c>
      <c r="H17" s="157">
        <f t="shared" ref="H17:H19" si="6">SUM(C17:G17)</f>
        <v>7</v>
      </c>
    </row>
    <row r="18" spans="1:8" x14ac:dyDescent="0.3">
      <c r="A18" s="161"/>
      <c r="B18" s="107" t="s">
        <v>577</v>
      </c>
      <c r="C18" s="155">
        <v>0</v>
      </c>
      <c r="D18" s="157">
        <v>0</v>
      </c>
      <c r="E18" s="155">
        <v>0</v>
      </c>
      <c r="F18" s="157">
        <v>0</v>
      </c>
      <c r="G18" s="155">
        <v>0</v>
      </c>
      <c r="H18" s="157">
        <f t="shared" si="6"/>
        <v>0</v>
      </c>
    </row>
    <row r="19" spans="1:8" x14ac:dyDescent="0.3">
      <c r="A19" s="161"/>
      <c r="B19" s="107" t="s">
        <v>578</v>
      </c>
      <c r="C19" s="155">
        <v>0</v>
      </c>
      <c r="D19" s="157">
        <v>0</v>
      </c>
      <c r="E19" s="155">
        <v>0</v>
      </c>
      <c r="F19" s="157">
        <v>0</v>
      </c>
      <c r="G19" s="155">
        <v>0</v>
      </c>
      <c r="H19" s="157">
        <f t="shared" si="6"/>
        <v>0</v>
      </c>
    </row>
    <row r="20" spans="1:8" x14ac:dyDescent="0.3">
      <c r="A20" s="160" t="s">
        <v>798</v>
      </c>
      <c r="B20" s="156"/>
      <c r="C20" s="157">
        <f>SUM(C16:C19)</f>
        <v>2</v>
      </c>
      <c r="D20" s="157">
        <f t="shared" ref="D20" si="7">SUM(D16:D19)</f>
        <v>5</v>
      </c>
      <c r="E20" s="157">
        <f t="shared" ref="E20" si="8">SUM(E16:E19)</f>
        <v>0</v>
      </c>
      <c r="F20" s="157">
        <f t="shared" ref="F20" si="9">SUM(F16:F19)</f>
        <v>0</v>
      </c>
      <c r="G20" s="157">
        <f t="shared" ref="G20" si="10">SUM(G16:G19)</f>
        <v>0</v>
      </c>
      <c r="H20" s="157">
        <f t="shared" ref="H20" si="11">SUM(H16:H19)</f>
        <v>7</v>
      </c>
    </row>
    <row r="21" spans="1:8" x14ac:dyDescent="0.3">
      <c r="A21" s="159" t="s">
        <v>608</v>
      </c>
      <c r="B21" s="107" t="s">
        <v>575</v>
      </c>
      <c r="C21" s="155">
        <f>3+6</f>
        <v>9</v>
      </c>
      <c r="D21" s="157">
        <f>3+6</f>
        <v>9</v>
      </c>
      <c r="E21" s="155">
        <v>0</v>
      </c>
      <c r="F21" s="157">
        <v>0</v>
      </c>
      <c r="G21" s="155">
        <v>0</v>
      </c>
      <c r="H21" s="157">
        <f>SUM(C21:G21)</f>
        <v>18</v>
      </c>
    </row>
    <row r="22" spans="1:8" x14ac:dyDescent="0.3">
      <c r="A22" s="161"/>
      <c r="B22" s="107" t="s">
        <v>576</v>
      </c>
      <c r="C22" s="155">
        <v>4</v>
      </c>
      <c r="D22" s="157">
        <f>3+3</f>
        <v>6</v>
      </c>
      <c r="E22" s="155">
        <v>0</v>
      </c>
      <c r="F22" s="157">
        <v>0</v>
      </c>
      <c r="G22" s="155">
        <v>0</v>
      </c>
      <c r="H22" s="157">
        <f t="shared" ref="H22:H24" si="12">SUM(C22:G22)</f>
        <v>10</v>
      </c>
    </row>
    <row r="23" spans="1:8" x14ac:dyDescent="0.3">
      <c r="A23" s="161"/>
      <c r="B23" s="107" t="s">
        <v>577</v>
      </c>
      <c r="C23" s="155">
        <v>0</v>
      </c>
      <c r="D23" s="157">
        <v>0</v>
      </c>
      <c r="E23" s="155">
        <v>0</v>
      </c>
      <c r="F23" s="157">
        <v>0</v>
      </c>
      <c r="G23" s="155">
        <v>0</v>
      </c>
      <c r="H23" s="157">
        <f t="shared" si="12"/>
        <v>0</v>
      </c>
    </row>
    <row r="24" spans="1:8" x14ac:dyDescent="0.3">
      <c r="A24" s="161"/>
      <c r="B24" s="107" t="s">
        <v>578</v>
      </c>
      <c r="C24" s="155">
        <v>0</v>
      </c>
      <c r="D24" s="157">
        <v>0</v>
      </c>
      <c r="E24" s="155">
        <v>0</v>
      </c>
      <c r="F24" s="157">
        <v>0</v>
      </c>
      <c r="G24" s="155">
        <v>2</v>
      </c>
      <c r="H24" s="157">
        <f t="shared" si="12"/>
        <v>2</v>
      </c>
    </row>
    <row r="25" spans="1:8" x14ac:dyDescent="0.3">
      <c r="A25" s="160" t="s">
        <v>797</v>
      </c>
      <c r="B25" s="156"/>
      <c r="C25" s="157">
        <f>SUM(C21:C24)</f>
        <v>13</v>
      </c>
      <c r="D25" s="157">
        <f t="shared" ref="D25" si="13">SUM(D21:D24)</f>
        <v>15</v>
      </c>
      <c r="E25" s="157">
        <f t="shared" ref="E25" si="14">SUM(E21:E24)</f>
        <v>0</v>
      </c>
      <c r="F25" s="157">
        <f t="shared" ref="F25" si="15">SUM(F21:F24)</f>
        <v>0</v>
      </c>
      <c r="G25" s="157">
        <f t="shared" ref="G25" si="16">SUM(G21:G24)</f>
        <v>2</v>
      </c>
      <c r="H25" s="157">
        <f t="shared" ref="H25" si="17">SUM(H21:H24)</f>
        <v>30</v>
      </c>
    </row>
    <row r="26" spans="1:8" x14ac:dyDescent="0.3">
      <c r="A26" s="159" t="s">
        <v>618</v>
      </c>
      <c r="B26" s="107" t="s">
        <v>575</v>
      </c>
      <c r="C26" s="155">
        <v>0</v>
      </c>
      <c r="D26" s="157">
        <v>0</v>
      </c>
      <c r="E26" s="155">
        <v>0</v>
      </c>
      <c r="F26" s="157">
        <v>0</v>
      </c>
      <c r="G26" s="155">
        <v>0</v>
      </c>
      <c r="H26" s="157">
        <f>SUM(C26:G26)</f>
        <v>0</v>
      </c>
    </row>
    <row r="27" spans="1:8" x14ac:dyDescent="0.3">
      <c r="A27" s="161"/>
      <c r="B27" s="107" t="s">
        <v>576</v>
      </c>
      <c r="C27" s="155">
        <f>7+6</f>
        <v>13</v>
      </c>
      <c r="D27" s="157">
        <v>7</v>
      </c>
      <c r="E27" s="155">
        <v>0</v>
      </c>
      <c r="F27" s="157">
        <v>0</v>
      </c>
      <c r="G27" s="155">
        <v>0</v>
      </c>
      <c r="H27" s="157">
        <f t="shared" ref="H27:H29" si="18">SUM(C27:G27)</f>
        <v>20</v>
      </c>
    </row>
    <row r="28" spans="1:8" x14ac:dyDescent="0.3">
      <c r="A28" s="161"/>
      <c r="B28" s="107" t="s">
        <v>577</v>
      </c>
      <c r="C28" s="155">
        <v>0</v>
      </c>
      <c r="D28" s="157">
        <v>0</v>
      </c>
      <c r="E28" s="155">
        <v>1</v>
      </c>
      <c r="F28" s="157">
        <v>1</v>
      </c>
      <c r="G28" s="155">
        <v>0</v>
      </c>
      <c r="H28" s="157">
        <f t="shared" si="18"/>
        <v>2</v>
      </c>
    </row>
    <row r="29" spans="1:8" x14ac:dyDescent="0.3">
      <c r="A29" s="161"/>
      <c r="B29" s="107" t="s">
        <v>578</v>
      </c>
      <c r="C29" s="155">
        <v>0</v>
      </c>
      <c r="D29" s="157">
        <v>0</v>
      </c>
      <c r="E29" s="155">
        <v>0</v>
      </c>
      <c r="F29" s="157">
        <v>0</v>
      </c>
      <c r="G29" s="155">
        <v>0</v>
      </c>
      <c r="H29" s="157">
        <f t="shared" si="18"/>
        <v>0</v>
      </c>
    </row>
    <row r="30" spans="1:8" x14ac:dyDescent="0.3">
      <c r="A30" s="160" t="s">
        <v>796</v>
      </c>
      <c r="B30" s="156"/>
      <c r="C30" s="157">
        <f>SUM(C26:C29)</f>
        <v>13</v>
      </c>
      <c r="D30" s="157">
        <f t="shared" ref="D30" si="19">SUM(D26:D29)</f>
        <v>7</v>
      </c>
      <c r="E30" s="157">
        <f t="shared" ref="E30" si="20">SUM(E26:E29)</f>
        <v>1</v>
      </c>
      <c r="F30" s="157">
        <f t="shared" ref="F30" si="21">SUM(F26:F29)</f>
        <v>1</v>
      </c>
      <c r="G30" s="157">
        <f t="shared" ref="G30" si="22">SUM(G26:G29)</f>
        <v>0</v>
      </c>
      <c r="H30" s="157">
        <f t="shared" ref="H30" si="23">SUM(H26:H29)</f>
        <v>22</v>
      </c>
    </row>
    <row r="31" spans="1:8" x14ac:dyDescent="0.3">
      <c r="A31" s="159" t="s">
        <v>794</v>
      </c>
      <c r="B31" s="107" t="s">
        <v>575</v>
      </c>
      <c r="C31" s="155">
        <v>1</v>
      </c>
      <c r="D31" s="157">
        <v>0</v>
      </c>
      <c r="E31" s="155">
        <v>0</v>
      </c>
      <c r="F31" s="157">
        <v>0</v>
      </c>
      <c r="G31" s="155">
        <v>0</v>
      </c>
      <c r="H31" s="157">
        <f>SUM(C31:G31)</f>
        <v>1</v>
      </c>
    </row>
    <row r="32" spans="1:8" x14ac:dyDescent="0.3">
      <c r="A32" s="161"/>
      <c r="B32" s="107" t="s">
        <v>576</v>
      </c>
      <c r="C32" s="155">
        <f>2+4</f>
        <v>6</v>
      </c>
      <c r="D32" s="157">
        <v>0</v>
      </c>
      <c r="E32" s="155">
        <v>0</v>
      </c>
      <c r="F32" s="157">
        <v>0</v>
      </c>
      <c r="G32" s="155">
        <v>0</v>
      </c>
      <c r="H32" s="157">
        <f t="shared" ref="H32:H34" si="24">SUM(C32:G32)</f>
        <v>6</v>
      </c>
    </row>
    <row r="33" spans="1:8" x14ac:dyDescent="0.3">
      <c r="A33" s="161"/>
      <c r="B33" s="107" t="s">
        <v>577</v>
      </c>
      <c r="C33" s="155">
        <v>0</v>
      </c>
      <c r="D33" s="157">
        <v>0</v>
      </c>
      <c r="E33" s="155">
        <v>0</v>
      </c>
      <c r="F33" s="157">
        <v>0</v>
      </c>
      <c r="G33" s="155">
        <v>0</v>
      </c>
      <c r="H33" s="157">
        <f t="shared" si="24"/>
        <v>0</v>
      </c>
    </row>
    <row r="34" spans="1:8" x14ac:dyDescent="0.3">
      <c r="A34" s="161"/>
      <c r="B34" s="107" t="s">
        <v>578</v>
      </c>
      <c r="C34" s="155">
        <v>0</v>
      </c>
      <c r="D34" s="157">
        <v>0</v>
      </c>
      <c r="E34" s="155">
        <v>0</v>
      </c>
      <c r="F34" s="157">
        <v>0</v>
      </c>
      <c r="G34" s="155">
        <v>0</v>
      </c>
      <c r="H34" s="157">
        <f t="shared" si="24"/>
        <v>0</v>
      </c>
    </row>
    <row r="35" spans="1:8" x14ac:dyDescent="0.3">
      <c r="A35" s="160" t="s">
        <v>795</v>
      </c>
      <c r="B35" s="156"/>
      <c r="C35" s="157">
        <f>SUM(C31:C34)</f>
        <v>7</v>
      </c>
      <c r="D35" s="157">
        <f>SUM(D31:D34)</f>
        <v>0</v>
      </c>
      <c r="E35" s="157">
        <f t="shared" ref="E35:H35" si="25">SUM(E31:E34)</f>
        <v>0</v>
      </c>
      <c r="F35" s="157">
        <f t="shared" si="25"/>
        <v>0</v>
      </c>
      <c r="G35" s="157">
        <f t="shared" si="25"/>
        <v>0</v>
      </c>
      <c r="H35" s="157">
        <f t="shared" si="25"/>
        <v>7</v>
      </c>
    </row>
    <row r="36" spans="1:8" x14ac:dyDescent="0.3">
      <c r="A36" s="159" t="s">
        <v>800</v>
      </c>
      <c r="B36" s="107" t="s">
        <v>575</v>
      </c>
      <c r="C36" s="155">
        <f>+C11+C16+C21+C26+C31</f>
        <v>37</v>
      </c>
      <c r="D36" s="157">
        <f>+D11+D16+D21+D26+D31</f>
        <v>39</v>
      </c>
      <c r="E36" s="155">
        <f t="shared" ref="E36:G36" si="26">+E11+E16+E21+E26+E31</f>
        <v>0</v>
      </c>
      <c r="F36" s="157">
        <f t="shared" si="26"/>
        <v>0</v>
      </c>
      <c r="G36" s="155">
        <f t="shared" si="26"/>
        <v>0</v>
      </c>
      <c r="H36" s="157">
        <f>SUM(C36:G36)</f>
        <v>76</v>
      </c>
    </row>
    <row r="37" spans="1:8" x14ac:dyDescent="0.3">
      <c r="A37" s="161"/>
      <c r="B37" s="107" t="s">
        <v>576</v>
      </c>
      <c r="C37" s="155">
        <f t="shared" ref="C37:D39" si="27">+C12+C17+C22+C27+C32</f>
        <v>43</v>
      </c>
      <c r="D37" s="157">
        <f t="shared" si="27"/>
        <v>28</v>
      </c>
      <c r="E37" s="155">
        <f t="shared" ref="E37:G37" si="28">+E12+E17+E22+E27+E32</f>
        <v>0</v>
      </c>
      <c r="F37" s="157">
        <f t="shared" si="28"/>
        <v>0</v>
      </c>
      <c r="G37" s="155">
        <f t="shared" si="28"/>
        <v>0</v>
      </c>
      <c r="H37" s="157">
        <f t="shared" ref="H37:H39" si="29">SUM(C37:G37)</f>
        <v>71</v>
      </c>
    </row>
    <row r="38" spans="1:8" x14ac:dyDescent="0.3">
      <c r="A38" s="161"/>
      <c r="B38" s="107" t="s">
        <v>577</v>
      </c>
      <c r="C38" s="155">
        <f t="shared" si="27"/>
        <v>0</v>
      </c>
      <c r="D38" s="157">
        <f t="shared" si="27"/>
        <v>0</v>
      </c>
      <c r="E38" s="155">
        <f t="shared" ref="E38:G38" si="30">+E13+E18+E23+E28+E33</f>
        <v>19</v>
      </c>
      <c r="F38" s="157">
        <f t="shared" si="30"/>
        <v>1</v>
      </c>
      <c r="G38" s="155">
        <f t="shared" si="30"/>
        <v>0</v>
      </c>
      <c r="H38" s="157">
        <f t="shared" si="29"/>
        <v>20</v>
      </c>
    </row>
    <row r="39" spans="1:8" x14ac:dyDescent="0.3">
      <c r="A39" s="161"/>
      <c r="B39" s="107" t="s">
        <v>578</v>
      </c>
      <c r="C39" s="155">
        <f t="shared" si="27"/>
        <v>0</v>
      </c>
      <c r="D39" s="157">
        <f t="shared" si="27"/>
        <v>0</v>
      </c>
      <c r="E39" s="155">
        <f t="shared" ref="E39:G39" si="31">+E14+E19+E24+E29+E34</f>
        <v>0</v>
      </c>
      <c r="F39" s="157">
        <f t="shared" si="31"/>
        <v>6</v>
      </c>
      <c r="G39" s="155">
        <f t="shared" si="31"/>
        <v>10</v>
      </c>
      <c r="H39" s="157">
        <f t="shared" si="29"/>
        <v>16</v>
      </c>
    </row>
    <row r="40" spans="1:8" x14ac:dyDescent="0.3">
      <c r="A40" s="160" t="s">
        <v>801</v>
      </c>
      <c r="B40" s="156"/>
      <c r="C40" s="157">
        <f>SUM(C36:C39)</f>
        <v>80</v>
      </c>
      <c r="D40" s="157">
        <f>SUM(D36:D39)</f>
        <v>67</v>
      </c>
      <c r="E40" s="157">
        <f t="shared" ref="E40:G40" si="32">SUM(E36:E39)</f>
        <v>19</v>
      </c>
      <c r="F40" s="157">
        <f t="shared" si="32"/>
        <v>7</v>
      </c>
      <c r="G40" s="157">
        <f t="shared" si="32"/>
        <v>10</v>
      </c>
      <c r="H40" s="157">
        <f t="shared" ref="H40" si="33">SUM(H36:H39)</f>
        <v>183</v>
      </c>
    </row>
  </sheetData>
  <autoFilter ref="A10:H40"/>
  <mergeCells count="1">
    <mergeCell ref="B9:H9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1"/>
  <sheetViews>
    <sheetView showGridLines="0" zoomScaleNormal="100" workbookViewId="0">
      <selection activeCell="C38" sqref="C38"/>
    </sheetView>
  </sheetViews>
  <sheetFormatPr defaultRowHeight="14.4" x14ac:dyDescent="0.3"/>
  <cols>
    <col min="1" max="1" width="81" customWidth="1"/>
    <col min="2" max="3" width="12.44140625" customWidth="1"/>
    <col min="4" max="5" width="11.33203125" customWidth="1"/>
    <col min="6" max="8" width="14.6640625" customWidth="1"/>
    <col min="9" max="9" width="9" customWidth="1"/>
    <col min="10" max="10" width="17.109375" customWidth="1"/>
    <col min="11" max="11" width="12.109375" customWidth="1"/>
    <col min="12" max="12" width="15.88671875" customWidth="1"/>
    <col min="13" max="13" width="24.88671875" customWidth="1"/>
    <col min="14" max="14" width="19.109375" bestFit="1" customWidth="1"/>
    <col min="17" max="17" width="9.5546875" bestFit="1" customWidth="1"/>
  </cols>
  <sheetData>
    <row r="1" spans="1:5" x14ac:dyDescent="0.3">
      <c r="A1" t="s">
        <v>1042</v>
      </c>
    </row>
    <row r="4" spans="1:5" ht="39.75" customHeight="1" x14ac:dyDescent="0.45">
      <c r="A4" s="228" t="s">
        <v>1039</v>
      </c>
      <c r="B4" s="285" t="s">
        <v>1050</v>
      </c>
      <c r="C4" s="285"/>
      <c r="D4" s="285" t="s">
        <v>1051</v>
      </c>
      <c r="E4" s="285"/>
    </row>
    <row r="5" spans="1:5" x14ac:dyDescent="0.3">
      <c r="A5" t="s">
        <v>1038</v>
      </c>
      <c r="B5" s="226">
        <f>+'LED Costs'!B41/1000000</f>
        <v>109.683042</v>
      </c>
      <c r="C5" s="229">
        <f>+'LED Costs'!C41/1000000</f>
        <v>226.383838</v>
      </c>
      <c r="D5" s="221">
        <f>(+B5*1000000)/270340</f>
        <v>405.72257897462453</v>
      </c>
      <c r="E5" s="221">
        <f>(+C5*1000000)/270340</f>
        <v>837.4041503292151</v>
      </c>
    </row>
    <row r="6" spans="1:5" x14ac:dyDescent="0.3">
      <c r="A6" t="s">
        <v>1040</v>
      </c>
      <c r="B6" s="226"/>
      <c r="C6" s="229"/>
    </row>
    <row r="7" spans="1:5" x14ac:dyDescent="0.3">
      <c r="A7" t="s">
        <v>1041</v>
      </c>
      <c r="B7" s="226"/>
      <c r="C7" s="229"/>
    </row>
    <row r="8" spans="1:5" x14ac:dyDescent="0.3">
      <c r="A8" t="s">
        <v>1054</v>
      </c>
      <c r="B8" s="226"/>
      <c r="C8" s="229"/>
    </row>
    <row r="9" spans="1:5" x14ac:dyDescent="0.3">
      <c r="A9" s="108" t="s">
        <v>1053</v>
      </c>
      <c r="B9" s="226"/>
      <c r="C9" s="229"/>
    </row>
    <row r="10" spans="1:5" x14ac:dyDescent="0.3">
      <c r="B10" s="226"/>
      <c r="C10" s="229"/>
    </row>
    <row r="11" spans="1:5" x14ac:dyDescent="0.3">
      <c r="B11" s="226"/>
      <c r="C11" s="229"/>
    </row>
    <row r="12" spans="1:5" x14ac:dyDescent="0.3">
      <c r="A12" t="s">
        <v>1057</v>
      </c>
      <c r="B12" s="226"/>
      <c r="C12" s="229"/>
    </row>
    <row r="13" spans="1:5" x14ac:dyDescent="0.3">
      <c r="A13" s="108" t="s">
        <v>1052</v>
      </c>
      <c r="B13" s="226"/>
      <c r="C13" s="229"/>
    </row>
    <row r="14" spans="1:5" x14ac:dyDescent="0.3">
      <c r="A14" s="108" t="s">
        <v>1043</v>
      </c>
      <c r="B14" s="226">
        <f>+'LED Costs-Lumen -slide 22'!L46/1000000</f>
        <v>265.75317362499999</v>
      </c>
      <c r="C14" s="229"/>
      <c r="D14" s="221">
        <f>(+B14*1000000)/270340</f>
        <v>983.03311986757421</v>
      </c>
      <c r="E14" s="221"/>
    </row>
    <row r="15" spans="1:5" x14ac:dyDescent="0.3">
      <c r="A15" s="108" t="s">
        <v>1044</v>
      </c>
      <c r="B15" s="226"/>
      <c r="C15" s="229">
        <f>+'LED Costs-Watt -slide 22'!L39/1000000</f>
        <v>287.69917216000005</v>
      </c>
      <c r="E15" s="221">
        <f>(+C15*1000000)/270340</f>
        <v>1064.2123702004883</v>
      </c>
    </row>
    <row r="16" spans="1:5" x14ac:dyDescent="0.3">
      <c r="A16" t="s">
        <v>1054</v>
      </c>
      <c r="B16" s="90"/>
      <c r="C16" s="90"/>
    </row>
    <row r="17" spans="1:3" x14ac:dyDescent="0.3">
      <c r="A17" s="108" t="s">
        <v>1056</v>
      </c>
      <c r="B17" s="90"/>
      <c r="C17" s="90"/>
    </row>
    <row r="18" spans="1:3" x14ac:dyDescent="0.3">
      <c r="A18" s="108" t="s">
        <v>1055</v>
      </c>
      <c r="B18" s="90"/>
      <c r="C18" s="90"/>
    </row>
    <row r="19" spans="1:3" x14ac:dyDescent="0.3">
      <c r="B19" s="90"/>
      <c r="C19" s="90"/>
    </row>
    <row r="20" spans="1:3" x14ac:dyDescent="0.3">
      <c r="B20" s="90"/>
      <c r="C20" s="90"/>
    </row>
    <row r="21" spans="1:3" x14ac:dyDescent="0.3">
      <c r="B21" s="90"/>
      <c r="C21" s="90"/>
    </row>
  </sheetData>
  <mergeCells count="2">
    <mergeCell ref="B4:C4"/>
    <mergeCell ref="D4:E4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50"/>
  <sheetViews>
    <sheetView showGridLines="0" zoomScaleNormal="100" workbookViewId="0">
      <selection activeCell="C38" sqref="C38"/>
    </sheetView>
  </sheetViews>
  <sheetFormatPr defaultRowHeight="14.4" x14ac:dyDescent="0.3"/>
  <cols>
    <col min="1" max="1" width="34.5546875" bestFit="1" customWidth="1"/>
    <col min="2" max="7" width="14.6640625" customWidth="1"/>
    <col min="8" max="8" width="9" customWidth="1"/>
    <col min="9" max="9" width="17.109375" customWidth="1"/>
    <col min="10" max="10" width="12.109375" customWidth="1"/>
    <col min="11" max="11" width="15.88671875" customWidth="1"/>
    <col min="12" max="12" width="24.88671875" customWidth="1"/>
    <col min="13" max="13" width="19.109375" bestFit="1" customWidth="1"/>
    <col min="16" max="16" width="9.5546875" bestFit="1" customWidth="1"/>
  </cols>
  <sheetData>
    <row r="1" spans="1:16" x14ac:dyDescent="0.3">
      <c r="I1" s="134"/>
    </row>
    <row r="2" spans="1:16" ht="48.6" x14ac:dyDescent="0.45">
      <c r="I2" s="135" t="s">
        <v>1119</v>
      </c>
      <c r="J2" s="135" t="s">
        <v>812</v>
      </c>
      <c r="K2" s="96" t="s">
        <v>566</v>
      </c>
      <c r="L2" s="135" t="s">
        <v>1023</v>
      </c>
      <c r="M2" s="135" t="s">
        <v>567</v>
      </c>
    </row>
    <row r="3" spans="1:16" ht="16.2" x14ac:dyDescent="0.45">
      <c r="A3" s="263"/>
      <c r="B3" s="263"/>
      <c r="C3" s="263"/>
      <c r="D3" s="263"/>
      <c r="E3" s="263"/>
      <c r="F3" s="263"/>
      <c r="I3" s="135"/>
      <c r="J3" s="135"/>
      <c r="L3" s="220">
        <v>396</v>
      </c>
      <c r="P3" s="184"/>
    </row>
    <row r="4" spans="1:16" ht="16.2" x14ac:dyDescent="0.45">
      <c r="A4" s="263"/>
      <c r="B4" s="263"/>
      <c r="C4" s="263"/>
      <c r="D4" s="263"/>
      <c r="E4" s="263"/>
      <c r="F4" s="263"/>
      <c r="I4" s="99" t="s">
        <v>788</v>
      </c>
      <c r="J4" s="135"/>
      <c r="K4" s="96"/>
      <c r="L4" s="170"/>
      <c r="M4" s="135"/>
      <c r="O4" s="135"/>
      <c r="P4" s="184"/>
    </row>
    <row r="5" spans="1:16" x14ac:dyDescent="0.3">
      <c r="I5" s="172">
        <v>111</v>
      </c>
      <c r="J5" s="174">
        <f>+'Eliminate Lights - slide 19-20'!E7</f>
        <v>30264</v>
      </c>
      <c r="K5" s="171">
        <f>+J5*I5</f>
        <v>3359304</v>
      </c>
      <c r="L5" s="171">
        <f>+J5*$L$3</f>
        <v>11984544</v>
      </c>
      <c r="M5" s="171">
        <f>+K5+L5</f>
        <v>15343848</v>
      </c>
      <c r="N5" s="226">
        <f>+M5/1000000</f>
        <v>15.343847999999999</v>
      </c>
    </row>
    <row r="6" spans="1:16" x14ac:dyDescent="0.3">
      <c r="I6" s="172">
        <v>625</v>
      </c>
      <c r="J6" s="175">
        <f>+J5</f>
        <v>30264</v>
      </c>
      <c r="K6" s="171">
        <f>+J6*I6</f>
        <v>18915000</v>
      </c>
      <c r="L6" s="171">
        <f>+J6*$L$3</f>
        <v>11984544</v>
      </c>
      <c r="M6" s="171">
        <f>+K6+L6</f>
        <v>30899544</v>
      </c>
      <c r="N6" s="226">
        <f>+M6/1000000</f>
        <v>30.899543999999999</v>
      </c>
    </row>
    <row r="7" spans="1:16" x14ac:dyDescent="0.3">
      <c r="C7" s="94"/>
      <c r="D7" s="90"/>
      <c r="I7" s="173"/>
      <c r="J7" s="109"/>
      <c r="N7" s="226"/>
    </row>
    <row r="8" spans="1:16" x14ac:dyDescent="0.3">
      <c r="A8" t="s">
        <v>1038</v>
      </c>
      <c r="I8" s="176" t="s">
        <v>789</v>
      </c>
      <c r="J8" s="109"/>
      <c r="N8" s="226"/>
    </row>
    <row r="9" spans="1:16" x14ac:dyDescent="0.3">
      <c r="A9" t="s">
        <v>735</v>
      </c>
      <c r="I9" s="172">
        <v>111</v>
      </c>
      <c r="J9" s="174">
        <f>+'Eliminate Lights - slide 19-20'!E14</f>
        <v>29660</v>
      </c>
      <c r="K9" s="171">
        <f>+J9*I9</f>
        <v>3292260</v>
      </c>
      <c r="L9" s="171">
        <f>+J9*$L$3</f>
        <v>11745360</v>
      </c>
      <c r="M9" s="171">
        <f>+K9+L9</f>
        <v>15037620</v>
      </c>
      <c r="N9" s="226">
        <f t="shared" ref="N9:N10" si="0">+M9/1000000</f>
        <v>15.03762</v>
      </c>
    </row>
    <row r="10" spans="1:16" x14ac:dyDescent="0.3">
      <c r="A10" t="s">
        <v>684</v>
      </c>
      <c r="I10" s="172">
        <v>625</v>
      </c>
      <c r="J10" s="175">
        <f>+J9</f>
        <v>29660</v>
      </c>
      <c r="K10" s="171">
        <f>+J10*I10</f>
        <v>18537500</v>
      </c>
      <c r="L10" s="171">
        <f>+J10*$L$3</f>
        <v>11745360</v>
      </c>
      <c r="M10" s="171">
        <f>+K10+L10</f>
        <v>30282860</v>
      </c>
      <c r="N10" s="226">
        <f t="shared" si="0"/>
        <v>30.282859999999999</v>
      </c>
    </row>
    <row r="11" spans="1:16" x14ac:dyDescent="0.3">
      <c r="A11" s="262" t="s">
        <v>1123</v>
      </c>
      <c r="N11" s="226"/>
    </row>
    <row r="12" spans="1:16" x14ac:dyDescent="0.3">
      <c r="A12" t="s">
        <v>736</v>
      </c>
      <c r="I12" s="176" t="s">
        <v>790</v>
      </c>
      <c r="J12" s="109"/>
      <c r="N12" s="226"/>
    </row>
    <row r="13" spans="1:16" x14ac:dyDescent="0.3">
      <c r="A13" s="287" t="s">
        <v>677</v>
      </c>
      <c r="B13" s="266" t="s">
        <v>681</v>
      </c>
      <c r="C13" s="286"/>
      <c r="D13" s="286"/>
      <c r="E13" s="286"/>
      <c r="F13" s="286"/>
      <c r="G13" s="286"/>
      <c r="I13" s="172">
        <v>111</v>
      </c>
      <c r="J13" s="174">
        <f>+'Eliminate Lights - slide 19-20'!E24</f>
        <v>78635</v>
      </c>
      <c r="K13" s="171">
        <f>+J13*I13</f>
        <v>8728485</v>
      </c>
      <c r="L13" s="171">
        <f>+J13*$L$3</f>
        <v>31139460</v>
      </c>
      <c r="M13" s="171">
        <f>+K13+L13</f>
        <v>39867945</v>
      </c>
      <c r="N13" s="226">
        <f t="shared" ref="N13:N14" si="1">+M13/1000000</f>
        <v>39.867944999999999</v>
      </c>
    </row>
    <row r="14" spans="1:16" x14ac:dyDescent="0.3">
      <c r="A14" s="288"/>
      <c r="B14" s="266" t="s">
        <v>680</v>
      </c>
      <c r="C14" s="286"/>
      <c r="D14" s="286" t="s">
        <v>682</v>
      </c>
      <c r="E14" s="286"/>
      <c r="F14" s="286" t="s">
        <v>683</v>
      </c>
      <c r="G14" s="286"/>
      <c r="I14" s="172">
        <v>625</v>
      </c>
      <c r="J14" s="175">
        <f>+J13</f>
        <v>78635</v>
      </c>
      <c r="K14" s="171">
        <f>+J14*I14</f>
        <v>49146875</v>
      </c>
      <c r="L14" s="171">
        <f>+J14*$L$3</f>
        <v>31139460</v>
      </c>
      <c r="M14" s="171">
        <f>+K14+L14</f>
        <v>80286335</v>
      </c>
      <c r="N14" s="226">
        <f t="shared" si="1"/>
        <v>80.286334999999994</v>
      </c>
    </row>
    <row r="15" spans="1:16" x14ac:dyDescent="0.3">
      <c r="A15" s="289"/>
      <c r="B15" s="119" t="s">
        <v>678</v>
      </c>
      <c r="C15" s="119" t="s">
        <v>679</v>
      </c>
      <c r="D15" s="119" t="s">
        <v>678</v>
      </c>
      <c r="E15" s="119" t="s">
        <v>679</v>
      </c>
      <c r="F15" s="119" t="s">
        <v>678</v>
      </c>
      <c r="G15" s="119" t="s">
        <v>679</v>
      </c>
      <c r="N15" s="226"/>
    </row>
    <row r="16" spans="1:16" ht="16.2" x14ac:dyDescent="0.3">
      <c r="A16" s="6" t="s">
        <v>746</v>
      </c>
      <c r="B16" s="70">
        <v>350</v>
      </c>
      <c r="C16" s="70">
        <v>615</v>
      </c>
      <c r="D16" s="70">
        <v>550</v>
      </c>
      <c r="E16" s="70">
        <v>950</v>
      </c>
      <c r="F16" s="70">
        <v>750</v>
      </c>
      <c r="G16" s="70">
        <v>1450</v>
      </c>
      <c r="I16" s="176" t="s">
        <v>791</v>
      </c>
      <c r="J16" s="109"/>
      <c r="N16" s="226"/>
    </row>
    <row r="17" spans="1:14" x14ac:dyDescent="0.3">
      <c r="A17" s="6" t="s">
        <v>741</v>
      </c>
      <c r="B17" s="70">
        <v>99</v>
      </c>
      <c r="C17" s="70">
        <v>225</v>
      </c>
      <c r="D17" s="70">
        <v>179</v>
      </c>
      <c r="E17" s="70">
        <v>451</v>
      </c>
      <c r="F17" s="70">
        <v>310</v>
      </c>
      <c r="G17" s="70">
        <v>720</v>
      </c>
      <c r="I17" s="172">
        <v>111</v>
      </c>
      <c r="J17" s="174">
        <f>+'Eliminate Lights - slide 19-20'!E33</f>
        <v>269727</v>
      </c>
      <c r="K17" s="171">
        <f>+J17*I17</f>
        <v>29939697</v>
      </c>
      <c r="L17" s="171">
        <f>+J17*$L$3</f>
        <v>106811892</v>
      </c>
      <c r="M17" s="171">
        <f>+K17+L17</f>
        <v>136751589</v>
      </c>
      <c r="N17" s="226">
        <f t="shared" ref="N17:N18" si="2">+M17/1000000</f>
        <v>136.751589</v>
      </c>
    </row>
    <row r="18" spans="1:14" x14ac:dyDescent="0.3">
      <c r="A18" s="7"/>
      <c r="B18" s="122"/>
      <c r="C18" s="122"/>
      <c r="D18" s="122"/>
      <c r="E18" s="122"/>
      <c r="F18" s="122"/>
      <c r="G18" s="122"/>
      <c r="I18" s="172">
        <v>625</v>
      </c>
      <c r="J18" s="175">
        <f>+J17</f>
        <v>269727</v>
      </c>
      <c r="K18" s="171">
        <f>+J18*I18</f>
        <v>168579375</v>
      </c>
      <c r="L18" s="171">
        <f>+J18*$L$3</f>
        <v>106811892</v>
      </c>
      <c r="M18" s="171">
        <f>+K18+L18</f>
        <v>275391267</v>
      </c>
      <c r="N18" s="226">
        <f t="shared" si="2"/>
        <v>275.39126700000003</v>
      </c>
    </row>
    <row r="19" spans="1:14" x14ac:dyDescent="0.3">
      <c r="A19" s="7"/>
      <c r="B19" s="122"/>
      <c r="C19" s="122"/>
      <c r="D19" s="122"/>
      <c r="E19" s="122"/>
      <c r="F19" s="122"/>
      <c r="G19" s="122"/>
    </row>
    <row r="20" spans="1:14" x14ac:dyDescent="0.3">
      <c r="A20" t="s">
        <v>737</v>
      </c>
    </row>
    <row r="21" spans="1:14" x14ac:dyDescent="0.3">
      <c r="A21" s="287" t="s">
        <v>738</v>
      </c>
      <c r="B21" s="286" t="s">
        <v>681</v>
      </c>
      <c r="C21" s="286"/>
      <c r="D21" s="286"/>
      <c r="E21" s="286"/>
      <c r="F21" s="286"/>
      <c r="G21" s="286"/>
    </row>
    <row r="22" spans="1:14" x14ac:dyDescent="0.3">
      <c r="A22" s="288"/>
      <c r="B22" s="286" t="s">
        <v>680</v>
      </c>
      <c r="C22" s="286"/>
      <c r="D22" s="286" t="s">
        <v>682</v>
      </c>
      <c r="E22" s="286"/>
      <c r="F22" s="286" t="s">
        <v>683</v>
      </c>
      <c r="G22" s="286"/>
    </row>
    <row r="23" spans="1:14" x14ac:dyDescent="0.3">
      <c r="A23" s="289"/>
      <c r="B23" s="119" t="s">
        <v>678</v>
      </c>
      <c r="C23" s="119" t="s">
        <v>679</v>
      </c>
      <c r="D23" s="119" t="s">
        <v>678</v>
      </c>
      <c r="E23" s="119" t="s">
        <v>679</v>
      </c>
      <c r="F23" s="119" t="s">
        <v>678</v>
      </c>
      <c r="G23" s="119" t="s">
        <v>679</v>
      </c>
    </row>
    <row r="24" spans="1:14" x14ac:dyDescent="0.3">
      <c r="A24" s="120" t="s">
        <v>745</v>
      </c>
      <c r="B24" s="286"/>
      <c r="C24" s="286"/>
      <c r="D24" s="286"/>
      <c r="E24" s="286"/>
      <c r="F24" s="286"/>
      <c r="G24" s="286"/>
    </row>
    <row r="25" spans="1:14" ht="16.2" x14ac:dyDescent="0.3">
      <c r="A25" s="6" t="s">
        <v>746</v>
      </c>
      <c r="B25" s="120">
        <v>0</v>
      </c>
      <c r="C25" s="120">
        <v>0</v>
      </c>
      <c r="D25" s="219">
        <f>SUM('LED Costs-Watt -slide 22'!C6:C9)+SUM('LED Costs-Watt -slide 22'!C20:C24)</f>
        <v>36650</v>
      </c>
      <c r="E25" s="120">
        <f>+D25</f>
        <v>36650</v>
      </c>
      <c r="F25" s="120">
        <f>SUM('LED Costs-Watt -slide 22'!C10:C18)+SUM('LED Costs-Watt -slide 22'!C25:C35)</f>
        <v>67814</v>
      </c>
      <c r="G25" s="120">
        <f>+F25</f>
        <v>67814</v>
      </c>
    </row>
    <row r="26" spans="1:14" x14ac:dyDescent="0.3">
      <c r="A26" s="6" t="s">
        <v>741</v>
      </c>
      <c r="B26" s="120">
        <v>0</v>
      </c>
      <c r="C26" s="120">
        <v>0</v>
      </c>
      <c r="D26" s="219">
        <f>SUM('LED Costs-Watt -slide 22'!D6:D9)+SUM('LED Costs-Watt -slide 22'!D20:D24)</f>
        <v>97378</v>
      </c>
      <c r="E26" s="120">
        <f>+D26</f>
        <v>97378</v>
      </c>
      <c r="F26" s="120">
        <f>SUM('LED Costs-Watt -slide 22'!D10:D18)+SUM('LED Costs-Watt -slide 22'!D26:D35)</f>
        <v>68498</v>
      </c>
      <c r="G26" s="120">
        <f>+F26</f>
        <v>68498</v>
      </c>
    </row>
    <row r="27" spans="1:14" x14ac:dyDescent="0.3">
      <c r="A27" s="7"/>
      <c r="B27" s="122"/>
      <c r="C27" s="122"/>
      <c r="D27" s="122"/>
      <c r="E27" s="122"/>
      <c r="F27" s="122"/>
      <c r="G27" s="122"/>
    </row>
    <row r="28" spans="1:14" x14ac:dyDescent="0.3">
      <c r="A28" s="7"/>
      <c r="B28" s="122"/>
      <c r="C28" s="122"/>
      <c r="D28" s="122"/>
      <c r="E28" s="122"/>
      <c r="F28" s="122"/>
      <c r="G28" s="122"/>
    </row>
    <row r="29" spans="1:14" x14ac:dyDescent="0.3">
      <c r="A29" s="287" t="s">
        <v>738</v>
      </c>
      <c r="B29" s="286" t="s">
        <v>681</v>
      </c>
      <c r="C29" s="286"/>
      <c r="D29" s="286"/>
      <c r="E29" s="286"/>
      <c r="F29" s="286"/>
      <c r="G29" s="286"/>
    </row>
    <row r="30" spans="1:14" x14ac:dyDescent="0.3">
      <c r="A30" s="288"/>
      <c r="B30" s="286" t="s">
        <v>680</v>
      </c>
      <c r="C30" s="286"/>
      <c r="D30" s="286" t="s">
        <v>682</v>
      </c>
      <c r="E30" s="286"/>
      <c r="F30" s="286" t="s">
        <v>683</v>
      </c>
      <c r="G30" s="286"/>
    </row>
    <row r="31" spans="1:14" x14ac:dyDescent="0.3">
      <c r="A31" s="289"/>
      <c r="B31" s="119" t="s">
        <v>678</v>
      </c>
      <c r="C31" s="119" t="s">
        <v>679</v>
      </c>
      <c r="D31" s="119" t="s">
        <v>678</v>
      </c>
      <c r="E31" s="119" t="s">
        <v>679</v>
      </c>
      <c r="F31" s="119" t="s">
        <v>678</v>
      </c>
      <c r="G31" s="119" t="s">
        <v>679</v>
      </c>
    </row>
    <row r="32" spans="1:14" x14ac:dyDescent="0.3">
      <c r="A32" s="120" t="s">
        <v>734</v>
      </c>
      <c r="B32" s="286"/>
      <c r="C32" s="286"/>
      <c r="D32" s="286"/>
      <c r="E32" s="286"/>
      <c r="F32" s="286"/>
      <c r="G32" s="286"/>
    </row>
    <row r="33" spans="1:7" ht="16.2" x14ac:dyDescent="0.3">
      <c r="A33" s="6" t="s">
        <v>746</v>
      </c>
      <c r="B33" s="70">
        <f>+B25*B16</f>
        <v>0</v>
      </c>
      <c r="C33" s="70">
        <f t="shared" ref="C33:G33" si="3">+C25*C16</f>
        <v>0</v>
      </c>
      <c r="D33" s="70">
        <f t="shared" si="3"/>
        <v>20157500</v>
      </c>
      <c r="E33" s="70">
        <f t="shared" si="3"/>
        <v>34817500</v>
      </c>
      <c r="F33" s="70">
        <f t="shared" si="3"/>
        <v>50860500</v>
      </c>
      <c r="G33" s="70">
        <f t="shared" si="3"/>
        <v>98330300</v>
      </c>
    </row>
    <row r="34" spans="1:7" x14ac:dyDescent="0.3">
      <c r="A34" s="6" t="s">
        <v>741</v>
      </c>
      <c r="B34" s="70">
        <f>+B26*B17</f>
        <v>0</v>
      </c>
      <c r="C34" s="70">
        <f t="shared" ref="C34:G34" si="4">+C26*C17</f>
        <v>0</v>
      </c>
      <c r="D34" s="70">
        <f t="shared" si="4"/>
        <v>17430662</v>
      </c>
      <c r="E34" s="70">
        <f t="shared" si="4"/>
        <v>43917478</v>
      </c>
      <c r="F34" s="70">
        <f t="shared" si="4"/>
        <v>21234380</v>
      </c>
      <c r="G34" s="70">
        <f t="shared" si="4"/>
        <v>49318560</v>
      </c>
    </row>
    <row r="35" spans="1:7" x14ac:dyDescent="0.3">
      <c r="A35" s="7"/>
      <c r="B35" s="122"/>
      <c r="C35" s="122"/>
      <c r="D35" s="122"/>
      <c r="E35" s="122"/>
      <c r="F35" s="122"/>
      <c r="G35" s="122"/>
    </row>
    <row r="36" spans="1:7" x14ac:dyDescent="0.3">
      <c r="A36" s="89"/>
    </row>
    <row r="37" spans="1:7" x14ac:dyDescent="0.3">
      <c r="A37" s="124" t="s">
        <v>739</v>
      </c>
      <c r="B37" s="286" t="s">
        <v>740</v>
      </c>
      <c r="C37" s="286"/>
    </row>
    <row r="38" spans="1:7" x14ac:dyDescent="0.3">
      <c r="A38" s="120"/>
      <c r="B38" s="119" t="s">
        <v>678</v>
      </c>
      <c r="C38" s="119" t="s">
        <v>679</v>
      </c>
      <c r="D38" s="121"/>
      <c r="E38" s="121"/>
      <c r="F38" s="121"/>
      <c r="G38" s="121"/>
    </row>
    <row r="39" spans="1:7" ht="16.2" x14ac:dyDescent="0.3">
      <c r="A39" s="6" t="s">
        <v>746</v>
      </c>
      <c r="B39" s="123">
        <f>+D33+F33</f>
        <v>71018000</v>
      </c>
      <c r="C39" s="123">
        <f>+E33+G33</f>
        <v>133147800</v>
      </c>
    </row>
    <row r="40" spans="1:7" x14ac:dyDescent="0.3">
      <c r="A40" s="6" t="s">
        <v>741</v>
      </c>
      <c r="B40" s="123">
        <f>+D34+F34</f>
        <v>38665042</v>
      </c>
      <c r="C40" s="123">
        <f>+E34+G34</f>
        <v>93236038</v>
      </c>
      <c r="F40" s="121"/>
      <c r="G40" s="121"/>
    </row>
    <row r="41" spans="1:7" x14ac:dyDescent="0.3">
      <c r="A41" s="6" t="s">
        <v>12</v>
      </c>
      <c r="B41" s="123">
        <f>+B39+B40</f>
        <v>109683042</v>
      </c>
      <c r="C41" s="123">
        <f>+C39+C40</f>
        <v>226383838</v>
      </c>
    </row>
    <row r="42" spans="1:7" x14ac:dyDescent="0.3">
      <c r="A42" s="7"/>
      <c r="B42" s="125"/>
      <c r="C42" s="125"/>
    </row>
    <row r="43" spans="1:7" x14ac:dyDescent="0.3">
      <c r="A43" s="64"/>
      <c r="B43" s="7"/>
      <c r="C43" s="7"/>
    </row>
    <row r="44" spans="1:7" x14ac:dyDescent="0.3">
      <c r="A44" s="124" t="s">
        <v>744</v>
      </c>
      <c r="B44" s="286" t="s">
        <v>740</v>
      </c>
      <c r="C44" s="286"/>
    </row>
    <row r="45" spans="1:7" x14ac:dyDescent="0.3">
      <c r="A45" s="120"/>
      <c r="B45" s="119" t="s">
        <v>678</v>
      </c>
      <c r="C45" s="119" t="s">
        <v>679</v>
      </c>
    </row>
    <row r="46" spans="1:7" ht="16.2" x14ac:dyDescent="0.3">
      <c r="A46" s="6" t="s">
        <v>746</v>
      </c>
      <c r="B46" s="123">
        <f>+B39/(D25+F25)</f>
        <v>679.83228672078417</v>
      </c>
      <c r="C46" s="123">
        <f>+C39/(E25+G25)</f>
        <v>1274.5807168019605</v>
      </c>
    </row>
    <row r="47" spans="1:7" x14ac:dyDescent="0.3">
      <c r="A47" s="6" t="s">
        <v>741</v>
      </c>
      <c r="B47" s="123">
        <f>+B40/(D26+F26)</f>
        <v>233.09605970725119</v>
      </c>
      <c r="C47" s="123">
        <f>+(C40/(E26+G26))</f>
        <v>562.08274855916466</v>
      </c>
    </row>
    <row r="48" spans="1:7" x14ac:dyDescent="0.3">
      <c r="A48" s="6" t="s">
        <v>12</v>
      </c>
      <c r="B48" s="123">
        <f>+B41/(D25+D26+F25+F26)</f>
        <v>405.72257897462453</v>
      </c>
      <c r="C48" s="123">
        <f>+C41/(E25+E26+G25+G26)</f>
        <v>837.4041503292151</v>
      </c>
    </row>
    <row r="50" spans="1:1" x14ac:dyDescent="0.3">
      <c r="A50" t="s">
        <v>747</v>
      </c>
    </row>
  </sheetData>
  <mergeCells count="19">
    <mergeCell ref="B44:C44"/>
    <mergeCell ref="B24:G24"/>
    <mergeCell ref="A21:A23"/>
    <mergeCell ref="A29:A31"/>
    <mergeCell ref="B32:G32"/>
    <mergeCell ref="B37:C37"/>
    <mergeCell ref="B29:G29"/>
    <mergeCell ref="B30:C30"/>
    <mergeCell ref="D30:E30"/>
    <mergeCell ref="F30:G30"/>
    <mergeCell ref="B21:G21"/>
    <mergeCell ref="B22:C22"/>
    <mergeCell ref="D22:E22"/>
    <mergeCell ref="F22:G22"/>
    <mergeCell ref="B14:C14"/>
    <mergeCell ref="D14:E14"/>
    <mergeCell ref="F14:G14"/>
    <mergeCell ref="B13:G13"/>
    <mergeCell ref="A13:A15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8"/>
  <sheetViews>
    <sheetView zoomScale="90" zoomScaleNormal="90" workbookViewId="0">
      <selection activeCell="C38" sqref="C38"/>
    </sheetView>
  </sheetViews>
  <sheetFormatPr defaultRowHeight="14.4" x14ac:dyDescent="0.3"/>
  <cols>
    <col min="1" max="1" width="26.33203125" customWidth="1"/>
    <col min="2" max="2" width="17.88671875" customWidth="1"/>
    <col min="3" max="4" width="24.44140625" customWidth="1"/>
    <col min="5" max="5" width="11.33203125" customWidth="1"/>
    <col min="6" max="6" width="7.44140625" style="97" customWidth="1"/>
    <col min="7" max="7" width="2.44140625" customWidth="1"/>
    <col min="8" max="8" width="16.33203125" bestFit="1" customWidth="1"/>
    <col min="9" max="9" width="12.33203125" customWidth="1"/>
    <col min="10" max="10" width="4" style="94" customWidth="1"/>
    <col min="11" max="11" width="22.88671875" bestFit="1" customWidth="1"/>
    <col min="12" max="13" width="19.44140625" customWidth="1"/>
    <col min="14" max="14" width="21.5546875" bestFit="1" customWidth="1"/>
    <col min="15" max="15" width="11.109375" bestFit="1" customWidth="1"/>
    <col min="16" max="33" width="34.44140625" bestFit="1" customWidth="1"/>
    <col min="34" max="35" width="34.44140625" customWidth="1"/>
    <col min="36" max="36" width="34.44140625" bestFit="1" customWidth="1"/>
    <col min="37" max="37" width="11.33203125" customWidth="1"/>
    <col min="38" max="48" width="34.44140625" customWidth="1"/>
    <col min="49" max="49" width="9.109375" customWidth="1"/>
    <col min="50" max="53" width="12.88671875" customWidth="1"/>
    <col min="54" max="54" width="9.6640625" customWidth="1"/>
    <col min="55" max="55" width="14.44140625" customWidth="1"/>
    <col min="56" max="56" width="14.44140625" bestFit="1" customWidth="1"/>
    <col min="57" max="57" width="17.6640625" bestFit="1" customWidth="1"/>
    <col min="58" max="58" width="11.33203125" customWidth="1"/>
    <col min="59" max="59" width="14.33203125" bestFit="1" customWidth="1"/>
    <col min="60" max="60" width="13.88671875" bestFit="1" customWidth="1"/>
    <col min="61" max="61" width="12.6640625" bestFit="1" customWidth="1"/>
    <col min="62" max="62" width="14.5546875" bestFit="1" customWidth="1"/>
    <col min="63" max="63" width="20.5546875" bestFit="1" customWidth="1"/>
    <col min="64" max="64" width="14" bestFit="1" customWidth="1"/>
    <col min="65" max="65" width="24.109375" bestFit="1" customWidth="1"/>
    <col min="66" max="66" width="27.33203125" bestFit="1" customWidth="1"/>
    <col min="67" max="67" width="35.6640625" bestFit="1" customWidth="1"/>
    <col min="68" max="68" width="38.88671875" bestFit="1" customWidth="1"/>
    <col min="69" max="69" width="33.33203125" bestFit="1" customWidth="1"/>
    <col min="70" max="70" width="36.44140625" bestFit="1" customWidth="1"/>
    <col min="71" max="71" width="36.33203125" bestFit="1" customWidth="1"/>
    <col min="72" max="72" width="39.44140625" bestFit="1" customWidth="1"/>
    <col min="73" max="73" width="36.33203125" bestFit="1" customWidth="1"/>
    <col min="74" max="74" width="39.44140625" bestFit="1" customWidth="1"/>
    <col min="75" max="75" width="20.5546875" bestFit="1" customWidth="1"/>
    <col min="76" max="76" width="14.6640625" bestFit="1" customWidth="1"/>
    <col min="77" max="77" width="11.33203125" bestFit="1" customWidth="1"/>
  </cols>
  <sheetData>
    <row r="1" spans="1:15" x14ac:dyDescent="0.3">
      <c r="A1" t="s">
        <v>676</v>
      </c>
      <c r="H1" s="291" t="s">
        <v>1025</v>
      </c>
      <c r="I1" s="291"/>
      <c r="J1" s="291"/>
      <c r="K1" s="291"/>
      <c r="L1" s="291"/>
    </row>
    <row r="2" spans="1:15" ht="16.2" x14ac:dyDescent="0.45">
      <c r="A2" s="116" t="s">
        <v>594</v>
      </c>
      <c r="B2" t="s">
        <v>1003</v>
      </c>
      <c r="H2" s="290" t="s">
        <v>1012</v>
      </c>
      <c r="I2" s="290"/>
      <c r="J2" s="290"/>
      <c r="K2" s="290"/>
      <c r="L2" s="290"/>
    </row>
    <row r="3" spans="1:15" x14ac:dyDescent="0.3">
      <c r="A3" t="s">
        <v>674</v>
      </c>
    </row>
    <row r="4" spans="1:15" x14ac:dyDescent="0.3">
      <c r="A4" s="116" t="s">
        <v>1004</v>
      </c>
      <c r="C4" s="116" t="s">
        <v>742</v>
      </c>
      <c r="H4" t="s">
        <v>1036</v>
      </c>
    </row>
    <row r="5" spans="1:15" x14ac:dyDescent="0.3">
      <c r="A5" s="116" t="s">
        <v>585</v>
      </c>
      <c r="B5" s="116" t="s">
        <v>595</v>
      </c>
      <c r="C5" t="s">
        <v>743</v>
      </c>
      <c r="D5" t="s">
        <v>1021</v>
      </c>
      <c r="E5" t="s">
        <v>657</v>
      </c>
      <c r="G5" s="217"/>
      <c r="H5" s="217" t="s">
        <v>1007</v>
      </c>
      <c r="I5" s="217" t="s">
        <v>1008</v>
      </c>
      <c r="J5" s="218"/>
      <c r="K5" s="216" t="s">
        <v>1022</v>
      </c>
      <c r="L5" s="227" t="s">
        <v>1035</v>
      </c>
      <c r="M5" s="224"/>
    </row>
    <row r="6" spans="1:15" x14ac:dyDescent="0.3">
      <c r="A6" t="s">
        <v>602</v>
      </c>
      <c r="B6">
        <v>1000</v>
      </c>
      <c r="C6" s="118">
        <v>1</v>
      </c>
      <c r="D6" s="118"/>
      <c r="E6" s="118">
        <v>1</v>
      </c>
      <c r="F6" s="212">
        <f>+E6/$E$26</f>
        <v>4.6496705708400563E-6</v>
      </c>
      <c r="G6" s="90"/>
      <c r="H6" t="s">
        <v>1005</v>
      </c>
      <c r="I6" s="89">
        <v>5007</v>
      </c>
      <c r="J6" s="122"/>
      <c r="K6" s="90">
        <v>429.79</v>
      </c>
      <c r="L6" s="90">
        <f>+E6*K6</f>
        <v>429.79</v>
      </c>
      <c r="M6" s="90"/>
      <c r="N6" t="str">
        <f>CONCATENATE("OVERHEAD",B6)</f>
        <v>OVERHEAD1000</v>
      </c>
      <c r="O6" s="221">
        <f>+K6</f>
        <v>429.79</v>
      </c>
    </row>
    <row r="7" spans="1:15" x14ac:dyDescent="0.3">
      <c r="B7">
        <v>2500</v>
      </c>
      <c r="C7" s="118">
        <v>436</v>
      </c>
      <c r="D7" s="118"/>
      <c r="E7" s="118">
        <v>436</v>
      </c>
      <c r="F7" s="212">
        <f t="shared" ref="F7:F25" si="0">+E7/$E$26</f>
        <v>2.0272563688862643E-3</v>
      </c>
      <c r="G7" s="90"/>
      <c r="H7" t="s">
        <v>1005</v>
      </c>
      <c r="I7" s="89">
        <v>5007</v>
      </c>
      <c r="J7" s="122"/>
      <c r="K7" s="90">
        <v>429.79</v>
      </c>
      <c r="L7" s="90">
        <f t="shared" ref="L7:L25" si="1">+E7*K7</f>
        <v>187388.44</v>
      </c>
      <c r="M7" s="90"/>
      <c r="N7" t="str">
        <f t="shared" ref="N7:N25" si="2">CONCATENATE("OVERHEAD",B7)</f>
        <v>OVERHEAD2500</v>
      </c>
      <c r="O7" s="221">
        <f t="shared" ref="O7:O42" si="3">+K7</f>
        <v>429.79</v>
      </c>
    </row>
    <row r="8" spans="1:15" x14ac:dyDescent="0.3">
      <c r="B8">
        <v>4000</v>
      </c>
      <c r="C8" s="118">
        <v>26</v>
      </c>
      <c r="D8" s="118">
        <v>10650</v>
      </c>
      <c r="E8" s="118">
        <v>10676</v>
      </c>
      <c r="F8" s="212">
        <f t="shared" si="0"/>
        <v>4.9639883014288434E-2</v>
      </c>
      <c r="G8" s="90"/>
      <c r="H8" t="s">
        <v>1005</v>
      </c>
      <c r="I8" s="89">
        <v>5007</v>
      </c>
      <c r="J8" s="122"/>
      <c r="K8" s="90">
        <v>429.79</v>
      </c>
      <c r="L8" s="90">
        <f t="shared" si="1"/>
        <v>4588438.04</v>
      </c>
      <c r="M8" s="90"/>
      <c r="N8" t="str">
        <f t="shared" si="2"/>
        <v>OVERHEAD4000</v>
      </c>
      <c r="O8" s="221">
        <f t="shared" si="3"/>
        <v>429.79</v>
      </c>
    </row>
    <row r="9" spans="1:15" x14ac:dyDescent="0.3">
      <c r="B9">
        <v>5800</v>
      </c>
      <c r="C9" s="118">
        <v>345</v>
      </c>
      <c r="D9" s="118">
        <v>18000</v>
      </c>
      <c r="E9" s="118">
        <v>18345</v>
      </c>
      <c r="F9" s="212">
        <f t="shared" si="0"/>
        <v>8.5298206622060821E-2</v>
      </c>
      <c r="G9" s="90"/>
      <c r="H9" t="s">
        <v>1005</v>
      </c>
      <c r="I9" s="89">
        <v>5007</v>
      </c>
      <c r="J9" s="122"/>
      <c r="K9" s="90">
        <v>429.79</v>
      </c>
      <c r="L9" s="90">
        <f t="shared" si="1"/>
        <v>7884497.5500000007</v>
      </c>
      <c r="M9" s="90"/>
      <c r="N9" t="str">
        <f t="shared" si="2"/>
        <v>OVERHEAD5800</v>
      </c>
      <c r="O9" s="221">
        <f t="shared" si="3"/>
        <v>429.79</v>
      </c>
    </row>
    <row r="10" spans="1:15" x14ac:dyDescent="0.3">
      <c r="B10">
        <v>6000</v>
      </c>
      <c r="C10" s="118">
        <v>2</v>
      </c>
      <c r="D10" s="118"/>
      <c r="E10" s="118">
        <v>2</v>
      </c>
      <c r="F10" s="212">
        <f t="shared" si="0"/>
        <v>9.2993411416801125E-6</v>
      </c>
      <c r="G10" s="90"/>
      <c r="H10" t="s">
        <v>1009</v>
      </c>
      <c r="I10" s="89">
        <v>14166</v>
      </c>
      <c r="J10" s="122"/>
      <c r="K10" s="90">
        <v>710.45</v>
      </c>
      <c r="L10" s="90">
        <f t="shared" si="1"/>
        <v>1420.9</v>
      </c>
      <c r="M10" s="90"/>
      <c r="N10" t="str">
        <f t="shared" si="2"/>
        <v>OVERHEAD6000</v>
      </c>
      <c r="O10" s="221">
        <f t="shared" si="3"/>
        <v>710.45</v>
      </c>
    </row>
    <row r="11" spans="1:15" x14ac:dyDescent="0.3">
      <c r="B11">
        <v>7000</v>
      </c>
      <c r="C11" s="118">
        <v>50</v>
      </c>
      <c r="D11" s="118">
        <v>9191</v>
      </c>
      <c r="E11" s="118">
        <v>9241</v>
      </c>
      <c r="F11" s="212">
        <f t="shared" si="0"/>
        <v>4.2967605745132954E-2</v>
      </c>
      <c r="G11" s="90"/>
      <c r="H11" t="s">
        <v>1009</v>
      </c>
      <c r="I11" s="89">
        <v>14166</v>
      </c>
      <c r="J11" s="122"/>
      <c r="K11" s="90">
        <v>710.45</v>
      </c>
      <c r="L11" s="90">
        <f t="shared" si="1"/>
        <v>6565268.4500000002</v>
      </c>
      <c r="M11" s="90"/>
      <c r="N11" t="str">
        <f t="shared" si="2"/>
        <v>OVERHEAD7000</v>
      </c>
      <c r="O11" s="221">
        <f t="shared" si="3"/>
        <v>710.45</v>
      </c>
    </row>
    <row r="12" spans="1:15" x14ac:dyDescent="0.3">
      <c r="B12">
        <v>8000</v>
      </c>
      <c r="C12" s="118"/>
      <c r="D12" s="118">
        <v>3624</v>
      </c>
      <c r="E12" s="118">
        <v>3624</v>
      </c>
      <c r="F12" s="212">
        <f t="shared" si="0"/>
        <v>1.6850406148724364E-2</v>
      </c>
      <c r="G12" s="90"/>
      <c r="H12" t="s">
        <v>1009</v>
      </c>
      <c r="I12" s="89">
        <v>14166</v>
      </c>
      <c r="J12" s="122"/>
      <c r="K12" s="90">
        <v>710.45</v>
      </c>
      <c r="L12" s="90">
        <f t="shared" si="1"/>
        <v>2574670.8000000003</v>
      </c>
      <c r="M12" s="90"/>
      <c r="N12" t="str">
        <f t="shared" si="2"/>
        <v>OVERHEAD8000</v>
      </c>
      <c r="O12" s="221">
        <f t="shared" si="3"/>
        <v>710.45</v>
      </c>
    </row>
    <row r="13" spans="1:15" x14ac:dyDescent="0.3">
      <c r="B13">
        <v>9500</v>
      </c>
      <c r="C13" s="118">
        <v>13450</v>
      </c>
      <c r="D13" s="118">
        <v>68274</v>
      </c>
      <c r="E13" s="118">
        <v>81724</v>
      </c>
      <c r="F13" s="212">
        <f t="shared" si="0"/>
        <v>0.37998967773133274</v>
      </c>
      <c r="G13" s="90"/>
      <c r="H13" t="s">
        <v>1009</v>
      </c>
      <c r="I13" s="89">
        <v>14166</v>
      </c>
      <c r="J13" s="122"/>
      <c r="K13" s="90">
        <v>710.45</v>
      </c>
      <c r="L13" s="90">
        <f t="shared" si="1"/>
        <v>58060815.800000004</v>
      </c>
      <c r="M13" s="90"/>
      <c r="N13" t="str">
        <f t="shared" si="2"/>
        <v>OVERHEAD9500</v>
      </c>
      <c r="O13" s="221">
        <f t="shared" si="3"/>
        <v>710.45</v>
      </c>
    </row>
    <row r="14" spans="1:15" x14ac:dyDescent="0.3">
      <c r="B14">
        <v>10000</v>
      </c>
      <c r="C14" s="118"/>
      <c r="D14" s="118">
        <v>1108</v>
      </c>
      <c r="E14" s="118">
        <v>1108</v>
      </c>
      <c r="F14" s="212">
        <f t="shared" si="0"/>
        <v>5.1518349924907824E-3</v>
      </c>
      <c r="G14" s="90"/>
      <c r="H14" t="s">
        <v>1009</v>
      </c>
      <c r="I14" s="89">
        <v>14166</v>
      </c>
      <c r="J14" s="122"/>
      <c r="K14" s="90">
        <v>710.45</v>
      </c>
      <c r="L14" s="90">
        <f t="shared" si="1"/>
        <v>787178.60000000009</v>
      </c>
      <c r="M14" s="90"/>
      <c r="N14" t="str">
        <f t="shared" si="2"/>
        <v>OVERHEAD10000</v>
      </c>
      <c r="O14" s="221">
        <f t="shared" si="3"/>
        <v>710.45</v>
      </c>
    </row>
    <row r="15" spans="1:15" x14ac:dyDescent="0.3">
      <c r="B15">
        <v>12000</v>
      </c>
      <c r="C15" s="118">
        <v>915</v>
      </c>
      <c r="D15" s="118"/>
      <c r="E15" s="118">
        <v>915</v>
      </c>
      <c r="F15" s="212">
        <f t="shared" si="0"/>
        <v>4.2544485723186509E-3</v>
      </c>
      <c r="G15" s="90"/>
      <c r="H15" t="s">
        <v>1009</v>
      </c>
      <c r="I15" s="89">
        <v>14166</v>
      </c>
      <c r="J15" s="122"/>
      <c r="K15" s="90">
        <v>710.45</v>
      </c>
      <c r="L15" s="90">
        <f t="shared" si="1"/>
        <v>650061.75</v>
      </c>
      <c r="M15" s="90"/>
      <c r="N15" t="str">
        <f t="shared" si="2"/>
        <v>OVERHEAD12000</v>
      </c>
      <c r="O15" s="221">
        <f t="shared" si="3"/>
        <v>710.45</v>
      </c>
    </row>
    <row r="16" spans="1:15" x14ac:dyDescent="0.3">
      <c r="B16">
        <v>13000</v>
      </c>
      <c r="C16" s="118"/>
      <c r="D16" s="118">
        <v>3197</v>
      </c>
      <c r="E16" s="118">
        <v>3197</v>
      </c>
      <c r="F16" s="212">
        <f t="shared" si="0"/>
        <v>1.4864996814975658E-2</v>
      </c>
      <c r="G16" s="90"/>
      <c r="H16" t="s">
        <v>1009</v>
      </c>
      <c r="I16" s="89">
        <v>14166</v>
      </c>
      <c r="J16" s="122"/>
      <c r="K16" s="90">
        <v>710.45</v>
      </c>
      <c r="L16" s="90">
        <f t="shared" si="1"/>
        <v>2271308.6500000004</v>
      </c>
      <c r="M16" s="90"/>
      <c r="N16" t="str">
        <f t="shared" si="2"/>
        <v>OVERHEAD13000</v>
      </c>
      <c r="O16" s="221">
        <f t="shared" si="3"/>
        <v>710.45</v>
      </c>
    </row>
    <row r="17" spans="1:15" x14ac:dyDescent="0.3">
      <c r="B17">
        <v>16000</v>
      </c>
      <c r="C17" s="118">
        <v>402</v>
      </c>
      <c r="D17" s="118">
        <v>6855</v>
      </c>
      <c r="E17" s="118">
        <v>7257</v>
      </c>
      <c r="F17" s="212">
        <f t="shared" si="0"/>
        <v>3.3742659332586286E-2</v>
      </c>
      <c r="G17" s="90"/>
      <c r="H17" t="s">
        <v>1011</v>
      </c>
      <c r="I17" s="89">
        <v>23214</v>
      </c>
      <c r="J17" s="122"/>
      <c r="K17" s="90">
        <v>1044.56</v>
      </c>
      <c r="L17" s="90">
        <f t="shared" si="1"/>
        <v>7580371.9199999999</v>
      </c>
      <c r="M17" s="90"/>
      <c r="N17" t="str">
        <f t="shared" si="2"/>
        <v>OVERHEAD16000</v>
      </c>
      <c r="O17" s="221">
        <f t="shared" si="3"/>
        <v>1044.56</v>
      </c>
    </row>
    <row r="18" spans="1:15" x14ac:dyDescent="0.3">
      <c r="B18">
        <v>20000</v>
      </c>
      <c r="C18" s="118"/>
      <c r="D18" s="118">
        <v>2762</v>
      </c>
      <c r="E18" s="118">
        <v>2762</v>
      </c>
      <c r="F18" s="212">
        <f t="shared" si="0"/>
        <v>1.2842390116660234E-2</v>
      </c>
      <c r="G18" s="90"/>
      <c r="H18" t="s">
        <v>1011</v>
      </c>
      <c r="I18" s="89">
        <v>23214</v>
      </c>
      <c r="J18" s="122"/>
      <c r="K18" s="90">
        <v>1044.56</v>
      </c>
      <c r="L18" s="90">
        <f t="shared" si="1"/>
        <v>2885074.7199999997</v>
      </c>
      <c r="M18" s="90"/>
      <c r="N18" t="str">
        <f t="shared" si="2"/>
        <v>OVERHEAD20000</v>
      </c>
      <c r="O18" s="221">
        <f t="shared" si="3"/>
        <v>1044.56</v>
      </c>
    </row>
    <row r="19" spans="1:15" x14ac:dyDescent="0.3">
      <c r="B19">
        <v>22000</v>
      </c>
      <c r="C19" s="118">
        <v>7495</v>
      </c>
      <c r="D19" s="118">
        <v>13090</v>
      </c>
      <c r="E19" s="118">
        <v>20585</v>
      </c>
      <c r="F19" s="212">
        <f t="shared" si="0"/>
        <v>9.5713468700742557E-2</v>
      </c>
      <c r="G19" s="90"/>
      <c r="H19" t="s">
        <v>1011</v>
      </c>
      <c r="I19" s="89">
        <v>23214</v>
      </c>
      <c r="J19" s="122"/>
      <c r="K19" s="90">
        <v>1044.56</v>
      </c>
      <c r="L19" s="90">
        <f t="shared" si="1"/>
        <v>21502267.599999998</v>
      </c>
      <c r="M19" s="90"/>
      <c r="N19" t="str">
        <f t="shared" si="2"/>
        <v>OVERHEAD22000</v>
      </c>
      <c r="O19" s="221">
        <f t="shared" si="3"/>
        <v>1044.56</v>
      </c>
    </row>
    <row r="20" spans="1:15" x14ac:dyDescent="0.3">
      <c r="B20">
        <v>25000</v>
      </c>
      <c r="C20" s="118">
        <v>665</v>
      </c>
      <c r="D20" s="118">
        <v>3266</v>
      </c>
      <c r="E20" s="118">
        <v>3931</v>
      </c>
      <c r="F20" s="212">
        <f t="shared" si="0"/>
        <v>1.827785501397226E-2</v>
      </c>
      <c r="G20" s="90"/>
      <c r="H20" t="s">
        <v>1011</v>
      </c>
      <c r="I20" s="89">
        <v>23214</v>
      </c>
      <c r="J20" s="122"/>
      <c r="K20" s="90">
        <v>1044.56</v>
      </c>
      <c r="L20" s="90">
        <f t="shared" si="1"/>
        <v>4106165.36</v>
      </c>
      <c r="M20" s="90"/>
      <c r="N20" t="str">
        <f t="shared" si="2"/>
        <v>OVERHEAD25000</v>
      </c>
      <c r="O20" s="221">
        <f t="shared" si="3"/>
        <v>1044.56</v>
      </c>
    </row>
    <row r="21" spans="1:15" x14ac:dyDescent="0.3">
      <c r="B21">
        <v>28500</v>
      </c>
      <c r="C21" s="118"/>
      <c r="D21" s="118">
        <v>10421</v>
      </c>
      <c r="E21" s="118">
        <v>10421</v>
      </c>
      <c r="F21" s="212">
        <f t="shared" si="0"/>
        <v>4.8454217018724224E-2</v>
      </c>
      <c r="G21" s="90"/>
      <c r="H21" t="s">
        <v>1011</v>
      </c>
      <c r="I21" s="89">
        <v>23214</v>
      </c>
      <c r="J21" s="122"/>
      <c r="K21" s="90">
        <v>1044.56</v>
      </c>
      <c r="L21" s="90">
        <f t="shared" si="1"/>
        <v>10885359.76</v>
      </c>
      <c r="M21" s="90"/>
      <c r="N21" t="str">
        <f t="shared" si="2"/>
        <v>OVERHEAD28500</v>
      </c>
      <c r="O21" s="221">
        <f t="shared" si="3"/>
        <v>1044.56</v>
      </c>
    </row>
    <row r="22" spans="1:15" x14ac:dyDescent="0.3">
      <c r="B22">
        <v>32000</v>
      </c>
      <c r="C22" s="118">
        <v>7449</v>
      </c>
      <c r="D22" s="118"/>
      <c r="E22" s="118">
        <v>7449</v>
      </c>
      <c r="F22" s="212">
        <f t="shared" si="0"/>
        <v>3.4635396082187575E-2</v>
      </c>
      <c r="G22" s="90"/>
      <c r="H22" t="s">
        <v>1017</v>
      </c>
      <c r="I22" s="89">
        <f>+I21+I16</f>
        <v>37380</v>
      </c>
      <c r="J22" s="122"/>
      <c r="K22" s="90">
        <f>+K21+K16</f>
        <v>1755.01</v>
      </c>
      <c r="L22" s="90">
        <f t="shared" si="1"/>
        <v>13073069.49</v>
      </c>
      <c r="M22" s="90"/>
      <c r="N22" t="str">
        <f t="shared" si="2"/>
        <v>OVERHEAD32000</v>
      </c>
      <c r="O22" s="221">
        <f t="shared" si="3"/>
        <v>1755.01</v>
      </c>
    </row>
    <row r="23" spans="1:15" x14ac:dyDescent="0.3">
      <c r="B23">
        <v>50000</v>
      </c>
      <c r="C23" s="118">
        <v>22282</v>
      </c>
      <c r="D23" s="118">
        <v>8953</v>
      </c>
      <c r="E23" s="118">
        <v>31235</v>
      </c>
      <c r="F23" s="212">
        <f t="shared" si="0"/>
        <v>0.14523246028018916</v>
      </c>
      <c r="G23" s="90"/>
      <c r="H23" t="s">
        <v>1018</v>
      </c>
      <c r="I23" s="89">
        <f>+I21*2</f>
        <v>46428</v>
      </c>
      <c r="J23" s="122"/>
      <c r="K23" s="90">
        <f>+K21*2</f>
        <v>2089.12</v>
      </c>
      <c r="L23" s="90">
        <f t="shared" si="1"/>
        <v>65253663.199999996</v>
      </c>
      <c r="M23" s="90"/>
      <c r="N23" t="str">
        <f t="shared" si="2"/>
        <v>OVERHEAD50000</v>
      </c>
      <c r="O23" s="221">
        <f t="shared" si="3"/>
        <v>2089.12</v>
      </c>
    </row>
    <row r="24" spans="1:15" x14ac:dyDescent="0.3">
      <c r="B24">
        <v>60000</v>
      </c>
      <c r="C24" s="118">
        <v>305</v>
      </c>
      <c r="D24" s="118">
        <v>31</v>
      </c>
      <c r="E24" s="118">
        <v>336</v>
      </c>
      <c r="F24" s="212">
        <f t="shared" si="0"/>
        <v>1.5622893118022588E-3</v>
      </c>
      <c r="G24" s="90"/>
      <c r="H24" t="s">
        <v>1019</v>
      </c>
      <c r="I24" s="89">
        <f>+I21*3</f>
        <v>69642</v>
      </c>
      <c r="J24" s="122"/>
      <c r="K24" s="90">
        <f>+K21*3</f>
        <v>3133.68</v>
      </c>
      <c r="L24" s="90">
        <f t="shared" si="1"/>
        <v>1052916.48</v>
      </c>
      <c r="M24" s="90"/>
      <c r="N24" t="str">
        <f t="shared" si="2"/>
        <v>OVERHEAD60000</v>
      </c>
      <c r="O24" s="221">
        <f t="shared" si="3"/>
        <v>3133.68</v>
      </c>
    </row>
    <row r="25" spans="1:15" x14ac:dyDescent="0.3">
      <c r="B25">
        <v>107800</v>
      </c>
      <c r="C25" s="118">
        <v>1824</v>
      </c>
      <c r="D25" s="118"/>
      <c r="E25" s="118">
        <v>1824</v>
      </c>
      <c r="F25" s="212">
        <f t="shared" si="0"/>
        <v>8.4809991212122619E-3</v>
      </c>
      <c r="G25" s="90"/>
      <c r="H25" t="s">
        <v>1015</v>
      </c>
      <c r="I25" s="89">
        <f>+I21*4</f>
        <v>92856</v>
      </c>
      <c r="J25" s="122"/>
      <c r="K25" s="90">
        <f>+K21*4</f>
        <v>4178.24</v>
      </c>
      <c r="L25" s="90">
        <f t="shared" si="1"/>
        <v>7621109.7599999998</v>
      </c>
      <c r="M25" s="90"/>
      <c r="N25" t="str">
        <f t="shared" si="2"/>
        <v>OVERHEAD107800</v>
      </c>
      <c r="O25" s="221">
        <f t="shared" si="3"/>
        <v>4178.24</v>
      </c>
    </row>
    <row r="26" spans="1:15" x14ac:dyDescent="0.3">
      <c r="A26" t="s">
        <v>661</v>
      </c>
      <c r="C26" s="118">
        <v>55647</v>
      </c>
      <c r="D26" s="118">
        <v>159422</v>
      </c>
      <c r="E26" s="118">
        <v>215069</v>
      </c>
      <c r="G26" s="90"/>
      <c r="J26" s="122"/>
      <c r="K26" s="69"/>
      <c r="L26" s="69">
        <f>SUM(L6:L25)</f>
        <v>217531477.05999997</v>
      </c>
      <c r="M26" s="68"/>
    </row>
    <row r="27" spans="1:15" x14ac:dyDescent="0.3">
      <c r="A27" t="s">
        <v>609</v>
      </c>
      <c r="B27">
        <v>1500</v>
      </c>
      <c r="C27" s="118">
        <v>17</v>
      </c>
      <c r="D27" s="118"/>
      <c r="E27" s="118">
        <v>17</v>
      </c>
      <c r="F27" s="212">
        <f>+E27/$E$43</f>
        <v>3.0757540120497184E-4</v>
      </c>
      <c r="G27" s="90"/>
      <c r="H27" t="s">
        <v>1010</v>
      </c>
      <c r="I27" s="89">
        <v>5665</v>
      </c>
      <c r="J27" s="122"/>
      <c r="K27" s="223">
        <v>1211.7550000000001</v>
      </c>
      <c r="L27" s="90">
        <f>+E27*K27</f>
        <v>20599.835000000003</v>
      </c>
      <c r="M27" s="90"/>
      <c r="N27" t="str">
        <f>CONCATENATE("UNDERGROUND",B27)</f>
        <v>UNDERGROUND1500</v>
      </c>
      <c r="O27" s="221">
        <f t="shared" si="3"/>
        <v>1211.7550000000001</v>
      </c>
    </row>
    <row r="28" spans="1:15" x14ac:dyDescent="0.3">
      <c r="B28">
        <v>4000</v>
      </c>
      <c r="C28" s="118">
        <v>1222</v>
      </c>
      <c r="D28" s="118"/>
      <c r="E28" s="118">
        <v>1222</v>
      </c>
      <c r="F28" s="212">
        <f t="shared" ref="F28:F42" si="4">+E28/$E$43</f>
        <v>2.2109243545439743E-2</v>
      </c>
      <c r="G28" s="90"/>
      <c r="H28" t="s">
        <v>1010</v>
      </c>
      <c r="I28" s="89">
        <v>5665</v>
      </c>
      <c r="J28" s="122"/>
      <c r="K28" s="223">
        <v>1211.7550000000001</v>
      </c>
      <c r="L28" s="90">
        <f t="shared" ref="L28:L42" si="5">+E28*K28</f>
        <v>1480764.61</v>
      </c>
      <c r="M28" s="90"/>
      <c r="N28" t="str">
        <f t="shared" ref="N28:N42" si="6">CONCATENATE("UNDERGROUND",B28)</f>
        <v>UNDERGROUND4000</v>
      </c>
      <c r="O28" s="221">
        <f t="shared" si="3"/>
        <v>1211.7550000000001</v>
      </c>
    </row>
    <row r="29" spans="1:15" x14ac:dyDescent="0.3">
      <c r="B29">
        <v>5800</v>
      </c>
      <c r="C29" s="118">
        <v>8509</v>
      </c>
      <c r="D29" s="118"/>
      <c r="E29" s="118">
        <v>8509</v>
      </c>
      <c r="F29" s="212">
        <f t="shared" si="4"/>
        <v>0.15395053463841799</v>
      </c>
      <c r="G29" s="90"/>
      <c r="H29" t="s">
        <v>1010</v>
      </c>
      <c r="I29" s="89">
        <v>5665</v>
      </c>
      <c r="J29" s="122"/>
      <c r="K29" s="223">
        <v>1211.7550000000001</v>
      </c>
      <c r="L29" s="90">
        <f t="shared" si="5"/>
        <v>10310823.295000002</v>
      </c>
      <c r="M29" s="90"/>
      <c r="N29" t="str">
        <f t="shared" si="6"/>
        <v>UNDERGROUND5800</v>
      </c>
      <c r="O29" s="221">
        <f t="shared" si="3"/>
        <v>1211.7550000000001</v>
      </c>
    </row>
    <row r="30" spans="1:15" x14ac:dyDescent="0.3">
      <c r="B30">
        <v>6000</v>
      </c>
      <c r="C30" s="118">
        <v>39</v>
      </c>
      <c r="D30" s="118"/>
      <c r="E30" s="118">
        <v>39</v>
      </c>
      <c r="F30" s="212">
        <f t="shared" si="4"/>
        <v>7.0561415570552369E-4</v>
      </c>
      <c r="G30" s="90"/>
      <c r="H30" t="s">
        <v>1010</v>
      </c>
      <c r="I30" s="89">
        <v>5665</v>
      </c>
      <c r="J30" s="122"/>
      <c r="K30" s="223">
        <v>1211.7550000000001</v>
      </c>
      <c r="L30" s="90">
        <f t="shared" si="5"/>
        <v>47258.445000000007</v>
      </c>
      <c r="M30" s="90"/>
      <c r="N30" t="str">
        <f t="shared" si="6"/>
        <v>UNDERGROUND6000</v>
      </c>
      <c r="O30" s="221">
        <f t="shared" si="3"/>
        <v>1211.7550000000001</v>
      </c>
    </row>
    <row r="31" spans="1:15" x14ac:dyDescent="0.3">
      <c r="B31">
        <v>8000</v>
      </c>
      <c r="C31" s="118">
        <v>1336</v>
      </c>
      <c r="D31" s="118">
        <v>48</v>
      </c>
      <c r="E31" s="118">
        <v>1384</v>
      </c>
      <c r="F31" s="212">
        <f t="shared" si="4"/>
        <v>2.5040256192216535E-2</v>
      </c>
      <c r="G31" s="90"/>
      <c r="H31" t="s">
        <v>1006</v>
      </c>
      <c r="I31" s="89">
        <v>8179</v>
      </c>
      <c r="J31" s="122"/>
      <c r="K31" s="90">
        <v>515.69000000000005</v>
      </c>
      <c r="L31" s="90">
        <f t="shared" si="5"/>
        <v>713714.96000000008</v>
      </c>
      <c r="M31" s="90"/>
      <c r="N31" t="str">
        <f t="shared" si="6"/>
        <v>UNDERGROUND8000</v>
      </c>
      <c r="O31" s="221">
        <f t="shared" si="3"/>
        <v>515.69000000000005</v>
      </c>
    </row>
    <row r="32" spans="1:15" x14ac:dyDescent="0.3">
      <c r="B32">
        <v>9500</v>
      </c>
      <c r="C32" s="118">
        <v>30003</v>
      </c>
      <c r="D32" s="118"/>
      <c r="E32" s="118">
        <v>30003</v>
      </c>
      <c r="F32" s="212">
        <f t="shared" si="4"/>
        <v>0.54283439778545706</v>
      </c>
      <c r="G32" s="90"/>
      <c r="H32" t="s">
        <v>1006</v>
      </c>
      <c r="I32" s="89">
        <v>8179</v>
      </c>
      <c r="J32" s="122"/>
      <c r="K32" s="90">
        <v>515.69000000000005</v>
      </c>
      <c r="L32" s="90">
        <f t="shared" si="5"/>
        <v>15472247.070000002</v>
      </c>
      <c r="M32" s="90"/>
      <c r="N32" t="str">
        <f t="shared" si="6"/>
        <v>UNDERGROUND9500</v>
      </c>
      <c r="O32" s="221">
        <f t="shared" si="3"/>
        <v>515.69000000000005</v>
      </c>
    </row>
    <row r="33" spans="1:15" x14ac:dyDescent="0.3">
      <c r="B33">
        <v>12000</v>
      </c>
      <c r="C33" s="118">
        <v>283</v>
      </c>
      <c r="D33" s="118"/>
      <c r="E33" s="118">
        <v>283</v>
      </c>
      <c r="F33" s="212">
        <f t="shared" si="4"/>
        <v>5.1202257965298256E-3</v>
      </c>
      <c r="G33" s="90"/>
      <c r="H33" t="s">
        <v>1009</v>
      </c>
      <c r="I33" s="89">
        <v>14166</v>
      </c>
      <c r="J33" s="122"/>
      <c r="K33" s="90">
        <v>732.67</v>
      </c>
      <c r="L33" s="90">
        <f t="shared" si="5"/>
        <v>207345.61</v>
      </c>
      <c r="M33" s="90"/>
      <c r="N33" t="str">
        <f t="shared" si="6"/>
        <v>UNDERGROUND12000</v>
      </c>
      <c r="O33" s="221">
        <f t="shared" si="3"/>
        <v>732.67</v>
      </c>
    </row>
    <row r="34" spans="1:15" x14ac:dyDescent="0.3">
      <c r="B34">
        <v>13000</v>
      </c>
      <c r="C34" s="118"/>
      <c r="D34" s="118">
        <v>451</v>
      </c>
      <c r="E34" s="118">
        <v>451</v>
      </c>
      <c r="F34" s="212">
        <f t="shared" si="4"/>
        <v>8.1597944672613127E-3</v>
      </c>
      <c r="G34" s="90"/>
      <c r="H34" t="s">
        <v>1009</v>
      </c>
      <c r="I34" s="89">
        <v>14166</v>
      </c>
      <c r="J34" s="122"/>
      <c r="K34" s="90">
        <v>732.67</v>
      </c>
      <c r="L34" s="90">
        <f t="shared" si="5"/>
        <v>330434.17</v>
      </c>
      <c r="M34" s="90"/>
      <c r="N34" t="str">
        <f t="shared" si="6"/>
        <v>UNDERGROUND13000</v>
      </c>
      <c r="O34" s="221">
        <f t="shared" si="3"/>
        <v>732.67</v>
      </c>
    </row>
    <row r="35" spans="1:15" x14ac:dyDescent="0.3">
      <c r="B35">
        <v>16000</v>
      </c>
      <c r="C35" s="118">
        <v>2548</v>
      </c>
      <c r="D35" s="118">
        <v>498</v>
      </c>
      <c r="E35" s="118">
        <v>3046</v>
      </c>
      <c r="F35" s="212">
        <f t="shared" si="4"/>
        <v>5.511027482766731E-2</v>
      </c>
      <c r="G35" s="90"/>
      <c r="H35" t="s">
        <v>1009</v>
      </c>
      <c r="I35" s="89">
        <v>14166</v>
      </c>
      <c r="J35" s="122"/>
      <c r="K35" s="90">
        <v>732.67</v>
      </c>
      <c r="L35" s="90">
        <f t="shared" si="5"/>
        <v>2231712.8199999998</v>
      </c>
      <c r="M35" s="90"/>
      <c r="N35" t="str">
        <f t="shared" si="6"/>
        <v>UNDERGROUND16000</v>
      </c>
      <c r="O35" s="221">
        <f t="shared" si="3"/>
        <v>732.67</v>
      </c>
    </row>
    <row r="36" spans="1:15" x14ac:dyDescent="0.3">
      <c r="B36">
        <v>22000</v>
      </c>
      <c r="C36" s="118">
        <v>1459</v>
      </c>
      <c r="D36" s="118"/>
      <c r="E36" s="118">
        <v>1459</v>
      </c>
      <c r="F36" s="212">
        <f t="shared" si="4"/>
        <v>2.6397206491650234E-2</v>
      </c>
      <c r="G36" s="90"/>
      <c r="H36" t="s">
        <v>1011</v>
      </c>
      <c r="I36" s="89">
        <v>23214</v>
      </c>
      <c r="J36" s="122"/>
      <c r="K36" s="90">
        <v>1107.5899999999999</v>
      </c>
      <c r="L36" s="90">
        <f t="shared" si="5"/>
        <v>1615973.8099999998</v>
      </c>
      <c r="M36" s="90"/>
      <c r="N36" t="str">
        <f t="shared" si="6"/>
        <v>UNDERGROUND22000</v>
      </c>
      <c r="O36" s="221">
        <f t="shared" si="3"/>
        <v>1107.5899999999999</v>
      </c>
    </row>
    <row r="37" spans="1:15" x14ac:dyDescent="0.3">
      <c r="B37">
        <v>25000</v>
      </c>
      <c r="C37" s="118"/>
      <c r="D37" s="118">
        <v>453</v>
      </c>
      <c r="E37" s="118">
        <v>453</v>
      </c>
      <c r="F37" s="212">
        <f t="shared" si="4"/>
        <v>8.1959798085795444E-3</v>
      </c>
      <c r="G37" s="90"/>
      <c r="H37" t="s">
        <v>1011</v>
      </c>
      <c r="I37" s="89">
        <v>23214</v>
      </c>
      <c r="J37" s="122"/>
      <c r="K37" s="90">
        <v>1107.5899999999999</v>
      </c>
      <c r="L37" s="90">
        <f t="shared" si="5"/>
        <v>501738.26999999996</v>
      </c>
      <c r="M37" s="90"/>
      <c r="N37" t="str">
        <f t="shared" si="6"/>
        <v>UNDERGROUND25000</v>
      </c>
      <c r="O37" s="221">
        <f t="shared" si="3"/>
        <v>1107.5899999999999</v>
      </c>
    </row>
    <row r="38" spans="1:15" x14ac:dyDescent="0.3">
      <c r="B38">
        <v>28500</v>
      </c>
      <c r="C38" s="118">
        <v>238</v>
      </c>
      <c r="D38" s="118">
        <v>2681</v>
      </c>
      <c r="E38" s="118">
        <v>2919</v>
      </c>
      <c r="F38" s="212">
        <f t="shared" si="4"/>
        <v>5.2812505653959584E-2</v>
      </c>
      <c r="G38" s="90"/>
      <c r="H38" t="s">
        <v>1011</v>
      </c>
      <c r="I38" s="89">
        <v>23214</v>
      </c>
      <c r="J38" s="122"/>
      <c r="K38" s="90">
        <v>1107.5899999999999</v>
      </c>
      <c r="L38" s="90">
        <f t="shared" si="5"/>
        <v>3233055.21</v>
      </c>
      <c r="M38" s="90"/>
      <c r="N38" t="str">
        <f t="shared" si="6"/>
        <v>UNDERGROUND28500</v>
      </c>
      <c r="O38" s="221">
        <f t="shared" si="3"/>
        <v>1107.5899999999999</v>
      </c>
    </row>
    <row r="39" spans="1:15" x14ac:dyDescent="0.3">
      <c r="B39">
        <v>32000</v>
      </c>
      <c r="C39" s="118">
        <v>1383</v>
      </c>
      <c r="D39" s="118"/>
      <c r="E39" s="118">
        <v>1383</v>
      </c>
      <c r="F39" s="212">
        <f t="shared" si="4"/>
        <v>2.5022163521557419E-2</v>
      </c>
      <c r="G39" s="90"/>
      <c r="H39" t="s">
        <v>1013</v>
      </c>
      <c r="I39" s="89">
        <f>+I38+I32</f>
        <v>31393</v>
      </c>
      <c r="J39" s="122"/>
      <c r="K39" s="90">
        <f>+K38+K32</f>
        <v>1623.28</v>
      </c>
      <c r="L39" s="90">
        <f t="shared" si="5"/>
        <v>2244996.2399999998</v>
      </c>
      <c r="M39" s="90"/>
      <c r="N39" t="str">
        <f t="shared" si="6"/>
        <v>UNDERGROUND32000</v>
      </c>
      <c r="O39" s="221">
        <f t="shared" si="3"/>
        <v>1623.28</v>
      </c>
    </row>
    <row r="40" spans="1:15" x14ac:dyDescent="0.3">
      <c r="B40">
        <v>50000</v>
      </c>
      <c r="C40" s="118">
        <v>1464</v>
      </c>
      <c r="D40" s="118">
        <v>2323</v>
      </c>
      <c r="E40" s="118">
        <v>3787</v>
      </c>
      <c r="F40" s="212">
        <f t="shared" si="4"/>
        <v>6.851694378607226E-2</v>
      </c>
      <c r="G40" s="90"/>
      <c r="H40" t="s">
        <v>1014</v>
      </c>
      <c r="I40" s="89">
        <f>+I38*2</f>
        <v>46428</v>
      </c>
      <c r="J40" s="122"/>
      <c r="K40" s="90">
        <f>+K38*2</f>
        <v>2215.1799999999998</v>
      </c>
      <c r="L40" s="90">
        <f t="shared" si="5"/>
        <v>8388886.6600000001</v>
      </c>
      <c r="M40" s="90"/>
      <c r="N40" t="str">
        <f t="shared" si="6"/>
        <v>UNDERGROUND50000</v>
      </c>
      <c r="O40" s="221">
        <f t="shared" si="3"/>
        <v>2215.1799999999998</v>
      </c>
    </row>
    <row r="41" spans="1:15" x14ac:dyDescent="0.3">
      <c r="B41">
        <v>107800</v>
      </c>
      <c r="C41" s="118">
        <v>296</v>
      </c>
      <c r="D41" s="118"/>
      <c r="E41" s="118">
        <v>296</v>
      </c>
      <c r="F41" s="212">
        <f t="shared" si="4"/>
        <v>5.3554305150983333E-3</v>
      </c>
      <c r="G41" s="90"/>
      <c r="H41" t="s">
        <v>1015</v>
      </c>
      <c r="I41" s="89">
        <f>+I38*4</f>
        <v>92856</v>
      </c>
      <c r="J41" s="122"/>
      <c r="K41" s="90">
        <f>+K38*4</f>
        <v>4430.3599999999997</v>
      </c>
      <c r="L41" s="90">
        <f t="shared" si="5"/>
        <v>1311386.5599999998</v>
      </c>
      <c r="M41" s="90"/>
      <c r="N41" t="str">
        <f t="shared" si="6"/>
        <v>UNDERGROUND107800</v>
      </c>
      <c r="O41" s="221">
        <f t="shared" si="3"/>
        <v>4430.3599999999997</v>
      </c>
    </row>
    <row r="42" spans="1:15" x14ac:dyDescent="0.3">
      <c r="B42">
        <v>120000</v>
      </c>
      <c r="C42" s="118">
        <v>20</v>
      </c>
      <c r="D42" s="118"/>
      <c r="E42" s="118">
        <v>20</v>
      </c>
      <c r="F42" s="212">
        <f t="shared" si="4"/>
        <v>3.6185341318231983E-4</v>
      </c>
      <c r="G42" s="90"/>
      <c r="H42" t="s">
        <v>1016</v>
      </c>
      <c r="I42" s="118">
        <f>+I38*5</f>
        <v>116070</v>
      </c>
      <c r="J42" s="122"/>
      <c r="K42" s="90">
        <f>+K38*5</f>
        <v>5537.95</v>
      </c>
      <c r="L42" s="90">
        <f t="shared" si="5"/>
        <v>110759</v>
      </c>
      <c r="M42" s="90"/>
      <c r="N42" t="str">
        <f t="shared" si="6"/>
        <v>UNDERGROUND120000</v>
      </c>
      <c r="O42" s="221">
        <f t="shared" si="3"/>
        <v>5537.95</v>
      </c>
    </row>
    <row r="43" spans="1:15" x14ac:dyDescent="0.3">
      <c r="A43" t="s">
        <v>662</v>
      </c>
      <c r="C43" s="118">
        <v>48817</v>
      </c>
      <c r="D43" s="118">
        <v>6454</v>
      </c>
      <c r="E43" s="118">
        <v>55271</v>
      </c>
      <c r="G43" s="90"/>
      <c r="I43" s="118"/>
      <c r="J43" s="122"/>
      <c r="K43" s="90"/>
      <c r="L43" s="90"/>
      <c r="M43" s="90"/>
    </row>
    <row r="44" spans="1:15" x14ac:dyDescent="0.3">
      <c r="A44" t="s">
        <v>657</v>
      </c>
      <c r="C44" s="118">
        <v>104464</v>
      </c>
      <c r="D44" s="118">
        <v>165876</v>
      </c>
      <c r="E44" s="118">
        <v>270340</v>
      </c>
      <c r="J44" s="122"/>
      <c r="K44" s="90"/>
      <c r="L44" s="95">
        <f>SUM(L27:L43)</f>
        <v>48221696.565000013</v>
      </c>
      <c r="M44" s="122"/>
    </row>
    <row r="45" spans="1:15" x14ac:dyDescent="0.3">
      <c r="J45" s="122"/>
      <c r="K45" s="90"/>
      <c r="L45" s="94"/>
      <c r="M45" s="94"/>
    </row>
    <row r="46" spans="1:15" x14ac:dyDescent="0.3">
      <c r="J46" s="122"/>
      <c r="K46" s="90"/>
      <c r="L46" s="94">
        <f>+L26+L44</f>
        <v>265753173.625</v>
      </c>
      <c r="M46" s="94"/>
    </row>
    <row r="47" spans="1:15" x14ac:dyDescent="0.3">
      <c r="D47">
        <f>+GETPIVOTDATA("QTY BILLED JUN 2016",$A$4,"Type of Fixture1","Decorative")/GETPIVOTDATA("QTY BILLED JUN 2016",$A$4)</f>
        <v>0.38641710438706811</v>
      </c>
      <c r="J47" s="122"/>
    </row>
    <row r="48" spans="1:15" x14ac:dyDescent="0.3">
      <c r="D48">
        <f>+GETPIVOTDATA("QTY BILLED JUN 2016",$A$4,"Type of Fixture1","Cobra Head/Open Bottom")/GETPIVOTDATA("QTY BILLED JUN 2016",$A$4)</f>
        <v>0.61358289561293189</v>
      </c>
      <c r="J48" s="122"/>
    </row>
    <row r="49" spans="10:10" x14ac:dyDescent="0.3">
      <c r="J49" s="122"/>
    </row>
    <row r="50" spans="10:10" x14ac:dyDescent="0.3">
      <c r="J50" s="122"/>
    </row>
    <row r="51" spans="10:10" x14ac:dyDescent="0.3">
      <c r="J51" s="122"/>
    </row>
    <row r="52" spans="10:10" x14ac:dyDescent="0.3">
      <c r="J52" s="122"/>
    </row>
    <row r="53" spans="10:10" x14ac:dyDescent="0.3">
      <c r="J53" s="122"/>
    </row>
    <row r="54" spans="10:10" x14ac:dyDescent="0.3">
      <c r="J54" s="122"/>
    </row>
    <row r="55" spans="10:10" x14ac:dyDescent="0.3">
      <c r="J55" s="122"/>
    </row>
    <row r="56" spans="10:10" x14ac:dyDescent="0.3">
      <c r="J56" s="122"/>
    </row>
    <row r="57" spans="10:10" x14ac:dyDescent="0.3">
      <c r="J57" s="122"/>
    </row>
    <row r="58" spans="10:10" x14ac:dyDescent="0.3">
      <c r="J58" s="122"/>
    </row>
  </sheetData>
  <mergeCells count="2">
    <mergeCell ref="H2:L2"/>
    <mergeCell ref="H1:L1"/>
  </mergeCells>
  <pageMargins left="0.7" right="0.7" top="0.75" bottom="0.75" header="0.3" footer="0.3"/>
  <pageSetup scale="76" orientation="portrait" r:id="rId2"/>
  <headerFooter>
    <oddHeader>&amp;R&amp;"times,Bold"&amp;12Attachment to Response to LFUCG-2 Question No. 4 - Att  7
&amp;P of &amp;N
Malloy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2"/>
  <sheetViews>
    <sheetView zoomScale="90" zoomScaleNormal="90" workbookViewId="0">
      <selection activeCell="C38" sqref="C38"/>
    </sheetView>
  </sheetViews>
  <sheetFormatPr defaultRowHeight="14.4" x14ac:dyDescent="0.3"/>
  <cols>
    <col min="1" max="1" width="26.33203125" customWidth="1"/>
    <col min="2" max="2" width="17.88671875" customWidth="1"/>
    <col min="3" max="4" width="24.44140625" customWidth="1"/>
    <col min="5" max="5" width="11.33203125" customWidth="1"/>
    <col min="6" max="6" width="7.44140625" customWidth="1"/>
    <col min="7" max="7" width="3.5546875" customWidth="1"/>
    <col min="8" max="8" width="16.33203125" bestFit="1" customWidth="1"/>
    <col min="9" max="9" width="12.33203125" customWidth="1"/>
    <col min="10" max="10" width="2.33203125" style="94" customWidth="1"/>
    <col min="11" max="11" width="22.88671875" bestFit="1" customWidth="1"/>
    <col min="12" max="12" width="18.6640625" bestFit="1" customWidth="1"/>
    <col min="13" max="13" width="18.6640625" customWidth="1"/>
    <col min="14" max="14" width="14.88671875" bestFit="1" customWidth="1"/>
    <col min="15" max="15" width="11.109375" bestFit="1" customWidth="1"/>
    <col min="16" max="33" width="34.44140625" bestFit="1" customWidth="1"/>
    <col min="34" max="35" width="34.44140625" customWidth="1"/>
    <col min="36" max="36" width="34.44140625" bestFit="1" customWidth="1"/>
    <col min="37" max="37" width="11.33203125" customWidth="1"/>
    <col min="38" max="48" width="34.44140625" customWidth="1"/>
    <col min="49" max="49" width="9.109375" customWidth="1"/>
    <col min="50" max="53" width="12.88671875" customWidth="1"/>
    <col min="54" max="54" width="9.6640625" customWidth="1"/>
    <col min="55" max="55" width="14.44140625" customWidth="1"/>
    <col min="56" max="56" width="14.44140625" bestFit="1" customWidth="1"/>
    <col min="57" max="57" width="17.6640625" bestFit="1" customWidth="1"/>
    <col min="58" max="58" width="11.33203125" customWidth="1"/>
    <col min="59" max="59" width="14.33203125" bestFit="1" customWidth="1"/>
    <col min="60" max="60" width="13.88671875" bestFit="1" customWidth="1"/>
    <col min="61" max="61" width="12.6640625" bestFit="1" customWidth="1"/>
    <col min="62" max="62" width="14.5546875" bestFit="1" customWidth="1"/>
    <col min="63" max="63" width="20.5546875" bestFit="1" customWidth="1"/>
    <col min="64" max="64" width="14" bestFit="1" customWidth="1"/>
    <col min="65" max="65" width="24.109375" bestFit="1" customWidth="1"/>
    <col min="66" max="66" width="27.33203125" bestFit="1" customWidth="1"/>
    <col min="67" max="67" width="35.6640625" bestFit="1" customWidth="1"/>
    <col min="68" max="68" width="38.88671875" bestFit="1" customWidth="1"/>
    <col min="69" max="69" width="33.33203125" bestFit="1" customWidth="1"/>
    <col min="70" max="70" width="36.44140625" bestFit="1" customWidth="1"/>
    <col min="71" max="71" width="36.33203125" bestFit="1" customWidth="1"/>
    <col min="72" max="72" width="39.44140625" bestFit="1" customWidth="1"/>
    <col min="73" max="73" width="36.33203125" bestFit="1" customWidth="1"/>
    <col min="74" max="74" width="39.44140625" bestFit="1" customWidth="1"/>
    <col min="75" max="75" width="20.5546875" bestFit="1" customWidth="1"/>
    <col min="76" max="76" width="14.6640625" bestFit="1" customWidth="1"/>
    <col min="77" max="77" width="11.33203125" bestFit="1" customWidth="1"/>
  </cols>
  <sheetData>
    <row r="1" spans="1:15" x14ac:dyDescent="0.3">
      <c r="A1" t="s">
        <v>676</v>
      </c>
      <c r="H1" s="291" t="s">
        <v>1024</v>
      </c>
      <c r="I1" s="291"/>
      <c r="J1" s="291"/>
      <c r="K1" s="291"/>
      <c r="L1" s="291"/>
    </row>
    <row r="2" spans="1:15" ht="16.2" x14ac:dyDescent="0.45">
      <c r="A2" s="116" t="s">
        <v>594</v>
      </c>
      <c r="B2" t="s">
        <v>1003</v>
      </c>
      <c r="G2" s="215"/>
      <c r="H2" s="290" t="s">
        <v>1012</v>
      </c>
      <c r="I2" s="290"/>
      <c r="J2" s="290"/>
      <c r="K2" s="290"/>
      <c r="L2" s="290"/>
    </row>
    <row r="3" spans="1:15" x14ac:dyDescent="0.3">
      <c r="A3" t="s">
        <v>674</v>
      </c>
    </row>
    <row r="4" spans="1:15" x14ac:dyDescent="0.3">
      <c r="A4" s="116" t="s">
        <v>1004</v>
      </c>
      <c r="C4" s="116" t="s">
        <v>742</v>
      </c>
      <c r="H4" t="s">
        <v>1036</v>
      </c>
    </row>
    <row r="5" spans="1:15" x14ac:dyDescent="0.3">
      <c r="A5" s="116" t="s">
        <v>585</v>
      </c>
      <c r="B5" s="116" t="s">
        <v>685</v>
      </c>
      <c r="C5" t="s">
        <v>743</v>
      </c>
      <c r="D5" t="s">
        <v>1021</v>
      </c>
      <c r="E5" t="s">
        <v>657</v>
      </c>
      <c r="G5" s="217"/>
      <c r="H5" s="217" t="s">
        <v>1007</v>
      </c>
      <c r="I5" s="217" t="s">
        <v>1008</v>
      </c>
      <c r="J5" s="218"/>
      <c r="K5" s="216" t="s">
        <v>1022</v>
      </c>
      <c r="L5" s="227" t="s">
        <v>1035</v>
      </c>
      <c r="M5" s="224"/>
    </row>
    <row r="6" spans="1:15" x14ac:dyDescent="0.3">
      <c r="A6" t="s">
        <v>602</v>
      </c>
      <c r="B6">
        <v>50</v>
      </c>
      <c r="C6" s="118">
        <v>8</v>
      </c>
      <c r="D6" s="118">
        <v>10578</v>
      </c>
      <c r="E6" s="118">
        <v>10586</v>
      </c>
      <c r="F6" s="234">
        <f>+E6/$E$19</f>
        <v>4.9221412662912835E-2</v>
      </c>
      <c r="G6" s="90"/>
      <c r="H6" t="s">
        <v>1005</v>
      </c>
      <c r="I6" s="89">
        <v>5007</v>
      </c>
      <c r="J6" s="122"/>
      <c r="K6" s="90">
        <v>429.79</v>
      </c>
      <c r="L6" s="90">
        <f>+E6*K6</f>
        <v>4549756.9400000004</v>
      </c>
      <c r="M6" s="90"/>
      <c r="N6" t="str">
        <f t="shared" ref="N6:N18" si="0">CONCATENATE("OVERHEAD",B6)</f>
        <v>OVERHEAD50</v>
      </c>
      <c r="O6" s="221">
        <f>+K6</f>
        <v>429.79</v>
      </c>
    </row>
    <row r="7" spans="1:15" x14ac:dyDescent="0.3">
      <c r="B7">
        <v>70</v>
      </c>
      <c r="C7" s="118">
        <v>345</v>
      </c>
      <c r="D7" s="118">
        <v>17845</v>
      </c>
      <c r="E7" s="118">
        <v>18190</v>
      </c>
      <c r="F7" s="234">
        <f t="shared" ref="F7:F18" si="1">+E7/$E$19</f>
        <v>8.4577507683580619E-2</v>
      </c>
      <c r="G7" s="90"/>
      <c r="H7" t="s">
        <v>1009</v>
      </c>
      <c r="I7" s="89">
        <v>14166</v>
      </c>
      <c r="J7" s="122"/>
      <c r="K7" s="90">
        <v>710.45</v>
      </c>
      <c r="L7" s="90">
        <f t="shared" ref="L7:L9" si="2">+E7*K7</f>
        <v>12923085.5</v>
      </c>
      <c r="M7" s="90"/>
      <c r="N7" t="str">
        <f t="shared" si="0"/>
        <v>OVERHEAD70</v>
      </c>
      <c r="O7" s="221">
        <f t="shared" ref="O7:O18" si="3">+K7</f>
        <v>710.45</v>
      </c>
    </row>
    <row r="8" spans="1:15" x14ac:dyDescent="0.3">
      <c r="B8">
        <v>85</v>
      </c>
      <c r="C8" s="118">
        <v>1</v>
      </c>
      <c r="D8" s="118"/>
      <c r="E8" s="118">
        <v>1</v>
      </c>
      <c r="F8" s="234">
        <f t="shared" si="1"/>
        <v>4.6496705708400563E-6</v>
      </c>
      <c r="G8" s="90"/>
      <c r="H8" t="s">
        <v>1009</v>
      </c>
      <c r="I8" s="89">
        <v>14166</v>
      </c>
      <c r="J8" s="122"/>
      <c r="K8" s="90">
        <v>710.45</v>
      </c>
      <c r="L8" s="90">
        <f t="shared" si="2"/>
        <v>710.45</v>
      </c>
      <c r="M8" s="90"/>
      <c r="N8" t="str">
        <f t="shared" si="0"/>
        <v>OVERHEAD85</v>
      </c>
      <c r="O8" s="221">
        <f t="shared" si="3"/>
        <v>710.45</v>
      </c>
    </row>
    <row r="9" spans="1:15" x14ac:dyDescent="0.3">
      <c r="B9">
        <v>100</v>
      </c>
      <c r="C9" s="118">
        <v>2789</v>
      </c>
      <c r="D9" s="118">
        <v>68955</v>
      </c>
      <c r="E9" s="118">
        <v>71744</v>
      </c>
      <c r="F9" s="234">
        <f t="shared" si="1"/>
        <v>0.33358596543434899</v>
      </c>
      <c r="G9" s="90"/>
      <c r="H9" t="s">
        <v>1009</v>
      </c>
      <c r="I9" s="89">
        <v>14166</v>
      </c>
      <c r="J9" s="122"/>
      <c r="K9" s="90">
        <v>710.45</v>
      </c>
      <c r="L9" s="90">
        <f t="shared" si="2"/>
        <v>50970524.800000004</v>
      </c>
      <c r="M9" s="90"/>
      <c r="N9" t="str">
        <f t="shared" si="0"/>
        <v>OVERHEAD100</v>
      </c>
      <c r="O9" s="221">
        <f t="shared" si="3"/>
        <v>710.45</v>
      </c>
    </row>
    <row r="10" spans="1:15" x14ac:dyDescent="0.3">
      <c r="B10">
        <v>150</v>
      </c>
      <c r="C10" s="118">
        <v>13577</v>
      </c>
      <c r="D10" s="118">
        <v>6855</v>
      </c>
      <c r="E10" s="118">
        <v>20432</v>
      </c>
      <c r="F10" s="234">
        <f t="shared" si="1"/>
        <v>9.500206910340403E-2</v>
      </c>
      <c r="G10" s="90"/>
      <c r="H10" t="s">
        <v>1009</v>
      </c>
      <c r="I10" s="89">
        <v>14166</v>
      </c>
      <c r="J10" s="122"/>
      <c r="K10" s="90">
        <v>710.45</v>
      </c>
      <c r="L10" s="90">
        <f t="shared" ref="L10:L18" si="4">+E10*K10</f>
        <v>14515914.4</v>
      </c>
      <c r="M10" s="90"/>
      <c r="N10" t="str">
        <f t="shared" si="0"/>
        <v>OVERHEAD150</v>
      </c>
      <c r="O10" s="221">
        <f t="shared" si="3"/>
        <v>710.45</v>
      </c>
    </row>
    <row r="11" spans="1:15" x14ac:dyDescent="0.3">
      <c r="B11">
        <v>175</v>
      </c>
      <c r="C11" s="118">
        <v>13382</v>
      </c>
      <c r="D11" s="118">
        <v>13488</v>
      </c>
      <c r="E11" s="118">
        <v>26870</v>
      </c>
      <c r="F11" s="234">
        <f t="shared" si="1"/>
        <v>0.12493664823847231</v>
      </c>
      <c r="G11" s="90"/>
      <c r="H11" t="s">
        <v>1011</v>
      </c>
      <c r="I11" s="89">
        <v>23214</v>
      </c>
      <c r="J11" s="122"/>
      <c r="K11" s="90">
        <v>1044.56</v>
      </c>
      <c r="L11" s="90">
        <f t="shared" ref="L11:L14" si="5">+E11*K11</f>
        <v>28067327.199999999</v>
      </c>
      <c r="M11" s="90"/>
      <c r="N11" t="str">
        <f t="shared" si="0"/>
        <v>OVERHEAD175</v>
      </c>
      <c r="O11" s="221">
        <f t="shared" si="3"/>
        <v>1044.56</v>
      </c>
    </row>
    <row r="12" spans="1:15" x14ac:dyDescent="0.3">
      <c r="B12">
        <v>200</v>
      </c>
      <c r="C12" s="118">
        <v>7542</v>
      </c>
      <c r="D12" s="118">
        <v>13071</v>
      </c>
      <c r="E12" s="118">
        <v>20613</v>
      </c>
      <c r="F12" s="234">
        <f t="shared" si="1"/>
        <v>9.5843659476726073E-2</v>
      </c>
      <c r="G12" s="90"/>
      <c r="H12" t="s">
        <v>1011</v>
      </c>
      <c r="I12" s="89">
        <v>23214</v>
      </c>
      <c r="J12" s="122"/>
      <c r="K12" s="90">
        <v>1044.56</v>
      </c>
      <c r="L12" s="90">
        <f t="shared" si="5"/>
        <v>21531515.279999997</v>
      </c>
      <c r="M12" s="90"/>
      <c r="N12" t="str">
        <f t="shared" si="0"/>
        <v>OVERHEAD200</v>
      </c>
      <c r="O12" s="221">
        <f t="shared" si="3"/>
        <v>1044.56</v>
      </c>
    </row>
    <row r="13" spans="1:15" x14ac:dyDescent="0.3">
      <c r="B13">
        <v>208</v>
      </c>
      <c r="C13" s="118">
        <v>26</v>
      </c>
      <c r="D13" s="118"/>
      <c r="E13" s="118">
        <v>26</v>
      </c>
      <c r="F13" s="234">
        <f t="shared" si="1"/>
        <v>1.2089143484184145E-4</v>
      </c>
      <c r="G13" s="90"/>
      <c r="H13" t="s">
        <v>1011</v>
      </c>
      <c r="I13" s="89">
        <v>23214</v>
      </c>
      <c r="J13" s="122"/>
      <c r="K13" s="90">
        <v>1044.56</v>
      </c>
      <c r="L13" s="90">
        <f t="shared" si="5"/>
        <v>27158.559999999998</v>
      </c>
      <c r="M13" s="90"/>
      <c r="N13" t="str">
        <f t="shared" si="0"/>
        <v>OVERHEAD208</v>
      </c>
      <c r="O13" s="221">
        <f t="shared" si="3"/>
        <v>1044.56</v>
      </c>
    </row>
    <row r="14" spans="1:15" x14ac:dyDescent="0.3">
      <c r="B14">
        <v>250</v>
      </c>
      <c r="C14" s="118"/>
      <c r="D14" s="118">
        <v>16380</v>
      </c>
      <c r="E14" s="118">
        <v>16380</v>
      </c>
      <c r="F14" s="234">
        <f t="shared" si="1"/>
        <v>7.6161603950360118E-2</v>
      </c>
      <c r="G14" s="90"/>
      <c r="H14" t="s">
        <v>1011</v>
      </c>
      <c r="I14" s="89">
        <v>23214</v>
      </c>
      <c r="J14" s="122"/>
      <c r="K14" s="90">
        <v>1044.56</v>
      </c>
      <c r="L14" s="90">
        <f t="shared" si="5"/>
        <v>17109892.800000001</v>
      </c>
      <c r="M14" s="90"/>
      <c r="N14" t="str">
        <f t="shared" si="0"/>
        <v>OVERHEAD250</v>
      </c>
      <c r="O14" s="221">
        <f t="shared" si="3"/>
        <v>1044.56</v>
      </c>
    </row>
    <row r="15" spans="1:15" x14ac:dyDescent="0.3">
      <c r="B15">
        <v>350</v>
      </c>
      <c r="C15" s="118">
        <v>5639</v>
      </c>
      <c r="D15" s="118"/>
      <c r="E15" s="118">
        <v>5639</v>
      </c>
      <c r="F15" s="234">
        <f t="shared" si="1"/>
        <v>2.6219492348967074E-2</v>
      </c>
      <c r="G15" s="90"/>
      <c r="H15" t="s">
        <v>1011</v>
      </c>
      <c r="I15" s="89">
        <v>23214</v>
      </c>
      <c r="J15" s="122"/>
      <c r="K15" s="90">
        <v>1044.56</v>
      </c>
      <c r="L15" s="90">
        <f t="shared" si="4"/>
        <v>5890273.8399999999</v>
      </c>
      <c r="M15" s="90"/>
      <c r="N15" t="str">
        <f t="shared" si="0"/>
        <v>OVERHEAD350</v>
      </c>
      <c r="O15" s="221">
        <f t="shared" si="3"/>
        <v>1044.56</v>
      </c>
    </row>
    <row r="16" spans="1:15" x14ac:dyDescent="0.3">
      <c r="B16">
        <v>370</v>
      </c>
      <c r="C16" s="118">
        <v>2</v>
      </c>
      <c r="D16" s="118"/>
      <c r="E16" s="118">
        <v>2</v>
      </c>
      <c r="F16" s="234">
        <f t="shared" si="1"/>
        <v>9.2993411416801125E-6</v>
      </c>
      <c r="G16" s="90"/>
      <c r="H16" t="s">
        <v>1011</v>
      </c>
      <c r="I16" s="89">
        <v>23214</v>
      </c>
      <c r="J16" s="122"/>
      <c r="K16" s="90">
        <v>1044.56</v>
      </c>
      <c r="L16" s="90">
        <f t="shared" si="4"/>
        <v>2089.12</v>
      </c>
      <c r="M16" s="90"/>
      <c r="N16" t="str">
        <f t="shared" si="0"/>
        <v>OVERHEAD370</v>
      </c>
      <c r="O16" s="221">
        <f t="shared" si="3"/>
        <v>1044.56</v>
      </c>
    </row>
    <row r="17" spans="1:15" x14ac:dyDescent="0.3">
      <c r="B17">
        <v>400</v>
      </c>
      <c r="C17" s="118">
        <v>10207</v>
      </c>
      <c r="D17" s="118">
        <v>12219</v>
      </c>
      <c r="E17" s="118">
        <v>22426</v>
      </c>
      <c r="F17" s="234">
        <f t="shared" si="1"/>
        <v>0.10427351222165909</v>
      </c>
      <c r="G17" s="90"/>
      <c r="H17" t="s">
        <v>1020</v>
      </c>
      <c r="I17" s="89">
        <f>+I16*2</f>
        <v>46428</v>
      </c>
      <c r="J17" s="122"/>
      <c r="K17" s="90">
        <f>+K16*2</f>
        <v>2089.12</v>
      </c>
      <c r="L17" s="90">
        <f t="shared" si="4"/>
        <v>46850605.119999997</v>
      </c>
      <c r="M17" s="90"/>
      <c r="N17" t="str">
        <f t="shared" si="0"/>
        <v>OVERHEAD400</v>
      </c>
      <c r="O17" s="221">
        <f t="shared" si="3"/>
        <v>2089.12</v>
      </c>
    </row>
    <row r="18" spans="1:15" x14ac:dyDescent="0.3">
      <c r="B18">
        <v>1000</v>
      </c>
      <c r="C18" s="118">
        <v>2129</v>
      </c>
      <c r="D18" s="118">
        <v>31</v>
      </c>
      <c r="E18" s="118">
        <v>2160</v>
      </c>
      <c r="F18" s="234">
        <f t="shared" si="1"/>
        <v>1.0043288433014521E-2</v>
      </c>
      <c r="G18" s="90"/>
      <c r="H18" t="s">
        <v>1030</v>
      </c>
      <c r="I18" s="89">
        <f>+I16*4</f>
        <v>92856</v>
      </c>
      <c r="J18" s="122"/>
      <c r="K18" s="90">
        <f>+K16*4</f>
        <v>4178.24</v>
      </c>
      <c r="L18" s="90">
        <f t="shared" si="4"/>
        <v>9024998.4000000004</v>
      </c>
      <c r="M18" s="90"/>
      <c r="N18" t="str">
        <f t="shared" si="0"/>
        <v>OVERHEAD1000</v>
      </c>
      <c r="O18" s="221">
        <f t="shared" si="3"/>
        <v>4178.24</v>
      </c>
    </row>
    <row r="19" spans="1:15" x14ac:dyDescent="0.3">
      <c r="A19" t="s">
        <v>661</v>
      </c>
      <c r="C19" s="118">
        <v>55647</v>
      </c>
      <c r="D19" s="118">
        <v>159422</v>
      </c>
      <c r="E19" s="118">
        <v>215069</v>
      </c>
      <c r="G19" s="90"/>
      <c r="I19" s="89"/>
      <c r="J19" s="122"/>
      <c r="L19" s="69">
        <f>SUM(L6:L18)</f>
        <v>211463852.41000003</v>
      </c>
      <c r="M19" s="68"/>
    </row>
    <row r="20" spans="1:15" x14ac:dyDescent="0.3">
      <c r="A20" t="s">
        <v>609</v>
      </c>
      <c r="B20">
        <v>50</v>
      </c>
      <c r="C20" s="118">
        <v>296</v>
      </c>
      <c r="D20" s="118"/>
      <c r="E20" s="118">
        <v>296</v>
      </c>
      <c r="F20" s="234">
        <f>+E20/$E$36</f>
        <v>5.3554305150983333E-3</v>
      </c>
      <c r="G20" s="90"/>
      <c r="H20" t="s">
        <v>1010</v>
      </c>
      <c r="I20" s="89">
        <v>5665</v>
      </c>
      <c r="J20" s="122"/>
      <c r="K20" s="223">
        <v>1211.75</v>
      </c>
      <c r="L20" s="90">
        <f>+E20*K20</f>
        <v>358678</v>
      </c>
      <c r="M20" s="90"/>
      <c r="N20" t="str">
        <f>CONCATENATE("underground",B20)</f>
        <v>underground50</v>
      </c>
      <c r="O20" s="221">
        <f t="shared" ref="O20:O35" si="6">+K20</f>
        <v>1211.75</v>
      </c>
    </row>
    <row r="21" spans="1:15" x14ac:dyDescent="0.3">
      <c r="B21">
        <v>60</v>
      </c>
      <c r="C21" s="118">
        <v>852</v>
      </c>
      <c r="D21" s="118"/>
      <c r="E21" s="118">
        <v>852</v>
      </c>
      <c r="F21" s="234">
        <f t="shared" ref="F21:F35" si="7">+E21/$E$36</f>
        <v>1.5414955401566826E-2</v>
      </c>
      <c r="G21" s="90"/>
      <c r="H21" t="s">
        <v>1010</v>
      </c>
      <c r="I21" s="89">
        <v>5665</v>
      </c>
      <c r="J21" s="122"/>
      <c r="K21" s="223">
        <v>1211.75</v>
      </c>
      <c r="L21" s="90">
        <f t="shared" ref="L21:L35" si="8">+E21*K21</f>
        <v>1032411</v>
      </c>
      <c r="M21" s="90"/>
      <c r="N21" t="str">
        <f t="shared" ref="N21:N35" si="9">CONCATENATE("underground",B21)</f>
        <v>underground60</v>
      </c>
      <c r="O21" s="221">
        <f t="shared" si="6"/>
        <v>1211.75</v>
      </c>
    </row>
    <row r="22" spans="1:15" x14ac:dyDescent="0.3">
      <c r="B22">
        <v>70</v>
      </c>
      <c r="C22" s="118">
        <v>3658</v>
      </c>
      <c r="D22" s="118"/>
      <c r="E22" s="118">
        <v>3658</v>
      </c>
      <c r="F22" s="234">
        <f t="shared" si="7"/>
        <v>6.6182989271046294E-2</v>
      </c>
      <c r="G22" s="90"/>
      <c r="H22" t="s">
        <v>1010</v>
      </c>
      <c r="I22" s="89">
        <v>5665</v>
      </c>
      <c r="J22" s="122"/>
      <c r="K22" s="223">
        <v>1211.75</v>
      </c>
      <c r="L22" s="90">
        <f t="shared" si="8"/>
        <v>4432581.5</v>
      </c>
      <c r="M22" s="90"/>
      <c r="N22" t="str">
        <f t="shared" si="9"/>
        <v>underground70</v>
      </c>
      <c r="O22" s="221">
        <f t="shared" si="6"/>
        <v>1211.75</v>
      </c>
    </row>
    <row r="23" spans="1:15" x14ac:dyDescent="0.3">
      <c r="B23">
        <v>85</v>
      </c>
      <c r="C23" s="118">
        <v>215</v>
      </c>
      <c r="D23" s="118"/>
      <c r="E23" s="118">
        <v>215</v>
      </c>
      <c r="F23" s="234">
        <f t="shared" si="7"/>
        <v>3.8899241917099382E-3</v>
      </c>
      <c r="G23" s="90"/>
      <c r="H23" t="s">
        <v>1006</v>
      </c>
      <c r="I23" s="89">
        <v>8179</v>
      </c>
      <c r="J23" s="122"/>
      <c r="K23" s="90">
        <v>515.69000000000005</v>
      </c>
      <c r="L23" s="90">
        <f t="shared" ref="L23:L26" si="10">+E23*K23</f>
        <v>110873.35</v>
      </c>
      <c r="M23" s="90"/>
      <c r="N23" t="str">
        <f t="shared" si="9"/>
        <v>underground85</v>
      </c>
      <c r="O23" s="221">
        <f t="shared" si="6"/>
        <v>515.69000000000005</v>
      </c>
    </row>
    <row r="24" spans="1:15" x14ac:dyDescent="0.3">
      <c r="B24">
        <v>100</v>
      </c>
      <c r="C24" s="118">
        <v>28486</v>
      </c>
      <c r="D24" s="118"/>
      <c r="E24" s="118">
        <v>28486</v>
      </c>
      <c r="F24" s="234">
        <f t="shared" si="7"/>
        <v>0.51538781639557818</v>
      </c>
      <c r="G24" s="90"/>
      <c r="H24" t="s">
        <v>1009</v>
      </c>
      <c r="I24" s="89">
        <v>14166</v>
      </c>
      <c r="J24" s="122"/>
      <c r="K24" s="90">
        <v>732.67</v>
      </c>
      <c r="L24" s="90">
        <f t="shared" si="10"/>
        <v>20870837.619999997</v>
      </c>
      <c r="M24" s="90"/>
      <c r="N24" t="str">
        <f t="shared" si="9"/>
        <v>underground100</v>
      </c>
      <c r="O24" s="221">
        <f t="shared" si="6"/>
        <v>732.67</v>
      </c>
    </row>
    <row r="25" spans="1:15" x14ac:dyDescent="0.3">
      <c r="B25">
        <v>115</v>
      </c>
      <c r="C25" s="118">
        <v>17</v>
      </c>
      <c r="D25" s="118"/>
      <c r="E25" s="118">
        <v>17</v>
      </c>
      <c r="F25" s="234">
        <f t="shared" si="7"/>
        <v>3.0757540120497184E-4</v>
      </c>
      <c r="G25" s="90"/>
      <c r="H25" t="s">
        <v>1009</v>
      </c>
      <c r="I25" s="89">
        <v>14166</v>
      </c>
      <c r="J25" s="122"/>
      <c r="K25" s="90">
        <v>732.67</v>
      </c>
      <c r="L25" s="90">
        <f t="shared" si="10"/>
        <v>12455.39</v>
      </c>
      <c r="M25" s="90"/>
      <c r="N25" t="str">
        <f t="shared" si="9"/>
        <v>underground115</v>
      </c>
      <c r="O25" s="221">
        <f t="shared" si="6"/>
        <v>732.67</v>
      </c>
    </row>
    <row r="26" spans="1:15" x14ac:dyDescent="0.3">
      <c r="B26">
        <v>150</v>
      </c>
      <c r="C26" s="118">
        <v>3348</v>
      </c>
      <c r="D26" s="118">
        <v>498</v>
      </c>
      <c r="E26" s="118">
        <v>3846</v>
      </c>
      <c r="F26" s="234">
        <f t="shared" si="7"/>
        <v>6.9584411354960102E-2</v>
      </c>
      <c r="G26" s="90"/>
      <c r="H26" t="s">
        <v>1009</v>
      </c>
      <c r="I26" s="89">
        <v>14166</v>
      </c>
      <c r="J26" s="122"/>
      <c r="K26" s="90">
        <v>732.67</v>
      </c>
      <c r="L26" s="90">
        <f t="shared" si="10"/>
        <v>2817848.82</v>
      </c>
      <c r="M26" s="90"/>
      <c r="N26" t="str">
        <f t="shared" si="9"/>
        <v>underground150</v>
      </c>
      <c r="O26" s="221">
        <f t="shared" si="6"/>
        <v>732.67</v>
      </c>
    </row>
    <row r="27" spans="1:15" x14ac:dyDescent="0.3">
      <c r="B27">
        <v>175</v>
      </c>
      <c r="C27" s="118">
        <v>1779</v>
      </c>
      <c r="D27" s="118">
        <v>48</v>
      </c>
      <c r="E27" s="118">
        <v>1827</v>
      </c>
      <c r="F27" s="234">
        <f t="shared" si="7"/>
        <v>3.3055309294204915E-2</v>
      </c>
      <c r="G27" s="90"/>
      <c r="H27" t="s">
        <v>1011</v>
      </c>
      <c r="I27" s="89">
        <v>14166</v>
      </c>
      <c r="J27" s="122"/>
      <c r="K27" s="90">
        <v>1107.5899999999999</v>
      </c>
      <c r="L27" s="90">
        <f t="shared" ref="L27:L31" si="11">+E27*K27</f>
        <v>2023566.93</v>
      </c>
      <c r="M27" s="90"/>
      <c r="N27" t="str">
        <f t="shared" si="9"/>
        <v>underground175</v>
      </c>
      <c r="O27" s="221">
        <f t="shared" si="6"/>
        <v>1107.5899999999999</v>
      </c>
    </row>
    <row r="28" spans="1:15" x14ac:dyDescent="0.3">
      <c r="B28">
        <v>200</v>
      </c>
      <c r="C28" s="118">
        <v>1459</v>
      </c>
      <c r="D28" s="118"/>
      <c r="E28" s="118">
        <v>1459</v>
      </c>
      <c r="F28" s="234">
        <f t="shared" si="7"/>
        <v>2.6397206491650234E-2</v>
      </c>
      <c r="G28" s="90"/>
      <c r="H28" t="s">
        <v>1011</v>
      </c>
      <c r="I28" s="89">
        <v>23214</v>
      </c>
      <c r="J28" s="122"/>
      <c r="K28" s="90">
        <v>1107.5899999999999</v>
      </c>
      <c r="L28" s="90">
        <f t="shared" si="11"/>
        <v>1615973.8099999998</v>
      </c>
      <c r="M28" s="90"/>
      <c r="N28" t="str">
        <f t="shared" si="9"/>
        <v>underground200</v>
      </c>
      <c r="O28" s="221">
        <f t="shared" si="6"/>
        <v>1107.5899999999999</v>
      </c>
    </row>
    <row r="29" spans="1:15" x14ac:dyDescent="0.3">
      <c r="B29">
        <v>208</v>
      </c>
      <c r="C29" s="118"/>
      <c r="D29" s="118">
        <v>616</v>
      </c>
      <c r="E29" s="118">
        <v>616</v>
      </c>
      <c r="F29" s="234">
        <f t="shared" si="7"/>
        <v>1.1145085126015451E-2</v>
      </c>
      <c r="G29" s="90"/>
      <c r="H29" t="s">
        <v>1011</v>
      </c>
      <c r="I29" s="89">
        <v>23214</v>
      </c>
      <c r="J29" s="122"/>
      <c r="K29" s="90">
        <v>1107.5899999999999</v>
      </c>
      <c r="L29" s="90">
        <f t="shared" si="11"/>
        <v>682275.44</v>
      </c>
      <c r="M29" s="90"/>
      <c r="N29" t="str">
        <f t="shared" si="9"/>
        <v>underground208</v>
      </c>
      <c r="O29" s="221">
        <f t="shared" si="6"/>
        <v>1107.5899999999999</v>
      </c>
    </row>
    <row r="30" spans="1:15" x14ac:dyDescent="0.3">
      <c r="B30">
        <v>250</v>
      </c>
      <c r="C30" s="118">
        <v>45</v>
      </c>
      <c r="D30" s="118">
        <v>2516</v>
      </c>
      <c r="E30" s="118">
        <v>2561</v>
      </c>
      <c r="F30" s="234">
        <f t="shared" si="7"/>
        <v>4.6335329557996054E-2</v>
      </c>
      <c r="G30" s="90"/>
      <c r="H30" t="s">
        <v>1011</v>
      </c>
      <c r="I30" s="89">
        <v>23214</v>
      </c>
      <c r="J30" s="122"/>
      <c r="K30" s="90">
        <v>1107.5899999999999</v>
      </c>
      <c r="L30" s="90">
        <f t="shared" si="11"/>
        <v>2836537.9899999998</v>
      </c>
      <c r="M30" s="90"/>
      <c r="N30" t="str">
        <f t="shared" si="9"/>
        <v>underground250</v>
      </c>
      <c r="O30" s="221">
        <f t="shared" si="6"/>
        <v>1107.5899999999999</v>
      </c>
    </row>
    <row r="31" spans="1:15" x14ac:dyDescent="0.3">
      <c r="B31">
        <v>350</v>
      </c>
      <c r="C31" s="118">
        <v>1087</v>
      </c>
      <c r="D31" s="118"/>
      <c r="E31" s="118">
        <v>1087</v>
      </c>
      <c r="F31" s="234">
        <f t="shared" si="7"/>
        <v>1.9666733006459082E-2</v>
      </c>
      <c r="G31" s="90"/>
      <c r="H31" t="s">
        <v>1020</v>
      </c>
      <c r="I31" s="118">
        <f>+I29*2</f>
        <v>46428</v>
      </c>
      <c r="J31" s="122"/>
      <c r="K31" s="90">
        <f>+K29*2</f>
        <v>2215.1799999999998</v>
      </c>
      <c r="L31" s="90">
        <f t="shared" si="11"/>
        <v>2407900.6599999997</v>
      </c>
      <c r="M31" s="90"/>
      <c r="N31" t="str">
        <f t="shared" si="9"/>
        <v>underground350</v>
      </c>
      <c r="O31" s="221">
        <f t="shared" si="6"/>
        <v>2215.1799999999998</v>
      </c>
    </row>
    <row r="32" spans="1:15" x14ac:dyDescent="0.3">
      <c r="B32">
        <v>370</v>
      </c>
      <c r="C32" s="118">
        <v>39</v>
      </c>
      <c r="D32" s="118">
        <v>32</v>
      </c>
      <c r="E32" s="118">
        <v>71</v>
      </c>
      <c r="F32" s="234">
        <f t="shared" si="7"/>
        <v>1.2845796167972354E-3</v>
      </c>
      <c r="G32" s="90"/>
      <c r="H32" t="s">
        <v>1020</v>
      </c>
      <c r="I32" s="118">
        <f>+I30*2</f>
        <v>46428</v>
      </c>
      <c r="J32" s="122"/>
      <c r="K32" s="90">
        <f>+K30*2</f>
        <v>2215.1799999999998</v>
      </c>
      <c r="L32" s="90">
        <f t="shared" ref="L32" si="12">+E32*K32</f>
        <v>157277.78</v>
      </c>
      <c r="M32" s="90"/>
      <c r="N32" t="str">
        <f t="shared" si="9"/>
        <v>underground370</v>
      </c>
      <c r="O32" s="221">
        <f t="shared" si="6"/>
        <v>2215.1799999999998</v>
      </c>
    </row>
    <row r="33" spans="1:15" x14ac:dyDescent="0.3">
      <c r="B33">
        <v>400</v>
      </c>
      <c r="C33" s="118">
        <v>1021</v>
      </c>
      <c r="D33" s="118">
        <v>2744</v>
      </c>
      <c r="E33" s="118">
        <v>3765</v>
      </c>
      <c r="F33" s="234">
        <f t="shared" si="7"/>
        <v>6.8118905031571711E-2</v>
      </c>
      <c r="G33" s="90"/>
      <c r="H33" t="s">
        <v>1020</v>
      </c>
      <c r="I33" s="118">
        <f>+I30*2</f>
        <v>46428</v>
      </c>
      <c r="J33" s="122"/>
      <c r="K33" s="90">
        <f>+K32</f>
        <v>2215.1799999999998</v>
      </c>
      <c r="L33" s="90">
        <f t="shared" ref="L33" si="13">+E33*K33</f>
        <v>8340152.6999999993</v>
      </c>
      <c r="M33" s="90"/>
      <c r="N33" t="str">
        <f t="shared" si="9"/>
        <v>underground400</v>
      </c>
      <c r="O33" s="221">
        <f t="shared" si="6"/>
        <v>2215.1799999999998</v>
      </c>
    </row>
    <row r="34" spans="1:15" x14ac:dyDescent="0.3">
      <c r="B34">
        <v>650</v>
      </c>
      <c r="C34" s="118">
        <v>296</v>
      </c>
      <c r="D34" s="118"/>
      <c r="E34" s="118">
        <v>296</v>
      </c>
      <c r="F34" s="234">
        <f t="shared" si="7"/>
        <v>5.3554305150983333E-3</v>
      </c>
      <c r="G34" s="90"/>
      <c r="H34" t="s">
        <v>1029</v>
      </c>
      <c r="I34" s="118">
        <f>+I30*3</f>
        <v>69642</v>
      </c>
      <c r="J34" s="122"/>
      <c r="K34" s="90">
        <f>+K30*3</f>
        <v>3322.7699999999995</v>
      </c>
      <c r="L34" s="90">
        <f t="shared" si="8"/>
        <v>983539.91999999981</v>
      </c>
      <c r="M34" s="90"/>
      <c r="N34" t="str">
        <f t="shared" si="9"/>
        <v>underground650</v>
      </c>
      <c r="O34" s="221">
        <f t="shared" si="6"/>
        <v>3322.7699999999995</v>
      </c>
    </row>
    <row r="35" spans="1:15" x14ac:dyDescent="0.3">
      <c r="B35">
        <v>1000</v>
      </c>
      <c r="C35" s="118">
        <v>6219</v>
      </c>
      <c r="D35" s="118"/>
      <c r="E35" s="118">
        <v>6219</v>
      </c>
      <c r="F35" s="234">
        <f t="shared" si="7"/>
        <v>0.11251831882904235</v>
      </c>
      <c r="G35" s="90"/>
      <c r="H35" t="s">
        <v>1030</v>
      </c>
      <c r="I35" s="118">
        <f>+I30*4</f>
        <v>92856</v>
      </c>
      <c r="J35" s="122"/>
      <c r="K35" s="90">
        <f>+K30*4</f>
        <v>4430.3599999999997</v>
      </c>
      <c r="L35" s="90">
        <f t="shared" si="8"/>
        <v>27552408.839999996</v>
      </c>
      <c r="M35" s="90"/>
      <c r="N35" t="str">
        <f t="shared" si="9"/>
        <v>underground1000</v>
      </c>
      <c r="O35" s="221">
        <f t="shared" si="6"/>
        <v>4430.3599999999997</v>
      </c>
    </row>
    <row r="36" spans="1:15" x14ac:dyDescent="0.3">
      <c r="A36" t="s">
        <v>662</v>
      </c>
      <c r="C36" s="118">
        <v>48817</v>
      </c>
      <c r="D36" s="118">
        <v>6454</v>
      </c>
      <c r="E36" s="118">
        <v>55271</v>
      </c>
      <c r="J36" s="122"/>
      <c r="K36" s="90"/>
      <c r="L36" s="95">
        <f>SUM(L20:L35)</f>
        <v>76235319.75</v>
      </c>
      <c r="M36" s="122"/>
    </row>
    <row r="37" spans="1:15" x14ac:dyDescent="0.3">
      <c r="A37" t="s">
        <v>657</v>
      </c>
      <c r="C37" s="118">
        <v>104464</v>
      </c>
      <c r="D37" s="118">
        <v>165876</v>
      </c>
      <c r="E37" s="118">
        <v>270340</v>
      </c>
      <c r="J37" s="122"/>
    </row>
    <row r="38" spans="1:15" x14ac:dyDescent="0.3">
      <c r="J38" s="122"/>
      <c r="L38" s="94"/>
      <c r="M38" s="94"/>
    </row>
    <row r="39" spans="1:15" x14ac:dyDescent="0.3">
      <c r="J39" s="122"/>
      <c r="L39" s="95">
        <f>+L19+L36</f>
        <v>287699172.16000003</v>
      </c>
      <c r="M39" s="122"/>
    </row>
    <row r="40" spans="1:15" x14ac:dyDescent="0.3">
      <c r="J40" s="122"/>
    </row>
    <row r="41" spans="1:15" x14ac:dyDescent="0.3">
      <c r="J41" s="122"/>
    </row>
    <row r="42" spans="1:15" x14ac:dyDescent="0.3">
      <c r="J42" s="122"/>
    </row>
  </sheetData>
  <mergeCells count="2">
    <mergeCell ref="H2:L2"/>
    <mergeCell ref="H1:L1"/>
  </mergeCells>
  <pageMargins left="0.7" right="0.7" top="0.75" bottom="0.75" header="0.3" footer="0.3"/>
  <pageSetup scale="76" orientation="portrait" r:id="rId2"/>
  <headerFooter>
    <oddHeader>&amp;R&amp;"times,Bold"&amp;12Attachment to Response to LFUCG-2 Question No. 4 - Att  7
&amp;P of &amp;N
Malloy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69"/>
  <sheetViews>
    <sheetView showGridLines="0" topLeftCell="A15" zoomScaleNormal="100" workbookViewId="0">
      <selection activeCell="C38" sqref="C38"/>
    </sheetView>
  </sheetViews>
  <sheetFormatPr defaultRowHeight="14.4" x14ac:dyDescent="0.3"/>
  <cols>
    <col min="1" max="1" width="32.6640625" bestFit="1" customWidth="1"/>
    <col min="2" max="2" width="14.109375" bestFit="1" customWidth="1"/>
    <col min="3" max="3" width="13.6640625" bestFit="1" customWidth="1"/>
    <col min="4" max="4" width="6.109375" bestFit="1" customWidth="1"/>
    <col min="5" max="5" width="13.88671875" customWidth="1"/>
    <col min="6" max="6" width="6.109375" customWidth="1"/>
    <col min="7" max="7" width="13.5546875" customWidth="1"/>
    <col min="8" max="8" width="8" bestFit="1" customWidth="1"/>
    <col min="11" max="11" width="24.88671875" bestFit="1" customWidth="1"/>
    <col min="12" max="12" width="19.88671875" bestFit="1" customWidth="1"/>
    <col min="13" max="13" width="11.5546875" bestFit="1" customWidth="1"/>
    <col min="14" max="14" width="12.5546875" bestFit="1" customWidth="1"/>
  </cols>
  <sheetData>
    <row r="1" spans="1:12" x14ac:dyDescent="0.3">
      <c r="A1" s="293" t="s">
        <v>1074</v>
      </c>
      <c r="B1" s="293"/>
      <c r="C1" s="293"/>
      <c r="D1" s="293"/>
      <c r="E1" s="293"/>
      <c r="F1" s="293"/>
      <c r="G1" s="293"/>
      <c r="H1" s="293"/>
    </row>
    <row r="2" spans="1:12" x14ac:dyDescent="0.3">
      <c r="A2" s="98" t="s">
        <v>763</v>
      </c>
    </row>
    <row r="3" spans="1:12" x14ac:dyDescent="0.3">
      <c r="A3" s="64" t="s">
        <v>764</v>
      </c>
      <c r="B3" s="7"/>
      <c r="I3" s="8"/>
      <c r="J3" s="8"/>
    </row>
    <row r="4" spans="1:12" x14ac:dyDescent="0.3">
      <c r="K4" s="292"/>
      <c r="L4" s="292"/>
    </row>
    <row r="5" spans="1:12" x14ac:dyDescent="0.3">
      <c r="A5" t="s">
        <v>762</v>
      </c>
      <c r="C5" s="132">
        <v>20</v>
      </c>
      <c r="D5" s="90"/>
      <c r="E5" s="132">
        <v>50</v>
      </c>
      <c r="F5" s="132"/>
      <c r="G5" s="132">
        <v>124</v>
      </c>
      <c r="H5" s="130"/>
      <c r="K5" s="292"/>
      <c r="L5" s="292"/>
    </row>
    <row r="6" spans="1:12" x14ac:dyDescent="0.3">
      <c r="A6" t="s">
        <v>750</v>
      </c>
      <c r="C6" s="89">
        <f>+'Revenue with Month -slide 8,22'!AW208</f>
        <v>270340</v>
      </c>
      <c r="E6" s="89">
        <f>+C6</f>
        <v>270340</v>
      </c>
      <c r="G6" s="89">
        <f>+E6</f>
        <v>270340</v>
      </c>
      <c r="K6" s="89"/>
      <c r="L6" s="8"/>
    </row>
    <row r="7" spans="1:12" x14ac:dyDescent="0.3">
      <c r="A7" t="s">
        <v>1037</v>
      </c>
      <c r="C7" s="89">
        <f>+C6/5</f>
        <v>54068</v>
      </c>
      <c r="E7" s="89">
        <f>+E6/5</f>
        <v>54068</v>
      </c>
      <c r="G7" s="89">
        <f>+G6/5</f>
        <v>54068</v>
      </c>
      <c r="K7" s="89"/>
      <c r="L7" s="8"/>
    </row>
    <row r="8" spans="1:12" x14ac:dyDescent="0.3">
      <c r="A8" s="127" t="s">
        <v>8</v>
      </c>
      <c r="B8" s="7" t="s">
        <v>749</v>
      </c>
      <c r="C8" s="94">
        <f>+'Expense- slide 8,22'!F8*1000</f>
        <v>1518000</v>
      </c>
      <c r="E8" s="94">
        <f>+C8</f>
        <v>1518000</v>
      </c>
      <c r="G8" s="94">
        <f>+E8</f>
        <v>1518000</v>
      </c>
      <c r="K8" s="89"/>
      <c r="L8" s="8"/>
    </row>
    <row r="9" spans="1:12" x14ac:dyDescent="0.3">
      <c r="A9" s="7" t="s">
        <v>10</v>
      </c>
      <c r="B9" s="7" t="s">
        <v>749</v>
      </c>
      <c r="C9" s="94">
        <f>+'Expense- slide 8,22'!F10*1000</f>
        <v>6702000</v>
      </c>
      <c r="E9" s="94">
        <f>+C9</f>
        <v>6702000</v>
      </c>
      <c r="G9" s="94">
        <f>+E9</f>
        <v>6702000</v>
      </c>
      <c r="K9" s="89"/>
      <c r="L9" s="8"/>
    </row>
    <row r="10" spans="1:12" x14ac:dyDescent="0.3">
      <c r="A10" s="127" t="s">
        <v>8</v>
      </c>
      <c r="B10" s="7" t="s">
        <v>751</v>
      </c>
      <c r="C10" s="122">
        <f>+C8/C7</f>
        <v>28.075756454834654</v>
      </c>
      <c r="D10" s="131">
        <f>+C10/C12</f>
        <v>0.18467153284671534</v>
      </c>
      <c r="E10" s="122">
        <f>+E8/E7</f>
        <v>28.075756454834654</v>
      </c>
      <c r="F10" s="131">
        <f>+E10/E12</f>
        <v>0.18467153284671534</v>
      </c>
      <c r="G10" s="122">
        <f>+G8/G7</f>
        <v>28.075756454834654</v>
      </c>
      <c r="H10" s="131">
        <f>+G10/G12</f>
        <v>0.18467153284671534</v>
      </c>
      <c r="K10" s="8"/>
      <c r="L10" s="8"/>
    </row>
    <row r="11" spans="1:12" x14ac:dyDescent="0.3">
      <c r="A11" s="7" t="s">
        <v>10</v>
      </c>
      <c r="B11" s="7" t="s">
        <v>751</v>
      </c>
      <c r="C11" s="122">
        <f>+C9/C7</f>
        <v>123.95501960494192</v>
      </c>
      <c r="D11" s="131">
        <f>+C11/C12</f>
        <v>0.81532846715328466</v>
      </c>
      <c r="E11" s="122">
        <f>+E9/E7</f>
        <v>123.95501960494192</v>
      </c>
      <c r="F11" s="131">
        <f>+E11/E12</f>
        <v>0.81532846715328466</v>
      </c>
      <c r="G11" s="122">
        <f>+G9/G7</f>
        <v>123.95501960494192</v>
      </c>
      <c r="H11" s="131">
        <f>+G11/G12</f>
        <v>0.81532846715328466</v>
      </c>
      <c r="K11" s="8"/>
      <c r="L11" s="8"/>
    </row>
    <row r="12" spans="1:12" x14ac:dyDescent="0.3">
      <c r="A12" s="64" t="s">
        <v>752</v>
      </c>
      <c r="C12" s="95">
        <f>+C10+C11</f>
        <v>152.03077605977657</v>
      </c>
      <c r="E12" s="95">
        <f>+E10+E11</f>
        <v>152.03077605977657</v>
      </c>
      <c r="G12" s="95">
        <f>+G10+G11</f>
        <v>152.03077605977657</v>
      </c>
      <c r="K12" s="129"/>
      <c r="L12" s="8"/>
    </row>
    <row r="13" spans="1:12" x14ac:dyDescent="0.3">
      <c r="C13" s="128"/>
      <c r="D13" s="8"/>
      <c r="E13" s="128"/>
      <c r="F13" s="8"/>
      <c r="G13" s="128"/>
      <c r="H13" s="8"/>
      <c r="I13" s="8"/>
      <c r="J13" s="8"/>
    </row>
    <row r="14" spans="1:12" x14ac:dyDescent="0.3">
      <c r="A14" s="64" t="s">
        <v>1063</v>
      </c>
      <c r="B14" s="7"/>
      <c r="C14" s="8"/>
      <c r="D14" s="8"/>
      <c r="E14" s="8"/>
      <c r="F14" s="8"/>
      <c r="G14" s="8"/>
      <c r="H14" s="8"/>
      <c r="I14" s="8"/>
      <c r="J14" s="8"/>
    </row>
    <row r="15" spans="1:12" x14ac:dyDescent="0.3">
      <c r="A15" s="127" t="s">
        <v>8</v>
      </c>
      <c r="B15" s="7" t="s">
        <v>751</v>
      </c>
      <c r="C15" s="122">
        <f>-(C5*D10)</f>
        <v>-3.6934306569343067</v>
      </c>
      <c r="D15" s="8"/>
      <c r="E15" s="122">
        <f>-(E5*F10)</f>
        <v>-9.2335766423357661</v>
      </c>
      <c r="F15" s="8"/>
      <c r="G15" s="122">
        <f>-(G5*H10)</f>
        <v>-22.899270072992703</v>
      </c>
      <c r="H15" s="8"/>
      <c r="I15" s="8"/>
      <c r="J15" s="8"/>
    </row>
    <row r="16" spans="1:12" x14ac:dyDescent="0.3">
      <c r="A16" s="7" t="s">
        <v>10</v>
      </c>
      <c r="B16" s="7" t="s">
        <v>751</v>
      </c>
      <c r="C16" s="122">
        <f>-(C5*D11)</f>
        <v>-16.306569343065693</v>
      </c>
      <c r="D16" s="8"/>
      <c r="E16" s="122">
        <f>-(E5*F11)</f>
        <v>-40.76642335766423</v>
      </c>
      <c r="F16" s="8"/>
      <c r="G16" s="122">
        <f>-(G5*H11)</f>
        <v>-101.10072992700729</v>
      </c>
      <c r="H16" s="8"/>
      <c r="I16" s="8"/>
      <c r="J16" s="8"/>
    </row>
    <row r="17" spans="1:12" x14ac:dyDescent="0.3">
      <c r="A17" s="64" t="s">
        <v>752</v>
      </c>
      <c r="C17" s="95">
        <f>+C15+C16</f>
        <v>-20</v>
      </c>
      <c r="D17" s="7"/>
      <c r="E17" s="95">
        <f>+E15+E16</f>
        <v>-50</v>
      </c>
      <c r="F17" s="7"/>
      <c r="G17" s="95">
        <f>+G15+G16</f>
        <v>-124</v>
      </c>
      <c r="H17" s="7"/>
      <c r="I17" s="7"/>
      <c r="J17" s="7"/>
    </row>
    <row r="18" spans="1:12" x14ac:dyDescent="0.3">
      <c r="A18" s="7"/>
      <c r="B18" s="7"/>
      <c r="C18" s="122"/>
      <c r="D18" s="7"/>
      <c r="E18" s="122"/>
      <c r="F18" s="7"/>
      <c r="G18" s="122"/>
      <c r="H18" s="7"/>
      <c r="I18" s="7"/>
      <c r="J18" s="7"/>
    </row>
    <row r="19" spans="1:12" x14ac:dyDescent="0.3">
      <c r="A19" s="127" t="s">
        <v>8</v>
      </c>
      <c r="B19" s="7" t="s">
        <v>749</v>
      </c>
      <c r="C19" s="94">
        <f>+C7*C15</f>
        <v>-199696.40875912408</v>
      </c>
      <c r="E19" s="94">
        <f>+E7*E15</f>
        <v>-499241.02189781022</v>
      </c>
      <c r="G19" s="94">
        <f>+G7*G15</f>
        <v>-1238117.7343065694</v>
      </c>
    </row>
    <row r="20" spans="1:12" x14ac:dyDescent="0.3">
      <c r="A20" s="7" t="s">
        <v>10</v>
      </c>
      <c r="B20" s="7" t="s">
        <v>749</v>
      </c>
      <c r="C20" s="94">
        <f>+C7*C16</f>
        <v>-881663.59124087589</v>
      </c>
      <c r="E20" s="94">
        <f>+E7*E16</f>
        <v>-2204158.9781021895</v>
      </c>
      <c r="G20" s="94">
        <f>+G7*G16</f>
        <v>-5466314.2656934308</v>
      </c>
    </row>
    <row r="21" spans="1:12" x14ac:dyDescent="0.3">
      <c r="A21" s="64" t="s">
        <v>1069</v>
      </c>
      <c r="C21" s="105">
        <f>+C19+C20</f>
        <v>-1081360</v>
      </c>
      <c r="E21" s="105">
        <f>+E19+E20</f>
        <v>-2703399.9999999995</v>
      </c>
      <c r="G21" s="105">
        <f>+G19+G20</f>
        <v>-6704432</v>
      </c>
    </row>
    <row r="22" spans="1:12" x14ac:dyDescent="0.3">
      <c r="A22" s="64"/>
      <c r="C22" s="125"/>
      <c r="E22" s="125"/>
      <c r="G22" s="125"/>
    </row>
    <row r="23" spans="1:12" x14ac:dyDescent="0.3">
      <c r="A23" s="64"/>
      <c r="C23" s="125"/>
      <c r="E23" s="125"/>
      <c r="G23" s="125"/>
    </row>
    <row r="24" spans="1:12" x14ac:dyDescent="0.3">
      <c r="A24" t="s">
        <v>1049</v>
      </c>
      <c r="C24" s="94">
        <f>-C6*C5</f>
        <v>-5406800</v>
      </c>
      <c r="E24" s="94">
        <f>-E6*E5</f>
        <v>-13517000</v>
      </c>
      <c r="G24" s="94">
        <f>-G6*G5</f>
        <v>-33522160</v>
      </c>
      <c r="L24" s="89"/>
    </row>
    <row r="26" spans="1:12" x14ac:dyDescent="0.3">
      <c r="A26" t="s">
        <v>1068</v>
      </c>
    </row>
    <row r="27" spans="1:12" x14ac:dyDescent="0.3">
      <c r="A27" t="s">
        <v>1045</v>
      </c>
    </row>
    <row r="28" spans="1:12" x14ac:dyDescent="0.3">
      <c r="A28" t="s">
        <v>1046</v>
      </c>
    </row>
    <row r="29" spans="1:12" x14ac:dyDescent="0.3">
      <c r="A29" t="s">
        <v>1047</v>
      </c>
    </row>
    <row r="30" spans="1:12" x14ac:dyDescent="0.3">
      <c r="A30" t="s">
        <v>1048</v>
      </c>
    </row>
    <row r="31" spans="1:12" x14ac:dyDescent="0.3">
      <c r="A31" s="215"/>
      <c r="B31" s="215"/>
      <c r="C31" s="215"/>
      <c r="D31" s="215"/>
      <c r="E31" s="215"/>
      <c r="F31" s="215"/>
      <c r="G31" s="215"/>
      <c r="H31" s="215"/>
    </row>
    <row r="33" spans="1:12" x14ac:dyDescent="0.3">
      <c r="A33" t="s">
        <v>1070</v>
      </c>
      <c r="C33" s="89"/>
      <c r="D33" s="118"/>
      <c r="E33" s="89"/>
      <c r="F33" s="118"/>
      <c r="G33" s="89"/>
      <c r="L33" s="89"/>
    </row>
    <row r="34" spans="1:12" x14ac:dyDescent="0.3">
      <c r="A34" t="s">
        <v>1071</v>
      </c>
      <c r="C34" s="121">
        <f>+C8+C9</f>
        <v>8220000</v>
      </c>
      <c r="L34" s="89"/>
    </row>
    <row r="35" spans="1:12" x14ac:dyDescent="0.3">
      <c r="A35" t="s">
        <v>1097</v>
      </c>
      <c r="C35" s="121">
        <f>-C34*0.3</f>
        <v>-2466000</v>
      </c>
      <c r="L35" s="89"/>
    </row>
    <row r="36" spans="1:12" x14ac:dyDescent="0.3">
      <c r="A36" t="s">
        <v>1072</v>
      </c>
      <c r="C36" s="121">
        <f>-+C34*0.5</f>
        <v>-4110000</v>
      </c>
      <c r="L36" s="89"/>
    </row>
    <row r="37" spans="1:12" x14ac:dyDescent="0.3">
      <c r="A37" t="s">
        <v>1073</v>
      </c>
      <c r="C37" s="121">
        <f>-+C34*0.75</f>
        <v>-6165000</v>
      </c>
      <c r="E37" s="121"/>
      <c r="G37" s="121"/>
      <c r="L37" s="89"/>
    </row>
    <row r="38" spans="1:12" x14ac:dyDescent="0.3">
      <c r="A38" s="215"/>
      <c r="B38" s="215"/>
      <c r="C38" s="230"/>
      <c r="D38" s="215"/>
      <c r="E38" s="215"/>
      <c r="F38" s="215"/>
      <c r="G38" s="215"/>
      <c r="H38" s="215"/>
      <c r="L38" s="89"/>
    </row>
    <row r="39" spans="1:12" x14ac:dyDescent="0.3">
      <c r="A39" s="7" t="s">
        <v>1061</v>
      </c>
      <c r="B39" s="7"/>
      <c r="C39" s="233"/>
      <c r="D39" s="7"/>
      <c r="E39" s="7"/>
      <c r="F39" s="7"/>
      <c r="G39" s="7"/>
      <c r="H39" s="7"/>
      <c r="L39" s="89"/>
    </row>
    <row r="40" spans="1:12" x14ac:dyDescent="0.3">
      <c r="A40" s="7" t="s">
        <v>1062</v>
      </c>
      <c r="B40" s="7"/>
      <c r="C40" s="233"/>
      <c r="D40" s="7"/>
      <c r="E40" s="7"/>
      <c r="F40" s="7"/>
      <c r="G40" s="7"/>
      <c r="H40" s="7"/>
      <c r="L40" s="89"/>
    </row>
    <row r="41" spans="1:12" x14ac:dyDescent="0.3">
      <c r="A41" s="7"/>
      <c r="B41" s="7"/>
      <c r="C41" s="233"/>
      <c r="D41" s="7"/>
      <c r="E41" s="7"/>
      <c r="F41" s="7"/>
      <c r="G41" s="236" t="s">
        <v>1075</v>
      </c>
      <c r="H41" s="7"/>
      <c r="L41" s="89"/>
    </row>
    <row r="42" spans="1:12" ht="16.2" x14ac:dyDescent="0.45">
      <c r="C42" s="211" t="s">
        <v>773</v>
      </c>
      <c r="D42" s="211"/>
      <c r="E42" s="211" t="s">
        <v>1058</v>
      </c>
      <c r="F42" s="211"/>
      <c r="G42" s="211" t="s">
        <v>760</v>
      </c>
      <c r="L42" s="89"/>
    </row>
    <row r="43" spans="1:12" x14ac:dyDescent="0.3">
      <c r="A43" t="s">
        <v>1059</v>
      </c>
      <c r="B43" s="231"/>
      <c r="C43" s="232">
        <f>+C8+C9</f>
        <v>8220000</v>
      </c>
      <c r="D43" s="235"/>
      <c r="E43" s="232">
        <f>+E45/E44</f>
        <v>3425000</v>
      </c>
      <c r="G43" s="232">
        <f>+E43-C43</f>
        <v>-4795000</v>
      </c>
      <c r="H43" s="234">
        <f>+G43/C43</f>
        <v>-0.58333333333333337</v>
      </c>
      <c r="I43" s="90"/>
      <c r="L43" s="89"/>
    </row>
    <row r="44" spans="1:12" x14ac:dyDescent="0.3">
      <c r="A44" t="s">
        <v>1060</v>
      </c>
      <c r="C44" s="89">
        <v>5</v>
      </c>
      <c r="D44" s="89"/>
      <c r="E44" s="89">
        <v>12</v>
      </c>
      <c r="L44" s="89"/>
    </row>
    <row r="45" spans="1:12" x14ac:dyDescent="0.3">
      <c r="A45" t="s">
        <v>1066</v>
      </c>
      <c r="B45" s="121"/>
      <c r="C45" s="121">
        <f>+C43*C44</f>
        <v>41100000</v>
      </c>
      <c r="E45" s="121">
        <f>+C45</f>
        <v>41100000</v>
      </c>
      <c r="G45" s="121"/>
      <c r="H45" s="184"/>
      <c r="L45" s="89"/>
    </row>
    <row r="46" spans="1:12" x14ac:dyDescent="0.3">
      <c r="L46" s="89"/>
    </row>
    <row r="47" spans="1:12" x14ac:dyDescent="0.3">
      <c r="A47" s="7" t="s">
        <v>1065</v>
      </c>
      <c r="L47" s="89"/>
    </row>
    <row r="48" spans="1:12" x14ac:dyDescent="0.3">
      <c r="A48" s="7" t="s">
        <v>1062</v>
      </c>
      <c r="B48" s="121"/>
      <c r="C48" s="121"/>
      <c r="E48" s="121"/>
      <c r="G48" s="121"/>
      <c r="L48" s="89"/>
    </row>
    <row r="49" spans="1:14" x14ac:dyDescent="0.3">
      <c r="G49" s="236" t="s">
        <v>1075</v>
      </c>
      <c r="L49" s="89"/>
    </row>
    <row r="50" spans="1:14" ht="16.2" x14ac:dyDescent="0.45">
      <c r="C50" s="211" t="s">
        <v>773</v>
      </c>
      <c r="D50" s="211"/>
      <c r="E50" s="211" t="s">
        <v>1058</v>
      </c>
      <c r="F50" s="211"/>
      <c r="G50" s="211" t="s">
        <v>760</v>
      </c>
      <c r="L50" s="89"/>
    </row>
    <row r="51" spans="1:14" x14ac:dyDescent="0.3">
      <c r="A51" t="s">
        <v>1059</v>
      </c>
      <c r="B51" s="231"/>
      <c r="C51" s="232">
        <f>+C43</f>
        <v>8220000</v>
      </c>
      <c r="D51" s="231"/>
      <c r="E51" s="232">
        <f>+E53/E52</f>
        <v>5137500</v>
      </c>
      <c r="G51" s="232">
        <f>+E51-C51</f>
        <v>-3082500</v>
      </c>
      <c r="H51" s="234">
        <f>+G51/C51</f>
        <v>-0.375</v>
      </c>
      <c r="I51" s="90"/>
      <c r="L51" s="89"/>
    </row>
    <row r="52" spans="1:14" x14ac:dyDescent="0.3">
      <c r="A52" t="s">
        <v>1060</v>
      </c>
      <c r="C52" s="89">
        <v>5</v>
      </c>
      <c r="D52" s="89"/>
      <c r="E52" s="89">
        <v>12</v>
      </c>
      <c r="L52" s="89"/>
    </row>
    <row r="53" spans="1:14" x14ac:dyDescent="0.3">
      <c r="A53" t="s">
        <v>1066</v>
      </c>
      <c r="B53" s="121"/>
      <c r="C53" s="121">
        <f>+C51*C52</f>
        <v>41100000</v>
      </c>
      <c r="E53" s="121">
        <f>+C53*1.5</f>
        <v>61650000</v>
      </c>
      <c r="G53" s="121"/>
      <c r="H53" s="184"/>
      <c r="L53" s="89"/>
    </row>
    <row r="54" spans="1:14" x14ac:dyDescent="0.3">
      <c r="L54" s="89"/>
    </row>
    <row r="55" spans="1:14" x14ac:dyDescent="0.3">
      <c r="A55" s="7" t="s">
        <v>1064</v>
      </c>
      <c r="L55" s="89"/>
    </row>
    <row r="56" spans="1:14" x14ac:dyDescent="0.3">
      <c r="A56" s="7" t="s">
        <v>1062</v>
      </c>
      <c r="B56" s="121"/>
      <c r="C56" s="121"/>
      <c r="E56" s="121"/>
      <c r="G56" s="121"/>
      <c r="L56" s="89"/>
    </row>
    <row r="57" spans="1:14" x14ac:dyDescent="0.3">
      <c r="G57" s="236" t="s">
        <v>1075</v>
      </c>
      <c r="L57" s="89"/>
      <c r="M57" s="118"/>
      <c r="N57" s="118"/>
    </row>
    <row r="58" spans="1:14" ht="16.2" x14ac:dyDescent="0.45">
      <c r="C58" s="211" t="s">
        <v>773</v>
      </c>
      <c r="D58" s="211"/>
      <c r="E58" s="211" t="s">
        <v>1058</v>
      </c>
      <c r="F58" s="211"/>
      <c r="G58" s="211" t="s">
        <v>760</v>
      </c>
      <c r="L58" s="89"/>
      <c r="M58" s="118"/>
    </row>
    <row r="59" spans="1:14" x14ac:dyDescent="0.3">
      <c r="A59" t="s">
        <v>1059</v>
      </c>
      <c r="B59" s="231"/>
      <c r="C59" s="232">
        <f>+C51</f>
        <v>8220000</v>
      </c>
      <c r="D59" s="231"/>
      <c r="E59" s="232">
        <f>+E61/E60</f>
        <v>6850000</v>
      </c>
      <c r="G59" s="232">
        <f>+E59-C59</f>
        <v>-1370000</v>
      </c>
      <c r="H59" s="234">
        <f>+G59/C59</f>
        <v>-0.16666666666666666</v>
      </c>
      <c r="L59" s="89"/>
      <c r="M59" s="184"/>
    </row>
    <row r="60" spans="1:14" x14ac:dyDescent="0.3">
      <c r="A60" t="s">
        <v>1060</v>
      </c>
      <c r="C60" s="89">
        <v>5</v>
      </c>
      <c r="D60" s="89"/>
      <c r="E60" s="89">
        <v>12</v>
      </c>
      <c r="L60" s="89"/>
      <c r="M60" s="184"/>
    </row>
    <row r="61" spans="1:14" x14ac:dyDescent="0.3">
      <c r="A61" t="s">
        <v>1066</v>
      </c>
      <c r="B61" s="121"/>
      <c r="C61" s="121">
        <f>+C59*C60</f>
        <v>41100000</v>
      </c>
      <c r="E61" s="121">
        <f>+C61*2</f>
        <v>82200000</v>
      </c>
      <c r="G61" s="121"/>
      <c r="H61" s="184"/>
      <c r="L61" s="89"/>
    </row>
    <row r="62" spans="1:14" x14ac:dyDescent="0.3">
      <c r="L62" s="89"/>
    </row>
    <row r="63" spans="1:14" x14ac:dyDescent="0.3">
      <c r="L63" s="89"/>
    </row>
    <row r="64" spans="1:14" x14ac:dyDescent="0.3">
      <c r="L64" s="89"/>
    </row>
    <row r="65" spans="12:12" x14ac:dyDescent="0.3">
      <c r="L65" s="89"/>
    </row>
    <row r="66" spans="12:12" x14ac:dyDescent="0.3">
      <c r="L66" s="89"/>
    </row>
    <row r="67" spans="12:12" x14ac:dyDescent="0.3">
      <c r="L67" s="89"/>
    </row>
    <row r="68" spans="12:12" x14ac:dyDescent="0.3">
      <c r="L68" s="89"/>
    </row>
    <row r="69" spans="12:12" x14ac:dyDescent="0.3">
      <c r="L69" s="118">
        <f>SUM(L36:L68)</f>
        <v>0</v>
      </c>
    </row>
  </sheetData>
  <mergeCells count="3">
    <mergeCell ref="L4:L5"/>
    <mergeCell ref="K4:K5"/>
    <mergeCell ref="A1:H1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5"/>
  <sheetViews>
    <sheetView zoomScaleNormal="100" workbookViewId="0">
      <selection activeCell="C38" sqref="C38"/>
    </sheetView>
  </sheetViews>
  <sheetFormatPr defaultColWidth="9.109375" defaultRowHeight="13.2" x14ac:dyDescent="0.25"/>
  <cols>
    <col min="1" max="16384" width="9.109375" style="140"/>
  </cols>
  <sheetData>
    <row r="1" spans="1:5" x14ac:dyDescent="0.25">
      <c r="A1" s="257" t="s">
        <v>1120</v>
      </c>
    </row>
    <row r="3" spans="1:5" x14ac:dyDescent="0.25">
      <c r="D3" s="144" t="s">
        <v>773</v>
      </c>
      <c r="E3" s="140" t="s">
        <v>772</v>
      </c>
    </row>
    <row r="4" spans="1:5" x14ac:dyDescent="0.25">
      <c r="D4" s="140" t="s">
        <v>771</v>
      </c>
      <c r="E4" s="140" t="s">
        <v>770</v>
      </c>
    </row>
    <row r="5" spans="1:5" x14ac:dyDescent="0.25">
      <c r="A5" s="143" t="s">
        <v>769</v>
      </c>
      <c r="B5" s="142"/>
      <c r="C5" s="142"/>
      <c r="D5" s="141">
        <v>28</v>
      </c>
      <c r="E5" s="141">
        <v>27.929166666666664</v>
      </c>
    </row>
  </sheetData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90"/>
  <sheetViews>
    <sheetView zoomScale="90" zoomScaleNormal="90" workbookViewId="0">
      <selection activeCell="C38" sqref="C38"/>
    </sheetView>
  </sheetViews>
  <sheetFormatPr defaultColWidth="9.109375" defaultRowHeight="13.2" x14ac:dyDescent="0.25"/>
  <cols>
    <col min="1" max="1" width="51.44140625" style="10" bestFit="1" customWidth="1"/>
    <col min="2" max="2" width="17.6640625" style="13" customWidth="1"/>
    <col min="3" max="3" width="1.6640625" style="10" customWidth="1"/>
    <col min="4" max="4" width="17.6640625" style="13" customWidth="1"/>
    <col min="5" max="5" width="1.6640625" style="10" customWidth="1"/>
    <col min="6" max="6" width="17.6640625" style="13" customWidth="1"/>
    <col min="7" max="7" width="1.6640625" style="10" customWidth="1"/>
    <col min="8" max="8" width="17.6640625" style="13" customWidth="1"/>
    <col min="9" max="9" width="1.6640625" style="10" customWidth="1"/>
    <col min="10" max="10" width="17.6640625" style="13" customWidth="1"/>
    <col min="11" max="11" width="1.6640625" style="10" customWidth="1"/>
    <col min="12" max="12" width="17.6640625" style="13" customWidth="1"/>
    <col min="13" max="13" width="1.88671875" style="10" customWidth="1"/>
    <col min="14" max="14" width="19.44140625" style="10" customWidth="1"/>
    <col min="15" max="15" width="2.109375" style="10" customWidth="1"/>
    <col min="16" max="16" width="23.109375" style="10" bestFit="1" customWidth="1"/>
    <col min="17" max="17" width="25.6640625" style="10" bestFit="1" customWidth="1"/>
    <col min="18" max="16384" width="9.109375" style="10"/>
  </cols>
  <sheetData>
    <row r="1" spans="1:16" s="9" customFormat="1" ht="15.6" x14ac:dyDescent="0.3">
      <c r="A1" s="258" t="s">
        <v>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s="9" customFormat="1" ht="15.6" x14ac:dyDescent="0.3">
      <c r="A2" s="258" t="s">
        <v>117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x14ac:dyDescent="0.25">
      <c r="A3" s="259" t="s">
        <v>572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6" x14ac:dyDescent="0.25">
      <c r="B6" s="12" t="s">
        <v>15</v>
      </c>
      <c r="H6" s="12" t="s">
        <v>16</v>
      </c>
      <c r="L6" s="12" t="s">
        <v>17</v>
      </c>
      <c r="P6" s="14" t="s">
        <v>18</v>
      </c>
    </row>
    <row r="7" spans="1:16" x14ac:dyDescent="0.25">
      <c r="B7" s="15" t="s">
        <v>19</v>
      </c>
      <c r="D7" s="15" t="s">
        <v>20</v>
      </c>
      <c r="F7" s="15" t="s">
        <v>21</v>
      </c>
      <c r="H7" s="15" t="s">
        <v>22</v>
      </c>
      <c r="J7" s="15" t="s">
        <v>23</v>
      </c>
      <c r="L7" s="15" t="s">
        <v>19</v>
      </c>
      <c r="N7" s="15" t="s">
        <v>24</v>
      </c>
      <c r="P7" s="15" t="s">
        <v>25</v>
      </c>
    </row>
    <row r="8" spans="1:16" x14ac:dyDescent="0.25">
      <c r="A8" s="14" t="s">
        <v>26</v>
      </c>
      <c r="B8" s="16"/>
      <c r="D8" s="16"/>
      <c r="F8" s="16"/>
      <c r="H8" s="16"/>
      <c r="J8" s="16"/>
      <c r="L8" s="16"/>
    </row>
    <row r="9" spans="1:16" x14ac:dyDescent="0.25">
      <c r="A9" s="14" t="s">
        <v>27</v>
      </c>
    </row>
    <row r="10" spans="1:16" x14ac:dyDescent="0.25">
      <c r="A10" s="14" t="s">
        <v>28</v>
      </c>
    </row>
    <row r="11" spans="1:16" x14ac:dyDescent="0.25">
      <c r="A11" s="10" t="s">
        <v>29</v>
      </c>
      <c r="B11" s="13">
        <v>2075300.07</v>
      </c>
      <c r="C11" s="17"/>
      <c r="D11" s="13">
        <v>0</v>
      </c>
      <c r="E11" s="17"/>
      <c r="F11" s="13">
        <v>0</v>
      </c>
      <c r="G11" s="17"/>
      <c r="H11" s="13">
        <v>0</v>
      </c>
      <c r="I11" s="17"/>
      <c r="J11" s="13">
        <v>0</v>
      </c>
      <c r="K11" s="17"/>
      <c r="L11" s="13">
        <v>2075300.07</v>
      </c>
      <c r="N11" s="18">
        <v>-1393679.15</v>
      </c>
      <c r="P11" s="18">
        <v>681620.92000000016</v>
      </c>
    </row>
    <row r="12" spans="1:16" x14ac:dyDescent="0.25">
      <c r="A12" s="10" t="s">
        <v>30</v>
      </c>
      <c r="B12" s="13">
        <v>5569266.5200000005</v>
      </c>
      <c r="C12" s="17"/>
      <c r="D12" s="13">
        <v>0</v>
      </c>
      <c r="E12" s="17"/>
      <c r="F12" s="13">
        <v>0</v>
      </c>
      <c r="G12" s="17"/>
      <c r="H12" s="13">
        <v>-113882.25</v>
      </c>
      <c r="I12" s="17"/>
      <c r="J12" s="13">
        <v>-113882.25</v>
      </c>
      <c r="K12" s="17"/>
      <c r="L12" s="13">
        <v>5455384.2700000005</v>
      </c>
      <c r="N12" s="18">
        <v>-7.2759576141834259E-12</v>
      </c>
      <c r="P12" s="18">
        <v>5455384.2700000005</v>
      </c>
    </row>
    <row r="13" spans="1:16" x14ac:dyDescent="0.25">
      <c r="A13" s="10" t="s">
        <v>31</v>
      </c>
      <c r="B13" s="13">
        <v>10229968.790000001</v>
      </c>
      <c r="C13" s="17"/>
      <c r="D13" s="13">
        <v>1676540.4100000001</v>
      </c>
      <c r="E13" s="17"/>
      <c r="F13" s="13">
        <v>-9476.17</v>
      </c>
      <c r="G13" s="17"/>
      <c r="H13" s="13">
        <v>0</v>
      </c>
      <c r="I13" s="17"/>
      <c r="J13" s="13">
        <v>1667064.2400000002</v>
      </c>
      <c r="K13" s="17"/>
      <c r="L13" s="13">
        <v>11897033.030000001</v>
      </c>
      <c r="N13" s="18">
        <v>-2207000.6800000002</v>
      </c>
      <c r="P13" s="18">
        <v>9690032.3500000015</v>
      </c>
    </row>
    <row r="14" spans="1:16" x14ac:dyDescent="0.25">
      <c r="A14" s="10" t="s">
        <v>32</v>
      </c>
      <c r="B14" s="13">
        <v>165097647.80000001</v>
      </c>
      <c r="C14" s="17"/>
      <c r="D14" s="13">
        <v>5175750.42</v>
      </c>
      <c r="E14" s="17"/>
      <c r="F14" s="13">
        <v>-520283.73</v>
      </c>
      <c r="G14" s="17"/>
      <c r="H14" s="13">
        <v>-73544.070000000007</v>
      </c>
      <c r="I14" s="17"/>
      <c r="J14" s="13">
        <v>4581922.62</v>
      </c>
      <c r="K14" s="17"/>
      <c r="L14" s="13">
        <v>169679570.42000002</v>
      </c>
      <c r="N14" s="18">
        <v>-46160707.079999991</v>
      </c>
      <c r="P14" s="18">
        <v>123518863.34000003</v>
      </c>
    </row>
    <row r="15" spans="1:16" x14ac:dyDescent="0.25">
      <c r="A15" s="10" t="s">
        <v>33</v>
      </c>
      <c r="B15" s="13">
        <v>328244734.98000002</v>
      </c>
      <c r="C15" s="17"/>
      <c r="D15" s="13">
        <v>10995740.08</v>
      </c>
      <c r="E15" s="17"/>
      <c r="F15" s="13">
        <v>-112782.92</v>
      </c>
      <c r="G15" s="17"/>
      <c r="H15" s="13">
        <v>0</v>
      </c>
      <c r="I15" s="17"/>
      <c r="J15" s="13">
        <v>10882957.16</v>
      </c>
      <c r="K15" s="17"/>
      <c r="L15" s="13">
        <v>339127692.14000005</v>
      </c>
      <c r="N15" s="18">
        <v>-144257713.24000001</v>
      </c>
      <c r="P15" s="18">
        <v>194869978.90000004</v>
      </c>
    </row>
    <row r="16" spans="1:16" x14ac:dyDescent="0.25">
      <c r="A16" s="10" t="s">
        <v>34</v>
      </c>
      <c r="B16" s="13">
        <v>314153968.55000001</v>
      </c>
      <c r="C16" s="17"/>
      <c r="D16" s="13">
        <v>15442762.140000001</v>
      </c>
      <c r="E16" s="17"/>
      <c r="F16" s="13">
        <v>-1792235.93</v>
      </c>
      <c r="G16" s="17"/>
      <c r="H16" s="13">
        <v>-32249</v>
      </c>
      <c r="I16" s="17"/>
      <c r="J16" s="13">
        <v>13618277.210000001</v>
      </c>
      <c r="K16" s="17"/>
      <c r="L16" s="13">
        <v>327772245.75999999</v>
      </c>
      <c r="N16" s="18">
        <v>-113211874.09999995</v>
      </c>
      <c r="P16" s="18">
        <v>214560371.66000003</v>
      </c>
    </row>
    <row r="17" spans="1:17" x14ac:dyDescent="0.25">
      <c r="A17" s="10" t="s">
        <v>35</v>
      </c>
      <c r="B17" s="13">
        <v>2050521.6899999997</v>
      </c>
      <c r="C17" s="17"/>
      <c r="D17" s="13">
        <v>125445.77</v>
      </c>
      <c r="E17" s="17"/>
      <c r="F17" s="13">
        <v>-2186.06</v>
      </c>
      <c r="G17" s="17"/>
      <c r="H17" s="13">
        <v>0</v>
      </c>
      <c r="I17" s="17"/>
      <c r="J17" s="13">
        <v>123259.71</v>
      </c>
      <c r="K17" s="17"/>
      <c r="L17" s="13">
        <v>2173781.4</v>
      </c>
      <c r="N17" s="18">
        <v>-859600.13</v>
      </c>
      <c r="P17" s="18">
        <v>1314181.27</v>
      </c>
    </row>
    <row r="18" spans="1:17" x14ac:dyDescent="0.25">
      <c r="A18" s="10" t="s">
        <v>36</v>
      </c>
      <c r="B18" s="13">
        <v>177441231.46000001</v>
      </c>
      <c r="C18" s="17"/>
      <c r="D18" s="13">
        <v>5138071.1899999995</v>
      </c>
      <c r="E18" s="17"/>
      <c r="F18" s="13">
        <v>-152640.18</v>
      </c>
      <c r="G18" s="17"/>
      <c r="H18" s="13">
        <v>0</v>
      </c>
      <c r="I18" s="17"/>
      <c r="J18" s="13">
        <v>4985431.01</v>
      </c>
      <c r="K18" s="17"/>
      <c r="L18" s="13">
        <v>182426662.47</v>
      </c>
      <c r="N18" s="18">
        <v>-42093465.309999987</v>
      </c>
      <c r="P18" s="18">
        <v>140333197.16000003</v>
      </c>
    </row>
    <row r="19" spans="1:17" x14ac:dyDescent="0.25">
      <c r="A19" s="10" t="s">
        <v>37</v>
      </c>
      <c r="B19" s="13">
        <v>294715993.29000002</v>
      </c>
      <c r="C19" s="17"/>
      <c r="D19" s="13">
        <v>3632326.92</v>
      </c>
      <c r="E19" s="17"/>
      <c r="F19" s="13">
        <v>-695493.33</v>
      </c>
      <c r="G19" s="17"/>
      <c r="H19" s="13">
        <v>0</v>
      </c>
      <c r="I19" s="17"/>
      <c r="J19" s="13">
        <v>2936833.59</v>
      </c>
      <c r="K19" s="17"/>
      <c r="L19" s="13">
        <v>297652826.88</v>
      </c>
      <c r="N19" s="18">
        <v>-136797105.52000001</v>
      </c>
      <c r="P19" s="18">
        <v>160855721.35999998</v>
      </c>
    </row>
    <row r="20" spans="1:17" x14ac:dyDescent="0.25">
      <c r="A20" s="10" t="s">
        <v>38</v>
      </c>
      <c r="B20" s="13">
        <v>89656407.00999999</v>
      </c>
      <c r="C20" s="17"/>
      <c r="D20" s="13">
        <v>161339.17000000001</v>
      </c>
      <c r="E20" s="17"/>
      <c r="F20" s="13">
        <v>0</v>
      </c>
      <c r="G20" s="17"/>
      <c r="H20" s="13">
        <v>0</v>
      </c>
      <c r="I20" s="17"/>
      <c r="J20" s="13">
        <v>161339.17000000001</v>
      </c>
      <c r="K20" s="17"/>
      <c r="L20" s="13">
        <v>89817746.179999992</v>
      </c>
      <c r="N20" s="18">
        <v>-58640234.080000006</v>
      </c>
      <c r="P20" s="18">
        <v>31177512.099999987</v>
      </c>
    </row>
    <row r="21" spans="1:17" x14ac:dyDescent="0.25">
      <c r="A21" s="10" t="s">
        <v>39</v>
      </c>
      <c r="B21" s="13">
        <v>72583093.900000006</v>
      </c>
      <c r="C21" s="17"/>
      <c r="D21" s="13">
        <v>908552.35</v>
      </c>
      <c r="E21" s="17"/>
      <c r="F21" s="13">
        <v>-74492.83</v>
      </c>
      <c r="G21" s="17"/>
      <c r="H21" s="13">
        <v>0</v>
      </c>
      <c r="I21" s="17"/>
      <c r="J21" s="13">
        <v>834059.52</v>
      </c>
      <c r="K21" s="17"/>
      <c r="L21" s="13">
        <v>73417153.420000002</v>
      </c>
      <c r="N21" s="18">
        <v>-36027544.300000004</v>
      </c>
      <c r="P21" s="18">
        <v>37389609.119999997</v>
      </c>
    </row>
    <row r="22" spans="1:17" x14ac:dyDescent="0.25">
      <c r="A22" s="36" t="s">
        <v>40</v>
      </c>
      <c r="B22" s="13">
        <v>698893.34</v>
      </c>
      <c r="C22" s="17"/>
      <c r="D22" s="13">
        <v>147599.76</v>
      </c>
      <c r="E22" s="17"/>
      <c r="F22" s="13">
        <v>0</v>
      </c>
      <c r="G22" s="17"/>
      <c r="H22" s="13">
        <v>0</v>
      </c>
      <c r="I22" s="17"/>
      <c r="J22" s="13">
        <v>147599.76</v>
      </c>
      <c r="K22" s="17"/>
      <c r="L22" s="13">
        <v>846493.1</v>
      </c>
      <c r="N22" s="18">
        <v>-13438.83</v>
      </c>
      <c r="P22" s="18">
        <v>833054.27</v>
      </c>
    </row>
    <row r="23" spans="1:17" x14ac:dyDescent="0.25">
      <c r="A23" s="10" t="s">
        <v>41</v>
      </c>
      <c r="B23" s="13">
        <v>16198922.85</v>
      </c>
      <c r="C23" s="17"/>
      <c r="D23" s="13">
        <v>0</v>
      </c>
      <c r="E23" s="17"/>
      <c r="F23" s="13">
        <v>-722.25</v>
      </c>
      <c r="G23" s="17"/>
      <c r="H23" s="13">
        <v>-14643413.17</v>
      </c>
      <c r="I23" s="17"/>
      <c r="J23" s="13">
        <v>-14644135.42</v>
      </c>
      <c r="K23" s="17"/>
      <c r="L23" s="13">
        <v>1554787.4299999997</v>
      </c>
      <c r="N23" s="18">
        <v>-1530042.8600000073</v>
      </c>
      <c r="P23" s="18">
        <v>24744.569999992382</v>
      </c>
      <c r="Q23" s="10" t="s">
        <v>118</v>
      </c>
    </row>
    <row r="24" spans="1:17" x14ac:dyDescent="0.25">
      <c r="A24" s="30" t="s">
        <v>42</v>
      </c>
      <c r="B24" s="31">
        <v>93376968.5</v>
      </c>
      <c r="C24" s="32"/>
      <c r="D24" s="31">
        <v>3015786.0999999996</v>
      </c>
      <c r="E24" s="32"/>
      <c r="F24" s="31">
        <v>-18690.95</v>
      </c>
      <c r="G24" s="32"/>
      <c r="H24" s="31">
        <v>14643413.17</v>
      </c>
      <c r="I24" s="32"/>
      <c r="J24" s="33">
        <v>17640508.32</v>
      </c>
      <c r="K24" s="32"/>
      <c r="L24" s="33">
        <v>111017476.81999999</v>
      </c>
      <c r="M24" s="30"/>
      <c r="N24" s="29">
        <v>-36821550.36999999</v>
      </c>
      <c r="O24" s="30"/>
      <c r="P24" s="29">
        <v>74195926.450000003</v>
      </c>
      <c r="Q24" s="63">
        <f>+L24*0.04</f>
        <v>4440699.0728000002</v>
      </c>
    </row>
    <row r="25" spans="1:17" x14ac:dyDescent="0.25">
      <c r="A25" s="10" t="s">
        <v>43</v>
      </c>
      <c r="B25" s="20">
        <v>285453.15999999997</v>
      </c>
      <c r="C25" s="19"/>
      <c r="D25" s="20">
        <v>0</v>
      </c>
      <c r="E25" s="19"/>
      <c r="F25" s="20">
        <v>0</v>
      </c>
      <c r="G25" s="19"/>
      <c r="H25" s="20">
        <v>0</v>
      </c>
      <c r="I25" s="19"/>
      <c r="J25" s="20">
        <v>0</v>
      </c>
      <c r="K25" s="19"/>
      <c r="L25" s="20">
        <v>285453.15999999997</v>
      </c>
      <c r="M25" s="21"/>
      <c r="N25" s="22">
        <v>-20753.859999999964</v>
      </c>
      <c r="O25" s="21"/>
      <c r="P25" s="22">
        <v>264699.3</v>
      </c>
    </row>
    <row r="26" spans="1:17" x14ac:dyDescent="0.25">
      <c r="A26" s="35" t="s">
        <v>44</v>
      </c>
      <c r="B26" s="20">
        <v>622242.23</v>
      </c>
      <c r="C26" s="19"/>
      <c r="D26" s="20">
        <v>0</v>
      </c>
      <c r="E26" s="19"/>
      <c r="F26" s="20">
        <v>0</v>
      </c>
      <c r="G26" s="19"/>
      <c r="H26" s="20">
        <v>0</v>
      </c>
      <c r="I26" s="19"/>
      <c r="J26" s="20">
        <v>0</v>
      </c>
      <c r="K26" s="19"/>
      <c r="L26" s="20">
        <v>622242.23</v>
      </c>
      <c r="N26" s="22">
        <v>-94084.819999999992</v>
      </c>
      <c r="P26" s="22">
        <v>528157.41</v>
      </c>
    </row>
    <row r="27" spans="1:17" x14ac:dyDescent="0.25">
      <c r="B27" s="34">
        <v>1573000614.1400001</v>
      </c>
      <c r="C27" s="19"/>
      <c r="D27" s="34">
        <v>46419914.310000002</v>
      </c>
      <c r="E27" s="19"/>
      <c r="F27" s="34">
        <v>-3379004.3500000006</v>
      </c>
      <c r="G27" s="19"/>
      <c r="H27" s="34">
        <v>-219675.3200000003</v>
      </c>
      <c r="I27" s="19"/>
      <c r="J27" s="34">
        <v>42821234.640000008</v>
      </c>
      <c r="K27" s="19"/>
      <c r="L27" s="34">
        <v>1615821848.7800002</v>
      </c>
      <c r="N27" s="34">
        <v>-620128794.33000004</v>
      </c>
      <c r="P27" s="34">
        <v>995693054.45000005</v>
      </c>
    </row>
    <row r="28" spans="1:17" x14ac:dyDescent="0.25">
      <c r="B28" s="20"/>
      <c r="C28" s="19"/>
      <c r="D28" s="20"/>
      <c r="E28" s="19"/>
      <c r="F28" s="20"/>
      <c r="G28" s="19"/>
      <c r="H28" s="20"/>
      <c r="I28" s="19"/>
      <c r="J28" s="20"/>
      <c r="K28" s="19"/>
      <c r="L28" s="20"/>
    </row>
    <row r="29" spans="1:17" x14ac:dyDescent="0.25">
      <c r="A29" s="14" t="s">
        <v>45</v>
      </c>
      <c r="B29" s="20"/>
      <c r="C29" s="19"/>
      <c r="D29" s="20"/>
      <c r="E29" s="19"/>
      <c r="F29" s="20"/>
      <c r="G29" s="19"/>
      <c r="H29" s="20"/>
      <c r="I29" s="19"/>
      <c r="J29" s="20"/>
      <c r="K29" s="19"/>
      <c r="L29" s="20"/>
    </row>
    <row r="30" spans="1:17" x14ac:dyDescent="0.25">
      <c r="A30" s="25" t="s">
        <v>46</v>
      </c>
      <c r="B30" s="13">
        <v>2729479.9</v>
      </c>
      <c r="C30" s="17"/>
      <c r="D30" s="13">
        <v>0</v>
      </c>
      <c r="E30" s="17"/>
      <c r="F30" s="13">
        <v>0</v>
      </c>
      <c r="G30" s="17"/>
      <c r="H30" s="13">
        <v>0</v>
      </c>
      <c r="I30" s="17"/>
      <c r="J30" s="13">
        <v>0</v>
      </c>
      <c r="K30" s="17"/>
      <c r="L30" s="13">
        <v>2729479.9</v>
      </c>
      <c r="N30" s="18">
        <v>1.8189894035458565E-12</v>
      </c>
      <c r="P30" s="18">
        <v>2729479.9</v>
      </c>
    </row>
    <row r="31" spans="1:17" x14ac:dyDescent="0.25">
      <c r="A31" s="10" t="s">
        <v>47</v>
      </c>
      <c r="B31" s="13">
        <v>55642785.300000004</v>
      </c>
      <c r="C31" s="17"/>
      <c r="D31" s="13">
        <v>829058.35</v>
      </c>
      <c r="E31" s="17"/>
      <c r="F31" s="13">
        <v>-24354.23</v>
      </c>
      <c r="G31" s="17"/>
      <c r="H31" s="13">
        <v>0</v>
      </c>
      <c r="I31" s="17"/>
      <c r="J31" s="13">
        <v>804704.12</v>
      </c>
      <c r="K31" s="17"/>
      <c r="L31" s="13">
        <v>56447489.420000002</v>
      </c>
      <c r="N31" s="18">
        <v>-11417882.190000003</v>
      </c>
      <c r="P31" s="18">
        <v>45029607.229999997</v>
      </c>
    </row>
    <row r="32" spans="1:17" x14ac:dyDescent="0.25">
      <c r="A32" s="10" t="s">
        <v>48</v>
      </c>
      <c r="B32" s="13">
        <v>487774.73000000004</v>
      </c>
      <c r="C32" s="17"/>
      <c r="D32" s="13">
        <v>0</v>
      </c>
      <c r="E32" s="17"/>
      <c r="F32" s="13">
        <v>0</v>
      </c>
      <c r="G32" s="17"/>
      <c r="H32" s="13">
        <v>0</v>
      </c>
      <c r="I32" s="17"/>
      <c r="J32" s="13">
        <v>0</v>
      </c>
      <c r="K32" s="17"/>
      <c r="L32" s="13">
        <v>487774.73000000004</v>
      </c>
      <c r="N32" s="18">
        <v>-406560.01000000007</v>
      </c>
      <c r="P32" s="18">
        <v>81214.719999999972</v>
      </c>
    </row>
    <row r="33" spans="1:16" x14ac:dyDescent="0.25">
      <c r="A33" s="10" t="s">
        <v>49</v>
      </c>
      <c r="B33" s="13">
        <v>9990361.7100000009</v>
      </c>
      <c r="C33" s="17"/>
      <c r="D33" s="13">
        <v>370790.24</v>
      </c>
      <c r="E33" s="17"/>
      <c r="F33" s="13">
        <v>-861565.23</v>
      </c>
      <c r="G33" s="17"/>
      <c r="H33" s="13">
        <v>0</v>
      </c>
      <c r="I33" s="17"/>
      <c r="J33" s="13">
        <v>-490774.99</v>
      </c>
      <c r="K33" s="17"/>
      <c r="L33" s="13">
        <v>9499586.7200000007</v>
      </c>
      <c r="N33" s="18">
        <v>-5003512.9799999977</v>
      </c>
      <c r="P33" s="18">
        <v>4496073.740000003</v>
      </c>
    </row>
    <row r="34" spans="1:16" x14ac:dyDescent="0.25">
      <c r="A34" s="10" t="s">
        <v>50</v>
      </c>
      <c r="B34" s="13">
        <v>26955602.789999995</v>
      </c>
      <c r="C34" s="17"/>
      <c r="D34" s="13">
        <v>881063.12000000011</v>
      </c>
      <c r="E34" s="17"/>
      <c r="F34" s="13">
        <v>-2858604.47</v>
      </c>
      <c r="G34" s="17"/>
      <c r="H34" s="13">
        <v>0</v>
      </c>
      <c r="I34" s="17"/>
      <c r="J34" s="13">
        <v>-1977541.35</v>
      </c>
      <c r="K34" s="17"/>
      <c r="L34" s="13">
        <v>24978061.439999994</v>
      </c>
      <c r="N34" s="18">
        <v>-14277712.690000003</v>
      </c>
      <c r="P34" s="18">
        <v>10700348.749999991</v>
      </c>
    </row>
    <row r="35" spans="1:16" x14ac:dyDescent="0.25">
      <c r="A35" s="10" t="s">
        <v>51</v>
      </c>
      <c r="B35" s="13">
        <v>0</v>
      </c>
      <c r="C35" s="17"/>
      <c r="D35" s="13">
        <v>0</v>
      </c>
      <c r="E35" s="17"/>
      <c r="F35" s="13">
        <v>0</v>
      </c>
      <c r="G35" s="17"/>
      <c r="H35" s="13">
        <v>0</v>
      </c>
      <c r="I35" s="17"/>
      <c r="J35" s="13">
        <v>0</v>
      </c>
      <c r="K35" s="17"/>
      <c r="L35" s="13">
        <v>0</v>
      </c>
      <c r="N35" s="18">
        <v>0</v>
      </c>
      <c r="P35" s="18">
        <v>0</v>
      </c>
    </row>
    <row r="36" spans="1:16" x14ac:dyDescent="0.25">
      <c r="A36" s="10" t="s">
        <v>52</v>
      </c>
      <c r="B36" s="13">
        <v>7487177.8600000003</v>
      </c>
      <c r="C36" s="17"/>
      <c r="D36" s="13">
        <v>237276.54</v>
      </c>
      <c r="E36" s="17"/>
      <c r="F36" s="13">
        <v>-3161452.45</v>
      </c>
      <c r="G36" s="17"/>
      <c r="H36" s="13">
        <v>0</v>
      </c>
      <c r="I36" s="17"/>
      <c r="J36" s="13">
        <v>-2924175.91</v>
      </c>
      <c r="K36" s="17"/>
      <c r="L36" s="13">
        <v>4563001.95</v>
      </c>
      <c r="N36" s="18">
        <v>-515144.57999999961</v>
      </c>
      <c r="P36" s="18">
        <v>4047857.3700000006</v>
      </c>
    </row>
    <row r="37" spans="1:16" x14ac:dyDescent="0.25">
      <c r="A37" s="26" t="s">
        <v>53</v>
      </c>
      <c r="B37" s="13">
        <v>1080256.709999999</v>
      </c>
      <c r="C37" s="17"/>
      <c r="D37" s="13">
        <v>278607.59999999998</v>
      </c>
      <c r="E37" s="17"/>
      <c r="F37" s="13">
        <v>-158179.93</v>
      </c>
      <c r="G37" s="17"/>
      <c r="H37" s="13">
        <v>19403.82</v>
      </c>
      <c r="I37" s="17"/>
      <c r="J37" s="13">
        <v>139831.49</v>
      </c>
      <c r="K37" s="17"/>
      <c r="L37" s="13">
        <v>1220088.199999999</v>
      </c>
      <c r="N37" s="18">
        <v>-748900.88999999617</v>
      </c>
      <c r="P37" s="18">
        <v>471187.31000000285</v>
      </c>
    </row>
    <row r="38" spans="1:16" x14ac:dyDescent="0.25">
      <c r="A38" s="26" t="s">
        <v>54</v>
      </c>
      <c r="B38" s="13">
        <v>4496087.6400000006</v>
      </c>
      <c r="C38" s="17"/>
      <c r="D38" s="13">
        <v>1456562.63</v>
      </c>
      <c r="E38" s="17"/>
      <c r="F38" s="13">
        <v>-108408.86</v>
      </c>
      <c r="G38" s="17"/>
      <c r="H38" s="13">
        <v>-19403.82</v>
      </c>
      <c r="I38" s="17"/>
      <c r="J38" s="13">
        <v>1328749.95</v>
      </c>
      <c r="K38" s="17"/>
      <c r="L38" s="13">
        <v>5824837.5900000008</v>
      </c>
      <c r="N38" s="18">
        <v>-2645739.4200000009</v>
      </c>
      <c r="P38" s="18">
        <v>3179098.17</v>
      </c>
    </row>
    <row r="39" spans="1:16" x14ac:dyDescent="0.25">
      <c r="A39" s="10" t="s">
        <v>55</v>
      </c>
      <c r="B39" s="13">
        <v>1499899.69</v>
      </c>
      <c r="C39" s="17"/>
      <c r="D39" s="13">
        <v>9215.7800000000007</v>
      </c>
      <c r="E39" s="17"/>
      <c r="F39" s="13">
        <v>0</v>
      </c>
      <c r="G39" s="17"/>
      <c r="H39" s="13">
        <v>0</v>
      </c>
      <c r="I39" s="17"/>
      <c r="J39" s="13">
        <v>9215.7800000000007</v>
      </c>
      <c r="K39" s="17"/>
      <c r="L39" s="13">
        <v>1509115.47</v>
      </c>
      <c r="N39" s="18">
        <v>-346615.46</v>
      </c>
      <c r="P39" s="18">
        <v>1162500.01</v>
      </c>
    </row>
    <row r="40" spans="1:16" x14ac:dyDescent="0.25">
      <c r="A40" s="10" t="s">
        <v>56</v>
      </c>
      <c r="B40" s="13">
        <v>11682646.16</v>
      </c>
      <c r="C40" s="17"/>
      <c r="D40" s="13">
        <v>319852.88</v>
      </c>
      <c r="E40" s="17"/>
      <c r="F40" s="13">
        <v>-6628.9</v>
      </c>
      <c r="G40" s="17"/>
      <c r="H40" s="13">
        <v>0</v>
      </c>
      <c r="I40" s="17"/>
      <c r="J40" s="13">
        <v>313223.98</v>
      </c>
      <c r="K40" s="17"/>
      <c r="L40" s="13">
        <v>11995870.140000001</v>
      </c>
      <c r="N40" s="18">
        <v>-3665147.1799999997</v>
      </c>
      <c r="P40" s="18">
        <v>8330722.9600000009</v>
      </c>
    </row>
    <row r="41" spans="1:16" x14ac:dyDescent="0.25">
      <c r="A41" s="10" t="s">
        <v>57</v>
      </c>
      <c r="B41" s="13">
        <v>0</v>
      </c>
      <c r="C41" s="17"/>
      <c r="D41" s="13">
        <v>0</v>
      </c>
      <c r="E41" s="17"/>
      <c r="F41" s="13">
        <v>0</v>
      </c>
      <c r="G41" s="17"/>
      <c r="H41" s="13">
        <v>0</v>
      </c>
      <c r="I41" s="17"/>
      <c r="J41" s="13">
        <v>0</v>
      </c>
      <c r="K41" s="17"/>
      <c r="L41" s="13">
        <v>0</v>
      </c>
      <c r="N41" s="18">
        <v>-4.6566128730773926E-10</v>
      </c>
      <c r="P41" s="18">
        <v>-4.6566128730773926E-10</v>
      </c>
    </row>
    <row r="42" spans="1:16" x14ac:dyDescent="0.25">
      <c r="A42" s="10" t="s">
        <v>58</v>
      </c>
      <c r="B42" s="13">
        <v>2010923.02</v>
      </c>
      <c r="C42" s="17"/>
      <c r="D42" s="13">
        <v>77676.48000000001</v>
      </c>
      <c r="E42" s="17"/>
      <c r="F42" s="13">
        <v>0</v>
      </c>
      <c r="G42" s="17"/>
      <c r="H42" s="13">
        <v>0</v>
      </c>
      <c r="I42" s="17"/>
      <c r="J42" s="13">
        <v>77676.48000000001</v>
      </c>
      <c r="K42" s="17"/>
      <c r="L42" s="13">
        <v>2088599.5</v>
      </c>
      <c r="N42" s="18">
        <v>-754398.27</v>
      </c>
      <c r="P42" s="18">
        <v>1334201.23</v>
      </c>
    </row>
    <row r="43" spans="1:16" x14ac:dyDescent="0.25">
      <c r="A43" s="26" t="s">
        <v>59</v>
      </c>
      <c r="B43" s="13">
        <v>25314389.179999996</v>
      </c>
      <c r="C43" s="17"/>
      <c r="D43" s="13">
        <v>607746.69999999995</v>
      </c>
      <c r="E43" s="17"/>
      <c r="F43" s="13">
        <v>0</v>
      </c>
      <c r="G43" s="17"/>
      <c r="H43" s="13">
        <v>0</v>
      </c>
      <c r="I43" s="17"/>
      <c r="J43" s="13">
        <v>607746.69999999995</v>
      </c>
      <c r="K43" s="17"/>
      <c r="L43" s="13">
        <v>25922135.879999995</v>
      </c>
      <c r="N43" s="18">
        <v>-9410207.5800000001</v>
      </c>
      <c r="P43" s="18">
        <v>16511928.299999995</v>
      </c>
    </row>
    <row r="44" spans="1:16" x14ac:dyDescent="0.25">
      <c r="A44" s="26" t="s">
        <v>60</v>
      </c>
      <c r="B44" s="13">
        <v>19627168.830000002</v>
      </c>
      <c r="C44" s="17"/>
      <c r="D44" s="13">
        <v>-138456.72</v>
      </c>
      <c r="E44" s="17"/>
      <c r="F44" s="13">
        <v>0</v>
      </c>
      <c r="G44" s="17"/>
      <c r="H44" s="13">
        <v>0</v>
      </c>
      <c r="I44" s="17"/>
      <c r="J44" s="13">
        <v>-138456.72</v>
      </c>
      <c r="K44" s="17"/>
      <c r="L44" s="13">
        <v>19488712.110000003</v>
      </c>
      <c r="N44" s="18">
        <v>-7881411.8900000006</v>
      </c>
      <c r="P44" s="18">
        <v>11607300.220000003</v>
      </c>
    </row>
    <row r="45" spans="1:16" x14ac:dyDescent="0.25">
      <c r="A45" s="10" t="s">
        <v>61</v>
      </c>
      <c r="B45" s="13">
        <v>5875508.0300000003</v>
      </c>
      <c r="C45" s="17"/>
      <c r="D45" s="13">
        <v>767975.65</v>
      </c>
      <c r="E45" s="17"/>
      <c r="F45" s="13">
        <v>0</v>
      </c>
      <c r="G45" s="17"/>
      <c r="H45" s="13">
        <v>0</v>
      </c>
      <c r="I45" s="17"/>
      <c r="J45" s="13">
        <v>767975.65</v>
      </c>
      <c r="K45" s="17"/>
      <c r="L45" s="13">
        <v>6643483.6800000006</v>
      </c>
      <c r="N45" s="18">
        <v>-675348.25</v>
      </c>
      <c r="P45" s="18">
        <v>5968135.4300000006</v>
      </c>
    </row>
    <row r="46" spans="1:16" x14ac:dyDescent="0.25">
      <c r="A46" s="10" t="s">
        <v>62</v>
      </c>
      <c r="B46" s="23">
        <v>0</v>
      </c>
      <c r="C46" s="19"/>
      <c r="D46" s="23">
        <v>0</v>
      </c>
      <c r="E46" s="19"/>
      <c r="F46" s="23">
        <v>0</v>
      </c>
      <c r="G46" s="19"/>
      <c r="H46" s="23">
        <v>0</v>
      </c>
      <c r="I46" s="19"/>
      <c r="J46" s="23">
        <v>0</v>
      </c>
      <c r="K46" s="19"/>
      <c r="L46" s="23">
        <v>0</v>
      </c>
      <c r="N46" s="24">
        <v>3.0850044741015381E-11</v>
      </c>
      <c r="P46" s="24">
        <v>3.0850044741015381E-11</v>
      </c>
    </row>
    <row r="47" spans="1:16" x14ac:dyDescent="0.25">
      <c r="B47" s="20">
        <v>174880061.54999998</v>
      </c>
      <c r="C47" s="19"/>
      <c r="D47" s="20">
        <v>5697369.2500000009</v>
      </c>
      <c r="E47" s="19"/>
      <c r="F47" s="20">
        <v>-7179194.0700000012</v>
      </c>
      <c r="G47" s="19"/>
      <c r="H47" s="20">
        <v>0</v>
      </c>
      <c r="I47" s="19"/>
      <c r="J47" s="20">
        <v>-1481824.8200000012</v>
      </c>
      <c r="K47" s="19"/>
      <c r="L47" s="20">
        <v>173398236.73000002</v>
      </c>
      <c r="N47" s="20">
        <v>-57748581.390000001</v>
      </c>
      <c r="P47" s="20">
        <v>115649655.34</v>
      </c>
    </row>
    <row r="48" spans="1:16" x14ac:dyDescent="0.25">
      <c r="B48" s="20"/>
      <c r="C48" s="19"/>
      <c r="D48" s="20"/>
      <c r="E48" s="19"/>
      <c r="F48" s="20"/>
      <c r="G48" s="19"/>
      <c r="H48" s="20"/>
      <c r="I48" s="19"/>
      <c r="J48" s="20"/>
      <c r="K48" s="19"/>
      <c r="L48" s="20"/>
    </row>
    <row r="49" spans="1:16" x14ac:dyDescent="0.25">
      <c r="A49" s="14" t="s">
        <v>63</v>
      </c>
      <c r="B49" s="20"/>
      <c r="C49" s="19"/>
      <c r="D49" s="20"/>
      <c r="E49" s="19"/>
      <c r="F49" s="20"/>
      <c r="G49" s="19"/>
      <c r="H49" s="20"/>
      <c r="I49" s="19"/>
      <c r="J49" s="20"/>
      <c r="K49" s="19"/>
      <c r="L49" s="20"/>
    </row>
    <row r="50" spans="1:16" x14ac:dyDescent="0.25">
      <c r="A50" s="25" t="s">
        <v>64</v>
      </c>
      <c r="B50" s="20">
        <v>879311.47</v>
      </c>
      <c r="C50" s="19"/>
      <c r="D50" s="20">
        <v>0</v>
      </c>
      <c r="E50" s="19"/>
      <c r="F50" s="20">
        <v>0</v>
      </c>
      <c r="G50" s="19"/>
      <c r="H50" s="20">
        <v>0</v>
      </c>
      <c r="I50" s="19"/>
      <c r="J50" s="20">
        <v>0</v>
      </c>
      <c r="K50" s="19"/>
      <c r="L50" s="20">
        <v>879311.47</v>
      </c>
      <c r="N50" s="18">
        <v>-912332.6</v>
      </c>
      <c r="P50" s="18">
        <v>-33021.130000000005</v>
      </c>
    </row>
    <row r="51" spans="1:16" x14ac:dyDescent="0.25">
      <c r="A51" s="10" t="s">
        <v>65</v>
      </c>
      <c r="B51" s="20">
        <v>827602.64000000013</v>
      </c>
      <c r="C51" s="19"/>
      <c r="D51" s="20">
        <v>2174143.44</v>
      </c>
      <c r="E51" s="19"/>
      <c r="F51" s="20">
        <v>-71582.149999999994</v>
      </c>
      <c r="G51" s="19"/>
      <c r="H51" s="20">
        <v>0</v>
      </c>
      <c r="I51" s="19"/>
      <c r="J51" s="20">
        <v>2102561.29</v>
      </c>
      <c r="K51" s="19"/>
      <c r="L51" s="20">
        <v>2930163.93</v>
      </c>
      <c r="N51" s="18">
        <v>-293454.28000000003</v>
      </c>
      <c r="P51" s="18">
        <v>2636709.6500000004</v>
      </c>
    </row>
    <row r="52" spans="1:16" x14ac:dyDescent="0.25">
      <c r="A52" s="10" t="s">
        <v>66</v>
      </c>
      <c r="B52" s="20">
        <v>21885646.370000001</v>
      </c>
      <c r="C52" s="19"/>
      <c r="D52" s="20">
        <v>0</v>
      </c>
      <c r="E52" s="19"/>
      <c r="F52" s="20">
        <v>0</v>
      </c>
      <c r="G52" s="19"/>
      <c r="H52" s="20">
        <v>0</v>
      </c>
      <c r="I52" s="19"/>
      <c r="J52" s="20">
        <v>0</v>
      </c>
      <c r="K52" s="19"/>
      <c r="L52" s="20">
        <v>21885646.370000001</v>
      </c>
      <c r="N52" s="18">
        <v>-8488002.4099999983</v>
      </c>
      <c r="P52" s="18">
        <v>13397643.960000003</v>
      </c>
    </row>
    <row r="53" spans="1:16" x14ac:dyDescent="0.25">
      <c r="A53" s="10" t="s">
        <v>67</v>
      </c>
      <c r="B53" s="20">
        <v>14058896.32</v>
      </c>
      <c r="C53" s="19"/>
      <c r="D53" s="20">
        <v>685.52</v>
      </c>
      <c r="E53" s="19"/>
      <c r="F53" s="20">
        <v>-12840.26</v>
      </c>
      <c r="G53" s="19"/>
      <c r="H53" s="20">
        <v>0</v>
      </c>
      <c r="I53" s="19"/>
      <c r="J53" s="20">
        <v>-12154.74</v>
      </c>
      <c r="K53" s="19"/>
      <c r="L53" s="20">
        <v>14046741.58</v>
      </c>
      <c r="N53" s="18">
        <v>-1061995.1700000002</v>
      </c>
      <c r="P53" s="18">
        <v>12984746.41</v>
      </c>
    </row>
    <row r="54" spans="1:16" x14ac:dyDescent="0.25">
      <c r="A54" s="10" t="s">
        <v>68</v>
      </c>
      <c r="B54" s="20">
        <v>1321688.77</v>
      </c>
      <c r="C54" s="19"/>
      <c r="D54" s="20">
        <v>40896.019999999997</v>
      </c>
      <c r="E54" s="19"/>
      <c r="F54" s="20">
        <v>0</v>
      </c>
      <c r="G54" s="19"/>
      <c r="H54" s="20">
        <v>0</v>
      </c>
      <c r="I54" s="19"/>
      <c r="J54" s="20">
        <v>40896.019999999997</v>
      </c>
      <c r="K54" s="19"/>
      <c r="L54" s="20">
        <v>1362584.79</v>
      </c>
      <c r="N54" s="18">
        <v>-244267.97</v>
      </c>
      <c r="P54" s="18">
        <v>1118316.82</v>
      </c>
    </row>
    <row r="55" spans="1:16" x14ac:dyDescent="0.25">
      <c r="A55" s="10" t="s">
        <v>69</v>
      </c>
      <c r="B55" s="20">
        <v>316946.74</v>
      </c>
      <c r="C55" s="19"/>
      <c r="D55" s="20">
        <v>0</v>
      </c>
      <c r="E55" s="19"/>
      <c r="F55" s="20">
        <v>0</v>
      </c>
      <c r="G55" s="19"/>
      <c r="H55" s="20">
        <v>0</v>
      </c>
      <c r="I55" s="19"/>
      <c r="J55" s="20">
        <v>0</v>
      </c>
      <c r="K55" s="19"/>
      <c r="L55" s="20">
        <v>316946.74</v>
      </c>
      <c r="N55" s="18">
        <v>-123498.71999999999</v>
      </c>
      <c r="P55" s="18">
        <v>193448.02000000002</v>
      </c>
    </row>
    <row r="56" spans="1:16" x14ac:dyDescent="0.25">
      <c r="A56" s="10" t="s">
        <v>70</v>
      </c>
      <c r="B56" s="20">
        <v>234509.12999999998</v>
      </c>
      <c r="C56" s="19"/>
      <c r="D56" s="20">
        <v>0</v>
      </c>
      <c r="E56" s="19"/>
      <c r="F56" s="20">
        <v>0</v>
      </c>
      <c r="G56" s="19"/>
      <c r="H56" s="20">
        <v>0</v>
      </c>
      <c r="I56" s="19"/>
      <c r="J56" s="20">
        <v>0</v>
      </c>
      <c r="K56" s="19"/>
      <c r="L56" s="20">
        <v>234509.12999999998</v>
      </c>
      <c r="N56" s="18">
        <v>-75081.559999999983</v>
      </c>
      <c r="P56" s="18">
        <v>159427.57</v>
      </c>
    </row>
    <row r="57" spans="1:16" x14ac:dyDescent="0.25">
      <c r="A57" s="10" t="s">
        <v>71</v>
      </c>
      <c r="B57" s="23">
        <v>274310.54000000004</v>
      </c>
      <c r="C57" s="19"/>
      <c r="D57" s="23">
        <v>0</v>
      </c>
      <c r="E57" s="19"/>
      <c r="F57" s="23">
        <v>0</v>
      </c>
      <c r="G57" s="19"/>
      <c r="H57" s="23">
        <v>0</v>
      </c>
      <c r="I57" s="19"/>
      <c r="J57" s="23">
        <v>0</v>
      </c>
      <c r="K57" s="19"/>
      <c r="L57" s="23">
        <v>274310.54000000004</v>
      </c>
      <c r="N57" s="24">
        <v>-30141.439999999999</v>
      </c>
      <c r="P57" s="24">
        <v>244169.10000000003</v>
      </c>
    </row>
    <row r="58" spans="1:16" x14ac:dyDescent="0.25">
      <c r="B58" s="20">
        <v>39798911.980000004</v>
      </c>
      <c r="C58" s="19"/>
      <c r="D58" s="20">
        <v>2215724.98</v>
      </c>
      <c r="E58" s="19"/>
      <c r="F58" s="20">
        <v>-84422.409999999989</v>
      </c>
      <c r="G58" s="19"/>
      <c r="H58" s="20">
        <v>0</v>
      </c>
      <c r="I58" s="19"/>
      <c r="J58" s="20">
        <v>2131302.5699999998</v>
      </c>
      <c r="K58" s="19"/>
      <c r="L58" s="20">
        <v>41930214.550000004</v>
      </c>
      <c r="N58" s="20">
        <v>-11228774.15</v>
      </c>
      <c r="P58" s="20">
        <v>30701440.400000006</v>
      </c>
    </row>
    <row r="59" spans="1:16" x14ac:dyDescent="0.25">
      <c r="B59" s="20"/>
      <c r="C59" s="19"/>
      <c r="D59" s="20"/>
      <c r="E59" s="19"/>
      <c r="F59" s="20"/>
      <c r="G59" s="19"/>
      <c r="H59" s="20"/>
      <c r="I59" s="19"/>
      <c r="J59" s="20"/>
      <c r="K59" s="19"/>
      <c r="L59" s="20"/>
    </row>
    <row r="60" spans="1:16" x14ac:dyDescent="0.25">
      <c r="A60" s="14" t="s">
        <v>72</v>
      </c>
      <c r="B60" s="20"/>
      <c r="C60" s="19"/>
      <c r="D60" s="20"/>
      <c r="E60" s="19"/>
      <c r="F60" s="20"/>
      <c r="G60" s="19"/>
      <c r="H60" s="20"/>
      <c r="I60" s="19"/>
      <c r="J60" s="20"/>
      <c r="K60" s="19"/>
      <c r="L60" s="20"/>
    </row>
    <row r="61" spans="1:16" x14ac:dyDescent="0.25">
      <c r="A61" s="25" t="s">
        <v>73</v>
      </c>
      <c r="B61" s="20">
        <v>39116.89</v>
      </c>
      <c r="C61" s="19"/>
      <c r="D61" s="20">
        <v>0</v>
      </c>
      <c r="E61" s="19"/>
      <c r="F61" s="20">
        <v>0</v>
      </c>
      <c r="G61" s="19"/>
      <c r="H61" s="20">
        <v>0</v>
      </c>
      <c r="I61" s="19"/>
      <c r="J61" s="20">
        <v>0</v>
      </c>
      <c r="K61" s="19"/>
      <c r="L61" s="20">
        <v>39116.89</v>
      </c>
      <c r="N61" s="18">
        <v>0</v>
      </c>
      <c r="P61" s="18">
        <v>39116.89</v>
      </c>
    </row>
    <row r="62" spans="1:16" x14ac:dyDescent="0.25">
      <c r="A62" s="10" t="s">
        <v>74</v>
      </c>
      <c r="B62" s="20">
        <v>55918.829999999994</v>
      </c>
      <c r="C62" s="19"/>
      <c r="D62" s="20">
        <v>0</v>
      </c>
      <c r="E62" s="19"/>
      <c r="F62" s="20">
        <v>0</v>
      </c>
      <c r="G62" s="19"/>
      <c r="H62" s="20">
        <v>0</v>
      </c>
      <c r="I62" s="19"/>
      <c r="J62" s="20">
        <v>0</v>
      </c>
      <c r="K62" s="19"/>
      <c r="L62" s="20">
        <v>55918.829999999994</v>
      </c>
      <c r="N62" s="18">
        <v>-57829.009999999995</v>
      </c>
      <c r="P62" s="18">
        <v>-1910.1800000000003</v>
      </c>
    </row>
    <row r="63" spans="1:16" x14ac:dyDescent="0.25">
      <c r="A63" s="10" t="s">
        <v>75</v>
      </c>
      <c r="B63" s="20">
        <v>51209431.959999993</v>
      </c>
      <c r="C63" s="19"/>
      <c r="D63" s="20">
        <v>2169856.63</v>
      </c>
      <c r="E63" s="19"/>
      <c r="F63" s="20">
        <v>-4091491.62</v>
      </c>
      <c r="G63" s="19"/>
      <c r="H63" s="20">
        <v>0</v>
      </c>
      <c r="I63" s="19"/>
      <c r="J63" s="20">
        <v>-1921634.9900000002</v>
      </c>
      <c r="K63" s="19"/>
      <c r="L63" s="20">
        <v>49287796.969999991</v>
      </c>
      <c r="N63" s="18">
        <v>-17603613.169999998</v>
      </c>
      <c r="P63" s="18">
        <v>31684183.799999993</v>
      </c>
    </row>
    <row r="64" spans="1:16" x14ac:dyDescent="0.25">
      <c r="A64" s="10" t="s">
        <v>76</v>
      </c>
      <c r="B64" s="23">
        <v>41045494.530000001</v>
      </c>
      <c r="C64" s="19"/>
      <c r="D64" s="23">
        <v>0</v>
      </c>
      <c r="E64" s="19"/>
      <c r="F64" s="23">
        <v>0</v>
      </c>
      <c r="G64" s="19"/>
      <c r="H64" s="23">
        <v>0</v>
      </c>
      <c r="I64" s="19"/>
      <c r="J64" s="23">
        <v>0</v>
      </c>
      <c r="K64" s="19"/>
      <c r="L64" s="23">
        <v>41045494.530000001</v>
      </c>
      <c r="N64" s="24">
        <v>-28626836.069999997</v>
      </c>
      <c r="P64" s="24">
        <v>12418658.460000005</v>
      </c>
    </row>
    <row r="65" spans="1:16" x14ac:dyDescent="0.25">
      <c r="B65" s="20">
        <v>92349962.209999993</v>
      </c>
      <c r="C65" s="19"/>
      <c r="D65" s="20">
        <v>2169856.63</v>
      </c>
      <c r="E65" s="19"/>
      <c r="F65" s="20">
        <v>-4091491.62</v>
      </c>
      <c r="G65" s="19"/>
      <c r="H65" s="20">
        <v>0</v>
      </c>
      <c r="I65" s="19"/>
      <c r="J65" s="20">
        <v>-1921634.9900000002</v>
      </c>
      <c r="K65" s="19"/>
      <c r="L65" s="20">
        <v>90428327.219999999</v>
      </c>
      <c r="N65" s="20">
        <v>-46288278.25</v>
      </c>
      <c r="P65" s="20">
        <v>44140048.969999999</v>
      </c>
    </row>
    <row r="66" spans="1:16" x14ac:dyDescent="0.25">
      <c r="B66" s="20"/>
      <c r="C66" s="19"/>
      <c r="D66" s="20"/>
      <c r="E66" s="19"/>
      <c r="F66" s="20"/>
      <c r="G66" s="19"/>
      <c r="H66" s="20"/>
      <c r="I66" s="19"/>
      <c r="J66" s="20"/>
      <c r="K66" s="19"/>
      <c r="L66" s="20"/>
    </row>
    <row r="67" spans="1:16" x14ac:dyDescent="0.25">
      <c r="A67" s="14" t="s">
        <v>77</v>
      </c>
      <c r="B67" s="20"/>
      <c r="C67" s="19"/>
      <c r="D67" s="20"/>
      <c r="E67" s="19"/>
      <c r="F67" s="20"/>
      <c r="G67" s="19"/>
      <c r="H67" s="20"/>
      <c r="I67" s="19"/>
      <c r="J67" s="20"/>
      <c r="K67" s="19"/>
      <c r="L67" s="20"/>
    </row>
    <row r="68" spans="1:16" x14ac:dyDescent="0.25">
      <c r="A68" s="10" t="s">
        <v>78</v>
      </c>
      <c r="B68" s="20">
        <v>176409.31</v>
      </c>
      <c r="C68" s="19"/>
      <c r="D68" s="20">
        <v>0</v>
      </c>
      <c r="E68" s="19"/>
      <c r="F68" s="20">
        <v>0</v>
      </c>
      <c r="G68" s="19"/>
      <c r="H68" s="20">
        <v>0</v>
      </c>
      <c r="I68" s="19"/>
      <c r="J68" s="20">
        <v>0</v>
      </c>
      <c r="K68" s="19"/>
      <c r="L68" s="20">
        <v>176409.31</v>
      </c>
      <c r="N68" s="18">
        <v>-118508.20000000003</v>
      </c>
      <c r="P68" s="18">
        <v>57901.109999999971</v>
      </c>
    </row>
    <row r="69" spans="1:16" x14ac:dyDescent="0.25">
      <c r="A69" s="10" t="s">
        <v>79</v>
      </c>
      <c r="B69" s="20">
        <v>135099.01999999999</v>
      </c>
      <c r="C69" s="19"/>
      <c r="D69" s="20">
        <v>0</v>
      </c>
      <c r="E69" s="19"/>
      <c r="F69" s="20">
        <v>0</v>
      </c>
      <c r="G69" s="19"/>
      <c r="H69" s="20">
        <v>162070.19</v>
      </c>
      <c r="I69" s="19"/>
      <c r="J69" s="20">
        <v>162070.19</v>
      </c>
      <c r="K69" s="19"/>
      <c r="L69" s="20">
        <v>297169.20999999996</v>
      </c>
      <c r="N69" s="18">
        <v>0</v>
      </c>
      <c r="P69" s="18">
        <v>297169.20999999996</v>
      </c>
    </row>
    <row r="70" spans="1:16" x14ac:dyDescent="0.25">
      <c r="A70" s="10" t="s">
        <v>80</v>
      </c>
      <c r="B70" s="20">
        <v>83072927.450000018</v>
      </c>
      <c r="C70" s="19"/>
      <c r="D70" s="20">
        <v>1219126.8500000001</v>
      </c>
      <c r="E70" s="19"/>
      <c r="F70" s="20">
        <v>-178421.05</v>
      </c>
      <c r="G70" s="19"/>
      <c r="H70" s="20">
        <v>0</v>
      </c>
      <c r="I70" s="19"/>
      <c r="J70" s="20">
        <v>1040705.8</v>
      </c>
      <c r="K70" s="19"/>
      <c r="L70" s="20">
        <v>84113633.250000015</v>
      </c>
      <c r="N70" s="18">
        <v>-19578933.119999997</v>
      </c>
      <c r="P70" s="18">
        <v>64534700.130000018</v>
      </c>
    </row>
    <row r="71" spans="1:16" x14ac:dyDescent="0.25">
      <c r="A71" s="10" t="s">
        <v>81</v>
      </c>
      <c r="B71" s="20">
        <v>160050131.64000002</v>
      </c>
      <c r="C71" s="19"/>
      <c r="D71" s="20">
        <v>17441.829999999994</v>
      </c>
      <c r="E71" s="19"/>
      <c r="F71" s="20">
        <v>0</v>
      </c>
      <c r="G71" s="19"/>
      <c r="H71" s="20">
        <v>0</v>
      </c>
      <c r="I71" s="19"/>
      <c r="J71" s="20">
        <v>17441.829999999994</v>
      </c>
      <c r="K71" s="19"/>
      <c r="L71" s="20">
        <v>160067573.47000003</v>
      </c>
      <c r="N71" s="18">
        <v>-16122287.919999998</v>
      </c>
      <c r="P71" s="18">
        <v>143945285.55000004</v>
      </c>
    </row>
    <row r="72" spans="1:16" x14ac:dyDescent="0.25">
      <c r="A72" s="10" t="s">
        <v>82</v>
      </c>
      <c r="B72" s="20">
        <v>0</v>
      </c>
      <c r="C72" s="19"/>
      <c r="D72" s="20">
        <v>0</v>
      </c>
      <c r="E72" s="19"/>
      <c r="F72" s="20">
        <v>0</v>
      </c>
      <c r="G72" s="19"/>
      <c r="H72" s="20">
        <v>0</v>
      </c>
      <c r="I72" s="19"/>
      <c r="J72" s="20">
        <v>0</v>
      </c>
      <c r="K72" s="19"/>
      <c r="L72" s="20">
        <v>0</v>
      </c>
      <c r="N72" s="18">
        <v>2.9103830456733704E-11</v>
      </c>
      <c r="P72" s="18">
        <v>2.9103830456733704E-11</v>
      </c>
    </row>
    <row r="73" spans="1:16" x14ac:dyDescent="0.25">
      <c r="A73" s="10" t="s">
        <v>83</v>
      </c>
      <c r="B73" s="20">
        <v>473814317.67999995</v>
      </c>
      <c r="C73" s="19"/>
      <c r="D73" s="20">
        <v>152746.54000000004</v>
      </c>
      <c r="E73" s="19"/>
      <c r="F73" s="20">
        <v>-4311.63</v>
      </c>
      <c r="G73" s="19"/>
      <c r="H73" s="20">
        <v>0</v>
      </c>
      <c r="I73" s="19"/>
      <c r="J73" s="20">
        <v>148434.91000000003</v>
      </c>
      <c r="K73" s="19"/>
      <c r="L73" s="20">
        <v>473962752.58999997</v>
      </c>
      <c r="N73" s="18">
        <v>-169017097.22999996</v>
      </c>
      <c r="P73" s="18">
        <v>304945655.36000001</v>
      </c>
    </row>
    <row r="74" spans="1:16" x14ac:dyDescent="0.25">
      <c r="A74" s="10" t="s">
        <v>84</v>
      </c>
      <c r="B74" s="20">
        <v>172508939.62</v>
      </c>
      <c r="C74" s="19"/>
      <c r="D74" s="20">
        <v>12876996.710000001</v>
      </c>
      <c r="E74" s="19"/>
      <c r="F74" s="20">
        <v>0</v>
      </c>
      <c r="G74" s="19"/>
      <c r="H74" s="20">
        <v>0</v>
      </c>
      <c r="I74" s="19"/>
      <c r="J74" s="20">
        <v>12876996.710000001</v>
      </c>
      <c r="K74" s="19"/>
      <c r="L74" s="20">
        <v>185385936.33000001</v>
      </c>
      <c r="N74" s="18">
        <v>-35553646.079999998</v>
      </c>
      <c r="P74" s="18">
        <v>149832290.25</v>
      </c>
    </row>
    <row r="75" spans="1:16" x14ac:dyDescent="0.25">
      <c r="A75" s="10" t="s">
        <v>85</v>
      </c>
      <c r="B75" s="20">
        <v>73541848.189999998</v>
      </c>
      <c r="C75" s="19"/>
      <c r="D75" s="20">
        <v>1032434.6699999999</v>
      </c>
      <c r="E75" s="19"/>
      <c r="F75" s="20">
        <v>0</v>
      </c>
      <c r="G75" s="19"/>
      <c r="H75" s="20">
        <v>0</v>
      </c>
      <c r="I75" s="19"/>
      <c r="J75" s="20">
        <v>1032434.6699999999</v>
      </c>
      <c r="K75" s="19"/>
      <c r="L75" s="20">
        <v>74574282.859999999</v>
      </c>
      <c r="N75" s="18">
        <v>-21890143.66</v>
      </c>
      <c r="P75" s="18">
        <v>52684139.200000003</v>
      </c>
    </row>
    <row r="76" spans="1:16" x14ac:dyDescent="0.25">
      <c r="A76" s="10" t="s">
        <v>86</v>
      </c>
      <c r="B76" s="20">
        <v>0</v>
      </c>
      <c r="C76" s="19"/>
      <c r="D76" s="20">
        <v>0</v>
      </c>
      <c r="E76" s="19"/>
      <c r="F76" s="20">
        <v>0</v>
      </c>
      <c r="G76" s="19"/>
      <c r="H76" s="20">
        <v>0</v>
      </c>
      <c r="I76" s="19"/>
      <c r="J76" s="20">
        <v>0</v>
      </c>
      <c r="K76" s="19"/>
      <c r="L76" s="20">
        <v>0</v>
      </c>
      <c r="N76" s="18">
        <v>0</v>
      </c>
      <c r="P76" s="18">
        <v>0</v>
      </c>
    </row>
    <row r="77" spans="1:16" x14ac:dyDescent="0.25">
      <c r="A77" s="10" t="s">
        <v>87</v>
      </c>
      <c r="B77" s="20">
        <v>5655608.4399999995</v>
      </c>
      <c r="C77" s="19"/>
      <c r="D77" s="20">
        <v>293573.3</v>
      </c>
      <c r="E77" s="19"/>
      <c r="F77" s="20">
        <v>0</v>
      </c>
      <c r="G77" s="19"/>
      <c r="H77" s="20">
        <v>0</v>
      </c>
      <c r="I77" s="19"/>
      <c r="J77" s="20">
        <v>293573.3</v>
      </c>
      <c r="K77" s="19"/>
      <c r="L77" s="20">
        <v>5949181.7399999993</v>
      </c>
      <c r="N77" s="18">
        <v>-3040199.72</v>
      </c>
      <c r="P77" s="18">
        <v>2908982.0199999991</v>
      </c>
    </row>
    <row r="78" spans="1:16" x14ac:dyDescent="0.25">
      <c r="A78" s="10" t="s">
        <v>88</v>
      </c>
      <c r="B78" s="23">
        <v>403344.09</v>
      </c>
      <c r="C78" s="19"/>
      <c r="D78" s="23">
        <v>0</v>
      </c>
      <c r="E78" s="19"/>
      <c r="F78" s="23">
        <v>0</v>
      </c>
      <c r="G78" s="19"/>
      <c r="H78" s="23">
        <v>0</v>
      </c>
      <c r="I78" s="19"/>
      <c r="J78" s="23">
        <v>0</v>
      </c>
      <c r="K78" s="19"/>
      <c r="L78" s="23">
        <v>403344.09</v>
      </c>
      <c r="N78" s="24">
        <v>-22560.46</v>
      </c>
      <c r="P78" s="24">
        <v>380783.63</v>
      </c>
    </row>
    <row r="79" spans="1:16" x14ac:dyDescent="0.25">
      <c r="B79" s="20">
        <v>969358625.43999994</v>
      </c>
      <c r="C79" s="19"/>
      <c r="D79" s="20">
        <v>15592319.900000002</v>
      </c>
      <c r="E79" s="19"/>
      <c r="F79" s="20">
        <v>-182732.68</v>
      </c>
      <c r="G79" s="19"/>
      <c r="H79" s="20">
        <v>162070.19</v>
      </c>
      <c r="I79" s="19"/>
      <c r="J79" s="20">
        <v>15571657.410000002</v>
      </c>
      <c r="K79" s="19"/>
      <c r="L79" s="20">
        <v>984930282.85000014</v>
      </c>
      <c r="N79" s="20">
        <v>-265343376.38999996</v>
      </c>
      <c r="P79" s="20">
        <v>719586906.46000016</v>
      </c>
    </row>
    <row r="80" spans="1:16" x14ac:dyDescent="0.25">
      <c r="B80" s="20"/>
      <c r="C80" s="19"/>
      <c r="D80" s="20"/>
      <c r="E80" s="19"/>
      <c r="F80" s="20"/>
      <c r="G80" s="19"/>
      <c r="H80" s="20"/>
      <c r="I80" s="19"/>
      <c r="J80" s="20"/>
      <c r="K80" s="19"/>
      <c r="L80" s="20"/>
    </row>
    <row r="81" spans="1:16" x14ac:dyDescent="0.25">
      <c r="A81" s="14" t="s">
        <v>89</v>
      </c>
      <c r="C81" s="17"/>
      <c r="E81" s="17"/>
      <c r="G81" s="17"/>
      <c r="I81" s="17"/>
      <c r="K81" s="17"/>
    </row>
    <row r="82" spans="1:16" x14ac:dyDescent="0.25">
      <c r="A82" s="10" t="s">
        <v>90</v>
      </c>
      <c r="B82" s="13">
        <v>22958202.419999998</v>
      </c>
      <c r="C82" s="17"/>
      <c r="D82" s="13">
        <v>0</v>
      </c>
      <c r="E82" s="17"/>
      <c r="F82" s="13">
        <v>0</v>
      </c>
      <c r="G82" s="17"/>
      <c r="H82" s="13">
        <v>-265688.83999999997</v>
      </c>
      <c r="I82" s="17"/>
      <c r="J82" s="13">
        <v>-265688.83999999997</v>
      </c>
      <c r="K82" s="17"/>
      <c r="L82" s="13">
        <v>22692513.579999998</v>
      </c>
      <c r="N82" s="18">
        <v>0</v>
      </c>
      <c r="P82" s="18">
        <v>22692513.579999998</v>
      </c>
    </row>
    <row r="83" spans="1:16" x14ac:dyDescent="0.25">
      <c r="A83" s="10" t="s">
        <v>91</v>
      </c>
      <c r="B83" s="13">
        <v>337599205.98000002</v>
      </c>
      <c r="C83" s="17"/>
      <c r="D83" s="13">
        <v>1092086.9600000002</v>
      </c>
      <c r="E83" s="17"/>
      <c r="F83" s="13">
        <v>-787374.61</v>
      </c>
      <c r="G83" s="17"/>
      <c r="H83" s="13">
        <v>-4924909.4000000004</v>
      </c>
      <c r="I83" s="17"/>
      <c r="J83" s="13">
        <v>-4620197.0500000007</v>
      </c>
      <c r="K83" s="17"/>
      <c r="L83" s="13">
        <v>332979008.93000001</v>
      </c>
      <c r="N83" s="18">
        <v>-173058103.56</v>
      </c>
      <c r="P83" s="18">
        <v>159920905.37</v>
      </c>
    </row>
    <row r="84" spans="1:16" x14ac:dyDescent="0.25">
      <c r="A84" s="10" t="s">
        <v>92</v>
      </c>
      <c r="B84" s="13">
        <v>0</v>
      </c>
      <c r="C84" s="17"/>
      <c r="D84" s="13">
        <v>0</v>
      </c>
      <c r="E84" s="17"/>
      <c r="F84" s="13">
        <v>0</v>
      </c>
      <c r="G84" s="17"/>
      <c r="H84" s="13">
        <v>0</v>
      </c>
      <c r="I84" s="17"/>
      <c r="J84" s="13">
        <v>0</v>
      </c>
      <c r="K84" s="17"/>
      <c r="L84" s="13">
        <v>0</v>
      </c>
      <c r="N84" s="18">
        <v>0</v>
      </c>
      <c r="P84" s="18">
        <v>0</v>
      </c>
    </row>
    <row r="85" spans="1:16" x14ac:dyDescent="0.25">
      <c r="A85" s="10" t="s">
        <v>93</v>
      </c>
      <c r="B85" s="13">
        <v>3789043791.29</v>
      </c>
      <c r="C85" s="17"/>
      <c r="D85" s="13">
        <v>16217194.629999999</v>
      </c>
      <c r="E85" s="17"/>
      <c r="F85" s="13">
        <v>-6524904.5700000003</v>
      </c>
      <c r="G85" s="17"/>
      <c r="H85" s="13">
        <v>4982726.8600000003</v>
      </c>
      <c r="I85" s="17"/>
      <c r="J85" s="13">
        <v>14675016.919999998</v>
      </c>
      <c r="K85" s="17"/>
      <c r="L85" s="13">
        <v>3803718808.21</v>
      </c>
      <c r="N85" s="18">
        <v>-1068799012.3900002</v>
      </c>
      <c r="P85" s="18">
        <v>2734919795.8199997</v>
      </c>
    </row>
    <row r="86" spans="1:16" x14ac:dyDescent="0.25">
      <c r="A86" s="10" t="s">
        <v>94</v>
      </c>
      <c r="B86" s="13">
        <v>0</v>
      </c>
      <c r="C86" s="17"/>
      <c r="D86" s="13">
        <v>0</v>
      </c>
      <c r="E86" s="17"/>
      <c r="F86" s="13">
        <v>0</v>
      </c>
      <c r="G86" s="17"/>
      <c r="H86" s="13">
        <v>0</v>
      </c>
      <c r="I86" s="17"/>
      <c r="J86" s="13">
        <v>0</v>
      </c>
      <c r="K86" s="17"/>
      <c r="L86" s="13">
        <v>0</v>
      </c>
      <c r="N86" s="18">
        <v>0</v>
      </c>
      <c r="P86" s="18">
        <v>0</v>
      </c>
    </row>
    <row r="87" spans="1:16" x14ac:dyDescent="0.25">
      <c r="A87" s="10" t="s">
        <v>95</v>
      </c>
      <c r="B87" s="13">
        <v>329047128.63999993</v>
      </c>
      <c r="C87" s="17"/>
      <c r="D87" s="13">
        <v>3356860.49</v>
      </c>
      <c r="E87" s="17"/>
      <c r="F87" s="13">
        <v>-505182.01</v>
      </c>
      <c r="G87" s="17"/>
      <c r="H87" s="13">
        <v>0</v>
      </c>
      <c r="I87" s="17"/>
      <c r="J87" s="13">
        <v>2851678.4800000004</v>
      </c>
      <c r="K87" s="17"/>
      <c r="L87" s="13">
        <v>331898807.11999995</v>
      </c>
      <c r="N87" s="18">
        <v>-163145325.84999999</v>
      </c>
      <c r="P87" s="18">
        <v>168753481.26999995</v>
      </c>
    </row>
    <row r="88" spans="1:16" x14ac:dyDescent="0.25">
      <c r="A88" s="10" t="s">
        <v>96</v>
      </c>
      <c r="B88" s="13">
        <v>0</v>
      </c>
      <c r="C88" s="17"/>
      <c r="D88" s="13">
        <v>0</v>
      </c>
      <c r="E88" s="17"/>
      <c r="F88" s="13">
        <v>0</v>
      </c>
      <c r="G88" s="17"/>
      <c r="H88" s="13">
        <v>0</v>
      </c>
      <c r="I88" s="17"/>
      <c r="J88" s="13">
        <v>0</v>
      </c>
      <c r="K88" s="17"/>
      <c r="L88" s="13">
        <v>0</v>
      </c>
      <c r="N88" s="18">
        <v>0</v>
      </c>
      <c r="P88" s="18">
        <v>0</v>
      </c>
    </row>
    <row r="89" spans="1:16" x14ac:dyDescent="0.25">
      <c r="A89" s="10" t="s">
        <v>97</v>
      </c>
      <c r="B89" s="13">
        <v>221412504.41999999</v>
      </c>
      <c r="C89" s="17"/>
      <c r="D89" s="13">
        <v>192664.07</v>
      </c>
      <c r="E89" s="17"/>
      <c r="F89" s="13">
        <v>-89856.14</v>
      </c>
      <c r="G89" s="17"/>
      <c r="H89" s="13">
        <v>0</v>
      </c>
      <c r="I89" s="17"/>
      <c r="J89" s="13">
        <v>102807.93000000001</v>
      </c>
      <c r="K89" s="17"/>
      <c r="L89" s="13">
        <v>221515312.34999999</v>
      </c>
      <c r="N89" s="18">
        <v>-102330477.31000002</v>
      </c>
      <c r="P89" s="18">
        <v>119184835.03999998</v>
      </c>
    </row>
    <row r="90" spans="1:16" x14ac:dyDescent="0.25">
      <c r="A90" s="10" t="s">
        <v>98</v>
      </c>
      <c r="B90" s="13">
        <v>0</v>
      </c>
      <c r="C90" s="17"/>
      <c r="D90" s="13">
        <v>0</v>
      </c>
      <c r="E90" s="17"/>
      <c r="F90" s="13">
        <v>0</v>
      </c>
      <c r="G90" s="17"/>
      <c r="H90" s="13">
        <v>0</v>
      </c>
      <c r="I90" s="17"/>
      <c r="J90" s="13">
        <v>0</v>
      </c>
      <c r="K90" s="17"/>
      <c r="L90" s="13">
        <v>0</v>
      </c>
      <c r="N90" s="18">
        <v>0</v>
      </c>
      <c r="P90" s="18">
        <v>0</v>
      </c>
    </row>
    <row r="91" spans="1:16" x14ac:dyDescent="0.25">
      <c r="A91" s="10" t="s">
        <v>99</v>
      </c>
      <c r="B91" s="13">
        <v>36265518.899999999</v>
      </c>
      <c r="C91" s="17"/>
      <c r="D91" s="13">
        <v>374431</v>
      </c>
      <c r="E91" s="17"/>
      <c r="F91" s="13">
        <v>-67320.42</v>
      </c>
      <c r="G91" s="17"/>
      <c r="H91" s="13">
        <v>-57817.46</v>
      </c>
      <c r="I91" s="17"/>
      <c r="J91" s="13">
        <v>249293.12</v>
      </c>
      <c r="K91" s="17"/>
      <c r="L91" s="13">
        <v>36514812.019999996</v>
      </c>
      <c r="N91" s="18">
        <v>-16235918.140000001</v>
      </c>
      <c r="P91" s="18">
        <v>20278893.879999995</v>
      </c>
    </row>
    <row r="92" spans="1:16" x14ac:dyDescent="0.25">
      <c r="A92" s="10" t="s">
        <v>100</v>
      </c>
      <c r="B92" s="23">
        <v>329221435.25999999</v>
      </c>
      <c r="C92" s="19"/>
      <c r="D92" s="23">
        <v>0</v>
      </c>
      <c r="E92" s="19"/>
      <c r="F92" s="23">
        <v>0</v>
      </c>
      <c r="G92" s="19"/>
      <c r="H92" s="23">
        <v>0</v>
      </c>
      <c r="I92" s="19"/>
      <c r="J92" s="23">
        <v>0</v>
      </c>
      <c r="K92" s="19"/>
      <c r="L92" s="23">
        <v>329221435.25999999</v>
      </c>
      <c r="N92" s="24">
        <v>-77171748.780000001</v>
      </c>
      <c r="P92" s="24">
        <v>252049686.47999999</v>
      </c>
    </row>
    <row r="93" spans="1:16" x14ac:dyDescent="0.25">
      <c r="B93" s="20">
        <v>5065547786.9099998</v>
      </c>
      <c r="C93" s="19"/>
      <c r="D93" s="20">
        <v>21233237.149999999</v>
      </c>
      <c r="E93" s="19"/>
      <c r="F93" s="20">
        <v>-7974637.75</v>
      </c>
      <c r="G93" s="19"/>
      <c r="H93" s="20">
        <v>-265688.83999999991</v>
      </c>
      <c r="I93" s="19"/>
      <c r="J93" s="20">
        <v>12992910.559999997</v>
      </c>
      <c r="K93" s="19"/>
      <c r="L93" s="20">
        <v>5078540697.4700012</v>
      </c>
      <c r="N93" s="20">
        <v>-1600740586.0300002</v>
      </c>
      <c r="P93" s="20">
        <v>3477800111.4399996</v>
      </c>
    </row>
    <row r="94" spans="1:16" x14ac:dyDescent="0.25">
      <c r="B94" s="20"/>
      <c r="C94" s="19"/>
      <c r="D94" s="20"/>
      <c r="E94" s="19"/>
      <c r="F94" s="20"/>
      <c r="G94" s="19"/>
      <c r="H94" s="20"/>
      <c r="I94" s="19"/>
      <c r="J94" s="20"/>
      <c r="K94" s="19"/>
      <c r="L94" s="20"/>
    </row>
    <row r="95" spans="1:16" x14ac:dyDescent="0.25">
      <c r="A95" s="14" t="s">
        <v>101</v>
      </c>
      <c r="B95" s="20"/>
      <c r="C95" s="19"/>
      <c r="D95" s="20"/>
      <c r="E95" s="19"/>
      <c r="F95" s="20"/>
      <c r="G95" s="19"/>
      <c r="H95" s="20"/>
      <c r="I95" s="19"/>
      <c r="J95" s="20"/>
      <c r="K95" s="19"/>
      <c r="L95" s="20"/>
    </row>
    <row r="96" spans="1:16" x14ac:dyDescent="0.25">
      <c r="A96" s="10" t="s">
        <v>102</v>
      </c>
      <c r="B96" s="20">
        <v>27309924.549999997</v>
      </c>
      <c r="C96" s="19"/>
      <c r="D96" s="20">
        <v>0</v>
      </c>
      <c r="E96" s="19"/>
      <c r="F96" s="20">
        <v>0</v>
      </c>
      <c r="G96" s="19"/>
      <c r="H96" s="20">
        <v>0</v>
      </c>
      <c r="I96" s="19"/>
      <c r="J96" s="20">
        <v>0</v>
      </c>
      <c r="K96" s="19"/>
      <c r="L96" s="20">
        <v>27309924.549999997</v>
      </c>
      <c r="N96" s="18">
        <v>-15269653.289999999</v>
      </c>
      <c r="P96" s="18">
        <v>12040271.259999998</v>
      </c>
    </row>
    <row r="97" spans="1:16" x14ac:dyDescent="0.25">
      <c r="A97" s="10" t="s">
        <v>103</v>
      </c>
      <c r="B97" s="20">
        <v>2314569.5699999998</v>
      </c>
      <c r="C97" s="19"/>
      <c r="D97" s="20">
        <v>0</v>
      </c>
      <c r="E97" s="19"/>
      <c r="F97" s="20">
        <v>0</v>
      </c>
      <c r="G97" s="19"/>
      <c r="H97" s="20">
        <v>0</v>
      </c>
      <c r="I97" s="19"/>
      <c r="J97" s="20">
        <v>0</v>
      </c>
      <c r="K97" s="19"/>
      <c r="L97" s="20">
        <v>2314569.5699999998</v>
      </c>
      <c r="N97" s="18">
        <v>0</v>
      </c>
      <c r="P97" s="18">
        <v>2314569.5699999998</v>
      </c>
    </row>
    <row r="98" spans="1:16" x14ac:dyDescent="0.25">
      <c r="A98" s="10" t="s">
        <v>104</v>
      </c>
      <c r="B98" s="20">
        <v>23696543.660000004</v>
      </c>
      <c r="C98" s="19"/>
      <c r="D98" s="20">
        <v>3344462.17</v>
      </c>
      <c r="E98" s="19"/>
      <c r="F98" s="20">
        <v>-14791.43</v>
      </c>
      <c r="G98" s="19"/>
      <c r="H98" s="20">
        <v>0</v>
      </c>
      <c r="I98" s="19"/>
      <c r="J98" s="20">
        <v>3329670.7399999998</v>
      </c>
      <c r="K98" s="19"/>
      <c r="L98" s="20">
        <v>27026214.400000002</v>
      </c>
      <c r="N98" s="18">
        <v>-6006841.6100000013</v>
      </c>
      <c r="P98" s="18">
        <v>21019372.789999999</v>
      </c>
    </row>
    <row r="99" spans="1:16" x14ac:dyDescent="0.25">
      <c r="A99" s="10" t="s">
        <v>105</v>
      </c>
      <c r="B99" s="20">
        <v>193226.00999999992</v>
      </c>
      <c r="C99" s="19"/>
      <c r="D99" s="20">
        <v>0</v>
      </c>
      <c r="E99" s="19"/>
      <c r="F99" s="20">
        <v>0</v>
      </c>
      <c r="G99" s="19"/>
      <c r="H99" s="20">
        <v>0</v>
      </c>
      <c r="I99" s="19"/>
      <c r="J99" s="20">
        <v>0</v>
      </c>
      <c r="K99" s="19"/>
      <c r="L99" s="20">
        <v>193226.00999999992</v>
      </c>
      <c r="N99" s="18">
        <v>-73496.670000000013</v>
      </c>
      <c r="P99" s="18">
        <v>119729.33999999991</v>
      </c>
    </row>
    <row r="100" spans="1:16" x14ac:dyDescent="0.25">
      <c r="A100" s="10" t="s">
        <v>106</v>
      </c>
      <c r="B100" s="20">
        <v>235865521.24999997</v>
      </c>
      <c r="C100" s="19"/>
      <c r="D100" s="20">
        <v>12902307.470000001</v>
      </c>
      <c r="E100" s="19"/>
      <c r="F100" s="20">
        <v>-640782.12</v>
      </c>
      <c r="G100" s="19"/>
      <c r="H100" s="20">
        <v>170157.37</v>
      </c>
      <c r="I100" s="19"/>
      <c r="J100" s="20">
        <v>12431682.720000001</v>
      </c>
      <c r="K100" s="19"/>
      <c r="L100" s="20">
        <v>248297203.96999997</v>
      </c>
      <c r="N100" s="18">
        <v>-62112557.12999998</v>
      </c>
      <c r="P100" s="18">
        <v>186184646.83999997</v>
      </c>
    </row>
    <row r="101" spans="1:16" x14ac:dyDescent="0.25">
      <c r="A101" s="10" t="s">
        <v>107</v>
      </c>
      <c r="B101" s="20">
        <v>0</v>
      </c>
      <c r="C101" s="19"/>
      <c r="D101" s="20">
        <v>0</v>
      </c>
      <c r="E101" s="19"/>
      <c r="F101" s="20">
        <v>0</v>
      </c>
      <c r="G101" s="19"/>
      <c r="H101" s="20">
        <v>0</v>
      </c>
      <c r="I101" s="19"/>
      <c r="J101" s="20">
        <v>0</v>
      </c>
      <c r="K101" s="19"/>
      <c r="L101" s="20">
        <v>0</v>
      </c>
      <c r="N101" s="18">
        <v>-1.1641532182693481E-10</v>
      </c>
      <c r="P101" s="18">
        <v>-1.1641532182693481E-10</v>
      </c>
    </row>
    <row r="102" spans="1:16" x14ac:dyDescent="0.25">
      <c r="A102" s="10" t="s">
        <v>108</v>
      </c>
      <c r="B102" s="20">
        <v>6568060.2699999996</v>
      </c>
      <c r="C102" s="19"/>
      <c r="D102" s="20">
        <v>0</v>
      </c>
      <c r="E102" s="19"/>
      <c r="F102" s="20">
        <v>-2901.24</v>
      </c>
      <c r="G102" s="19"/>
      <c r="H102" s="20">
        <v>0</v>
      </c>
      <c r="I102" s="19"/>
      <c r="J102" s="20">
        <v>-2901.24</v>
      </c>
      <c r="K102" s="19"/>
      <c r="L102" s="20">
        <v>6565159.0299999993</v>
      </c>
      <c r="N102" s="18">
        <v>-9711828.8400000017</v>
      </c>
      <c r="P102" s="18">
        <v>-3146669.8100000024</v>
      </c>
    </row>
    <row r="103" spans="1:16" x14ac:dyDescent="0.25">
      <c r="A103" s="10" t="s">
        <v>109</v>
      </c>
      <c r="B103" s="20">
        <v>69222217.339999989</v>
      </c>
      <c r="C103" s="19"/>
      <c r="D103" s="20">
        <v>-7139.5</v>
      </c>
      <c r="E103" s="19"/>
      <c r="F103" s="20">
        <v>-13269.12</v>
      </c>
      <c r="G103" s="19"/>
      <c r="H103" s="20">
        <v>0</v>
      </c>
      <c r="I103" s="19"/>
      <c r="J103" s="20">
        <v>-20408.620000000003</v>
      </c>
      <c r="K103" s="19"/>
      <c r="L103" s="20">
        <v>69201808.719999984</v>
      </c>
      <c r="N103" s="18">
        <v>-44773693.129999988</v>
      </c>
      <c r="P103" s="18">
        <v>24428115.589999996</v>
      </c>
    </row>
    <row r="104" spans="1:16" x14ac:dyDescent="0.25">
      <c r="A104" s="10" t="s">
        <v>110</v>
      </c>
      <c r="B104" s="20">
        <v>217460282.55000001</v>
      </c>
      <c r="C104" s="19"/>
      <c r="D104" s="20">
        <v>10657995.870000001</v>
      </c>
      <c r="E104" s="19"/>
      <c r="F104" s="20">
        <v>-932191.31</v>
      </c>
      <c r="G104" s="19"/>
      <c r="H104" s="20">
        <v>0</v>
      </c>
      <c r="I104" s="19"/>
      <c r="J104" s="20">
        <v>9725804.5600000005</v>
      </c>
      <c r="K104" s="19"/>
      <c r="L104" s="20">
        <v>227186087.11000001</v>
      </c>
      <c r="N104" s="18">
        <v>-68402347.569999978</v>
      </c>
      <c r="P104" s="18">
        <v>158783739.54000002</v>
      </c>
    </row>
    <row r="105" spans="1:16" x14ac:dyDescent="0.25">
      <c r="A105" s="10" t="s">
        <v>111</v>
      </c>
      <c r="B105" s="20">
        <v>161638460.94</v>
      </c>
      <c r="C105" s="19"/>
      <c r="D105" s="20">
        <v>2063768.56</v>
      </c>
      <c r="E105" s="19"/>
      <c r="F105" s="20">
        <v>-477511.73</v>
      </c>
      <c r="G105" s="19"/>
      <c r="H105" s="20">
        <v>0</v>
      </c>
      <c r="I105" s="19"/>
      <c r="J105" s="20">
        <v>1586256.83</v>
      </c>
      <c r="K105" s="19"/>
      <c r="L105" s="20">
        <v>163224717.77000001</v>
      </c>
      <c r="N105" s="18">
        <v>-104760245.57000001</v>
      </c>
      <c r="P105" s="18">
        <v>58464472.200000003</v>
      </c>
    </row>
    <row r="106" spans="1:16" x14ac:dyDescent="0.25">
      <c r="A106" s="10" t="s">
        <v>112</v>
      </c>
      <c r="B106" s="20">
        <v>448760.26</v>
      </c>
      <c r="C106" s="19"/>
      <c r="D106" s="20">
        <v>0</v>
      </c>
      <c r="E106" s="19"/>
      <c r="F106" s="20">
        <v>0</v>
      </c>
      <c r="G106" s="19"/>
      <c r="H106" s="20">
        <v>0</v>
      </c>
      <c r="I106" s="19"/>
      <c r="J106" s="20">
        <v>0</v>
      </c>
      <c r="K106" s="19"/>
      <c r="L106" s="20">
        <v>448760.26</v>
      </c>
      <c r="N106" s="18">
        <v>-234739.18999999997</v>
      </c>
      <c r="P106" s="18">
        <v>214021.07000000004</v>
      </c>
    </row>
    <row r="107" spans="1:16" x14ac:dyDescent="0.25">
      <c r="A107" s="10" t="s">
        <v>113</v>
      </c>
      <c r="B107" s="20">
        <v>1173303.32</v>
      </c>
      <c r="C107" s="19"/>
      <c r="D107" s="20">
        <v>0</v>
      </c>
      <c r="E107" s="20">
        <v>0</v>
      </c>
      <c r="F107" s="20">
        <v>-2412.09</v>
      </c>
      <c r="G107" s="20">
        <v>0</v>
      </c>
      <c r="H107" s="20">
        <v>0</v>
      </c>
      <c r="I107" s="19"/>
      <c r="J107" s="20">
        <v>-2412.09</v>
      </c>
      <c r="K107" s="19"/>
      <c r="L107" s="20">
        <v>1170891.23</v>
      </c>
      <c r="N107" s="18">
        <v>-969567.10000000009</v>
      </c>
      <c r="P107" s="18">
        <v>201324.12999999989</v>
      </c>
    </row>
    <row r="108" spans="1:16" x14ac:dyDescent="0.25">
      <c r="A108" s="10" t="s">
        <v>114</v>
      </c>
      <c r="B108" s="20">
        <v>52117.709999999985</v>
      </c>
      <c r="C108" s="19"/>
      <c r="D108" s="20">
        <v>0</v>
      </c>
      <c r="E108" s="19"/>
      <c r="F108" s="20">
        <v>0</v>
      </c>
      <c r="G108" s="19"/>
      <c r="H108" s="20">
        <v>0</v>
      </c>
      <c r="I108" s="19"/>
      <c r="J108" s="20">
        <v>0</v>
      </c>
      <c r="K108" s="19"/>
      <c r="L108" s="20">
        <v>52117.709999999985</v>
      </c>
      <c r="N108" s="18">
        <v>-4519.26</v>
      </c>
      <c r="P108" s="18">
        <v>47598.449999999983</v>
      </c>
    </row>
    <row r="109" spans="1:16" x14ac:dyDescent="0.25">
      <c r="A109" s="10" t="s">
        <v>115</v>
      </c>
      <c r="B109" s="23">
        <v>361332.92</v>
      </c>
      <c r="C109" s="19"/>
      <c r="D109" s="23">
        <v>0</v>
      </c>
      <c r="E109" s="19"/>
      <c r="F109" s="23">
        <v>0</v>
      </c>
      <c r="G109" s="19"/>
      <c r="H109" s="23">
        <v>0</v>
      </c>
      <c r="I109" s="19"/>
      <c r="J109" s="23">
        <v>0</v>
      </c>
      <c r="K109" s="19"/>
      <c r="L109" s="23">
        <v>361332.92</v>
      </c>
      <c r="N109" s="24">
        <v>-43378.55</v>
      </c>
      <c r="P109" s="24">
        <v>317954.37</v>
      </c>
    </row>
    <row r="110" spans="1:16" x14ac:dyDescent="0.25">
      <c r="B110" s="20">
        <v>746304320.3499999</v>
      </c>
      <c r="C110" s="19"/>
      <c r="D110" s="20">
        <v>28961394.57</v>
      </c>
      <c r="E110" s="19"/>
      <c r="F110" s="20">
        <v>-2083859.0400000003</v>
      </c>
      <c r="G110" s="19"/>
      <c r="H110" s="20">
        <v>170157.37</v>
      </c>
      <c r="I110" s="19"/>
      <c r="J110" s="20">
        <v>27047692.900000002</v>
      </c>
      <c r="K110" s="19"/>
      <c r="L110" s="20">
        <v>773352013.24999988</v>
      </c>
      <c r="N110" s="20">
        <v>-312362867.90999997</v>
      </c>
      <c r="P110" s="20">
        <v>460989145.33999997</v>
      </c>
    </row>
    <row r="111" spans="1:16" x14ac:dyDescent="0.25">
      <c r="B111" s="20"/>
      <c r="C111" s="17"/>
      <c r="D111" s="20"/>
      <c r="E111" s="17"/>
      <c r="F111" s="20"/>
      <c r="G111" s="17"/>
      <c r="H111" s="20"/>
      <c r="I111" s="17"/>
      <c r="J111" s="20"/>
      <c r="K111" s="17"/>
      <c r="L111" s="20"/>
    </row>
    <row r="112" spans="1:16" x14ac:dyDescent="0.25">
      <c r="C112" s="17"/>
      <c r="E112" s="17"/>
      <c r="G112" s="17"/>
      <c r="I112" s="17"/>
      <c r="K112" s="17"/>
    </row>
    <row r="113" spans="1:16" ht="13.8" thickBot="1" x14ac:dyDescent="0.3">
      <c r="A113" s="14" t="s">
        <v>116</v>
      </c>
      <c r="B113" s="27">
        <v>8661240282.5799999</v>
      </c>
      <c r="C113" s="19"/>
      <c r="D113" s="27">
        <v>122289816.79000001</v>
      </c>
      <c r="E113" s="19"/>
      <c r="F113" s="27">
        <v>-24975341.920000002</v>
      </c>
      <c r="G113" s="19"/>
      <c r="H113" s="27">
        <v>-153136.60000000021</v>
      </c>
      <c r="I113" s="19"/>
      <c r="J113" s="27">
        <v>97161338.270000011</v>
      </c>
      <c r="K113" s="19"/>
      <c r="L113" s="27">
        <v>8758401620.8500023</v>
      </c>
      <c r="N113" s="27">
        <v>-2913841258.4499998</v>
      </c>
      <c r="P113" s="27">
        <v>5844560362.3999996</v>
      </c>
    </row>
    <row r="114" spans="1:16" ht="13.8" thickTop="1" x14ac:dyDescent="0.25">
      <c r="A114" s="14"/>
      <c r="B114" s="20"/>
      <c r="C114" s="19"/>
      <c r="D114" s="20"/>
      <c r="E114" s="19"/>
      <c r="F114" s="20"/>
      <c r="G114" s="19"/>
      <c r="H114" s="20"/>
      <c r="I114" s="19"/>
      <c r="J114" s="20"/>
      <c r="K114" s="19"/>
      <c r="L114" s="20"/>
    </row>
    <row r="115" spans="1:16" x14ac:dyDescent="0.25">
      <c r="C115" s="17"/>
      <c r="E115" s="17"/>
      <c r="G115" s="17"/>
      <c r="I115" s="17"/>
      <c r="K115" s="17"/>
    </row>
    <row r="116" spans="1:16" x14ac:dyDescent="0.25">
      <c r="C116" s="17"/>
      <c r="E116" s="17"/>
      <c r="G116" s="17"/>
      <c r="I116" s="17"/>
      <c r="K116" s="17"/>
    </row>
    <row r="117" spans="1:16" x14ac:dyDescent="0.25">
      <c r="C117" s="17"/>
      <c r="E117" s="17"/>
      <c r="G117" s="17"/>
      <c r="I117" s="17"/>
      <c r="K117" s="17"/>
    </row>
    <row r="118" spans="1:16" x14ac:dyDescent="0.25">
      <c r="C118" s="17"/>
      <c r="E118" s="17"/>
      <c r="G118" s="17"/>
      <c r="I118" s="17"/>
      <c r="K118" s="17"/>
    </row>
    <row r="119" spans="1:16" x14ac:dyDescent="0.25">
      <c r="C119" s="17"/>
      <c r="E119" s="17"/>
      <c r="G119" s="17"/>
      <c r="I119" s="17"/>
      <c r="K119" s="17"/>
    </row>
    <row r="120" spans="1:16" x14ac:dyDescent="0.25">
      <c r="C120" s="17"/>
      <c r="E120" s="17"/>
      <c r="G120" s="17"/>
      <c r="I120" s="17"/>
      <c r="K120" s="17"/>
    </row>
    <row r="121" spans="1:16" x14ac:dyDescent="0.25">
      <c r="C121" s="17"/>
      <c r="E121" s="17"/>
      <c r="G121" s="17"/>
      <c r="I121" s="17"/>
      <c r="K121" s="17"/>
    </row>
    <row r="122" spans="1:16" x14ac:dyDescent="0.25">
      <c r="C122" s="17"/>
      <c r="E122" s="17"/>
      <c r="G122" s="17"/>
      <c r="I122" s="17"/>
      <c r="K122" s="17"/>
    </row>
    <row r="123" spans="1:16" x14ac:dyDescent="0.25">
      <c r="C123" s="17"/>
      <c r="E123" s="17"/>
      <c r="G123" s="17"/>
      <c r="I123" s="17"/>
      <c r="K123" s="17"/>
    </row>
    <row r="124" spans="1:16" x14ac:dyDescent="0.25">
      <c r="C124" s="17"/>
      <c r="E124" s="17"/>
      <c r="G124" s="17"/>
      <c r="I124" s="17"/>
      <c r="K124" s="17"/>
    </row>
    <row r="125" spans="1:16" x14ac:dyDescent="0.25">
      <c r="C125" s="28"/>
      <c r="E125" s="28"/>
      <c r="G125" s="28"/>
      <c r="I125" s="28"/>
      <c r="K125" s="28"/>
    </row>
    <row r="126" spans="1:16" x14ac:dyDescent="0.25">
      <c r="C126" s="28"/>
      <c r="E126" s="28"/>
      <c r="G126" s="28"/>
      <c r="I126" s="28"/>
      <c r="K126" s="28"/>
    </row>
    <row r="127" spans="1:16" x14ac:dyDescent="0.25">
      <c r="C127" s="28"/>
      <c r="E127" s="28"/>
      <c r="G127" s="28"/>
      <c r="I127" s="28"/>
      <c r="K127" s="28"/>
    </row>
    <row r="128" spans="1:16" x14ac:dyDescent="0.25">
      <c r="C128" s="28"/>
      <c r="E128" s="28"/>
      <c r="G128" s="28"/>
      <c r="I128" s="28"/>
      <c r="K128" s="28"/>
    </row>
    <row r="129" spans="3:11" x14ac:dyDescent="0.25">
      <c r="C129" s="28"/>
      <c r="E129" s="28"/>
      <c r="G129" s="28"/>
      <c r="I129" s="28"/>
      <c r="K129" s="28"/>
    </row>
    <row r="130" spans="3:11" x14ac:dyDescent="0.25">
      <c r="C130" s="28"/>
      <c r="E130" s="28"/>
      <c r="G130" s="28"/>
      <c r="I130" s="28"/>
      <c r="K130" s="28"/>
    </row>
    <row r="131" spans="3:11" x14ac:dyDescent="0.25">
      <c r="C131" s="28"/>
      <c r="E131" s="28"/>
      <c r="G131" s="28"/>
      <c r="I131" s="28"/>
      <c r="K131" s="28"/>
    </row>
    <row r="132" spans="3:11" x14ac:dyDescent="0.25">
      <c r="C132" s="28"/>
      <c r="E132" s="28"/>
      <c r="G132" s="28"/>
      <c r="I132" s="28"/>
      <c r="K132" s="28"/>
    </row>
    <row r="133" spans="3:11" x14ac:dyDescent="0.25">
      <c r="C133" s="28"/>
      <c r="E133" s="28"/>
      <c r="G133" s="28"/>
      <c r="I133" s="28"/>
      <c r="K133" s="28"/>
    </row>
    <row r="134" spans="3:11" x14ac:dyDescent="0.25">
      <c r="C134" s="28"/>
      <c r="E134" s="28"/>
      <c r="G134" s="28"/>
      <c r="I134" s="28"/>
      <c r="K134" s="28"/>
    </row>
    <row r="135" spans="3:11" x14ac:dyDescent="0.25">
      <c r="C135" s="28"/>
      <c r="E135" s="28"/>
      <c r="G135" s="28"/>
      <c r="I135" s="28"/>
      <c r="K135" s="28"/>
    </row>
    <row r="136" spans="3:11" x14ac:dyDescent="0.25">
      <c r="C136" s="28"/>
      <c r="E136" s="28"/>
      <c r="G136" s="28"/>
      <c r="I136" s="28"/>
      <c r="K136" s="28"/>
    </row>
    <row r="137" spans="3:11" x14ac:dyDescent="0.25">
      <c r="C137" s="28"/>
      <c r="E137" s="28"/>
      <c r="G137" s="28"/>
      <c r="I137" s="28"/>
      <c r="K137" s="28"/>
    </row>
    <row r="138" spans="3:11" x14ac:dyDescent="0.25">
      <c r="C138" s="28"/>
      <c r="E138" s="28"/>
      <c r="G138" s="28"/>
      <c r="I138" s="28"/>
      <c r="K138" s="28"/>
    </row>
    <row r="139" spans="3:11" x14ac:dyDescent="0.25">
      <c r="C139" s="28"/>
      <c r="E139" s="28"/>
      <c r="G139" s="28"/>
      <c r="I139" s="28"/>
      <c r="K139" s="28"/>
    </row>
    <row r="140" spans="3:11" x14ac:dyDescent="0.25">
      <c r="C140" s="28"/>
      <c r="E140" s="28"/>
      <c r="G140" s="28"/>
      <c r="I140" s="28"/>
      <c r="K140" s="28"/>
    </row>
    <row r="141" spans="3:11" x14ac:dyDescent="0.25">
      <c r="C141" s="28"/>
      <c r="E141" s="28"/>
      <c r="G141" s="28"/>
      <c r="I141" s="28"/>
      <c r="K141" s="28"/>
    </row>
    <row r="142" spans="3:11" x14ac:dyDescent="0.25">
      <c r="C142" s="28"/>
      <c r="E142" s="28"/>
      <c r="G142" s="28"/>
      <c r="I142" s="28"/>
      <c r="K142" s="28"/>
    </row>
    <row r="143" spans="3:11" x14ac:dyDescent="0.25">
      <c r="C143" s="28"/>
      <c r="E143" s="28"/>
      <c r="G143" s="28"/>
      <c r="I143" s="28"/>
      <c r="K143" s="28"/>
    </row>
    <row r="144" spans="3:11" x14ac:dyDescent="0.25">
      <c r="C144" s="28"/>
      <c r="E144" s="28"/>
      <c r="G144" s="28"/>
      <c r="I144" s="28"/>
      <c r="K144" s="28"/>
    </row>
    <row r="145" spans="3:11" x14ac:dyDescent="0.25">
      <c r="C145" s="28"/>
      <c r="E145" s="28"/>
      <c r="G145" s="28"/>
      <c r="I145" s="28"/>
      <c r="K145" s="28"/>
    </row>
    <row r="146" spans="3:11" x14ac:dyDescent="0.25">
      <c r="C146" s="28"/>
      <c r="E146" s="28"/>
      <c r="G146" s="28"/>
      <c r="I146" s="28"/>
      <c r="K146" s="28"/>
    </row>
    <row r="147" spans="3:11" x14ac:dyDescent="0.25">
      <c r="C147" s="28"/>
      <c r="E147" s="28"/>
      <c r="G147" s="28"/>
      <c r="I147" s="28"/>
      <c r="K147" s="28"/>
    </row>
    <row r="148" spans="3:11" x14ac:dyDescent="0.25">
      <c r="C148" s="28"/>
      <c r="E148" s="28"/>
      <c r="G148" s="28"/>
      <c r="I148" s="28"/>
      <c r="K148" s="28"/>
    </row>
    <row r="149" spans="3:11" x14ac:dyDescent="0.25">
      <c r="C149" s="28"/>
      <c r="E149" s="28"/>
      <c r="G149" s="28"/>
      <c r="I149" s="28"/>
      <c r="K149" s="28"/>
    </row>
    <row r="150" spans="3:11" x14ac:dyDescent="0.25">
      <c r="C150" s="28"/>
      <c r="E150" s="28"/>
      <c r="G150" s="28"/>
      <c r="I150" s="28"/>
      <c r="K150" s="28"/>
    </row>
    <row r="151" spans="3:11" x14ac:dyDescent="0.25">
      <c r="C151" s="28"/>
      <c r="E151" s="28"/>
      <c r="G151" s="28"/>
      <c r="I151" s="28"/>
      <c r="K151" s="28"/>
    </row>
    <row r="152" spans="3:11" x14ac:dyDescent="0.25">
      <c r="C152" s="28"/>
      <c r="E152" s="28"/>
      <c r="G152" s="28"/>
      <c r="I152" s="28"/>
      <c r="K152" s="28"/>
    </row>
    <row r="153" spans="3:11" x14ac:dyDescent="0.25">
      <c r="C153" s="28"/>
      <c r="E153" s="28"/>
      <c r="G153" s="28"/>
      <c r="I153" s="28"/>
      <c r="K153" s="28"/>
    </row>
    <row r="154" spans="3:11" x14ac:dyDescent="0.25">
      <c r="C154" s="28"/>
      <c r="E154" s="28"/>
      <c r="G154" s="28"/>
      <c r="I154" s="28"/>
      <c r="K154" s="28"/>
    </row>
    <row r="155" spans="3:11" x14ac:dyDescent="0.25">
      <c r="C155" s="28"/>
      <c r="E155" s="28"/>
      <c r="G155" s="28"/>
      <c r="I155" s="28"/>
      <c r="K155" s="28"/>
    </row>
    <row r="156" spans="3:11" x14ac:dyDescent="0.25">
      <c r="C156" s="28"/>
      <c r="E156" s="28"/>
      <c r="G156" s="28"/>
      <c r="I156" s="28"/>
      <c r="K156" s="28"/>
    </row>
    <row r="157" spans="3:11" x14ac:dyDescent="0.25">
      <c r="C157" s="28"/>
      <c r="E157" s="28"/>
      <c r="G157" s="28"/>
      <c r="I157" s="28"/>
      <c r="K157" s="28"/>
    </row>
    <row r="158" spans="3:11" x14ac:dyDescent="0.25">
      <c r="C158" s="28"/>
      <c r="E158" s="28"/>
      <c r="G158" s="28"/>
      <c r="I158" s="28"/>
      <c r="K158" s="28"/>
    </row>
    <row r="159" spans="3:11" x14ac:dyDescent="0.25">
      <c r="C159" s="28"/>
      <c r="E159" s="28"/>
      <c r="G159" s="28"/>
      <c r="I159" s="28"/>
      <c r="K159" s="28"/>
    </row>
    <row r="160" spans="3:11" x14ac:dyDescent="0.25">
      <c r="C160" s="28"/>
      <c r="E160" s="28"/>
      <c r="G160" s="28"/>
      <c r="I160" s="28"/>
      <c r="K160" s="28"/>
    </row>
    <row r="161" spans="3:11" x14ac:dyDescent="0.25">
      <c r="C161" s="28"/>
      <c r="E161" s="28"/>
      <c r="G161" s="28"/>
      <c r="I161" s="28"/>
      <c r="K161" s="28"/>
    </row>
    <row r="162" spans="3:11" x14ac:dyDescent="0.25">
      <c r="C162" s="28"/>
      <c r="E162" s="28"/>
      <c r="G162" s="28"/>
      <c r="I162" s="28"/>
      <c r="K162" s="28"/>
    </row>
    <row r="163" spans="3:11" x14ac:dyDescent="0.25">
      <c r="C163" s="28"/>
      <c r="E163" s="28"/>
      <c r="G163" s="28"/>
      <c r="I163" s="28"/>
      <c r="K163" s="28"/>
    </row>
    <row r="164" spans="3:11" x14ac:dyDescent="0.25">
      <c r="C164" s="28"/>
      <c r="E164" s="28"/>
      <c r="G164" s="28"/>
      <c r="I164" s="28"/>
      <c r="K164" s="28"/>
    </row>
    <row r="165" spans="3:11" x14ac:dyDescent="0.25">
      <c r="C165" s="28"/>
      <c r="E165" s="28"/>
      <c r="G165" s="28"/>
      <c r="I165" s="28"/>
      <c r="K165" s="28"/>
    </row>
    <row r="166" spans="3:11" x14ac:dyDescent="0.25">
      <c r="C166" s="28"/>
      <c r="E166" s="28"/>
      <c r="G166" s="28"/>
      <c r="I166" s="28"/>
      <c r="K166" s="28"/>
    </row>
    <row r="167" spans="3:11" x14ac:dyDescent="0.25">
      <c r="C167" s="28"/>
      <c r="E167" s="28"/>
      <c r="G167" s="28"/>
      <c r="I167" s="28"/>
      <c r="K167" s="28"/>
    </row>
    <row r="168" spans="3:11" x14ac:dyDescent="0.25">
      <c r="C168" s="28"/>
      <c r="E168" s="28"/>
      <c r="G168" s="28"/>
      <c r="I168" s="28"/>
      <c r="K168" s="28"/>
    </row>
    <row r="169" spans="3:11" x14ac:dyDescent="0.25">
      <c r="C169" s="28"/>
      <c r="E169" s="28"/>
      <c r="G169" s="28"/>
      <c r="I169" s="28"/>
      <c r="K169" s="28"/>
    </row>
    <row r="170" spans="3:11" x14ac:dyDescent="0.25">
      <c r="C170" s="28"/>
      <c r="E170" s="28"/>
      <c r="G170" s="28"/>
      <c r="I170" s="28"/>
      <c r="K170" s="28"/>
    </row>
    <row r="171" spans="3:11" x14ac:dyDescent="0.25">
      <c r="C171" s="28"/>
      <c r="E171" s="28"/>
      <c r="G171" s="28"/>
      <c r="I171" s="28"/>
      <c r="K171" s="28"/>
    </row>
    <row r="172" spans="3:11" x14ac:dyDescent="0.25">
      <c r="C172" s="28"/>
      <c r="E172" s="28"/>
      <c r="G172" s="28"/>
      <c r="I172" s="28"/>
      <c r="K172" s="28"/>
    </row>
    <row r="173" spans="3:11" x14ac:dyDescent="0.25">
      <c r="C173" s="28"/>
      <c r="E173" s="28"/>
      <c r="G173" s="28"/>
      <c r="I173" s="28"/>
      <c r="K173" s="28"/>
    </row>
    <row r="174" spans="3:11" x14ac:dyDescent="0.25">
      <c r="C174" s="28"/>
      <c r="E174" s="28"/>
      <c r="G174" s="28"/>
      <c r="I174" s="28"/>
      <c r="K174" s="28"/>
    </row>
    <row r="175" spans="3:11" x14ac:dyDescent="0.25">
      <c r="C175" s="28"/>
      <c r="E175" s="28"/>
      <c r="G175" s="28"/>
      <c r="I175" s="28"/>
      <c r="K175" s="28"/>
    </row>
    <row r="176" spans="3:11" x14ac:dyDescent="0.25">
      <c r="C176" s="28"/>
      <c r="E176" s="28"/>
      <c r="G176" s="28"/>
      <c r="I176" s="28"/>
      <c r="K176" s="28"/>
    </row>
    <row r="177" spans="3:11" x14ac:dyDescent="0.25">
      <c r="C177" s="28"/>
      <c r="E177" s="28"/>
      <c r="G177" s="28"/>
      <c r="I177" s="28"/>
      <c r="K177" s="28"/>
    </row>
    <row r="178" spans="3:11" x14ac:dyDescent="0.25">
      <c r="C178" s="28"/>
      <c r="E178" s="28"/>
      <c r="G178" s="28"/>
      <c r="I178" s="28"/>
      <c r="K178" s="28"/>
    </row>
    <row r="179" spans="3:11" x14ac:dyDescent="0.25">
      <c r="C179" s="28"/>
      <c r="E179" s="28"/>
      <c r="G179" s="28"/>
      <c r="I179" s="28"/>
      <c r="K179" s="28"/>
    </row>
    <row r="180" spans="3:11" x14ac:dyDescent="0.25">
      <c r="C180" s="28"/>
      <c r="E180" s="28"/>
      <c r="G180" s="28"/>
      <c r="I180" s="28"/>
      <c r="K180" s="28"/>
    </row>
    <row r="181" spans="3:11" x14ac:dyDescent="0.25">
      <c r="C181" s="28"/>
      <c r="E181" s="28"/>
      <c r="G181" s="28"/>
      <c r="I181" s="28"/>
      <c r="K181" s="28"/>
    </row>
    <row r="182" spans="3:11" x14ac:dyDescent="0.25">
      <c r="C182" s="28"/>
      <c r="E182" s="28"/>
      <c r="G182" s="28"/>
      <c r="I182" s="28"/>
      <c r="K182" s="28"/>
    </row>
    <row r="183" spans="3:11" x14ac:dyDescent="0.25">
      <c r="C183" s="28"/>
      <c r="E183" s="28"/>
      <c r="G183" s="28"/>
      <c r="I183" s="28"/>
      <c r="K183" s="28"/>
    </row>
    <row r="184" spans="3:11" x14ac:dyDescent="0.25">
      <c r="C184" s="28"/>
      <c r="E184" s="28"/>
      <c r="G184" s="28"/>
      <c r="I184" s="28"/>
      <c r="K184" s="28"/>
    </row>
    <row r="185" spans="3:11" x14ac:dyDescent="0.25">
      <c r="C185" s="28"/>
      <c r="E185" s="28"/>
      <c r="G185" s="28"/>
      <c r="I185" s="28"/>
      <c r="K185" s="28"/>
    </row>
    <row r="186" spans="3:11" x14ac:dyDescent="0.25">
      <c r="C186" s="28"/>
      <c r="E186" s="28"/>
      <c r="G186" s="28"/>
      <c r="I186" s="28"/>
      <c r="K186" s="28"/>
    </row>
    <row r="187" spans="3:11" x14ac:dyDescent="0.25">
      <c r="C187" s="28"/>
      <c r="E187" s="28"/>
      <c r="G187" s="28"/>
      <c r="I187" s="28"/>
      <c r="K187" s="28"/>
    </row>
    <row r="188" spans="3:11" x14ac:dyDescent="0.25">
      <c r="C188" s="28"/>
      <c r="E188" s="28"/>
      <c r="G188" s="28"/>
      <c r="I188" s="28"/>
      <c r="K188" s="28"/>
    </row>
    <row r="189" spans="3:11" x14ac:dyDescent="0.25">
      <c r="C189" s="28"/>
      <c r="E189" s="28"/>
      <c r="G189" s="28"/>
      <c r="I189" s="28"/>
      <c r="K189" s="28"/>
    </row>
    <row r="190" spans="3:11" x14ac:dyDescent="0.25">
      <c r="C190" s="28"/>
      <c r="E190" s="28"/>
      <c r="G190" s="28"/>
      <c r="I190" s="28"/>
      <c r="K190" s="28"/>
    </row>
  </sheetData>
  <pageMargins left="0.7" right="0.7" top="0.75" bottom="0.75" header="0.3" footer="0.3"/>
  <pageSetup scale="76" fitToHeight="0" orientation="portrait" r:id="rId1"/>
  <headerFooter>
    <oddHeader>&amp;R&amp;"times,Bold"&amp;12Attachment to Response to LFUCG-2 Question No. 4 - Att  7
&amp;P of &amp;N
Malloy</oddHeader>
  </headerFooter>
  <rowBreaks count="2" manualBreakCount="2">
    <brk id="48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100"/>
  <sheetViews>
    <sheetView zoomScaleNormal="100" workbookViewId="0">
      <selection activeCell="C38" sqref="C38"/>
    </sheetView>
  </sheetViews>
  <sheetFormatPr defaultColWidth="9.109375" defaultRowHeight="13.2" x14ac:dyDescent="0.25"/>
  <cols>
    <col min="1" max="1" width="50.88671875" style="26" bestFit="1" customWidth="1"/>
    <col min="2" max="2" width="17.6640625" style="39" customWidth="1"/>
    <col min="3" max="3" width="1.6640625" style="26" customWidth="1"/>
    <col min="4" max="4" width="17.6640625" style="39" customWidth="1"/>
    <col min="5" max="5" width="1.6640625" style="26" customWidth="1"/>
    <col min="6" max="6" width="17.6640625" style="39" customWidth="1"/>
    <col min="7" max="7" width="1.6640625" style="26" customWidth="1"/>
    <col min="8" max="8" width="17.6640625" style="39" customWidth="1"/>
    <col min="9" max="9" width="1.6640625" style="26" customWidth="1"/>
    <col min="10" max="10" width="17.6640625" style="39" customWidth="1"/>
    <col min="11" max="11" width="1.6640625" style="26" customWidth="1"/>
    <col min="12" max="12" width="17.6640625" style="39" customWidth="1"/>
    <col min="13" max="13" width="2.109375" style="26" customWidth="1"/>
    <col min="14" max="14" width="17.109375" style="26" customWidth="1"/>
    <col min="15" max="15" width="3" style="26" customWidth="1"/>
    <col min="16" max="16" width="23.109375" style="26" bestFit="1" customWidth="1"/>
    <col min="17" max="17" width="22.88671875" style="26" customWidth="1"/>
    <col min="18" max="16384" width="9.109375" style="26"/>
  </cols>
  <sheetData>
    <row r="1" spans="1:16" s="9" customFormat="1" ht="15.6" x14ac:dyDescent="0.3">
      <c r="A1" s="258" t="s">
        <v>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s="9" customFormat="1" ht="15.6" x14ac:dyDescent="0.3">
      <c r="A2" s="258" t="s">
        <v>119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x14ac:dyDescent="0.25">
      <c r="A3" s="260" t="s">
        <v>572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6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6" x14ac:dyDescent="0.25">
      <c r="B6" s="38" t="s">
        <v>15</v>
      </c>
      <c r="H6" s="38" t="s">
        <v>16</v>
      </c>
      <c r="L6" s="38" t="s">
        <v>17</v>
      </c>
      <c r="P6" s="40" t="s">
        <v>18</v>
      </c>
    </row>
    <row r="7" spans="1:16" s="10" customFormat="1" x14ac:dyDescent="0.25">
      <c r="B7" s="41" t="s">
        <v>19</v>
      </c>
      <c r="C7" s="26"/>
      <c r="D7" s="41" t="s">
        <v>20</v>
      </c>
      <c r="E7" s="26"/>
      <c r="F7" s="41" t="s">
        <v>21</v>
      </c>
      <c r="G7" s="26"/>
      <c r="H7" s="41" t="s">
        <v>22</v>
      </c>
      <c r="I7" s="26"/>
      <c r="J7" s="41" t="s">
        <v>23</v>
      </c>
      <c r="K7" s="26"/>
      <c r="L7" s="41" t="s">
        <v>19</v>
      </c>
      <c r="N7" s="41" t="s">
        <v>24</v>
      </c>
      <c r="P7" s="41" t="s">
        <v>25</v>
      </c>
    </row>
    <row r="8" spans="1:16" s="10" customFormat="1" x14ac:dyDescent="0.25">
      <c r="A8" s="14" t="s">
        <v>26</v>
      </c>
      <c r="B8" s="42"/>
      <c r="C8" s="26"/>
      <c r="D8" s="42"/>
      <c r="E8" s="26"/>
      <c r="F8" s="42"/>
      <c r="G8" s="26"/>
      <c r="H8" s="42"/>
      <c r="I8" s="26"/>
      <c r="J8" s="42"/>
      <c r="K8" s="26"/>
      <c r="L8" s="42"/>
    </row>
    <row r="9" spans="1:16" s="10" customFormat="1" x14ac:dyDescent="0.25">
      <c r="A9" s="40" t="s">
        <v>27</v>
      </c>
      <c r="B9" s="39"/>
      <c r="C9" s="26"/>
      <c r="D9" s="39"/>
      <c r="E9" s="26"/>
      <c r="F9" s="39"/>
      <c r="G9" s="26"/>
      <c r="H9" s="39"/>
      <c r="I9" s="26"/>
      <c r="J9" s="39"/>
      <c r="K9" s="26"/>
      <c r="L9" s="39"/>
    </row>
    <row r="10" spans="1:16" x14ac:dyDescent="0.25">
      <c r="A10" s="40" t="s">
        <v>28</v>
      </c>
      <c r="C10" s="43"/>
      <c r="E10" s="43"/>
      <c r="G10" s="43"/>
      <c r="I10" s="43"/>
      <c r="K10" s="43"/>
      <c r="M10" s="43"/>
    </row>
    <row r="11" spans="1:16" x14ac:dyDescent="0.25">
      <c r="A11" s="26" t="s">
        <v>29</v>
      </c>
      <c r="B11" s="39">
        <v>91001.83</v>
      </c>
      <c r="C11" s="43"/>
      <c r="D11" s="39">
        <v>0</v>
      </c>
      <c r="E11" s="43"/>
      <c r="F11" s="39">
        <v>0</v>
      </c>
      <c r="G11" s="43"/>
      <c r="H11" s="39">
        <v>0</v>
      </c>
      <c r="I11" s="43"/>
      <c r="J11" s="39">
        <v>0</v>
      </c>
      <c r="K11" s="43"/>
      <c r="L11" s="39">
        <v>91001.83</v>
      </c>
      <c r="M11" s="43"/>
      <c r="N11" s="44">
        <v>-68270.179999999993</v>
      </c>
      <c r="P11" s="44">
        <v>22731.650000000009</v>
      </c>
    </row>
    <row r="12" spans="1:16" x14ac:dyDescent="0.25">
      <c r="A12" s="26" t="s">
        <v>30</v>
      </c>
      <c r="B12" s="39">
        <v>102248.61</v>
      </c>
      <c r="C12" s="43"/>
      <c r="D12" s="39">
        <v>0</v>
      </c>
      <c r="E12" s="43"/>
      <c r="F12" s="39">
        <v>0</v>
      </c>
      <c r="G12" s="43"/>
      <c r="H12" s="39">
        <v>0</v>
      </c>
      <c r="I12" s="43"/>
      <c r="J12" s="39">
        <v>0</v>
      </c>
      <c r="K12" s="43"/>
      <c r="L12" s="39">
        <v>102248.61</v>
      </c>
      <c r="M12" s="43"/>
      <c r="N12" s="44">
        <v>0</v>
      </c>
      <c r="P12" s="44">
        <v>102248.61</v>
      </c>
    </row>
    <row r="13" spans="1:16" x14ac:dyDescent="0.25">
      <c r="A13" s="26" t="s">
        <v>31</v>
      </c>
      <c r="B13" s="39">
        <v>486252.05</v>
      </c>
      <c r="C13" s="43"/>
      <c r="D13" s="39">
        <v>0</v>
      </c>
      <c r="E13" s="43"/>
      <c r="F13" s="39">
        <v>0</v>
      </c>
      <c r="G13" s="43"/>
      <c r="H13" s="39">
        <v>0</v>
      </c>
      <c r="I13" s="43"/>
      <c r="J13" s="39">
        <v>0</v>
      </c>
      <c r="K13" s="43"/>
      <c r="L13" s="39">
        <v>486252.05</v>
      </c>
      <c r="M13" s="43"/>
      <c r="N13" s="44">
        <v>-124996.47000000004</v>
      </c>
      <c r="P13" s="44">
        <v>361255.57999999996</v>
      </c>
    </row>
    <row r="14" spans="1:16" x14ac:dyDescent="0.25">
      <c r="A14" s="26" t="s">
        <v>32</v>
      </c>
      <c r="B14" s="39">
        <v>8064221.8399999999</v>
      </c>
      <c r="C14" s="43"/>
      <c r="D14" s="39">
        <v>164464.54999999999</v>
      </c>
      <c r="E14" s="43"/>
      <c r="F14" s="39">
        <v>-4500.26</v>
      </c>
      <c r="G14" s="43"/>
      <c r="H14" s="39">
        <v>-64364.3</v>
      </c>
      <c r="I14" s="43"/>
      <c r="J14" s="39">
        <v>95599.989999999991</v>
      </c>
      <c r="K14" s="43"/>
      <c r="L14" s="39">
        <v>8159821.8300000001</v>
      </c>
      <c r="M14" s="43"/>
      <c r="N14" s="44">
        <v>-2980433.22</v>
      </c>
      <c r="P14" s="44">
        <v>5179388.6099999994</v>
      </c>
    </row>
    <row r="15" spans="1:16" x14ac:dyDescent="0.25">
      <c r="A15" s="26" t="s">
        <v>33</v>
      </c>
      <c r="B15" s="39">
        <v>26504719.779999997</v>
      </c>
      <c r="C15" s="43"/>
      <c r="D15" s="39">
        <v>644543.06999999995</v>
      </c>
      <c r="E15" s="43"/>
      <c r="F15" s="39">
        <v>-8607.23</v>
      </c>
      <c r="G15" s="43"/>
      <c r="H15" s="39">
        <v>0</v>
      </c>
      <c r="I15" s="43"/>
      <c r="J15" s="39">
        <v>635935.84</v>
      </c>
      <c r="K15" s="43"/>
      <c r="L15" s="39">
        <v>27140655.619999997</v>
      </c>
      <c r="M15" s="43"/>
      <c r="N15" s="44">
        <v>-11849662.219999997</v>
      </c>
      <c r="P15" s="44">
        <v>15290993.4</v>
      </c>
    </row>
    <row r="16" spans="1:16" x14ac:dyDescent="0.25">
      <c r="A16" s="26" t="s">
        <v>34</v>
      </c>
      <c r="B16" s="39">
        <v>23736912.500000004</v>
      </c>
      <c r="C16" s="43"/>
      <c r="D16" s="39">
        <v>797638.22</v>
      </c>
      <c r="E16" s="43"/>
      <c r="F16" s="39">
        <v>-122917.56</v>
      </c>
      <c r="G16" s="43"/>
      <c r="H16" s="39">
        <v>0</v>
      </c>
      <c r="I16" s="43"/>
      <c r="J16" s="39">
        <v>674720.65999999992</v>
      </c>
      <c r="K16" s="43"/>
      <c r="L16" s="39">
        <v>24411633.160000004</v>
      </c>
      <c r="M16" s="43"/>
      <c r="N16" s="44">
        <v>-9104029.7400000002</v>
      </c>
      <c r="P16" s="44">
        <v>15307603.420000004</v>
      </c>
    </row>
    <row r="17" spans="1:17" x14ac:dyDescent="0.25">
      <c r="A17" s="26" t="s">
        <v>35</v>
      </c>
      <c r="B17" s="39">
        <v>0</v>
      </c>
      <c r="C17" s="43"/>
      <c r="D17" s="39">
        <v>0</v>
      </c>
      <c r="E17" s="43"/>
      <c r="F17" s="39">
        <v>0</v>
      </c>
      <c r="G17" s="43"/>
      <c r="H17" s="39">
        <v>0</v>
      </c>
      <c r="I17" s="43"/>
      <c r="J17" s="39">
        <v>0</v>
      </c>
      <c r="K17" s="43"/>
      <c r="L17" s="39">
        <v>0</v>
      </c>
      <c r="M17" s="43"/>
      <c r="N17" s="44">
        <v>0</v>
      </c>
      <c r="P17" s="44">
        <v>0</v>
      </c>
    </row>
    <row r="18" spans="1:17" x14ac:dyDescent="0.25">
      <c r="A18" s="26" t="s">
        <v>36</v>
      </c>
      <c r="B18" s="39">
        <v>3952429.3300000005</v>
      </c>
      <c r="C18" s="43"/>
      <c r="D18" s="39">
        <v>220573.61000000002</v>
      </c>
      <c r="E18" s="43"/>
      <c r="F18" s="39">
        <v>0</v>
      </c>
      <c r="G18" s="43"/>
      <c r="H18" s="39">
        <v>0</v>
      </c>
      <c r="I18" s="43"/>
      <c r="J18" s="39">
        <v>220573.61000000002</v>
      </c>
      <c r="K18" s="43"/>
      <c r="L18" s="39">
        <v>4173002.9400000004</v>
      </c>
      <c r="M18" s="43"/>
      <c r="N18" s="44">
        <v>-524724.78</v>
      </c>
      <c r="P18" s="44">
        <v>3648278.16</v>
      </c>
    </row>
    <row r="19" spans="1:17" x14ac:dyDescent="0.25">
      <c r="A19" s="26" t="s">
        <v>37</v>
      </c>
      <c r="B19" s="39">
        <v>13334888.539999999</v>
      </c>
      <c r="C19" s="43"/>
      <c r="D19" s="39">
        <v>2571.0300000000002</v>
      </c>
      <c r="E19" s="43"/>
      <c r="F19" s="39">
        <v>-608244.16</v>
      </c>
      <c r="G19" s="43"/>
      <c r="H19" s="39">
        <v>0</v>
      </c>
      <c r="I19" s="43"/>
      <c r="J19" s="39">
        <v>-605673.13</v>
      </c>
      <c r="K19" s="43"/>
      <c r="L19" s="39">
        <v>12729215.409999998</v>
      </c>
      <c r="M19" s="43"/>
      <c r="N19" s="44">
        <v>-6847986.6100000013</v>
      </c>
      <c r="P19" s="44">
        <v>5881228.799999997</v>
      </c>
    </row>
    <row r="20" spans="1:17" x14ac:dyDescent="0.25">
      <c r="A20" s="26" t="s">
        <v>38</v>
      </c>
      <c r="B20" s="39">
        <v>5218706.4200000009</v>
      </c>
      <c r="C20" s="43"/>
      <c r="D20" s="39">
        <v>0</v>
      </c>
      <c r="E20" s="43"/>
      <c r="F20" s="39">
        <v>0</v>
      </c>
      <c r="G20" s="43"/>
      <c r="H20" s="39">
        <v>0</v>
      </c>
      <c r="I20" s="43"/>
      <c r="J20" s="39">
        <v>0</v>
      </c>
      <c r="K20" s="43"/>
      <c r="L20" s="39">
        <v>5218706.4200000009</v>
      </c>
      <c r="M20" s="43"/>
      <c r="N20" s="44">
        <v>-4160113.0999999996</v>
      </c>
      <c r="P20" s="44">
        <v>1058593.3200000012</v>
      </c>
    </row>
    <row r="21" spans="1:17" x14ac:dyDescent="0.25">
      <c r="A21" s="26" t="s">
        <v>39</v>
      </c>
      <c r="B21" s="39">
        <v>4042189.4299999997</v>
      </c>
      <c r="C21" s="43"/>
      <c r="D21" s="39">
        <v>93791.85</v>
      </c>
      <c r="E21" s="39">
        <v>0</v>
      </c>
      <c r="F21" s="39">
        <v>-1491.67</v>
      </c>
      <c r="G21" s="39">
        <v>0</v>
      </c>
      <c r="H21" s="39">
        <v>0</v>
      </c>
      <c r="I21" s="43"/>
      <c r="J21" s="39">
        <v>92300.180000000008</v>
      </c>
      <c r="K21" s="43"/>
      <c r="L21" s="39">
        <v>4134489.61</v>
      </c>
      <c r="M21" s="43"/>
      <c r="N21" s="44">
        <v>-2713710.2500000005</v>
      </c>
      <c r="P21" s="44">
        <v>1420779.3599999994</v>
      </c>
    </row>
    <row r="22" spans="1:17" x14ac:dyDescent="0.25">
      <c r="A22" s="26" t="s">
        <v>41</v>
      </c>
      <c r="B22" s="39">
        <v>855168.89000000013</v>
      </c>
      <c r="C22" s="45"/>
      <c r="D22" s="39">
        <v>0</v>
      </c>
      <c r="E22" s="45"/>
      <c r="F22" s="39">
        <v>0</v>
      </c>
      <c r="G22" s="45"/>
      <c r="H22" s="39">
        <v>-855168.89</v>
      </c>
      <c r="I22" s="45"/>
      <c r="J22" s="46">
        <v>-855168.89</v>
      </c>
      <c r="K22" s="45"/>
      <c r="L22" s="46">
        <v>0</v>
      </c>
      <c r="M22" s="43"/>
      <c r="N22" s="44">
        <v>0</v>
      </c>
      <c r="P22" s="44">
        <v>0</v>
      </c>
      <c r="Q22" s="61" t="s">
        <v>152</v>
      </c>
    </row>
    <row r="23" spans="1:17" x14ac:dyDescent="0.25">
      <c r="A23" s="30" t="s">
        <v>42</v>
      </c>
      <c r="B23" s="50">
        <v>2620853.7999999998</v>
      </c>
      <c r="C23" s="51"/>
      <c r="D23" s="50">
        <v>167660.43</v>
      </c>
      <c r="E23" s="51"/>
      <c r="F23" s="50">
        <v>-1806.64</v>
      </c>
      <c r="G23" s="51"/>
      <c r="H23" s="50">
        <v>855168.89</v>
      </c>
      <c r="I23" s="51"/>
      <c r="J23" s="50">
        <v>1021022.6799999999</v>
      </c>
      <c r="K23" s="51"/>
      <c r="L23" s="50">
        <v>3641876.4799999995</v>
      </c>
      <c r="M23" s="52"/>
      <c r="N23" s="53">
        <v>-1670908.52</v>
      </c>
      <c r="O23" s="30"/>
      <c r="P23" s="53">
        <v>1970967.9599999995</v>
      </c>
      <c r="Q23" s="62">
        <f>+L23*0.04</f>
        <v>145675.05919999999</v>
      </c>
    </row>
    <row r="24" spans="1:17" x14ac:dyDescent="0.25">
      <c r="B24" s="46">
        <v>89009593.019999981</v>
      </c>
      <c r="C24" s="45"/>
      <c r="D24" s="46">
        <v>2091242.76</v>
      </c>
      <c r="E24" s="45"/>
      <c r="F24" s="46">
        <v>-747567.52</v>
      </c>
      <c r="G24" s="45"/>
      <c r="H24" s="46">
        <v>-64364.300000000047</v>
      </c>
      <c r="I24" s="45"/>
      <c r="J24" s="46">
        <v>1279310.94</v>
      </c>
      <c r="K24" s="45"/>
      <c r="L24" s="46">
        <v>90288903.960000008</v>
      </c>
      <c r="M24" s="43"/>
      <c r="N24" s="46">
        <v>-40044835.090000004</v>
      </c>
      <c r="P24" s="46">
        <v>50244068.870000005</v>
      </c>
    </row>
    <row r="25" spans="1:17" x14ac:dyDescent="0.25">
      <c r="B25" s="46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3"/>
    </row>
    <row r="26" spans="1:17" x14ac:dyDescent="0.25">
      <c r="A26" s="40" t="s">
        <v>45</v>
      </c>
      <c r="B26" s="46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43"/>
    </row>
    <row r="27" spans="1:17" x14ac:dyDescent="0.25">
      <c r="A27" s="26" t="s">
        <v>46</v>
      </c>
      <c r="B27" s="46">
        <v>80601.7</v>
      </c>
      <c r="C27" s="45"/>
      <c r="D27" s="46">
        <v>0</v>
      </c>
      <c r="E27" s="45"/>
      <c r="F27" s="46">
        <v>0</v>
      </c>
      <c r="G27" s="45"/>
      <c r="H27" s="46">
        <v>0</v>
      </c>
      <c r="I27" s="45"/>
      <c r="J27" s="46">
        <v>0</v>
      </c>
      <c r="K27" s="45"/>
      <c r="L27" s="46">
        <v>80601.7</v>
      </c>
      <c r="M27" s="43"/>
      <c r="N27" s="44">
        <v>0</v>
      </c>
      <c r="P27" s="44">
        <v>80601.7</v>
      </c>
    </row>
    <row r="28" spans="1:17" x14ac:dyDescent="0.25">
      <c r="A28" s="26" t="s">
        <v>47</v>
      </c>
      <c r="B28" s="46">
        <v>1033575.8400000001</v>
      </c>
      <c r="C28" s="45"/>
      <c r="D28" s="46">
        <v>3154.6199999999953</v>
      </c>
      <c r="E28" s="45"/>
      <c r="F28" s="46">
        <v>-1358.41</v>
      </c>
      <c r="G28" s="45"/>
      <c r="H28" s="46">
        <v>0</v>
      </c>
      <c r="I28" s="45"/>
      <c r="J28" s="46">
        <v>1796.2099999999953</v>
      </c>
      <c r="K28" s="45"/>
      <c r="L28" s="46">
        <v>1035372.05</v>
      </c>
      <c r="M28" s="43"/>
      <c r="N28" s="44">
        <v>-274745.4800000001</v>
      </c>
      <c r="P28" s="44">
        <v>760626.57</v>
      </c>
    </row>
    <row r="29" spans="1:17" x14ac:dyDescent="0.25">
      <c r="A29" s="26" t="s">
        <v>120</v>
      </c>
      <c r="B29" s="46">
        <v>40883.599999999999</v>
      </c>
      <c r="C29" s="45"/>
      <c r="D29" s="46">
        <v>0</v>
      </c>
      <c r="E29" s="45"/>
      <c r="F29" s="46">
        <v>0</v>
      </c>
      <c r="G29" s="45"/>
      <c r="H29" s="46">
        <v>0</v>
      </c>
      <c r="I29" s="45"/>
      <c r="J29" s="46">
        <v>0</v>
      </c>
      <c r="K29" s="45"/>
      <c r="L29" s="46">
        <v>40883.599999999999</v>
      </c>
      <c r="M29" s="43"/>
      <c r="N29" s="44">
        <v>-43830.360000000008</v>
      </c>
      <c r="P29" s="44">
        <v>-2946.7600000000093</v>
      </c>
    </row>
    <row r="30" spans="1:17" x14ac:dyDescent="0.25">
      <c r="A30" s="26" t="s">
        <v>49</v>
      </c>
      <c r="B30" s="46">
        <v>7397.76</v>
      </c>
      <c r="C30" s="45"/>
      <c r="D30" s="46">
        <v>0</v>
      </c>
      <c r="E30" s="45"/>
      <c r="F30" s="46">
        <v>-7397.76</v>
      </c>
      <c r="G30" s="45"/>
      <c r="H30" s="46">
        <v>0</v>
      </c>
      <c r="I30" s="45"/>
      <c r="J30" s="46">
        <v>-7397.76</v>
      </c>
      <c r="K30" s="45"/>
      <c r="L30" s="46">
        <v>0</v>
      </c>
      <c r="M30" s="43"/>
      <c r="N30" s="44">
        <v>-1141.25</v>
      </c>
      <c r="P30" s="44">
        <v>-1141.25</v>
      </c>
    </row>
    <row r="31" spans="1:17" x14ac:dyDescent="0.25">
      <c r="A31" s="26" t="s">
        <v>121</v>
      </c>
      <c r="B31" s="46">
        <v>0</v>
      </c>
      <c r="C31" s="45"/>
      <c r="D31" s="46">
        <v>0</v>
      </c>
      <c r="E31" s="45"/>
      <c r="F31" s="46">
        <v>0</v>
      </c>
      <c r="G31" s="45"/>
      <c r="H31" s="46">
        <v>0</v>
      </c>
      <c r="I31" s="45"/>
      <c r="J31" s="46">
        <v>0</v>
      </c>
      <c r="K31" s="45"/>
      <c r="L31" s="46">
        <v>0</v>
      </c>
      <c r="M31" s="43"/>
      <c r="N31" s="44">
        <v>308.65000000000055</v>
      </c>
      <c r="P31" s="44">
        <v>308.65000000000055</v>
      </c>
    </row>
    <row r="32" spans="1:17" x14ac:dyDescent="0.25">
      <c r="A32" s="26" t="s">
        <v>53</v>
      </c>
      <c r="B32" s="46">
        <v>0</v>
      </c>
      <c r="C32" s="45"/>
      <c r="D32" s="46">
        <v>0</v>
      </c>
      <c r="E32" s="45"/>
      <c r="F32" s="46">
        <v>0</v>
      </c>
      <c r="G32" s="45"/>
      <c r="H32" s="46">
        <v>0</v>
      </c>
      <c r="I32" s="45"/>
      <c r="J32" s="46">
        <v>0</v>
      </c>
      <c r="K32" s="45"/>
      <c r="L32" s="46">
        <v>0</v>
      </c>
      <c r="M32" s="43"/>
      <c r="N32" s="44">
        <v>-7.2759576141834259E-12</v>
      </c>
      <c r="P32" s="44">
        <v>-7.2759576141834259E-12</v>
      </c>
    </row>
    <row r="33" spans="1:16" x14ac:dyDescent="0.25">
      <c r="A33" s="26" t="s">
        <v>55</v>
      </c>
      <c r="B33" s="46">
        <v>4526.22</v>
      </c>
      <c r="C33" s="45"/>
      <c r="D33" s="46">
        <v>0</v>
      </c>
      <c r="E33" s="45"/>
      <c r="F33" s="46">
        <v>0</v>
      </c>
      <c r="G33" s="45"/>
      <c r="H33" s="46">
        <v>0</v>
      </c>
      <c r="I33" s="45"/>
      <c r="J33" s="46">
        <v>0</v>
      </c>
      <c r="K33" s="45"/>
      <c r="L33" s="46">
        <v>4526.22</v>
      </c>
      <c r="M33" s="43"/>
      <c r="N33" s="44">
        <v>-3377.5299999999993</v>
      </c>
      <c r="P33" s="44">
        <v>1148.690000000001</v>
      </c>
    </row>
    <row r="34" spans="1:16" x14ac:dyDescent="0.25">
      <c r="A34" s="26" t="s">
        <v>56</v>
      </c>
      <c r="B34" s="46">
        <v>464251.89000000007</v>
      </c>
      <c r="C34" s="45"/>
      <c r="D34" s="46">
        <v>13144.79</v>
      </c>
      <c r="E34" s="45"/>
      <c r="F34" s="46">
        <v>-3924.21</v>
      </c>
      <c r="G34" s="45"/>
      <c r="H34" s="46">
        <v>0</v>
      </c>
      <c r="I34" s="45"/>
      <c r="J34" s="46">
        <v>9220.5800000000017</v>
      </c>
      <c r="K34" s="45"/>
      <c r="L34" s="46">
        <v>473472.47000000009</v>
      </c>
      <c r="M34" s="43"/>
      <c r="N34" s="44">
        <v>-174239.06</v>
      </c>
      <c r="P34" s="44">
        <v>299233.41000000009</v>
      </c>
    </row>
    <row r="35" spans="1:16" x14ac:dyDescent="0.25">
      <c r="A35" s="26" t="s">
        <v>57</v>
      </c>
      <c r="B35" s="46">
        <v>0</v>
      </c>
      <c r="C35" s="45"/>
      <c r="D35" s="46">
        <v>0</v>
      </c>
      <c r="E35" s="45"/>
      <c r="F35" s="46">
        <v>0</v>
      </c>
      <c r="G35" s="45"/>
      <c r="H35" s="46">
        <v>0</v>
      </c>
      <c r="I35" s="45"/>
      <c r="J35" s="46">
        <v>0</v>
      </c>
      <c r="K35" s="45"/>
      <c r="L35" s="46">
        <v>0</v>
      </c>
      <c r="M35" s="43"/>
      <c r="N35" s="44">
        <v>0</v>
      </c>
      <c r="P35" s="44">
        <v>0</v>
      </c>
    </row>
    <row r="36" spans="1:16" x14ac:dyDescent="0.25">
      <c r="A36" s="26" t="s">
        <v>58</v>
      </c>
      <c r="B36" s="46">
        <v>282277.26</v>
      </c>
      <c r="C36" s="45"/>
      <c r="D36" s="46">
        <v>0</v>
      </c>
      <c r="E36" s="45"/>
      <c r="F36" s="46">
        <v>0</v>
      </c>
      <c r="G36" s="45"/>
      <c r="H36" s="46">
        <v>0</v>
      </c>
      <c r="I36" s="45"/>
      <c r="J36" s="46">
        <v>0</v>
      </c>
      <c r="K36" s="45"/>
      <c r="L36" s="46">
        <v>282277.26</v>
      </c>
      <c r="M36" s="43"/>
      <c r="N36" s="44">
        <v>-81200.34</v>
      </c>
      <c r="P36" s="44">
        <v>201076.92</v>
      </c>
    </row>
    <row r="37" spans="1:16" x14ac:dyDescent="0.25">
      <c r="A37" s="26" t="s">
        <v>59</v>
      </c>
      <c r="B37" s="46">
        <v>542762.68999999994</v>
      </c>
      <c r="C37" s="45"/>
      <c r="D37" s="46">
        <v>0</v>
      </c>
      <c r="E37" s="45"/>
      <c r="F37" s="46">
        <v>0</v>
      </c>
      <c r="G37" s="45"/>
      <c r="H37" s="46">
        <v>0</v>
      </c>
      <c r="I37" s="45"/>
      <c r="J37" s="46">
        <v>0</v>
      </c>
      <c r="K37" s="45"/>
      <c r="L37" s="46">
        <v>542762.68999999994</v>
      </c>
      <c r="M37" s="43"/>
      <c r="N37" s="44">
        <v>-215599.71</v>
      </c>
      <c r="P37" s="44">
        <v>327162.98</v>
      </c>
    </row>
    <row r="38" spans="1:16" x14ac:dyDescent="0.25">
      <c r="A38" s="26" t="s">
        <v>60</v>
      </c>
      <c r="B38" s="46">
        <v>382484.28</v>
      </c>
      <c r="C38" s="45"/>
      <c r="D38" s="46">
        <v>0</v>
      </c>
      <c r="E38" s="45"/>
      <c r="F38" s="46">
        <v>0</v>
      </c>
      <c r="G38" s="45"/>
      <c r="H38" s="46">
        <v>0</v>
      </c>
      <c r="I38" s="45"/>
      <c r="J38" s="46">
        <v>0</v>
      </c>
      <c r="K38" s="45"/>
      <c r="L38" s="46">
        <v>382484.28</v>
      </c>
      <c r="M38" s="43"/>
      <c r="N38" s="44">
        <v>-337298.16000000003</v>
      </c>
      <c r="P38" s="44">
        <v>45186.119999999995</v>
      </c>
    </row>
    <row r="39" spans="1:16" x14ac:dyDescent="0.25">
      <c r="A39" s="26" t="s">
        <v>62</v>
      </c>
      <c r="B39" s="47">
        <v>0</v>
      </c>
      <c r="C39" s="45"/>
      <c r="D39" s="47">
        <v>0</v>
      </c>
      <c r="E39" s="45"/>
      <c r="F39" s="47">
        <v>0</v>
      </c>
      <c r="G39" s="45"/>
      <c r="H39" s="47">
        <v>0</v>
      </c>
      <c r="I39" s="45"/>
      <c r="J39" s="47">
        <v>0</v>
      </c>
      <c r="K39" s="45"/>
      <c r="L39" s="47">
        <v>0</v>
      </c>
      <c r="M39" s="43"/>
      <c r="N39" s="48">
        <v>0</v>
      </c>
      <c r="P39" s="48">
        <v>0</v>
      </c>
    </row>
    <row r="40" spans="1:16" x14ac:dyDescent="0.25">
      <c r="B40" s="46">
        <v>2838761.24</v>
      </c>
      <c r="C40" s="45"/>
      <c r="D40" s="46">
        <v>16299.409999999996</v>
      </c>
      <c r="E40" s="45"/>
      <c r="F40" s="46">
        <v>-12680.380000000001</v>
      </c>
      <c r="G40" s="45"/>
      <c r="H40" s="46">
        <v>0</v>
      </c>
      <c r="I40" s="45"/>
      <c r="J40" s="46">
        <v>3619.029999999997</v>
      </c>
      <c r="K40" s="45"/>
      <c r="L40" s="46">
        <v>2842380.2700000005</v>
      </c>
      <c r="M40" s="43"/>
      <c r="N40" s="46">
        <v>-1131123.2400000002</v>
      </c>
      <c r="P40" s="46">
        <v>1711257.0299999998</v>
      </c>
    </row>
    <row r="41" spans="1:16" x14ac:dyDescent="0.25">
      <c r="B41" s="46"/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43"/>
    </row>
    <row r="42" spans="1:16" x14ac:dyDescent="0.25">
      <c r="A42" s="40" t="s">
        <v>72</v>
      </c>
      <c r="B42" s="46"/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3"/>
    </row>
    <row r="43" spans="1:16" x14ac:dyDescent="0.25">
      <c r="A43" s="26" t="s">
        <v>73</v>
      </c>
      <c r="B43" s="47">
        <v>5338.69</v>
      </c>
      <c r="C43" s="45"/>
      <c r="D43" s="47">
        <v>0</v>
      </c>
      <c r="E43" s="45"/>
      <c r="F43" s="47">
        <v>0</v>
      </c>
      <c r="G43" s="45"/>
      <c r="H43" s="47">
        <v>0</v>
      </c>
      <c r="I43" s="45"/>
      <c r="J43" s="47">
        <v>0</v>
      </c>
      <c r="K43" s="45"/>
      <c r="L43" s="47">
        <v>5338.69</v>
      </c>
      <c r="M43" s="43"/>
      <c r="N43" s="48">
        <v>0</v>
      </c>
      <c r="P43" s="48">
        <v>5338.69</v>
      </c>
    </row>
    <row r="44" spans="1:16" x14ac:dyDescent="0.25">
      <c r="B44" s="46">
        <v>5338.69</v>
      </c>
      <c r="C44" s="45"/>
      <c r="D44" s="46">
        <v>0</v>
      </c>
      <c r="E44" s="45"/>
      <c r="F44" s="46">
        <v>0</v>
      </c>
      <c r="G44" s="45"/>
      <c r="H44" s="46">
        <v>0</v>
      </c>
      <c r="I44" s="45"/>
      <c r="J44" s="46">
        <v>0</v>
      </c>
      <c r="K44" s="45"/>
      <c r="L44" s="46">
        <v>5338.69</v>
      </c>
      <c r="M44" s="43"/>
      <c r="N44" s="46">
        <v>0</v>
      </c>
      <c r="P44" s="46">
        <v>5338.69</v>
      </c>
    </row>
    <row r="45" spans="1:16" x14ac:dyDescent="0.25">
      <c r="B45" s="46"/>
      <c r="C45" s="45"/>
      <c r="D45" s="46"/>
      <c r="E45" s="45"/>
      <c r="F45" s="46"/>
      <c r="G45" s="45"/>
      <c r="H45" s="46"/>
      <c r="I45" s="45"/>
      <c r="J45" s="46"/>
      <c r="K45" s="45"/>
      <c r="L45" s="46"/>
      <c r="M45" s="43"/>
    </row>
    <row r="46" spans="1:16" x14ac:dyDescent="0.25">
      <c r="A46" s="40" t="s">
        <v>101</v>
      </c>
      <c r="B46" s="46"/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3"/>
    </row>
    <row r="47" spans="1:16" x14ac:dyDescent="0.25">
      <c r="A47" s="26" t="s">
        <v>102</v>
      </c>
      <c r="B47" s="46">
        <v>2118631.2200000002</v>
      </c>
      <c r="C47" s="45"/>
      <c r="D47" s="46">
        <v>0</v>
      </c>
      <c r="E47" s="45"/>
      <c r="F47" s="46">
        <v>0</v>
      </c>
      <c r="G47" s="45"/>
      <c r="H47" s="46">
        <v>0</v>
      </c>
      <c r="I47" s="45"/>
      <c r="J47" s="46">
        <v>0</v>
      </c>
      <c r="K47" s="45"/>
      <c r="L47" s="46">
        <v>2118631.2200000002</v>
      </c>
      <c r="M47" s="43"/>
      <c r="N47" s="44">
        <v>-1915300.6699999997</v>
      </c>
      <c r="P47" s="44">
        <v>203330.55000000051</v>
      </c>
    </row>
    <row r="48" spans="1:16" x14ac:dyDescent="0.25">
      <c r="A48" s="26" t="s">
        <v>103</v>
      </c>
      <c r="B48" s="46">
        <v>45700.5</v>
      </c>
      <c r="C48" s="45"/>
      <c r="D48" s="46">
        <v>0</v>
      </c>
      <c r="E48" s="45"/>
      <c r="F48" s="46">
        <v>0</v>
      </c>
      <c r="G48" s="45"/>
      <c r="H48" s="46">
        <v>0</v>
      </c>
      <c r="I48" s="45"/>
      <c r="J48" s="46">
        <v>0</v>
      </c>
      <c r="K48" s="45"/>
      <c r="L48" s="46">
        <v>45700.5</v>
      </c>
      <c r="M48" s="43"/>
      <c r="N48" s="44">
        <v>0</v>
      </c>
      <c r="P48" s="44">
        <v>45700.5</v>
      </c>
    </row>
    <row r="49" spans="1:16" x14ac:dyDescent="0.25">
      <c r="A49" s="26" t="s">
        <v>104</v>
      </c>
      <c r="B49" s="46">
        <v>1617920.16</v>
      </c>
      <c r="C49" s="45"/>
      <c r="D49" s="46">
        <v>0</v>
      </c>
      <c r="E49" s="45"/>
      <c r="F49" s="46">
        <v>0</v>
      </c>
      <c r="G49" s="45"/>
      <c r="H49" s="46">
        <v>0</v>
      </c>
      <c r="I49" s="45"/>
      <c r="J49" s="46">
        <v>0</v>
      </c>
      <c r="K49" s="45"/>
      <c r="L49" s="46">
        <v>1617920.16</v>
      </c>
      <c r="M49" s="43"/>
      <c r="N49" s="44">
        <v>-793579.4700000002</v>
      </c>
      <c r="P49" s="44">
        <v>824340.68999999971</v>
      </c>
    </row>
    <row r="50" spans="1:16" x14ac:dyDescent="0.25">
      <c r="A50" s="26" t="s">
        <v>106</v>
      </c>
      <c r="B50" s="46">
        <v>21870116.02</v>
      </c>
      <c r="C50" s="45"/>
      <c r="D50" s="46">
        <v>92256.549999999988</v>
      </c>
      <c r="E50" s="45"/>
      <c r="F50" s="46">
        <v>-16050.78</v>
      </c>
      <c r="G50" s="45"/>
      <c r="H50" s="46">
        <v>0</v>
      </c>
      <c r="I50" s="45"/>
      <c r="J50" s="46">
        <v>76205.76999999999</v>
      </c>
      <c r="K50" s="45"/>
      <c r="L50" s="46">
        <v>21946321.789999999</v>
      </c>
      <c r="M50" s="43"/>
      <c r="N50" s="44">
        <v>-7572014.620000001</v>
      </c>
      <c r="P50" s="44">
        <v>14374307.169999998</v>
      </c>
    </row>
    <row r="51" spans="1:16" x14ac:dyDescent="0.25">
      <c r="A51" s="26" t="s">
        <v>109</v>
      </c>
      <c r="B51" s="46">
        <v>7181081.3000000007</v>
      </c>
      <c r="C51" s="45"/>
      <c r="D51" s="46">
        <v>0</v>
      </c>
      <c r="E51" s="45"/>
      <c r="F51" s="46">
        <v>0</v>
      </c>
      <c r="G51" s="45"/>
      <c r="H51" s="46">
        <v>0</v>
      </c>
      <c r="I51" s="45"/>
      <c r="J51" s="46">
        <v>0</v>
      </c>
      <c r="K51" s="45"/>
      <c r="L51" s="46">
        <v>7181081.3000000007</v>
      </c>
      <c r="M51" s="43"/>
      <c r="N51" s="44">
        <v>-4876219.209999999</v>
      </c>
      <c r="P51" s="44">
        <v>2304862.0900000017</v>
      </c>
    </row>
    <row r="52" spans="1:16" x14ac:dyDescent="0.25">
      <c r="A52" s="26" t="s">
        <v>110</v>
      </c>
      <c r="B52" s="46">
        <v>11213584.189999999</v>
      </c>
      <c r="C52" s="45"/>
      <c r="D52" s="46">
        <v>122788.28999999992</v>
      </c>
      <c r="E52" s="45"/>
      <c r="F52" s="46">
        <v>-138698.67000000001</v>
      </c>
      <c r="G52" s="45"/>
      <c r="H52" s="46">
        <v>0</v>
      </c>
      <c r="I52" s="45"/>
      <c r="J52" s="46">
        <v>-15910.380000000092</v>
      </c>
      <c r="K52" s="45"/>
      <c r="L52" s="46">
        <v>11197673.809999999</v>
      </c>
      <c r="M52" s="43"/>
      <c r="N52" s="44">
        <v>-4333583.4100000011</v>
      </c>
      <c r="P52" s="44">
        <v>6864090.3999999976</v>
      </c>
    </row>
    <row r="53" spans="1:16" x14ac:dyDescent="0.25">
      <c r="A53" s="26" t="s">
        <v>111</v>
      </c>
      <c r="B53" s="46">
        <v>16826191.550000001</v>
      </c>
      <c r="C53" s="45"/>
      <c r="D53" s="46">
        <v>-37291.689999999995</v>
      </c>
      <c r="E53" s="45"/>
      <c r="F53" s="46">
        <v>-10021.35</v>
      </c>
      <c r="G53" s="45"/>
      <c r="H53" s="46">
        <v>0</v>
      </c>
      <c r="I53" s="45"/>
      <c r="J53" s="46">
        <v>-47313.039999999994</v>
      </c>
      <c r="K53" s="45"/>
      <c r="L53" s="46">
        <v>16778878.510000002</v>
      </c>
      <c r="M53" s="43"/>
      <c r="N53" s="44">
        <v>-10133949.729999997</v>
      </c>
      <c r="P53" s="44">
        <v>6644928.7800000049</v>
      </c>
    </row>
    <row r="54" spans="1:16" x14ac:dyDescent="0.25">
      <c r="A54" s="26" t="s">
        <v>112</v>
      </c>
      <c r="B54" s="46">
        <v>0</v>
      </c>
      <c r="C54" s="45"/>
      <c r="D54" s="46">
        <v>0</v>
      </c>
      <c r="E54" s="45"/>
      <c r="F54" s="46">
        <v>0</v>
      </c>
      <c r="G54" s="45"/>
      <c r="H54" s="46">
        <v>0</v>
      </c>
      <c r="I54" s="45"/>
      <c r="J54" s="46">
        <v>0</v>
      </c>
      <c r="K54" s="45"/>
      <c r="L54" s="46">
        <v>0</v>
      </c>
      <c r="M54" s="43"/>
      <c r="N54" s="44">
        <v>0</v>
      </c>
      <c r="P54" s="44">
        <v>0</v>
      </c>
    </row>
    <row r="55" spans="1:16" x14ac:dyDescent="0.25">
      <c r="A55" s="26" t="s">
        <v>122</v>
      </c>
      <c r="B55" s="47">
        <v>0</v>
      </c>
      <c r="C55" s="45"/>
      <c r="D55" s="47">
        <v>0</v>
      </c>
      <c r="E55" s="45"/>
      <c r="F55" s="47">
        <v>0</v>
      </c>
      <c r="G55" s="45"/>
      <c r="H55" s="47">
        <v>0</v>
      </c>
      <c r="I55" s="45"/>
      <c r="J55" s="47">
        <v>0</v>
      </c>
      <c r="K55" s="45"/>
      <c r="L55" s="47">
        <v>0</v>
      </c>
      <c r="M55" s="43"/>
      <c r="N55" s="48">
        <v>0</v>
      </c>
      <c r="P55" s="48">
        <v>0</v>
      </c>
    </row>
    <row r="56" spans="1:16" x14ac:dyDescent="0.25">
      <c r="B56" s="46">
        <v>60873224.939999998</v>
      </c>
      <c r="C56" s="45"/>
      <c r="D56" s="46">
        <v>177753.14999999991</v>
      </c>
      <c r="E56" s="45"/>
      <c r="F56" s="46">
        <v>-164770.80000000002</v>
      </c>
      <c r="G56" s="45"/>
      <c r="H56" s="46">
        <v>0</v>
      </c>
      <c r="I56" s="45"/>
      <c r="J56" s="46">
        <v>12982.349999999904</v>
      </c>
      <c r="K56" s="45"/>
      <c r="L56" s="46">
        <v>60886207.290000007</v>
      </c>
      <c r="M56" s="43"/>
      <c r="N56" s="46">
        <v>-29624647.109999999</v>
      </c>
      <c r="P56" s="46">
        <v>31261560.180000003</v>
      </c>
    </row>
    <row r="57" spans="1:16" x14ac:dyDescent="0.25">
      <c r="B57" s="46"/>
      <c r="C57" s="43"/>
      <c r="D57" s="46"/>
      <c r="E57" s="43"/>
      <c r="F57" s="46"/>
      <c r="G57" s="43"/>
      <c r="H57" s="46"/>
      <c r="I57" s="43"/>
      <c r="J57" s="46"/>
      <c r="K57" s="43"/>
      <c r="L57" s="46"/>
      <c r="M57" s="43"/>
    </row>
    <row r="58" spans="1:16" x14ac:dyDescent="0.25">
      <c r="C58" s="43"/>
      <c r="E58" s="43"/>
      <c r="G58" s="43"/>
      <c r="I58" s="43"/>
      <c r="K58" s="43"/>
      <c r="M58" s="43"/>
    </row>
    <row r="59" spans="1:16" ht="13.8" thickBot="1" x14ac:dyDescent="0.3">
      <c r="A59" s="40" t="s">
        <v>123</v>
      </c>
      <c r="B59" s="49">
        <v>152726917.88999999</v>
      </c>
      <c r="C59" s="45"/>
      <c r="D59" s="49">
        <v>2285295.3199999998</v>
      </c>
      <c r="E59" s="45"/>
      <c r="F59" s="49">
        <v>-925018.70000000007</v>
      </c>
      <c r="G59" s="45"/>
      <c r="H59" s="49">
        <v>-64364.300000000047</v>
      </c>
      <c r="I59" s="45"/>
      <c r="J59" s="49">
        <v>1295912.3199999998</v>
      </c>
      <c r="K59" s="45"/>
      <c r="L59" s="49">
        <v>154022830.21000001</v>
      </c>
      <c r="M59" s="45"/>
      <c r="N59" s="49">
        <v>-70800605.439999998</v>
      </c>
      <c r="P59" s="49">
        <v>83222224.770000011</v>
      </c>
    </row>
    <row r="60" spans="1:16" ht="13.8" thickTop="1" x14ac:dyDescent="0.25">
      <c r="C60" s="43"/>
      <c r="E60" s="43"/>
      <c r="G60" s="43"/>
      <c r="I60" s="43"/>
      <c r="K60" s="43"/>
      <c r="M60" s="43"/>
    </row>
    <row r="61" spans="1:16" x14ac:dyDescent="0.25">
      <c r="B61" s="39">
        <v>0</v>
      </c>
      <c r="C61" s="43"/>
      <c r="E61" s="43"/>
      <c r="G61" s="43"/>
      <c r="I61" s="43"/>
      <c r="K61" s="43"/>
      <c r="M61" s="43"/>
    </row>
    <row r="62" spans="1:16" x14ac:dyDescent="0.25">
      <c r="C62" s="43"/>
      <c r="E62" s="43"/>
      <c r="G62" s="43"/>
      <c r="I62" s="43"/>
      <c r="K62" s="43"/>
      <c r="M62" s="43"/>
    </row>
    <row r="63" spans="1:16" x14ac:dyDescent="0.25">
      <c r="C63" s="43"/>
      <c r="E63" s="43"/>
      <c r="G63" s="43"/>
      <c r="I63" s="43"/>
      <c r="K63" s="43"/>
      <c r="M63" s="43"/>
    </row>
    <row r="64" spans="1:16" x14ac:dyDescent="0.25">
      <c r="C64" s="43"/>
      <c r="E64" s="43"/>
      <c r="G64" s="43"/>
      <c r="I64" s="43"/>
      <c r="K64" s="43"/>
      <c r="M64" s="43"/>
    </row>
    <row r="65" spans="3:13" x14ac:dyDescent="0.25">
      <c r="C65" s="43"/>
      <c r="E65" s="43"/>
      <c r="G65" s="43"/>
      <c r="I65" s="43"/>
      <c r="K65" s="43"/>
      <c r="M65" s="43"/>
    </row>
    <row r="66" spans="3:13" x14ac:dyDescent="0.25">
      <c r="C66" s="43"/>
      <c r="E66" s="43"/>
      <c r="G66" s="43"/>
      <c r="I66" s="43"/>
      <c r="K66" s="43"/>
      <c r="M66" s="43"/>
    </row>
    <row r="67" spans="3:13" x14ac:dyDescent="0.25">
      <c r="C67" s="43"/>
      <c r="E67" s="43"/>
      <c r="G67" s="43"/>
      <c r="I67" s="43"/>
      <c r="K67" s="43"/>
      <c r="M67" s="43"/>
    </row>
    <row r="68" spans="3:13" x14ac:dyDescent="0.25">
      <c r="C68" s="43"/>
      <c r="E68" s="43"/>
      <c r="G68" s="43"/>
      <c r="I68" s="43"/>
      <c r="K68" s="43"/>
      <c r="M68" s="43"/>
    </row>
    <row r="69" spans="3:13" x14ac:dyDescent="0.25">
      <c r="C69" s="43"/>
      <c r="E69" s="43"/>
      <c r="G69" s="43"/>
      <c r="I69" s="43"/>
      <c r="K69" s="43"/>
      <c r="M69" s="43"/>
    </row>
    <row r="70" spans="3:13" x14ac:dyDescent="0.25">
      <c r="C70" s="43"/>
      <c r="E70" s="43"/>
      <c r="G70" s="43"/>
      <c r="I70" s="43"/>
      <c r="K70" s="43"/>
      <c r="M70" s="43"/>
    </row>
    <row r="71" spans="3:13" x14ac:dyDescent="0.25">
      <c r="C71" s="43"/>
      <c r="E71" s="43"/>
      <c r="G71" s="43"/>
      <c r="I71" s="43"/>
      <c r="K71" s="43"/>
      <c r="M71" s="43"/>
    </row>
    <row r="72" spans="3:13" x14ac:dyDescent="0.25">
      <c r="C72" s="43"/>
      <c r="E72" s="43"/>
      <c r="G72" s="43"/>
      <c r="I72" s="43"/>
      <c r="K72" s="43"/>
      <c r="M72" s="43"/>
    </row>
    <row r="73" spans="3:13" x14ac:dyDescent="0.25">
      <c r="C73" s="43"/>
      <c r="E73" s="43"/>
      <c r="G73" s="43"/>
      <c r="I73" s="43"/>
      <c r="K73" s="43"/>
      <c r="M73" s="43"/>
    </row>
    <row r="74" spans="3:13" x14ac:dyDescent="0.25">
      <c r="C74" s="43"/>
      <c r="E74" s="43"/>
      <c r="G74" s="43"/>
      <c r="I74" s="43"/>
      <c r="K74" s="43"/>
      <c r="M74" s="43"/>
    </row>
    <row r="75" spans="3:13" x14ac:dyDescent="0.25">
      <c r="C75" s="43"/>
      <c r="E75" s="43"/>
      <c r="G75" s="43"/>
      <c r="I75" s="43"/>
      <c r="K75" s="43"/>
      <c r="M75" s="43"/>
    </row>
    <row r="76" spans="3:13" x14ac:dyDescent="0.25">
      <c r="C76" s="43"/>
      <c r="E76" s="43"/>
      <c r="G76" s="43"/>
      <c r="I76" s="43"/>
      <c r="K76" s="43"/>
      <c r="M76" s="43"/>
    </row>
    <row r="77" spans="3:13" x14ac:dyDescent="0.25">
      <c r="C77" s="43"/>
      <c r="E77" s="43"/>
      <c r="G77" s="43"/>
      <c r="I77" s="43"/>
      <c r="K77" s="43"/>
      <c r="M77" s="43"/>
    </row>
    <row r="78" spans="3:13" x14ac:dyDescent="0.25">
      <c r="C78" s="43"/>
      <c r="E78" s="43"/>
      <c r="G78" s="43"/>
      <c r="I78" s="43"/>
      <c r="K78" s="43"/>
      <c r="M78" s="43"/>
    </row>
    <row r="79" spans="3:13" x14ac:dyDescent="0.25">
      <c r="C79" s="43"/>
      <c r="E79" s="43"/>
      <c r="G79" s="43"/>
      <c r="I79" s="43"/>
      <c r="K79" s="43"/>
      <c r="M79" s="43"/>
    </row>
    <row r="80" spans="3:13" x14ac:dyDescent="0.25">
      <c r="C80" s="43"/>
      <c r="E80" s="43"/>
      <c r="G80" s="43"/>
      <c r="I80" s="43"/>
      <c r="K80" s="43"/>
      <c r="M80" s="43"/>
    </row>
    <row r="81" spans="3:13" x14ac:dyDescent="0.25">
      <c r="C81" s="43"/>
      <c r="E81" s="43"/>
      <c r="G81" s="43"/>
      <c r="I81" s="43"/>
      <c r="K81" s="43"/>
      <c r="M81" s="43"/>
    </row>
    <row r="82" spans="3:13" x14ac:dyDescent="0.25">
      <c r="C82" s="43"/>
      <c r="E82" s="43"/>
      <c r="G82" s="43"/>
      <c r="I82" s="43"/>
      <c r="K82" s="43"/>
      <c r="M82" s="43"/>
    </row>
    <row r="83" spans="3:13" x14ac:dyDescent="0.25">
      <c r="C83" s="43"/>
      <c r="E83" s="43"/>
      <c r="G83" s="43"/>
      <c r="I83" s="43"/>
      <c r="K83" s="43"/>
      <c r="M83" s="43"/>
    </row>
    <row r="84" spans="3:13" x14ac:dyDescent="0.25">
      <c r="C84" s="43"/>
      <c r="E84" s="43"/>
      <c r="G84" s="43"/>
      <c r="I84" s="43"/>
      <c r="K84" s="43"/>
      <c r="M84" s="43"/>
    </row>
    <row r="85" spans="3:13" x14ac:dyDescent="0.25">
      <c r="C85" s="43"/>
      <c r="E85" s="43"/>
      <c r="G85" s="43"/>
      <c r="I85" s="43"/>
      <c r="K85" s="43"/>
      <c r="M85" s="43"/>
    </row>
    <row r="86" spans="3:13" x14ac:dyDescent="0.25">
      <c r="C86" s="43"/>
      <c r="E86" s="43"/>
      <c r="G86" s="43"/>
      <c r="I86" s="43"/>
      <c r="K86" s="43"/>
      <c r="M86" s="43"/>
    </row>
    <row r="87" spans="3:13" x14ac:dyDescent="0.25">
      <c r="C87" s="43"/>
      <c r="E87" s="43"/>
      <c r="G87" s="43"/>
      <c r="I87" s="43"/>
      <c r="K87" s="43"/>
      <c r="M87" s="43"/>
    </row>
    <row r="88" spans="3:13" x14ac:dyDescent="0.25">
      <c r="C88" s="43"/>
      <c r="E88" s="43"/>
      <c r="G88" s="43"/>
      <c r="I88" s="43"/>
      <c r="K88" s="43"/>
      <c r="M88" s="43"/>
    </row>
    <row r="89" spans="3:13" x14ac:dyDescent="0.25">
      <c r="C89" s="43"/>
      <c r="E89" s="43"/>
      <c r="G89" s="43"/>
      <c r="I89" s="43"/>
      <c r="K89" s="43"/>
      <c r="M89" s="43"/>
    </row>
    <row r="90" spans="3:13" x14ac:dyDescent="0.25">
      <c r="C90" s="43"/>
      <c r="E90" s="43"/>
      <c r="G90" s="43"/>
      <c r="I90" s="43"/>
      <c r="K90" s="43"/>
      <c r="M90" s="43"/>
    </row>
    <row r="91" spans="3:13" x14ac:dyDescent="0.25">
      <c r="C91" s="43"/>
      <c r="E91" s="43"/>
      <c r="G91" s="43"/>
      <c r="I91" s="43"/>
      <c r="K91" s="43"/>
      <c r="M91" s="43"/>
    </row>
    <row r="92" spans="3:13" x14ac:dyDescent="0.25">
      <c r="C92" s="43"/>
      <c r="E92" s="43"/>
      <c r="G92" s="43"/>
      <c r="I92" s="43"/>
      <c r="K92" s="43"/>
      <c r="M92" s="43"/>
    </row>
    <row r="93" spans="3:13" x14ac:dyDescent="0.25">
      <c r="C93" s="43"/>
      <c r="E93" s="43"/>
      <c r="G93" s="43"/>
      <c r="I93" s="43"/>
      <c r="K93" s="43"/>
      <c r="M93" s="43"/>
    </row>
    <row r="94" spans="3:13" x14ac:dyDescent="0.25">
      <c r="C94" s="43"/>
      <c r="E94" s="43"/>
      <c r="G94" s="43"/>
      <c r="I94" s="43"/>
      <c r="K94" s="43"/>
      <c r="M94" s="43"/>
    </row>
    <row r="95" spans="3:13" x14ac:dyDescent="0.25">
      <c r="C95" s="43"/>
      <c r="E95" s="43"/>
      <c r="G95" s="43"/>
      <c r="I95" s="43"/>
      <c r="K95" s="43"/>
      <c r="M95" s="43"/>
    </row>
    <row r="96" spans="3:13" x14ac:dyDescent="0.25">
      <c r="C96" s="43"/>
      <c r="E96" s="43"/>
      <c r="G96" s="43"/>
      <c r="I96" s="43"/>
      <c r="K96" s="43"/>
      <c r="M96" s="43"/>
    </row>
    <row r="97" spans="3:13" x14ac:dyDescent="0.25">
      <c r="C97" s="43"/>
      <c r="E97" s="43"/>
      <c r="G97" s="43"/>
      <c r="I97" s="43"/>
      <c r="K97" s="43"/>
      <c r="M97" s="43"/>
    </row>
    <row r="98" spans="3:13" x14ac:dyDescent="0.25">
      <c r="C98" s="43"/>
      <c r="E98" s="43"/>
      <c r="G98" s="43"/>
      <c r="I98" s="43"/>
      <c r="K98" s="43"/>
      <c r="M98" s="43"/>
    </row>
    <row r="99" spans="3:13" x14ac:dyDescent="0.25">
      <c r="C99" s="43"/>
      <c r="E99" s="43"/>
      <c r="G99" s="43"/>
      <c r="I99" s="43"/>
      <c r="K99" s="43"/>
      <c r="M99" s="43"/>
    </row>
    <row r="100" spans="3:13" x14ac:dyDescent="0.25">
      <c r="C100" s="43"/>
      <c r="E100" s="43"/>
      <c r="G100" s="43"/>
      <c r="I100" s="43"/>
      <c r="K100" s="43"/>
      <c r="M100" s="43"/>
    </row>
  </sheetData>
  <pageMargins left="0.7" right="0.7" top="0.75" bottom="0.75" header="0.3" footer="0.3"/>
  <pageSetup scale="76" fitToHeight="0" orientation="portrait" r:id="rId1"/>
  <headerFooter>
    <oddHeader>&amp;R&amp;"times,Bold"&amp;12Attachment to Response to LFUCG-2 Question No. 4 - Att  7
&amp;P of &amp;N
Malloy</oddHeader>
  </headerFooter>
  <rowBreaks count="1" manualBreakCount="1">
    <brk id="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39"/>
  <sheetViews>
    <sheetView zoomScaleNormal="100" workbookViewId="0">
      <selection activeCell="C38" sqref="C38"/>
    </sheetView>
  </sheetViews>
  <sheetFormatPr defaultColWidth="9.109375" defaultRowHeight="13.2" x14ac:dyDescent="0.25"/>
  <cols>
    <col min="1" max="1" width="38.109375" style="26" bestFit="1" customWidth="1"/>
    <col min="2" max="2" width="17.6640625" style="39" customWidth="1"/>
    <col min="3" max="3" width="1.6640625" style="26" customWidth="1"/>
    <col min="4" max="4" width="17.6640625" style="39" customWidth="1"/>
    <col min="5" max="5" width="1.6640625" style="26" customWidth="1"/>
    <col min="6" max="6" width="17.6640625" style="39" customWidth="1"/>
    <col min="7" max="7" width="1.6640625" style="26" customWidth="1"/>
    <col min="8" max="8" width="17.6640625" style="39" customWidth="1"/>
    <col min="9" max="9" width="1.6640625" style="26" customWidth="1"/>
    <col min="10" max="10" width="17.6640625" style="39" customWidth="1"/>
    <col min="11" max="11" width="1.6640625" style="26" customWidth="1"/>
    <col min="12" max="12" width="17.6640625" style="39" customWidth="1"/>
    <col min="13" max="13" width="2.6640625" style="26" customWidth="1"/>
    <col min="14" max="14" width="14" style="26" customWidth="1"/>
    <col min="15" max="15" width="2.109375" style="26" customWidth="1"/>
    <col min="16" max="16" width="23.109375" style="26" bestFit="1" customWidth="1"/>
    <col min="17" max="16384" width="9.109375" style="26"/>
  </cols>
  <sheetData>
    <row r="1" spans="1:16" s="9" customFormat="1" ht="15.6" x14ac:dyDescent="0.3">
      <c r="A1" s="258" t="s">
        <v>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s="9" customFormat="1" ht="15.6" x14ac:dyDescent="0.3">
      <c r="A2" s="258" t="s">
        <v>124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x14ac:dyDescent="0.25">
      <c r="A3" s="260" t="s">
        <v>572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25">
      <c r="A4" s="37"/>
      <c r="B4" s="54"/>
      <c r="C4" s="37"/>
      <c r="D4" s="54"/>
      <c r="E4" s="37"/>
      <c r="F4" s="54"/>
      <c r="G4" s="37"/>
      <c r="H4" s="54"/>
      <c r="I4" s="37"/>
      <c r="J4" s="54"/>
      <c r="K4" s="37"/>
      <c r="L4" s="54"/>
    </row>
    <row r="5" spans="1:16" x14ac:dyDescent="0.25">
      <c r="A5" s="37"/>
      <c r="B5" s="54"/>
      <c r="C5" s="37"/>
      <c r="D5" s="54"/>
      <c r="E5" s="37"/>
      <c r="F5" s="54"/>
      <c r="G5" s="37"/>
      <c r="H5" s="54"/>
      <c r="I5" s="37"/>
      <c r="J5" s="54"/>
      <c r="K5" s="37"/>
      <c r="L5" s="54"/>
    </row>
    <row r="7" spans="1:16" x14ac:dyDescent="0.25">
      <c r="B7" s="38" t="s">
        <v>15</v>
      </c>
      <c r="H7" s="38" t="s">
        <v>16</v>
      </c>
      <c r="L7" s="38" t="s">
        <v>17</v>
      </c>
      <c r="P7" s="40" t="s">
        <v>18</v>
      </c>
    </row>
    <row r="8" spans="1:16" s="10" customFormat="1" x14ac:dyDescent="0.25">
      <c r="B8" s="41" t="s">
        <v>19</v>
      </c>
      <c r="C8" s="26"/>
      <c r="D8" s="41" t="s">
        <v>20</v>
      </c>
      <c r="E8" s="26"/>
      <c r="F8" s="41" t="s">
        <v>21</v>
      </c>
      <c r="G8" s="26"/>
      <c r="H8" s="41" t="s">
        <v>22</v>
      </c>
      <c r="I8" s="26"/>
      <c r="J8" s="41" t="s">
        <v>23</v>
      </c>
      <c r="K8" s="26"/>
      <c r="L8" s="41" t="s">
        <v>19</v>
      </c>
      <c r="N8" s="41" t="s">
        <v>24</v>
      </c>
      <c r="P8" s="41" t="s">
        <v>25</v>
      </c>
    </row>
    <row r="9" spans="1:16" s="10" customFormat="1" x14ac:dyDescent="0.25">
      <c r="A9" s="14" t="s">
        <v>26</v>
      </c>
      <c r="B9" s="42"/>
      <c r="C9" s="26"/>
      <c r="D9" s="42"/>
      <c r="E9" s="26"/>
      <c r="F9" s="42"/>
      <c r="G9" s="26"/>
      <c r="H9" s="42"/>
      <c r="I9" s="26"/>
      <c r="J9" s="42"/>
      <c r="K9" s="26"/>
      <c r="L9" s="42"/>
    </row>
    <row r="10" spans="1:16" s="10" customFormat="1" x14ac:dyDescent="0.25">
      <c r="A10" s="40" t="s">
        <v>27</v>
      </c>
      <c r="B10" s="39"/>
      <c r="C10" s="26"/>
      <c r="D10" s="39"/>
      <c r="E10" s="26"/>
      <c r="F10" s="39"/>
      <c r="G10" s="26"/>
      <c r="H10" s="39"/>
      <c r="I10" s="26"/>
      <c r="J10" s="39"/>
      <c r="K10" s="26"/>
      <c r="L10" s="39"/>
    </row>
    <row r="11" spans="1:16" x14ac:dyDescent="0.25">
      <c r="A11" s="40" t="s">
        <v>28</v>
      </c>
    </row>
    <row r="12" spans="1:16" x14ac:dyDescent="0.25">
      <c r="A12" s="26" t="s">
        <v>29</v>
      </c>
      <c r="B12" s="39">
        <v>2627.41</v>
      </c>
      <c r="C12" s="43"/>
      <c r="D12" s="39">
        <v>0</v>
      </c>
      <c r="E12" s="43"/>
      <c r="F12" s="39">
        <v>0</v>
      </c>
      <c r="G12" s="43"/>
      <c r="H12" s="39">
        <v>0</v>
      </c>
      <c r="I12" s="43"/>
      <c r="J12" s="39">
        <v>0</v>
      </c>
      <c r="K12" s="43"/>
      <c r="L12" s="39">
        <v>2627.41</v>
      </c>
      <c r="N12" s="44">
        <v>-2445.5099999999993</v>
      </c>
      <c r="P12" s="44">
        <v>181.90000000000055</v>
      </c>
    </row>
    <row r="13" spans="1:16" x14ac:dyDescent="0.25">
      <c r="A13" s="26" t="s">
        <v>30</v>
      </c>
      <c r="B13" s="39">
        <v>2412.8200000000002</v>
      </c>
      <c r="C13" s="43"/>
      <c r="D13" s="39">
        <v>0</v>
      </c>
      <c r="E13" s="43"/>
      <c r="F13" s="39">
        <v>0</v>
      </c>
      <c r="G13" s="43"/>
      <c r="H13" s="39">
        <v>0</v>
      </c>
      <c r="I13" s="43"/>
      <c r="J13" s="39">
        <v>0</v>
      </c>
      <c r="K13" s="43"/>
      <c r="L13" s="39">
        <v>2412.8200000000002</v>
      </c>
      <c r="N13" s="44">
        <v>0</v>
      </c>
      <c r="P13" s="44">
        <v>2412.8200000000002</v>
      </c>
    </row>
    <row r="14" spans="1:16" x14ac:dyDescent="0.25">
      <c r="A14" s="26" t="s">
        <v>31</v>
      </c>
      <c r="B14" s="39">
        <v>2575.89</v>
      </c>
      <c r="C14" s="43"/>
      <c r="D14" s="39">
        <v>0</v>
      </c>
      <c r="E14" s="43"/>
      <c r="F14" s="39">
        <v>0</v>
      </c>
      <c r="G14" s="43"/>
      <c r="H14" s="39">
        <v>0</v>
      </c>
      <c r="I14" s="43"/>
      <c r="J14" s="39">
        <v>0</v>
      </c>
      <c r="K14" s="43"/>
      <c r="L14" s="39">
        <v>2575.89</v>
      </c>
      <c r="N14" s="44">
        <v>-2589.56</v>
      </c>
      <c r="P14" s="44">
        <v>-13.670000000000073</v>
      </c>
    </row>
    <row r="15" spans="1:16" x14ac:dyDescent="0.25">
      <c r="A15" s="26" t="s">
        <v>32</v>
      </c>
      <c r="B15" s="39">
        <v>66887.25</v>
      </c>
      <c r="C15" s="43"/>
      <c r="D15" s="39">
        <v>0</v>
      </c>
      <c r="E15" s="43"/>
      <c r="F15" s="39">
        <v>0</v>
      </c>
      <c r="G15" s="43"/>
      <c r="H15" s="39">
        <v>0</v>
      </c>
      <c r="I15" s="43"/>
      <c r="J15" s="39">
        <v>0</v>
      </c>
      <c r="K15" s="43"/>
      <c r="L15" s="39">
        <v>66887.25</v>
      </c>
      <c r="N15" s="44">
        <v>-32211.77</v>
      </c>
      <c r="P15" s="44">
        <v>34675.479999999996</v>
      </c>
    </row>
    <row r="16" spans="1:16" x14ac:dyDescent="0.25">
      <c r="A16" s="26" t="s">
        <v>33</v>
      </c>
      <c r="B16" s="39">
        <v>47785.56</v>
      </c>
      <c r="C16" s="43"/>
      <c r="D16" s="39">
        <v>0</v>
      </c>
      <c r="E16" s="43"/>
      <c r="F16" s="39">
        <v>0</v>
      </c>
      <c r="G16" s="43"/>
      <c r="H16" s="39">
        <v>0</v>
      </c>
      <c r="I16" s="43"/>
      <c r="J16" s="39">
        <v>0</v>
      </c>
      <c r="K16" s="43"/>
      <c r="L16" s="39">
        <v>47785.56</v>
      </c>
      <c r="N16" s="44">
        <v>-45892.209999999992</v>
      </c>
      <c r="P16" s="44">
        <v>1893.3500000000058</v>
      </c>
    </row>
    <row r="17" spans="1:16" x14ac:dyDescent="0.25">
      <c r="A17" s="26" t="s">
        <v>34</v>
      </c>
      <c r="B17" s="39">
        <v>46763.22</v>
      </c>
      <c r="C17" s="43"/>
      <c r="D17" s="39">
        <v>0</v>
      </c>
      <c r="E17" s="43"/>
      <c r="F17" s="39">
        <v>0</v>
      </c>
      <c r="G17" s="43"/>
      <c r="H17" s="39">
        <v>0</v>
      </c>
      <c r="I17" s="43"/>
      <c r="J17" s="39">
        <v>0</v>
      </c>
      <c r="K17" s="43"/>
      <c r="L17" s="39">
        <v>46763.22</v>
      </c>
      <c r="N17" s="44">
        <v>-50575.280000000013</v>
      </c>
      <c r="P17" s="44">
        <v>-3812.0600000000122</v>
      </c>
    </row>
    <row r="18" spans="1:16" x14ac:dyDescent="0.25">
      <c r="A18" s="26" t="s">
        <v>35</v>
      </c>
      <c r="B18" s="39">
        <v>0</v>
      </c>
      <c r="C18" s="43"/>
      <c r="D18" s="39">
        <v>0</v>
      </c>
      <c r="E18" s="43"/>
      <c r="F18" s="39">
        <v>0</v>
      </c>
      <c r="G18" s="43"/>
      <c r="H18" s="39">
        <v>0</v>
      </c>
      <c r="I18" s="43"/>
      <c r="J18" s="39">
        <v>0</v>
      </c>
      <c r="K18" s="43"/>
      <c r="L18" s="39">
        <v>0</v>
      </c>
      <c r="N18" s="44">
        <v>0</v>
      </c>
      <c r="P18" s="44">
        <v>0</v>
      </c>
    </row>
    <row r="19" spans="1:16" x14ac:dyDescent="0.25">
      <c r="A19" s="26" t="s">
        <v>125</v>
      </c>
      <c r="B19" s="39">
        <v>0</v>
      </c>
      <c r="C19" s="43"/>
      <c r="D19" s="39">
        <v>0</v>
      </c>
      <c r="E19" s="43"/>
      <c r="F19" s="39">
        <v>0</v>
      </c>
      <c r="G19" s="43"/>
      <c r="H19" s="39">
        <v>0</v>
      </c>
      <c r="I19" s="43"/>
      <c r="J19" s="39">
        <v>0</v>
      </c>
      <c r="K19" s="43"/>
      <c r="L19" s="39">
        <v>0</v>
      </c>
      <c r="N19" s="44">
        <v>0</v>
      </c>
      <c r="P19" s="44">
        <v>0</v>
      </c>
    </row>
    <row r="20" spans="1:16" x14ac:dyDescent="0.25">
      <c r="A20" s="26" t="s">
        <v>37</v>
      </c>
      <c r="B20" s="39">
        <v>3118.28</v>
      </c>
      <c r="C20" s="43"/>
      <c r="D20" s="39">
        <v>0</v>
      </c>
      <c r="E20" s="43"/>
      <c r="F20" s="39">
        <v>0</v>
      </c>
      <c r="G20" s="43"/>
      <c r="H20" s="39">
        <v>0</v>
      </c>
      <c r="I20" s="43"/>
      <c r="J20" s="39">
        <v>0</v>
      </c>
      <c r="K20" s="43"/>
      <c r="L20" s="39">
        <v>3118.28</v>
      </c>
      <c r="N20" s="44">
        <v>-5094.8899999999985</v>
      </c>
      <c r="P20" s="44">
        <v>-1976.6099999999983</v>
      </c>
    </row>
    <row r="21" spans="1:16" x14ac:dyDescent="0.25">
      <c r="A21" s="26" t="s">
        <v>38</v>
      </c>
      <c r="B21" s="39">
        <v>254.62</v>
      </c>
      <c r="C21" s="43"/>
      <c r="D21" s="39">
        <v>0</v>
      </c>
      <c r="E21" s="43"/>
      <c r="F21" s="39">
        <v>0</v>
      </c>
      <c r="G21" s="43"/>
      <c r="H21" s="39">
        <v>0</v>
      </c>
      <c r="I21" s="43"/>
      <c r="J21" s="39">
        <v>0</v>
      </c>
      <c r="K21" s="43"/>
      <c r="L21" s="39">
        <v>254.62</v>
      </c>
      <c r="N21" s="44">
        <v>-1141.8900000000001</v>
      </c>
      <c r="P21" s="44">
        <v>-887.2700000000001</v>
      </c>
    </row>
    <row r="22" spans="1:16" x14ac:dyDescent="0.25">
      <c r="A22" s="26" t="s">
        <v>39</v>
      </c>
      <c r="B22" s="39">
        <v>4199.21</v>
      </c>
      <c r="C22" s="43"/>
      <c r="D22" s="39">
        <v>0</v>
      </c>
      <c r="E22" s="43"/>
      <c r="F22" s="39">
        <v>0</v>
      </c>
      <c r="G22" s="43"/>
      <c r="H22" s="39">
        <v>0</v>
      </c>
      <c r="I22" s="43"/>
      <c r="J22" s="39">
        <v>0</v>
      </c>
      <c r="K22" s="43"/>
      <c r="L22" s="39">
        <v>4199.21</v>
      </c>
      <c r="N22" s="44">
        <v>-245.22999999999973</v>
      </c>
      <c r="P22" s="44">
        <v>3953.9800000000005</v>
      </c>
    </row>
    <row r="23" spans="1:16" x14ac:dyDescent="0.25">
      <c r="A23" s="26" t="s">
        <v>41</v>
      </c>
      <c r="B23" s="47">
        <v>0</v>
      </c>
      <c r="C23" s="45"/>
      <c r="D23" s="47">
        <v>0</v>
      </c>
      <c r="E23" s="45"/>
      <c r="F23" s="47">
        <v>0</v>
      </c>
      <c r="G23" s="45"/>
      <c r="H23" s="47">
        <v>0</v>
      </c>
      <c r="I23" s="45"/>
      <c r="J23" s="47">
        <v>0</v>
      </c>
      <c r="K23" s="45"/>
      <c r="L23" s="47">
        <v>0</v>
      </c>
      <c r="M23" s="55"/>
      <c r="N23" s="48">
        <v>0</v>
      </c>
      <c r="P23" s="48">
        <v>0</v>
      </c>
    </row>
    <row r="24" spans="1:16" x14ac:dyDescent="0.25">
      <c r="B24" s="46">
        <v>176624.25999999998</v>
      </c>
      <c r="C24" s="45"/>
      <c r="D24" s="46">
        <v>0</v>
      </c>
      <c r="E24" s="45"/>
      <c r="F24" s="46">
        <v>0</v>
      </c>
      <c r="G24" s="45"/>
      <c r="H24" s="46">
        <v>0</v>
      </c>
      <c r="I24" s="45"/>
      <c r="J24" s="46">
        <v>0</v>
      </c>
      <c r="K24" s="45"/>
      <c r="L24" s="46">
        <v>176624.25999999998</v>
      </c>
      <c r="M24" s="55"/>
      <c r="N24" s="46">
        <v>-140196.34000000003</v>
      </c>
      <c r="P24" s="46">
        <v>36427.919999999991</v>
      </c>
    </row>
    <row r="25" spans="1:16" x14ac:dyDescent="0.25">
      <c r="B25" s="46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55"/>
    </row>
    <row r="26" spans="1:16" x14ac:dyDescent="0.25">
      <c r="A26" s="40" t="s">
        <v>101</v>
      </c>
      <c r="B26" s="46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55"/>
    </row>
    <row r="27" spans="1:16" x14ac:dyDescent="0.25">
      <c r="A27" s="26" t="s">
        <v>102</v>
      </c>
      <c r="B27" s="46">
        <v>439.53</v>
      </c>
      <c r="C27" s="45"/>
      <c r="D27" s="46">
        <v>0</v>
      </c>
      <c r="E27" s="45"/>
      <c r="F27" s="46">
        <v>0</v>
      </c>
      <c r="G27" s="45"/>
      <c r="H27" s="46">
        <v>0</v>
      </c>
      <c r="I27" s="45"/>
      <c r="J27" s="46">
        <v>0</v>
      </c>
      <c r="K27" s="45"/>
      <c r="L27" s="46">
        <v>439.53</v>
      </c>
      <c r="M27" s="55"/>
      <c r="N27" s="44">
        <v>-363.15999999999997</v>
      </c>
      <c r="P27" s="44">
        <v>76.37</v>
      </c>
    </row>
    <row r="28" spans="1:16" x14ac:dyDescent="0.25">
      <c r="A28" s="26" t="s">
        <v>110</v>
      </c>
      <c r="B28" s="46">
        <v>125979</v>
      </c>
      <c r="C28" s="45"/>
      <c r="D28" s="46">
        <v>0</v>
      </c>
      <c r="E28" s="45"/>
      <c r="F28" s="46">
        <v>0</v>
      </c>
      <c r="G28" s="45"/>
      <c r="H28" s="46">
        <v>0</v>
      </c>
      <c r="I28" s="45"/>
      <c r="J28" s="46">
        <v>0</v>
      </c>
      <c r="K28" s="45"/>
      <c r="L28" s="46">
        <v>125979</v>
      </c>
      <c r="M28" s="55"/>
      <c r="N28" s="44">
        <v>-84721.650000000009</v>
      </c>
      <c r="P28" s="44">
        <v>41257.349999999991</v>
      </c>
    </row>
    <row r="29" spans="1:16" x14ac:dyDescent="0.25">
      <c r="A29" s="26" t="s">
        <v>111</v>
      </c>
      <c r="B29" s="47">
        <v>78061.73</v>
      </c>
      <c r="C29" s="45"/>
      <c r="D29" s="47">
        <v>0</v>
      </c>
      <c r="E29" s="45"/>
      <c r="F29" s="47">
        <v>0</v>
      </c>
      <c r="G29" s="45"/>
      <c r="H29" s="47">
        <v>0</v>
      </c>
      <c r="I29" s="45"/>
      <c r="J29" s="47">
        <v>0</v>
      </c>
      <c r="K29" s="45"/>
      <c r="L29" s="47">
        <v>78061.73</v>
      </c>
      <c r="M29" s="55"/>
      <c r="N29" s="48">
        <v>-51312.45</v>
      </c>
      <c r="P29" s="48">
        <v>26749.279999999999</v>
      </c>
    </row>
    <row r="30" spans="1:16" x14ac:dyDescent="0.25">
      <c r="B30" s="46">
        <v>204480.26</v>
      </c>
      <c r="C30" s="45"/>
      <c r="D30" s="46">
        <v>0</v>
      </c>
      <c r="E30" s="45"/>
      <c r="F30" s="46">
        <v>0</v>
      </c>
      <c r="G30" s="45"/>
      <c r="H30" s="46">
        <v>0</v>
      </c>
      <c r="I30" s="45"/>
      <c r="J30" s="46">
        <v>0</v>
      </c>
      <c r="K30" s="45"/>
      <c r="L30" s="46">
        <v>204480.26</v>
      </c>
      <c r="M30" s="55"/>
      <c r="N30" s="46">
        <v>-136397.26</v>
      </c>
      <c r="P30" s="46">
        <v>68083</v>
      </c>
    </row>
    <row r="31" spans="1:16" x14ac:dyDescent="0.25">
      <c r="B31" s="46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55"/>
    </row>
    <row r="32" spans="1:16" x14ac:dyDescent="0.25">
      <c r="C32" s="43"/>
      <c r="E32" s="43"/>
      <c r="G32" s="43"/>
      <c r="I32" s="43"/>
      <c r="K32" s="43"/>
    </row>
    <row r="33" spans="1:16" ht="13.8" thickBot="1" x14ac:dyDescent="0.3">
      <c r="A33" s="40" t="s">
        <v>126</v>
      </c>
      <c r="B33" s="49">
        <v>381104.52</v>
      </c>
      <c r="C33" s="43"/>
      <c r="D33" s="49">
        <v>0</v>
      </c>
      <c r="E33" s="43"/>
      <c r="F33" s="49">
        <v>0</v>
      </c>
      <c r="G33" s="43"/>
      <c r="H33" s="49">
        <v>0</v>
      </c>
      <c r="I33" s="43"/>
      <c r="J33" s="49">
        <v>0</v>
      </c>
      <c r="K33" s="43"/>
      <c r="L33" s="49">
        <v>381104.52</v>
      </c>
      <c r="N33" s="49">
        <v>-276593.60000000003</v>
      </c>
      <c r="P33" s="49">
        <v>104510.91999999998</v>
      </c>
    </row>
    <row r="34" spans="1:16" ht="13.8" thickTop="1" x14ac:dyDescent="0.25">
      <c r="C34" s="43"/>
      <c r="E34" s="43"/>
      <c r="G34" s="43"/>
      <c r="I34" s="43"/>
      <c r="K34" s="43"/>
    </row>
    <row r="35" spans="1:16" x14ac:dyDescent="0.25">
      <c r="C35" s="43"/>
      <c r="E35" s="43"/>
      <c r="G35" s="43"/>
      <c r="I35" s="43"/>
      <c r="K35" s="43"/>
    </row>
    <row r="36" spans="1:16" x14ac:dyDescent="0.25">
      <c r="C36" s="43"/>
      <c r="E36" s="43"/>
      <c r="G36" s="43"/>
      <c r="I36" s="43"/>
      <c r="K36" s="43"/>
    </row>
    <row r="37" spans="1:16" x14ac:dyDescent="0.25">
      <c r="C37" s="43"/>
      <c r="E37" s="43"/>
      <c r="G37" s="43"/>
      <c r="I37" s="43"/>
      <c r="K37" s="43"/>
    </row>
    <row r="38" spans="1:16" x14ac:dyDescent="0.25">
      <c r="C38" s="43"/>
      <c r="E38" s="43"/>
      <c r="G38" s="43"/>
      <c r="I38" s="43"/>
      <c r="K38" s="43"/>
    </row>
    <row r="39" spans="1:16" x14ac:dyDescent="0.25">
      <c r="C39" s="43"/>
      <c r="E39" s="43"/>
      <c r="G39" s="43"/>
      <c r="I39" s="43"/>
      <c r="K39" s="43"/>
    </row>
  </sheetData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136"/>
  <sheetViews>
    <sheetView zoomScale="90" zoomScaleNormal="90" workbookViewId="0">
      <selection activeCell="C38" sqref="C38"/>
    </sheetView>
  </sheetViews>
  <sheetFormatPr defaultColWidth="9.109375" defaultRowHeight="13.2" x14ac:dyDescent="0.25"/>
  <cols>
    <col min="1" max="1" width="40.5546875" style="26" bestFit="1" customWidth="1"/>
    <col min="2" max="2" width="18.6640625" style="26" bestFit="1" customWidth="1"/>
    <col min="3" max="3" width="1.6640625" style="26" customWidth="1"/>
    <col min="4" max="4" width="16.33203125" style="26" bestFit="1" customWidth="1"/>
    <col min="5" max="5" width="1.6640625" style="26" customWidth="1"/>
    <col min="6" max="6" width="17" style="26" bestFit="1" customWidth="1"/>
    <col min="7" max="7" width="1.6640625" style="26" customWidth="1"/>
    <col min="8" max="8" width="17.5546875" style="26" bestFit="1" customWidth="1"/>
    <col min="9" max="9" width="1.6640625" style="26" customWidth="1"/>
    <col min="10" max="10" width="19.44140625" style="26" bestFit="1" customWidth="1"/>
    <col min="11" max="11" width="1.5546875" style="26" customWidth="1"/>
    <col min="12" max="12" width="18.33203125" style="26" bestFit="1" customWidth="1"/>
    <col min="13" max="13" width="1.6640625" style="26" customWidth="1"/>
    <col min="14" max="14" width="19" style="26" bestFit="1" customWidth="1"/>
    <col min="15" max="15" width="2.6640625" style="26" customWidth="1"/>
    <col min="16" max="16" width="25.5546875" style="26" bestFit="1" customWidth="1"/>
    <col min="17" max="17" width="17" style="26" customWidth="1"/>
    <col min="18" max="16384" width="9.109375" style="26"/>
  </cols>
  <sheetData>
    <row r="1" spans="1:16" s="9" customFormat="1" ht="15.6" x14ac:dyDescent="0.3">
      <c r="A1" s="258" t="s">
        <v>127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s="9" customFormat="1" ht="15.6" x14ac:dyDescent="0.3">
      <c r="A2" s="261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x14ac:dyDescent="0.25">
      <c r="A3" s="260" t="s">
        <v>572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6" spans="1:16" x14ac:dyDescent="0.25">
      <c r="B6" s="38" t="s">
        <v>15</v>
      </c>
      <c r="D6" s="39"/>
      <c r="F6" s="39"/>
      <c r="H6" s="38" t="s">
        <v>16</v>
      </c>
      <c r="J6" s="38" t="s">
        <v>12</v>
      </c>
      <c r="K6" s="39"/>
      <c r="L6" s="38" t="s">
        <v>17</v>
      </c>
      <c r="P6" s="56" t="s">
        <v>18</v>
      </c>
    </row>
    <row r="7" spans="1:16" s="10" customFormat="1" x14ac:dyDescent="0.25">
      <c r="A7" s="14" t="s">
        <v>129</v>
      </c>
      <c r="B7" s="41" t="s">
        <v>19</v>
      </c>
      <c r="C7" s="26"/>
      <c r="D7" s="41" t="s">
        <v>20</v>
      </c>
      <c r="E7" s="26"/>
      <c r="F7" s="41" t="s">
        <v>21</v>
      </c>
      <c r="G7" s="26"/>
      <c r="H7" s="41" t="s">
        <v>22</v>
      </c>
      <c r="I7" s="26"/>
      <c r="J7" s="41" t="s">
        <v>23</v>
      </c>
      <c r="K7" s="42"/>
      <c r="L7" s="41" t="s">
        <v>19</v>
      </c>
      <c r="N7" s="41" t="s">
        <v>24</v>
      </c>
      <c r="P7" s="41" t="s">
        <v>25</v>
      </c>
    </row>
    <row r="8" spans="1:16" s="10" customFormat="1" x14ac:dyDescent="0.25">
      <c r="A8" s="14" t="s">
        <v>130</v>
      </c>
      <c r="B8" s="42"/>
      <c r="C8" s="26"/>
      <c r="D8" s="42"/>
      <c r="E8" s="26"/>
      <c r="F8" s="42"/>
      <c r="G8" s="26"/>
      <c r="H8" s="42"/>
      <c r="I8" s="26"/>
      <c r="J8" s="42"/>
      <c r="K8" s="42"/>
      <c r="L8" s="42"/>
    </row>
    <row r="9" spans="1:16" s="10" customFormat="1" x14ac:dyDescent="0.25">
      <c r="A9" s="14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6" s="10" customFormat="1" x14ac:dyDescent="0.25">
      <c r="A10" s="14" t="s">
        <v>131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6" s="10" customFormat="1" x14ac:dyDescent="0.25">
      <c r="A11" s="36" t="s">
        <v>29</v>
      </c>
      <c r="B11" s="39">
        <v>0</v>
      </c>
      <c r="C11" s="39"/>
      <c r="D11" s="39">
        <v>0</v>
      </c>
      <c r="E11" s="39"/>
      <c r="F11" s="39">
        <v>0</v>
      </c>
      <c r="G11" s="39"/>
      <c r="H11" s="39">
        <v>0</v>
      </c>
      <c r="I11" s="39"/>
      <c r="J11" s="39">
        <v>0</v>
      </c>
      <c r="K11" s="39"/>
      <c r="L11" s="39">
        <v>0</v>
      </c>
      <c r="M11" s="26"/>
      <c r="N11" s="44">
        <v>0</v>
      </c>
      <c r="P11" s="44">
        <v>0</v>
      </c>
    </row>
    <row r="12" spans="1:16" x14ac:dyDescent="0.25">
      <c r="A12" s="26" t="s">
        <v>30</v>
      </c>
      <c r="B12" s="39">
        <v>4100654.4700000007</v>
      </c>
      <c r="C12" s="39"/>
      <c r="D12" s="39">
        <v>0</v>
      </c>
      <c r="E12" s="39"/>
      <c r="F12" s="39">
        <v>0</v>
      </c>
      <c r="G12" s="39"/>
      <c r="H12" s="39">
        <v>0</v>
      </c>
      <c r="I12" s="39"/>
      <c r="J12" s="39">
        <v>0</v>
      </c>
      <c r="K12" s="39"/>
      <c r="L12" s="39">
        <v>4100654.4700000007</v>
      </c>
      <c r="N12" s="44">
        <v>-31.340000000000003</v>
      </c>
      <c r="P12" s="44">
        <v>4100623.1300000008</v>
      </c>
    </row>
    <row r="13" spans="1:16" x14ac:dyDescent="0.25">
      <c r="A13" s="26" t="s">
        <v>31</v>
      </c>
      <c r="B13" s="39">
        <v>7496623.4399999995</v>
      </c>
      <c r="C13" s="39"/>
      <c r="D13" s="39">
        <v>69996.180000000008</v>
      </c>
      <c r="E13" s="39"/>
      <c r="F13" s="39">
        <v>-9879.8799999999992</v>
      </c>
      <c r="G13" s="39"/>
      <c r="H13" s="39">
        <v>0</v>
      </c>
      <c r="I13" s="39"/>
      <c r="J13" s="39">
        <v>60116.30000000001</v>
      </c>
      <c r="K13" s="39"/>
      <c r="L13" s="39">
        <v>7556739.7399999993</v>
      </c>
      <c r="N13" s="44">
        <v>-2210085.42</v>
      </c>
      <c r="P13" s="44">
        <v>5346654.3199999994</v>
      </c>
    </row>
    <row r="14" spans="1:16" x14ac:dyDescent="0.25">
      <c r="A14" s="26" t="s">
        <v>32</v>
      </c>
      <c r="B14" s="39">
        <v>130844529.67999999</v>
      </c>
      <c r="C14" s="39"/>
      <c r="D14" s="39">
        <v>1251216.82</v>
      </c>
      <c r="E14" s="39"/>
      <c r="F14" s="39">
        <v>-299532.64</v>
      </c>
      <c r="G14" s="39"/>
      <c r="H14" s="39">
        <v>-309281.21999999997</v>
      </c>
      <c r="I14" s="39"/>
      <c r="J14" s="39">
        <v>642402.96000000008</v>
      </c>
      <c r="K14" s="39"/>
      <c r="L14" s="39">
        <v>131486932.63999999</v>
      </c>
      <c r="N14" s="44">
        <v>-42756094.95000001</v>
      </c>
      <c r="P14" s="44">
        <v>88730837.689999968</v>
      </c>
    </row>
    <row r="15" spans="1:16" x14ac:dyDescent="0.25">
      <c r="A15" s="26" t="s">
        <v>33</v>
      </c>
      <c r="B15" s="39">
        <v>180739747.03000003</v>
      </c>
      <c r="C15" s="39"/>
      <c r="D15" s="39">
        <v>7429979.6500000004</v>
      </c>
      <c r="E15" s="39"/>
      <c r="F15" s="39">
        <v>-890239.88</v>
      </c>
      <c r="G15" s="39"/>
      <c r="H15" s="39">
        <v>0</v>
      </c>
      <c r="I15" s="39"/>
      <c r="J15" s="39">
        <v>6539739.7700000005</v>
      </c>
      <c r="K15" s="39"/>
      <c r="L15" s="39">
        <v>187279486.80000004</v>
      </c>
      <c r="N15" s="44">
        <v>-78139544.580000013</v>
      </c>
      <c r="P15" s="44">
        <v>109139942.22000003</v>
      </c>
    </row>
    <row r="16" spans="1:16" x14ac:dyDescent="0.25">
      <c r="A16" s="26" t="s">
        <v>34</v>
      </c>
      <c r="B16" s="39">
        <v>294631650.77999997</v>
      </c>
      <c r="C16" s="39"/>
      <c r="D16" s="39">
        <v>8639343.7199999988</v>
      </c>
      <c r="E16" s="39"/>
      <c r="F16" s="39">
        <v>-868275.64</v>
      </c>
      <c r="G16" s="39"/>
      <c r="H16" s="39">
        <v>0</v>
      </c>
      <c r="I16" s="39"/>
      <c r="J16" s="39">
        <v>7771068.0799999991</v>
      </c>
      <c r="K16" s="39"/>
      <c r="L16" s="39">
        <v>302402718.85999995</v>
      </c>
      <c r="N16" s="44">
        <v>-114900393.39999998</v>
      </c>
      <c r="P16" s="44">
        <v>187502325.45999998</v>
      </c>
    </row>
    <row r="17" spans="1:17" x14ac:dyDescent="0.25">
      <c r="A17" s="26" t="s">
        <v>35</v>
      </c>
      <c r="B17" s="39">
        <v>83283012.959999993</v>
      </c>
      <c r="C17" s="39"/>
      <c r="D17" s="39">
        <v>-4181948.55</v>
      </c>
      <c r="E17" s="39"/>
      <c r="F17" s="39">
        <v>-124305.78</v>
      </c>
      <c r="G17" s="39"/>
      <c r="H17" s="39">
        <v>0</v>
      </c>
      <c r="I17" s="39"/>
      <c r="J17" s="39">
        <v>-4306254.33</v>
      </c>
      <c r="K17" s="39"/>
      <c r="L17" s="39">
        <v>78976758.629999995</v>
      </c>
      <c r="N17" s="44">
        <v>-30733972.169999994</v>
      </c>
      <c r="P17" s="44">
        <v>48242786.460000001</v>
      </c>
    </row>
    <row r="18" spans="1:17" x14ac:dyDescent="0.25">
      <c r="A18" s="26" t="s">
        <v>36</v>
      </c>
      <c r="B18" s="39">
        <v>201672612.00999999</v>
      </c>
      <c r="C18" s="39"/>
      <c r="D18" s="39">
        <v>7557582.290000001</v>
      </c>
      <c r="E18" s="39"/>
      <c r="F18" s="39">
        <v>-627531.65</v>
      </c>
      <c r="G18" s="39"/>
      <c r="H18" s="39">
        <v>0</v>
      </c>
      <c r="I18" s="39"/>
      <c r="J18" s="39">
        <v>6930050.6400000006</v>
      </c>
      <c r="K18" s="39"/>
      <c r="L18" s="39">
        <v>208602662.64999998</v>
      </c>
      <c r="N18" s="44">
        <v>-58038252.960000023</v>
      </c>
      <c r="P18" s="44">
        <v>150564409.68999994</v>
      </c>
    </row>
    <row r="19" spans="1:17" x14ac:dyDescent="0.25">
      <c r="A19" s="26" t="s">
        <v>37</v>
      </c>
      <c r="B19" s="39">
        <v>158614043.70999998</v>
      </c>
      <c r="C19" s="39"/>
      <c r="D19" s="39">
        <v>2550734.6100000003</v>
      </c>
      <c r="E19" s="39"/>
      <c r="F19" s="39">
        <v>-283991.82</v>
      </c>
      <c r="G19" s="39"/>
      <c r="H19" s="39">
        <v>0</v>
      </c>
      <c r="I19" s="39"/>
      <c r="J19" s="39">
        <v>2266742.7900000005</v>
      </c>
      <c r="K19" s="39"/>
      <c r="L19" s="39">
        <v>160880786.49999997</v>
      </c>
      <c r="N19" s="44">
        <v>-75528523.470000014</v>
      </c>
      <c r="P19" s="44">
        <v>85352263.029999956</v>
      </c>
    </row>
    <row r="20" spans="1:17" x14ac:dyDescent="0.25">
      <c r="A20" s="26" t="s">
        <v>132</v>
      </c>
      <c r="B20" s="39">
        <v>7721903.5200000005</v>
      </c>
      <c r="C20" s="39"/>
      <c r="D20" s="39">
        <v>-82333.94</v>
      </c>
      <c r="E20" s="39"/>
      <c r="F20" s="39">
        <v>0</v>
      </c>
      <c r="G20" s="39"/>
      <c r="H20" s="39">
        <v>0</v>
      </c>
      <c r="I20" s="39"/>
      <c r="J20" s="39">
        <v>-82333.94</v>
      </c>
      <c r="K20" s="39"/>
      <c r="L20" s="39">
        <v>7639569.5800000001</v>
      </c>
      <c r="N20" s="44">
        <v>-1762621.4399999995</v>
      </c>
      <c r="P20" s="44">
        <v>5876948.1400000006</v>
      </c>
    </row>
    <row r="21" spans="1:17" x14ac:dyDescent="0.25">
      <c r="A21" s="26" t="s">
        <v>133</v>
      </c>
      <c r="B21" s="39">
        <v>22546422.620000005</v>
      </c>
      <c r="C21" s="39"/>
      <c r="D21" s="39">
        <v>0</v>
      </c>
      <c r="E21" s="39"/>
      <c r="F21" s="39">
        <v>0</v>
      </c>
      <c r="G21" s="39"/>
      <c r="H21" s="39">
        <v>0</v>
      </c>
      <c r="I21" s="39"/>
      <c r="J21" s="39">
        <v>0</v>
      </c>
      <c r="K21" s="39"/>
      <c r="L21" s="39">
        <v>22546422.620000005</v>
      </c>
      <c r="N21" s="44">
        <v>-23287853.040000007</v>
      </c>
      <c r="P21" s="44">
        <v>-741430.42000000179</v>
      </c>
    </row>
    <row r="22" spans="1:17" x14ac:dyDescent="0.25">
      <c r="A22" s="26" t="s">
        <v>39</v>
      </c>
      <c r="B22" s="39">
        <v>41770460.539999999</v>
      </c>
      <c r="C22" s="39"/>
      <c r="D22" s="39">
        <v>353403.79</v>
      </c>
      <c r="E22" s="39"/>
      <c r="F22" s="39">
        <v>-55423.93</v>
      </c>
      <c r="G22" s="39"/>
      <c r="H22" s="39">
        <v>0</v>
      </c>
      <c r="I22" s="39"/>
      <c r="J22" s="39">
        <v>297979.86</v>
      </c>
      <c r="K22" s="39"/>
      <c r="L22" s="39">
        <v>42068440.399999999</v>
      </c>
      <c r="N22" s="44">
        <v>-24954866.129999999</v>
      </c>
      <c r="P22" s="44">
        <v>17113574.27</v>
      </c>
    </row>
    <row r="23" spans="1:17" x14ac:dyDescent="0.25">
      <c r="A23" s="26" t="s">
        <v>134</v>
      </c>
      <c r="B23" s="39">
        <v>1195968.08</v>
      </c>
      <c r="C23" s="39">
        <v>0</v>
      </c>
      <c r="D23" s="39">
        <v>417585.85</v>
      </c>
      <c r="E23" s="39">
        <v>0</v>
      </c>
      <c r="F23" s="39">
        <v>0</v>
      </c>
      <c r="G23" s="39">
        <v>0</v>
      </c>
      <c r="H23" s="39">
        <v>0</v>
      </c>
      <c r="I23" s="39"/>
      <c r="J23" s="39">
        <v>417585.85</v>
      </c>
      <c r="K23" s="39"/>
      <c r="L23" s="39">
        <v>1613553.9300000002</v>
      </c>
      <c r="N23" s="44">
        <v>-29956.559999999998</v>
      </c>
      <c r="P23" s="44">
        <v>1583597.37</v>
      </c>
      <c r="Q23" s="61" t="s">
        <v>152</v>
      </c>
    </row>
    <row r="24" spans="1:17" x14ac:dyDescent="0.25">
      <c r="A24" s="30" t="s">
        <v>135</v>
      </c>
      <c r="B24" s="31">
        <v>41270079.160000004</v>
      </c>
      <c r="C24" s="31"/>
      <c r="D24" s="31">
        <v>2899881.4299999997</v>
      </c>
      <c r="E24" s="31"/>
      <c r="F24" s="31">
        <v>-1822534.31</v>
      </c>
      <c r="G24" s="31"/>
      <c r="H24" s="31">
        <v>0</v>
      </c>
      <c r="I24" s="31"/>
      <c r="J24" s="31">
        <v>1077347.1199999996</v>
      </c>
      <c r="K24" s="31"/>
      <c r="L24" s="31">
        <v>42347426.280000001</v>
      </c>
      <c r="M24" s="30"/>
      <c r="N24" s="29">
        <v>-10177147.520000001</v>
      </c>
      <c r="O24" s="30"/>
      <c r="P24" s="29">
        <v>32170278.759999998</v>
      </c>
      <c r="Q24" s="44">
        <f>0.0397*L24</f>
        <v>1681192.8233159999</v>
      </c>
    </row>
    <row r="25" spans="1:17" x14ac:dyDescent="0.25">
      <c r="A25" s="30" t="s">
        <v>136</v>
      </c>
      <c r="B25" s="31">
        <v>56446011.690000013</v>
      </c>
      <c r="C25" s="31"/>
      <c r="D25" s="31">
        <v>1287859.0499999998</v>
      </c>
      <c r="E25" s="31"/>
      <c r="F25" s="31">
        <v>-311293.19</v>
      </c>
      <c r="G25" s="31"/>
      <c r="H25" s="31">
        <v>0</v>
      </c>
      <c r="I25" s="31"/>
      <c r="J25" s="31">
        <v>976565.85999999987</v>
      </c>
      <c r="K25" s="31"/>
      <c r="L25" s="31">
        <v>57422577.550000012</v>
      </c>
      <c r="M25" s="30"/>
      <c r="N25" s="29">
        <v>-26491510.210000005</v>
      </c>
      <c r="O25" s="30"/>
      <c r="P25" s="29">
        <v>30931067.340000007</v>
      </c>
      <c r="Q25" s="44">
        <f>0.0344*L25</f>
        <v>1975336.6677200005</v>
      </c>
    </row>
    <row r="26" spans="1:17" x14ac:dyDescent="0.25">
      <c r="A26" s="30" t="s">
        <v>137</v>
      </c>
      <c r="B26" s="31">
        <v>0</v>
      </c>
      <c r="C26" s="31"/>
      <c r="D26" s="31">
        <v>0</v>
      </c>
      <c r="E26" s="31"/>
      <c r="F26" s="31">
        <v>0</v>
      </c>
      <c r="G26" s="31"/>
      <c r="H26" s="31">
        <v>0</v>
      </c>
      <c r="I26" s="31"/>
      <c r="J26" s="31">
        <v>0</v>
      </c>
      <c r="K26" s="31"/>
      <c r="L26" s="31">
        <v>0</v>
      </c>
      <c r="M26" s="30"/>
      <c r="N26" s="29">
        <v>0</v>
      </c>
      <c r="O26" s="30"/>
      <c r="P26" s="29">
        <v>0</v>
      </c>
      <c r="Q26" s="44">
        <f>SUM(Q24:Q25)</f>
        <v>3656529.4910360007</v>
      </c>
    </row>
    <row r="27" spans="1:17" x14ac:dyDescent="0.25">
      <c r="A27" s="26" t="s">
        <v>43</v>
      </c>
      <c r="B27" s="39">
        <v>414554.36</v>
      </c>
      <c r="C27" s="39"/>
      <c r="D27" s="39">
        <v>0</v>
      </c>
      <c r="E27" s="39"/>
      <c r="F27" s="39">
        <v>0</v>
      </c>
      <c r="G27" s="39"/>
      <c r="H27" s="39">
        <v>0</v>
      </c>
      <c r="I27" s="39"/>
      <c r="J27" s="39">
        <v>0</v>
      </c>
      <c r="K27" s="46"/>
      <c r="L27" s="39">
        <v>414554.36</v>
      </c>
      <c r="N27" s="44">
        <v>-31774.590000000066</v>
      </c>
      <c r="P27" s="44">
        <v>382779.7699999999</v>
      </c>
    </row>
    <row r="28" spans="1:17" x14ac:dyDescent="0.25">
      <c r="A28" s="36" t="s">
        <v>138</v>
      </c>
      <c r="B28" s="47">
        <v>107736.76999999999</v>
      </c>
      <c r="C28" s="39"/>
      <c r="D28" s="47">
        <v>0</v>
      </c>
      <c r="E28" s="39"/>
      <c r="F28" s="47">
        <v>0</v>
      </c>
      <c r="G28" s="39"/>
      <c r="H28" s="47">
        <v>0</v>
      </c>
      <c r="I28" s="39"/>
      <c r="J28" s="47">
        <v>0</v>
      </c>
      <c r="K28" s="39"/>
      <c r="L28" s="47">
        <v>107736.76999999999</v>
      </c>
      <c r="N28" s="48">
        <v>-14435.579999999998</v>
      </c>
      <c r="P28" s="48">
        <v>93301.189999999988</v>
      </c>
    </row>
    <row r="29" spans="1:17" x14ac:dyDescent="0.25">
      <c r="B29" s="46">
        <v>1232856010.8199997</v>
      </c>
      <c r="C29" s="46"/>
      <c r="D29" s="46">
        <v>28193300.899999999</v>
      </c>
      <c r="E29" s="46"/>
      <c r="F29" s="46">
        <v>-5293008.72</v>
      </c>
      <c r="G29" s="46"/>
      <c r="H29" s="46">
        <v>-309281.21999999997</v>
      </c>
      <c r="I29" s="46"/>
      <c r="J29" s="46">
        <v>22591010.960000001</v>
      </c>
      <c r="K29" s="46"/>
      <c r="L29" s="46">
        <v>1255447021.7799997</v>
      </c>
      <c r="N29" s="46">
        <v>-489057063.36000001</v>
      </c>
      <c r="P29" s="46">
        <v>766389958.41999996</v>
      </c>
    </row>
    <row r="30" spans="1:17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7" x14ac:dyDescent="0.25">
      <c r="A31" s="14" t="s">
        <v>139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7" x14ac:dyDescent="0.25">
      <c r="A32" s="36" t="s">
        <v>53</v>
      </c>
      <c r="B32" s="46">
        <v>740166.03</v>
      </c>
      <c r="C32" s="46"/>
      <c r="D32" s="46">
        <v>70151.520000000004</v>
      </c>
      <c r="E32" s="46"/>
      <c r="F32" s="46">
        <v>-27381.54</v>
      </c>
      <c r="G32" s="46"/>
      <c r="H32" s="46">
        <v>0</v>
      </c>
      <c r="I32" s="46"/>
      <c r="J32" s="46">
        <v>42769.98</v>
      </c>
      <c r="K32" s="46"/>
      <c r="L32" s="39">
        <v>782936.01</v>
      </c>
      <c r="N32" s="44">
        <v>-440773.94000000006</v>
      </c>
      <c r="P32" s="44">
        <v>342162.06999999995</v>
      </c>
    </row>
    <row r="33" spans="1:16" x14ac:dyDescent="0.25">
      <c r="A33" s="26" t="s">
        <v>54</v>
      </c>
      <c r="B33" s="46">
        <v>3030111.1400000006</v>
      </c>
      <c r="C33" s="46"/>
      <c r="D33" s="46">
        <v>1648766.84</v>
      </c>
      <c r="E33" s="46"/>
      <c r="F33" s="46">
        <v>-48978.5</v>
      </c>
      <c r="G33" s="46"/>
      <c r="H33" s="46">
        <v>0</v>
      </c>
      <c r="I33" s="46"/>
      <c r="J33" s="46">
        <v>1599788.34</v>
      </c>
      <c r="K33" s="46"/>
      <c r="L33" s="39">
        <v>4629899.4800000004</v>
      </c>
      <c r="N33" s="44">
        <v>-1803657.9600000018</v>
      </c>
      <c r="P33" s="44">
        <v>2826241.5199999986</v>
      </c>
    </row>
    <row r="34" spans="1:16" x14ac:dyDescent="0.25">
      <c r="A34" s="26" t="s">
        <v>140</v>
      </c>
      <c r="B34" s="46">
        <v>499404.83</v>
      </c>
      <c r="C34" s="46"/>
      <c r="D34" s="46">
        <v>0</v>
      </c>
      <c r="E34" s="46"/>
      <c r="F34" s="46">
        <v>0</v>
      </c>
      <c r="G34" s="46"/>
      <c r="H34" s="46">
        <v>0</v>
      </c>
      <c r="I34" s="46"/>
      <c r="J34" s="46">
        <v>0</v>
      </c>
      <c r="K34" s="46"/>
      <c r="L34" s="39">
        <v>499404.83</v>
      </c>
      <c r="N34" s="44">
        <v>-132587.97</v>
      </c>
      <c r="P34" s="44">
        <v>366816.86</v>
      </c>
    </row>
    <row r="35" spans="1:16" x14ac:dyDescent="0.25">
      <c r="A35" s="26" t="s">
        <v>56</v>
      </c>
      <c r="B35" s="46">
        <v>6352111.7800000012</v>
      </c>
      <c r="C35" s="46"/>
      <c r="D35" s="46">
        <v>54789.130000000005</v>
      </c>
      <c r="E35" s="46"/>
      <c r="F35" s="46">
        <v>-92166.14</v>
      </c>
      <c r="G35" s="46"/>
      <c r="H35" s="46">
        <v>0</v>
      </c>
      <c r="I35" s="46"/>
      <c r="J35" s="46">
        <v>-37377.009999999995</v>
      </c>
      <c r="K35" s="46"/>
      <c r="L35" s="39">
        <v>6314734.7700000014</v>
      </c>
      <c r="N35" s="44">
        <v>-2373836.2999999998</v>
      </c>
      <c r="P35" s="44">
        <v>3940898.4700000016</v>
      </c>
    </row>
    <row r="36" spans="1:16" x14ac:dyDescent="0.25">
      <c r="A36" s="26" t="s">
        <v>57</v>
      </c>
      <c r="B36" s="46">
        <v>0</v>
      </c>
      <c r="C36" s="46"/>
      <c r="D36" s="46">
        <v>0</v>
      </c>
      <c r="E36" s="46"/>
      <c r="F36" s="46">
        <v>0</v>
      </c>
      <c r="G36" s="46"/>
      <c r="H36" s="46">
        <v>0</v>
      </c>
      <c r="I36" s="46"/>
      <c r="J36" s="46">
        <v>0</v>
      </c>
      <c r="K36" s="46"/>
      <c r="L36" s="39">
        <v>0</v>
      </c>
      <c r="N36" s="44">
        <v>-41.539999999869032</v>
      </c>
      <c r="P36" s="44">
        <v>-41.539999999869032</v>
      </c>
    </row>
    <row r="37" spans="1:16" x14ac:dyDescent="0.25">
      <c r="A37" s="26" t="s">
        <v>141</v>
      </c>
      <c r="B37" s="46">
        <v>1877867.3099999998</v>
      </c>
      <c r="C37" s="46"/>
      <c r="D37" s="46">
        <v>186441.95</v>
      </c>
      <c r="E37" s="46"/>
      <c r="F37" s="46">
        <v>0</v>
      </c>
      <c r="G37" s="46"/>
      <c r="H37" s="46">
        <v>0</v>
      </c>
      <c r="I37" s="46"/>
      <c r="J37" s="46">
        <v>186441.95</v>
      </c>
      <c r="K37" s="46"/>
      <c r="L37" s="39">
        <v>2064309.2599999998</v>
      </c>
      <c r="N37" s="44">
        <v>-1779881.3300000005</v>
      </c>
      <c r="P37" s="44">
        <v>284427.92999999924</v>
      </c>
    </row>
    <row r="38" spans="1:16" x14ac:dyDescent="0.25">
      <c r="A38" s="26" t="s">
        <v>142</v>
      </c>
      <c r="B38" s="46">
        <v>204508.94</v>
      </c>
      <c r="C38" s="46"/>
      <c r="D38" s="46">
        <v>-8260.7000000000007</v>
      </c>
      <c r="E38" s="46"/>
      <c r="F38" s="46">
        <v>0</v>
      </c>
      <c r="G38" s="46"/>
      <c r="H38" s="46">
        <v>0</v>
      </c>
      <c r="I38" s="46"/>
      <c r="J38" s="46">
        <v>-8260.7000000000007</v>
      </c>
      <c r="K38" s="46"/>
      <c r="L38" s="46">
        <v>196248.24</v>
      </c>
      <c r="M38" s="55"/>
      <c r="N38" s="57">
        <v>-86990.41</v>
      </c>
      <c r="O38" s="55"/>
      <c r="P38" s="57">
        <v>109257.82999999999</v>
      </c>
    </row>
    <row r="39" spans="1:16" x14ac:dyDescent="0.25">
      <c r="A39" s="36" t="s">
        <v>61</v>
      </c>
      <c r="B39" s="46">
        <v>4947585.72</v>
      </c>
      <c r="C39" s="46"/>
      <c r="D39" s="46">
        <v>707534.06</v>
      </c>
      <c r="E39" s="46"/>
      <c r="F39" s="46">
        <v>0</v>
      </c>
      <c r="G39" s="46"/>
      <c r="H39" s="46">
        <v>0</v>
      </c>
      <c r="I39" s="46"/>
      <c r="J39" s="46">
        <v>707534.06</v>
      </c>
      <c r="K39" s="46"/>
      <c r="L39" s="46">
        <v>5655119.7799999993</v>
      </c>
      <c r="N39" s="57">
        <v>-1345786.61</v>
      </c>
      <c r="P39" s="57">
        <v>4309333.169999999</v>
      </c>
    </row>
    <row r="40" spans="1:16" x14ac:dyDescent="0.25">
      <c r="B40" s="58">
        <v>17651755.75</v>
      </c>
      <c r="C40" s="46"/>
      <c r="D40" s="58">
        <v>2659422.8000000003</v>
      </c>
      <c r="E40" s="46"/>
      <c r="F40" s="58">
        <v>-168526.18</v>
      </c>
      <c r="G40" s="46"/>
      <c r="H40" s="58">
        <v>0</v>
      </c>
      <c r="I40" s="46"/>
      <c r="J40" s="58">
        <v>2490896.62</v>
      </c>
      <c r="K40" s="46"/>
      <c r="L40" s="58">
        <v>20142652.370000001</v>
      </c>
      <c r="N40" s="58">
        <v>-7963556.0600000033</v>
      </c>
      <c r="P40" s="58">
        <v>12179096.309999999</v>
      </c>
    </row>
    <row r="41" spans="1:16" x14ac:dyDescent="0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6" x14ac:dyDescent="0.25">
      <c r="A42" s="14" t="s">
        <v>143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6" x14ac:dyDescent="0.25">
      <c r="A43" s="26" t="s">
        <v>144</v>
      </c>
      <c r="B43" s="46">
        <v>6.5</v>
      </c>
      <c r="C43" s="46"/>
      <c r="D43" s="46">
        <v>0</v>
      </c>
      <c r="E43" s="46"/>
      <c r="F43" s="46">
        <v>0</v>
      </c>
      <c r="G43" s="46"/>
      <c r="H43" s="46">
        <v>0</v>
      </c>
      <c r="I43" s="46"/>
      <c r="J43" s="46">
        <v>0</v>
      </c>
      <c r="K43" s="46"/>
      <c r="L43" s="39">
        <v>6.5</v>
      </c>
      <c r="N43" s="44">
        <v>0</v>
      </c>
      <c r="P43" s="44">
        <v>6.5</v>
      </c>
    </row>
    <row r="44" spans="1:16" x14ac:dyDescent="0.25">
      <c r="A44" s="26" t="s">
        <v>65</v>
      </c>
      <c r="B44" s="46">
        <v>7872008.1299999999</v>
      </c>
      <c r="C44" s="46"/>
      <c r="D44" s="46">
        <v>1590236.36</v>
      </c>
      <c r="E44" s="46"/>
      <c r="F44" s="46">
        <v>-3671.55</v>
      </c>
      <c r="G44" s="46"/>
      <c r="H44" s="46">
        <v>0</v>
      </c>
      <c r="I44" s="46"/>
      <c r="J44" s="46">
        <v>1586564.81</v>
      </c>
      <c r="K44" s="46"/>
      <c r="L44" s="39">
        <v>9458572.9399999995</v>
      </c>
      <c r="N44" s="44">
        <v>-4325856.1800000006</v>
      </c>
      <c r="P44" s="44">
        <v>5132716.7599999988</v>
      </c>
    </row>
    <row r="45" spans="1:16" x14ac:dyDescent="0.25">
      <c r="A45" s="26" t="s">
        <v>66</v>
      </c>
      <c r="B45" s="20">
        <v>17038183</v>
      </c>
      <c r="C45" s="46"/>
      <c r="D45" s="46">
        <v>2384636.6</v>
      </c>
      <c r="E45" s="46"/>
      <c r="F45" s="46">
        <v>-73001.94</v>
      </c>
      <c r="G45" s="46"/>
      <c r="H45" s="46">
        <v>0</v>
      </c>
      <c r="I45" s="46"/>
      <c r="J45" s="46">
        <v>2311634.66</v>
      </c>
      <c r="K45" s="46"/>
      <c r="L45" s="39">
        <v>19349817.66</v>
      </c>
      <c r="N45" s="44">
        <v>-3127874.52</v>
      </c>
      <c r="P45" s="44">
        <v>16221943.140000001</v>
      </c>
    </row>
    <row r="46" spans="1:16" x14ac:dyDescent="0.25">
      <c r="A46" s="26" t="s">
        <v>67</v>
      </c>
      <c r="B46" s="20">
        <v>62117401.340000004</v>
      </c>
      <c r="C46" s="46"/>
      <c r="D46" s="46">
        <v>9532458.6999999993</v>
      </c>
      <c r="E46" s="46"/>
      <c r="F46" s="46">
        <v>-56881.599999999999</v>
      </c>
      <c r="G46" s="46"/>
      <c r="H46" s="46">
        <v>0</v>
      </c>
      <c r="I46" s="46"/>
      <c r="J46" s="46">
        <v>9475577.0999999996</v>
      </c>
      <c r="K46" s="46"/>
      <c r="L46" s="39">
        <v>71592978.439999998</v>
      </c>
      <c r="N46" s="44">
        <v>-4766629.46</v>
      </c>
      <c r="P46" s="44">
        <v>66826348.979999997</v>
      </c>
    </row>
    <row r="47" spans="1:16" x14ac:dyDescent="0.25">
      <c r="A47" s="26" t="s">
        <v>68</v>
      </c>
      <c r="B47" s="20">
        <v>8220468.7800000003</v>
      </c>
      <c r="C47" s="46"/>
      <c r="D47" s="46">
        <v>1590001.63</v>
      </c>
      <c r="E47" s="46"/>
      <c r="F47" s="46">
        <v>0</v>
      </c>
      <c r="G47" s="46"/>
      <c r="H47" s="46">
        <v>0</v>
      </c>
      <c r="I47" s="46"/>
      <c r="J47" s="46">
        <v>1590001.63</v>
      </c>
      <c r="K47" s="46"/>
      <c r="L47" s="39">
        <v>9810470.4100000001</v>
      </c>
      <c r="N47" s="44">
        <v>-2659063.2399999998</v>
      </c>
      <c r="P47" s="44">
        <v>7151407.1699999999</v>
      </c>
    </row>
    <row r="48" spans="1:16" x14ac:dyDescent="0.25">
      <c r="A48" s="26" t="s">
        <v>69</v>
      </c>
      <c r="B48" s="46">
        <v>1189821.8500000001</v>
      </c>
      <c r="C48" s="46"/>
      <c r="D48" s="46">
        <v>795120.38</v>
      </c>
      <c r="E48" s="46"/>
      <c r="F48" s="46">
        <v>0</v>
      </c>
      <c r="G48" s="46"/>
      <c r="H48" s="46">
        <v>0</v>
      </c>
      <c r="I48" s="46"/>
      <c r="J48" s="46">
        <v>795120.38</v>
      </c>
      <c r="K48" s="46"/>
      <c r="L48" s="39">
        <v>1984942.23</v>
      </c>
      <c r="N48" s="44">
        <v>-168719.3</v>
      </c>
      <c r="P48" s="44">
        <v>1816222.93</v>
      </c>
    </row>
    <row r="49" spans="1:16" x14ac:dyDescent="0.25">
      <c r="A49" s="26" t="s">
        <v>70</v>
      </c>
      <c r="B49" s="46">
        <v>29930.61</v>
      </c>
      <c r="C49" s="46"/>
      <c r="D49" s="46">
        <v>0</v>
      </c>
      <c r="E49" s="46"/>
      <c r="F49" s="46">
        <v>0</v>
      </c>
      <c r="G49" s="46"/>
      <c r="H49" s="46">
        <v>0</v>
      </c>
      <c r="I49" s="46"/>
      <c r="J49" s="46">
        <v>0</v>
      </c>
      <c r="K49" s="46"/>
      <c r="L49" s="39">
        <v>29930.61</v>
      </c>
      <c r="N49" s="44">
        <v>-20083.87</v>
      </c>
      <c r="P49" s="44">
        <v>9846.7400000000016</v>
      </c>
    </row>
    <row r="50" spans="1:16" x14ac:dyDescent="0.25">
      <c r="A50" s="26" t="s">
        <v>71</v>
      </c>
      <c r="B50" s="47">
        <v>257804.55</v>
      </c>
      <c r="C50" s="46"/>
      <c r="D50" s="47">
        <v>0</v>
      </c>
      <c r="E50" s="46"/>
      <c r="F50" s="47">
        <v>0</v>
      </c>
      <c r="G50" s="46"/>
      <c r="H50" s="47">
        <v>0</v>
      </c>
      <c r="I50" s="46"/>
      <c r="J50" s="47">
        <v>0</v>
      </c>
      <c r="K50" s="46"/>
      <c r="L50" s="47">
        <v>257804.55</v>
      </c>
      <c r="N50" s="48">
        <v>-7711.6100000000106</v>
      </c>
      <c r="P50" s="48">
        <v>250092.93999999997</v>
      </c>
    </row>
    <row r="51" spans="1:16" x14ac:dyDescent="0.25">
      <c r="B51" s="46">
        <v>96725624.75999999</v>
      </c>
      <c r="C51" s="46"/>
      <c r="D51" s="46">
        <v>15892453.67</v>
      </c>
      <c r="E51" s="46"/>
      <c r="F51" s="46">
        <v>-133555.09</v>
      </c>
      <c r="G51" s="46"/>
      <c r="H51" s="46">
        <v>0</v>
      </c>
      <c r="I51" s="46"/>
      <c r="J51" s="46">
        <v>15758898.58</v>
      </c>
      <c r="K51" s="46"/>
      <c r="L51" s="46">
        <v>112484523.33999999</v>
      </c>
      <c r="N51" s="44">
        <v>-15075938.18</v>
      </c>
      <c r="P51" s="44">
        <v>97408585.159999996</v>
      </c>
    </row>
    <row r="52" spans="1:16" x14ac:dyDescent="0.2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6" x14ac:dyDescent="0.25">
      <c r="A53" s="40" t="s">
        <v>145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6" x14ac:dyDescent="0.25">
      <c r="A54" s="26" t="s">
        <v>73</v>
      </c>
      <c r="B54" s="46">
        <v>2240.29</v>
      </c>
      <c r="C54" s="46"/>
      <c r="D54" s="46">
        <v>0</v>
      </c>
      <c r="E54" s="46"/>
      <c r="F54" s="46">
        <v>0</v>
      </c>
      <c r="G54" s="46"/>
      <c r="H54" s="46">
        <v>0</v>
      </c>
      <c r="I54" s="46"/>
      <c r="J54" s="46">
        <v>0</v>
      </c>
      <c r="K54" s="46"/>
      <c r="L54" s="39">
        <v>2240.29</v>
      </c>
      <c r="N54" s="44">
        <v>0</v>
      </c>
      <c r="P54" s="44">
        <v>2240.29</v>
      </c>
    </row>
    <row r="55" spans="1:16" x14ac:dyDescent="0.25">
      <c r="A55" s="26" t="s">
        <v>74</v>
      </c>
      <c r="B55" s="47">
        <v>0</v>
      </c>
      <c r="C55" s="46"/>
      <c r="D55" s="47">
        <v>0</v>
      </c>
      <c r="E55" s="46"/>
      <c r="F55" s="47">
        <v>0</v>
      </c>
      <c r="G55" s="46"/>
      <c r="H55" s="47">
        <v>0</v>
      </c>
      <c r="I55" s="46"/>
      <c r="J55" s="47">
        <v>0</v>
      </c>
      <c r="K55" s="46"/>
      <c r="L55" s="47">
        <v>0</v>
      </c>
      <c r="N55" s="48">
        <v>0</v>
      </c>
      <c r="P55" s="48">
        <v>0</v>
      </c>
    </row>
    <row r="56" spans="1:16" x14ac:dyDescent="0.25">
      <c r="B56" s="46">
        <v>2240.29</v>
      </c>
      <c r="C56" s="46"/>
      <c r="D56" s="46">
        <v>0</v>
      </c>
      <c r="E56" s="46"/>
      <c r="F56" s="46">
        <v>0</v>
      </c>
      <c r="G56" s="46"/>
      <c r="H56" s="46">
        <v>0</v>
      </c>
      <c r="I56" s="46"/>
      <c r="J56" s="46">
        <v>0</v>
      </c>
      <c r="K56" s="46"/>
      <c r="L56" s="46">
        <v>2240.29</v>
      </c>
      <c r="N56" s="44">
        <v>0</v>
      </c>
      <c r="P56" s="44">
        <v>2240.29</v>
      </c>
    </row>
    <row r="57" spans="1:16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6" x14ac:dyDescent="0.25">
      <c r="A58" s="40" t="s">
        <v>146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6" x14ac:dyDescent="0.25">
      <c r="A59" s="26" t="s">
        <v>79</v>
      </c>
      <c r="B59" s="39">
        <v>20260.009999999987</v>
      </c>
      <c r="C59" s="39"/>
      <c r="D59" s="39">
        <v>103618.65</v>
      </c>
      <c r="E59" s="39"/>
      <c r="F59" s="39">
        <v>0</v>
      </c>
      <c r="G59" s="39"/>
      <c r="H59" s="39">
        <v>0</v>
      </c>
      <c r="I59" s="39"/>
      <c r="J59" s="39">
        <v>103618.65</v>
      </c>
      <c r="K59" s="39"/>
      <c r="L59" s="39">
        <v>123878.65999999997</v>
      </c>
      <c r="N59" s="44">
        <v>0</v>
      </c>
      <c r="P59" s="44">
        <v>123878.65999999997</v>
      </c>
    </row>
    <row r="60" spans="1:16" x14ac:dyDescent="0.25">
      <c r="A60" s="26" t="s">
        <v>80</v>
      </c>
      <c r="B60" s="39">
        <v>31992977.919999998</v>
      </c>
      <c r="C60" s="39"/>
      <c r="D60" s="39">
        <v>9776816</v>
      </c>
      <c r="E60" s="39">
        <v>0</v>
      </c>
      <c r="F60" s="39">
        <v>-188219.46</v>
      </c>
      <c r="G60" s="39">
        <v>0</v>
      </c>
      <c r="H60" s="39">
        <v>0</v>
      </c>
      <c r="I60" s="39"/>
      <c r="J60" s="39">
        <v>9588596.5399999991</v>
      </c>
      <c r="K60" s="39"/>
      <c r="L60" s="39">
        <v>41581574.459999993</v>
      </c>
      <c r="N60" s="44">
        <v>-10802047.65</v>
      </c>
      <c r="P60" s="44">
        <v>30779526.809999995</v>
      </c>
    </row>
    <row r="61" spans="1:16" x14ac:dyDescent="0.25">
      <c r="A61" s="26" t="s">
        <v>81</v>
      </c>
      <c r="B61" s="39">
        <v>46113785.380000003</v>
      </c>
      <c r="C61" s="39"/>
      <c r="D61" s="39">
        <v>4847.1499999999996</v>
      </c>
      <c r="E61" s="39"/>
      <c r="F61" s="39">
        <v>0</v>
      </c>
      <c r="G61" s="39"/>
      <c r="H61" s="39">
        <v>0</v>
      </c>
      <c r="I61" s="39"/>
      <c r="J61" s="39">
        <v>4847.1499999999996</v>
      </c>
      <c r="K61" s="39"/>
      <c r="L61" s="39">
        <v>46118632.530000001</v>
      </c>
      <c r="N61" s="44">
        <v>-4656172.3500000006</v>
      </c>
      <c r="P61" s="44">
        <v>41462460.18</v>
      </c>
    </row>
    <row r="62" spans="1:16" x14ac:dyDescent="0.25">
      <c r="A62" s="26" t="s">
        <v>83</v>
      </c>
      <c r="B62" s="39">
        <v>188283662.81999996</v>
      </c>
      <c r="C62" s="39"/>
      <c r="D62" s="39">
        <v>37207.31</v>
      </c>
      <c r="E62" s="39"/>
      <c r="F62" s="39">
        <v>0</v>
      </c>
      <c r="G62" s="39"/>
      <c r="H62" s="39">
        <v>0</v>
      </c>
      <c r="I62" s="39"/>
      <c r="J62" s="39">
        <v>37207.31</v>
      </c>
      <c r="K62" s="39"/>
      <c r="L62" s="39">
        <v>188320870.12999997</v>
      </c>
      <c r="N62" s="44">
        <v>-64858244.700000003</v>
      </c>
      <c r="P62" s="44">
        <v>123462625.42999996</v>
      </c>
    </row>
    <row r="63" spans="1:16" x14ac:dyDescent="0.25">
      <c r="A63" s="26" t="s">
        <v>84</v>
      </c>
      <c r="B63" s="39">
        <v>65440190.819999993</v>
      </c>
      <c r="C63" s="39"/>
      <c r="D63" s="39">
        <v>8197.0499999999993</v>
      </c>
      <c r="E63" s="39"/>
      <c r="F63" s="39">
        <v>0</v>
      </c>
      <c r="G63" s="39"/>
      <c r="H63" s="39">
        <v>0</v>
      </c>
      <c r="I63" s="39"/>
      <c r="J63" s="39">
        <v>8197.0499999999993</v>
      </c>
      <c r="K63" s="39"/>
      <c r="L63" s="39">
        <v>65448387.86999999</v>
      </c>
      <c r="N63" s="44">
        <v>-21897470.939999998</v>
      </c>
      <c r="P63" s="44">
        <v>43550916.929999992</v>
      </c>
    </row>
    <row r="64" spans="1:16" x14ac:dyDescent="0.25">
      <c r="A64" s="26" t="s">
        <v>85</v>
      </c>
      <c r="B64" s="39">
        <v>29546423.140000001</v>
      </c>
      <c r="C64" s="39"/>
      <c r="D64" s="39">
        <v>45451.719999999972</v>
      </c>
      <c r="E64" s="39"/>
      <c r="F64" s="39">
        <v>0</v>
      </c>
      <c r="G64" s="39"/>
      <c r="H64" s="39">
        <v>0</v>
      </c>
      <c r="I64" s="39"/>
      <c r="J64" s="39">
        <v>45451.719999999972</v>
      </c>
      <c r="K64" s="39"/>
      <c r="L64" s="39">
        <v>29591874.859999999</v>
      </c>
      <c r="N64" s="44">
        <v>-9879974.209999999</v>
      </c>
      <c r="P64" s="44">
        <v>19711900.649999999</v>
      </c>
    </row>
    <row r="65" spans="1:16" x14ac:dyDescent="0.25">
      <c r="A65" s="26" t="s">
        <v>87</v>
      </c>
      <c r="B65" s="39">
        <v>3802291.09</v>
      </c>
      <c r="C65" s="39"/>
      <c r="D65" s="39">
        <v>179.65999999999985</v>
      </c>
      <c r="E65" s="39"/>
      <c r="F65" s="39">
        <v>0</v>
      </c>
      <c r="G65" s="39"/>
      <c r="H65" s="39">
        <v>0</v>
      </c>
      <c r="I65" s="39"/>
      <c r="J65" s="39">
        <v>179.65999999999985</v>
      </c>
      <c r="K65" s="39"/>
      <c r="L65" s="39">
        <v>3802470.75</v>
      </c>
      <c r="N65" s="44">
        <v>-1874131.9400000004</v>
      </c>
      <c r="P65" s="44">
        <v>1928338.8099999996</v>
      </c>
    </row>
    <row r="66" spans="1:16" x14ac:dyDescent="0.25">
      <c r="A66" s="26" t="s">
        <v>147</v>
      </c>
      <c r="B66" s="39">
        <v>21719.7</v>
      </c>
      <c r="C66" s="39"/>
      <c r="D66" s="39">
        <v>0</v>
      </c>
      <c r="E66" s="39"/>
      <c r="F66" s="39">
        <v>0</v>
      </c>
      <c r="G66" s="39"/>
      <c r="H66" s="39">
        <v>0</v>
      </c>
      <c r="I66" s="39"/>
      <c r="J66" s="39">
        <v>0</v>
      </c>
      <c r="K66" s="39"/>
      <c r="L66" s="39">
        <v>21719.7</v>
      </c>
      <c r="N66" s="44">
        <v>-4491.9699999999975</v>
      </c>
      <c r="P66" s="44">
        <v>17227.730000000003</v>
      </c>
    </row>
    <row r="67" spans="1:16" x14ac:dyDescent="0.25">
      <c r="A67" s="26" t="s">
        <v>88</v>
      </c>
      <c r="B67" s="47">
        <v>62543.96</v>
      </c>
      <c r="C67" s="39"/>
      <c r="D67" s="47">
        <v>0</v>
      </c>
      <c r="E67" s="39"/>
      <c r="F67" s="47">
        <v>0</v>
      </c>
      <c r="G67" s="39"/>
      <c r="H67" s="47">
        <v>0</v>
      </c>
      <c r="I67" s="39"/>
      <c r="J67" s="47">
        <v>0</v>
      </c>
      <c r="K67" s="46"/>
      <c r="L67" s="47">
        <v>62543.96</v>
      </c>
      <c r="N67" s="48">
        <v>-2870.27</v>
      </c>
      <c r="P67" s="48">
        <v>59673.69</v>
      </c>
    </row>
    <row r="68" spans="1:16" x14ac:dyDescent="0.25">
      <c r="B68" s="46">
        <v>365283854.83999985</v>
      </c>
      <c r="C68" s="46"/>
      <c r="D68" s="46">
        <v>9976317.5400000028</v>
      </c>
      <c r="E68" s="46"/>
      <c r="F68" s="46">
        <v>-188219.46</v>
      </c>
      <c r="G68" s="46"/>
      <c r="H68" s="46">
        <v>0</v>
      </c>
      <c r="I68" s="46"/>
      <c r="J68" s="46">
        <v>9788098.0800000019</v>
      </c>
      <c r="K68" s="46"/>
      <c r="L68" s="46">
        <v>375071952.91999996</v>
      </c>
      <c r="N68" s="44">
        <v>-113975404.02999999</v>
      </c>
      <c r="P68" s="44">
        <v>261096548.88999993</v>
      </c>
    </row>
    <row r="69" spans="1:16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6" x14ac:dyDescent="0.25">
      <c r="A70" s="40" t="s">
        <v>148</v>
      </c>
      <c r="B70" s="20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6" x14ac:dyDescent="0.25">
      <c r="A71" s="26" t="s">
        <v>90</v>
      </c>
      <c r="B71" s="20">
        <v>6427075.1499999994</v>
      </c>
      <c r="C71" s="46"/>
      <c r="D71" s="46">
        <v>0</v>
      </c>
      <c r="E71" s="46"/>
      <c r="F71" s="46">
        <v>0</v>
      </c>
      <c r="G71" s="46"/>
      <c r="H71" s="46">
        <v>839535.3</v>
      </c>
      <c r="I71" s="46"/>
      <c r="J71" s="46">
        <v>839535.3</v>
      </c>
      <c r="K71" s="46"/>
      <c r="L71" s="39">
        <v>7266610.4499999993</v>
      </c>
      <c r="N71" s="44">
        <v>0</v>
      </c>
      <c r="P71" s="44">
        <v>7266610.4499999993</v>
      </c>
    </row>
    <row r="72" spans="1:16" x14ac:dyDescent="0.25">
      <c r="A72" s="26" t="s">
        <v>149</v>
      </c>
      <c r="B72" s="20">
        <v>0</v>
      </c>
      <c r="C72" s="46"/>
      <c r="D72" s="46">
        <v>0</v>
      </c>
      <c r="E72" s="46"/>
      <c r="F72" s="46">
        <v>0</v>
      </c>
      <c r="G72" s="46"/>
      <c r="H72" s="46">
        <v>0</v>
      </c>
      <c r="I72" s="46"/>
      <c r="J72" s="46">
        <v>0</v>
      </c>
      <c r="K72" s="46"/>
      <c r="L72" s="39">
        <v>0</v>
      </c>
      <c r="N72" s="44">
        <v>0</v>
      </c>
      <c r="P72" s="44">
        <v>0</v>
      </c>
    </row>
    <row r="73" spans="1:16" x14ac:dyDescent="0.25">
      <c r="A73" s="26" t="s">
        <v>150</v>
      </c>
      <c r="B73" s="20">
        <v>360851.26</v>
      </c>
      <c r="C73" s="46"/>
      <c r="D73" s="46">
        <v>0</v>
      </c>
      <c r="E73" s="46"/>
      <c r="F73" s="46">
        <v>0</v>
      </c>
      <c r="G73" s="46"/>
      <c r="H73" s="46">
        <v>0</v>
      </c>
      <c r="I73" s="46"/>
      <c r="J73" s="46">
        <v>0</v>
      </c>
      <c r="K73" s="46"/>
      <c r="L73" s="39">
        <v>360851.26</v>
      </c>
      <c r="N73" s="44">
        <v>0</v>
      </c>
      <c r="P73" s="44">
        <v>360851.26</v>
      </c>
    </row>
    <row r="74" spans="1:16" x14ac:dyDescent="0.25">
      <c r="A74" s="26" t="s">
        <v>91</v>
      </c>
      <c r="B74" s="20">
        <v>291794739.31</v>
      </c>
      <c r="C74" s="46"/>
      <c r="D74" s="46">
        <v>10625353.949999999</v>
      </c>
      <c r="E74" s="46"/>
      <c r="F74" s="46">
        <v>-407583.28</v>
      </c>
      <c r="G74" s="46"/>
      <c r="H74" s="46">
        <v>-3933806.74</v>
      </c>
      <c r="I74" s="46"/>
      <c r="J74" s="46">
        <v>6283963.9299999988</v>
      </c>
      <c r="K74" s="46"/>
      <c r="L74" s="39">
        <v>298078703.24000001</v>
      </c>
      <c r="N74" s="44">
        <v>-178636269</v>
      </c>
      <c r="P74" s="44">
        <v>119442434.24000001</v>
      </c>
    </row>
    <row r="75" spans="1:16" x14ac:dyDescent="0.25">
      <c r="A75" s="26" t="s">
        <v>92</v>
      </c>
      <c r="B75" s="20">
        <v>0</v>
      </c>
      <c r="C75" s="46"/>
      <c r="D75" s="20">
        <v>0</v>
      </c>
      <c r="E75" s="46"/>
      <c r="F75" s="20">
        <v>0</v>
      </c>
      <c r="G75" s="46"/>
      <c r="H75" s="20">
        <v>0</v>
      </c>
      <c r="I75" s="46"/>
      <c r="J75" s="46">
        <v>0</v>
      </c>
      <c r="K75" s="46"/>
      <c r="L75" s="39">
        <v>0</v>
      </c>
      <c r="N75" s="44">
        <v>7.8580342233181E-10</v>
      </c>
      <c r="P75" s="44">
        <v>7.8580342233181E-10</v>
      </c>
    </row>
    <row r="76" spans="1:16" x14ac:dyDescent="0.25">
      <c r="A76" s="26" t="s">
        <v>93</v>
      </c>
      <c r="B76" s="20">
        <v>1923575414.3600001</v>
      </c>
      <c r="C76" s="46"/>
      <c r="D76" s="46">
        <v>271676152.25999999</v>
      </c>
      <c r="E76" s="46"/>
      <c r="F76" s="46">
        <v>-63403581.659999996</v>
      </c>
      <c r="G76" s="46"/>
      <c r="H76" s="20">
        <v>6855563.4800000004</v>
      </c>
      <c r="I76" s="46"/>
      <c r="J76" s="46">
        <v>215128134.07999998</v>
      </c>
      <c r="K76" s="46"/>
      <c r="L76" s="39">
        <v>2138703548.4400001</v>
      </c>
      <c r="N76" s="44">
        <v>-442681414.51999992</v>
      </c>
      <c r="P76" s="44">
        <v>1696022133.9200001</v>
      </c>
    </row>
    <row r="77" spans="1:16" x14ac:dyDescent="0.25">
      <c r="A77" s="26" t="s">
        <v>94</v>
      </c>
      <c r="B77" s="20">
        <v>0</v>
      </c>
      <c r="C77" s="46"/>
      <c r="D77" s="46">
        <v>0</v>
      </c>
      <c r="E77" s="46"/>
      <c r="F77" s="46">
        <v>0</v>
      </c>
      <c r="G77" s="46"/>
      <c r="H77" s="46">
        <v>0</v>
      </c>
      <c r="I77" s="46"/>
      <c r="J77" s="46">
        <v>0</v>
      </c>
      <c r="K77" s="46"/>
      <c r="L77" s="39">
        <v>0</v>
      </c>
      <c r="N77" s="44">
        <v>0</v>
      </c>
      <c r="P77" s="44">
        <v>0</v>
      </c>
    </row>
    <row r="78" spans="1:16" x14ac:dyDescent="0.25">
      <c r="A78" s="26" t="s">
        <v>95</v>
      </c>
      <c r="B78" s="46">
        <v>223874142.22</v>
      </c>
      <c r="C78" s="46"/>
      <c r="D78" s="46">
        <v>568204.9299999997</v>
      </c>
      <c r="E78" s="46"/>
      <c r="F78" s="46">
        <v>889076.12</v>
      </c>
      <c r="G78" s="46"/>
      <c r="H78" s="46">
        <v>0</v>
      </c>
      <c r="I78" s="46"/>
      <c r="J78" s="46">
        <v>1457281.0499999998</v>
      </c>
      <c r="K78" s="46"/>
      <c r="L78" s="39">
        <v>225331423.27000001</v>
      </c>
      <c r="N78" s="44">
        <v>-100698468.72</v>
      </c>
      <c r="P78" s="44">
        <v>124632954.55000001</v>
      </c>
    </row>
    <row r="79" spans="1:16" x14ac:dyDescent="0.25">
      <c r="A79" s="26" t="s">
        <v>97</v>
      </c>
      <c r="B79" s="46">
        <v>141648985.56999996</v>
      </c>
      <c r="C79" s="46"/>
      <c r="D79" s="46">
        <v>24474209.809999999</v>
      </c>
      <c r="E79" s="46"/>
      <c r="F79" s="46">
        <v>-1485705.47</v>
      </c>
      <c r="G79" s="46"/>
      <c r="H79" s="46">
        <v>0</v>
      </c>
      <c r="I79" s="46"/>
      <c r="J79" s="46">
        <v>22988504.34</v>
      </c>
      <c r="K79" s="46"/>
      <c r="L79" s="39">
        <v>164637489.90999997</v>
      </c>
      <c r="N79" s="44">
        <v>-82558000.449999988</v>
      </c>
      <c r="P79" s="44">
        <v>82079489.459999979</v>
      </c>
    </row>
    <row r="80" spans="1:16" x14ac:dyDescent="0.25">
      <c r="A80" s="26" t="s">
        <v>98</v>
      </c>
      <c r="B80" s="46">
        <v>0</v>
      </c>
      <c r="C80" s="46"/>
      <c r="D80" s="46">
        <v>0</v>
      </c>
      <c r="E80" s="46"/>
      <c r="F80" s="46">
        <v>0</v>
      </c>
      <c r="G80" s="46"/>
      <c r="H80" s="46">
        <v>0</v>
      </c>
      <c r="I80" s="46"/>
      <c r="J80" s="46">
        <v>0</v>
      </c>
      <c r="K80" s="46"/>
      <c r="L80" s="39">
        <v>0</v>
      </c>
      <c r="N80" s="44">
        <v>0</v>
      </c>
      <c r="P80" s="44">
        <v>0</v>
      </c>
    </row>
    <row r="81" spans="1:16" x14ac:dyDescent="0.25">
      <c r="A81" s="26" t="s">
        <v>99</v>
      </c>
      <c r="B81" s="46">
        <v>18258219.760000009</v>
      </c>
      <c r="C81" s="46"/>
      <c r="D81" s="46">
        <v>54744.589999999967</v>
      </c>
      <c r="E81" s="46">
        <v>0</v>
      </c>
      <c r="F81" s="46">
        <v>-101282.24000000001</v>
      </c>
      <c r="G81" s="46">
        <v>0</v>
      </c>
      <c r="H81" s="46">
        <v>-149103.37</v>
      </c>
      <c r="I81" s="46"/>
      <c r="J81" s="46">
        <v>-195641.02000000002</v>
      </c>
      <c r="K81" s="46"/>
      <c r="L81" s="39">
        <v>18062578.74000001</v>
      </c>
      <c r="N81" s="44">
        <v>-6316344.5099999998</v>
      </c>
      <c r="P81" s="44">
        <v>11746234.23000001</v>
      </c>
    </row>
    <row r="82" spans="1:16" x14ac:dyDescent="0.25">
      <c r="A82" s="26" t="s">
        <v>100</v>
      </c>
      <c r="B82" s="47">
        <v>137737820.99000001</v>
      </c>
      <c r="C82" s="46"/>
      <c r="D82" s="47">
        <v>0</v>
      </c>
      <c r="E82" s="46"/>
      <c r="F82" s="47">
        <v>-213481.77</v>
      </c>
      <c r="G82" s="46"/>
      <c r="H82" s="47">
        <v>0</v>
      </c>
      <c r="I82" s="46"/>
      <c r="J82" s="47">
        <v>-213481.77</v>
      </c>
      <c r="K82" s="46"/>
      <c r="L82" s="47">
        <v>137524339.22</v>
      </c>
      <c r="N82" s="48">
        <v>-31051134.399999999</v>
      </c>
      <c r="P82" s="48">
        <v>106473204.81999999</v>
      </c>
    </row>
    <row r="83" spans="1:16" x14ac:dyDescent="0.25">
      <c r="B83" s="46">
        <v>2743677248.6199999</v>
      </c>
      <c r="C83" s="46"/>
      <c r="D83" s="46">
        <v>307398665.53999996</v>
      </c>
      <c r="E83" s="46"/>
      <c r="F83" s="46">
        <v>-64722558.300000004</v>
      </c>
      <c r="G83" s="46"/>
      <c r="H83" s="46">
        <v>3612188.67</v>
      </c>
      <c r="I83" s="46"/>
      <c r="J83" s="46">
        <v>246288295.90999997</v>
      </c>
      <c r="K83" s="46"/>
      <c r="L83" s="46">
        <v>2989965544.5299993</v>
      </c>
      <c r="N83" s="44">
        <v>-841941631.60000002</v>
      </c>
      <c r="P83" s="44">
        <v>2148023912.9300003</v>
      </c>
    </row>
    <row r="84" spans="1:16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6" x14ac:dyDescent="0.25">
      <c r="A85" s="40" t="s">
        <v>101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6" x14ac:dyDescent="0.25">
      <c r="A86" s="26" t="s">
        <v>102</v>
      </c>
      <c r="B86" s="46">
        <v>8587652.5899999999</v>
      </c>
      <c r="C86" s="46"/>
      <c r="D86" s="46">
        <v>0</v>
      </c>
      <c r="E86" s="46"/>
      <c r="F86" s="46">
        <v>0</v>
      </c>
      <c r="G86" s="46"/>
      <c r="H86" s="46">
        <v>0</v>
      </c>
      <c r="I86" s="46"/>
      <c r="J86" s="46">
        <v>0</v>
      </c>
      <c r="K86" s="46"/>
      <c r="L86" s="39">
        <v>8587652.5899999999</v>
      </c>
      <c r="N86" s="44">
        <v>-3029412.62</v>
      </c>
      <c r="P86" s="44">
        <v>5558239.9699999997</v>
      </c>
    </row>
    <row r="87" spans="1:16" x14ac:dyDescent="0.25">
      <c r="A87" s="26" t="s">
        <v>103</v>
      </c>
      <c r="B87" s="46">
        <v>2560181.1199999996</v>
      </c>
      <c r="C87" s="46"/>
      <c r="D87" s="46">
        <v>0</v>
      </c>
      <c r="E87" s="46"/>
      <c r="F87" s="46">
        <v>0</v>
      </c>
      <c r="G87" s="46"/>
      <c r="H87" s="46">
        <v>-3671.69</v>
      </c>
      <c r="I87" s="46"/>
      <c r="J87" s="46">
        <v>-3671.69</v>
      </c>
      <c r="K87" s="46"/>
      <c r="L87" s="39">
        <v>2556509.4299999997</v>
      </c>
      <c r="N87" s="44">
        <v>0</v>
      </c>
      <c r="P87" s="44">
        <v>2556509.4299999997</v>
      </c>
    </row>
    <row r="88" spans="1:16" x14ac:dyDescent="0.25">
      <c r="A88" s="26" t="s">
        <v>104</v>
      </c>
      <c r="B88" s="46">
        <v>12348843.039999999</v>
      </c>
      <c r="C88" s="46"/>
      <c r="D88" s="46">
        <v>4816303.97</v>
      </c>
      <c r="E88" s="46"/>
      <c r="F88" s="46">
        <v>-22795.69</v>
      </c>
      <c r="G88" s="46"/>
      <c r="H88" s="46">
        <v>0</v>
      </c>
      <c r="I88" s="46"/>
      <c r="J88" s="46">
        <v>4793508.2799999993</v>
      </c>
      <c r="K88" s="46"/>
      <c r="L88" s="39">
        <v>17142351.32</v>
      </c>
      <c r="N88" s="44">
        <v>-2044549.5100000002</v>
      </c>
      <c r="P88" s="44">
        <v>15097801.810000001</v>
      </c>
    </row>
    <row r="89" spans="1:16" x14ac:dyDescent="0.25">
      <c r="A89" s="26" t="s">
        <v>106</v>
      </c>
      <c r="B89" s="46">
        <v>177220906.5</v>
      </c>
      <c r="C89" s="46"/>
      <c r="D89" s="46">
        <v>18828198.539999999</v>
      </c>
      <c r="E89" s="46"/>
      <c r="F89" s="46">
        <v>-293396.01</v>
      </c>
      <c r="G89" s="46"/>
      <c r="H89" s="46">
        <v>309281.21999999997</v>
      </c>
      <c r="I89" s="46"/>
      <c r="J89" s="46">
        <v>18844083.75</v>
      </c>
      <c r="K89" s="46"/>
      <c r="L89" s="39">
        <v>196064990.25</v>
      </c>
      <c r="N89" s="44">
        <v>-68612867.810000017</v>
      </c>
      <c r="P89" s="44">
        <v>127452122.43999998</v>
      </c>
    </row>
    <row r="90" spans="1:16" x14ac:dyDescent="0.25">
      <c r="A90" s="26" t="s">
        <v>107</v>
      </c>
      <c r="B90" s="46">
        <v>0</v>
      </c>
      <c r="C90" s="46"/>
      <c r="D90" s="46">
        <v>0</v>
      </c>
      <c r="E90" s="46"/>
      <c r="F90" s="46">
        <v>0</v>
      </c>
      <c r="G90" s="46"/>
      <c r="H90" s="46">
        <v>0</v>
      </c>
      <c r="I90" s="46"/>
      <c r="J90" s="46">
        <v>0</v>
      </c>
      <c r="K90" s="46"/>
      <c r="L90" s="39">
        <v>0</v>
      </c>
      <c r="N90" s="44">
        <v>-3.5879565984942019E-10</v>
      </c>
      <c r="P90" s="44">
        <v>-3.5879565984942019E-10</v>
      </c>
    </row>
    <row r="91" spans="1:16" x14ac:dyDescent="0.25">
      <c r="A91" s="59" t="s">
        <v>108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/>
      <c r="L91" s="39">
        <v>0</v>
      </c>
      <c r="N91" s="44">
        <v>-9.822542779147625E-11</v>
      </c>
      <c r="P91" s="44">
        <v>-9.822542779147625E-11</v>
      </c>
    </row>
    <row r="92" spans="1:16" x14ac:dyDescent="0.25">
      <c r="A92" s="26" t="s">
        <v>109</v>
      </c>
      <c r="B92" s="46">
        <v>43937509.409999996</v>
      </c>
      <c r="C92" s="46"/>
      <c r="D92" s="46">
        <v>9565.8299999999581</v>
      </c>
      <c r="E92" s="46"/>
      <c r="F92" s="46">
        <v>-15094.58</v>
      </c>
      <c r="G92" s="46"/>
      <c r="H92" s="46">
        <v>0</v>
      </c>
      <c r="I92" s="46"/>
      <c r="J92" s="46">
        <v>-5528.7500000000418</v>
      </c>
      <c r="K92" s="46"/>
      <c r="L92" s="39">
        <v>43931980.659999996</v>
      </c>
      <c r="N92" s="44">
        <v>-24878789.530000001</v>
      </c>
      <c r="P92" s="44">
        <v>19053191.129999995</v>
      </c>
    </row>
    <row r="93" spans="1:16" x14ac:dyDescent="0.25">
      <c r="A93" s="26" t="s">
        <v>110</v>
      </c>
      <c r="B93" s="46">
        <v>72622298.37999998</v>
      </c>
      <c r="C93" s="46"/>
      <c r="D93" s="46">
        <v>12916464.93</v>
      </c>
      <c r="E93" s="46"/>
      <c r="F93" s="46">
        <v>-164876.21</v>
      </c>
      <c r="G93" s="46"/>
      <c r="H93" s="46">
        <v>0</v>
      </c>
      <c r="I93" s="46"/>
      <c r="J93" s="46">
        <v>12751588.719999999</v>
      </c>
      <c r="K93" s="46"/>
      <c r="L93" s="39">
        <v>85373887.099999979</v>
      </c>
      <c r="N93" s="44">
        <v>-23369889.27</v>
      </c>
      <c r="P93" s="44">
        <v>62003997.829999983</v>
      </c>
    </row>
    <row r="94" spans="1:16" x14ac:dyDescent="0.25">
      <c r="A94" s="26" t="s">
        <v>111</v>
      </c>
      <c r="B94" s="46">
        <v>55070079.069999993</v>
      </c>
      <c r="C94" s="46"/>
      <c r="D94" s="46">
        <v>4183624.2300000004</v>
      </c>
      <c r="E94" s="46"/>
      <c r="F94" s="46">
        <v>-185223.87</v>
      </c>
      <c r="G94" s="46"/>
      <c r="H94" s="46">
        <v>0</v>
      </c>
      <c r="I94" s="46"/>
      <c r="J94" s="46">
        <v>3998400.3600000003</v>
      </c>
      <c r="K94" s="46"/>
      <c r="L94" s="39">
        <v>59068479.429999992</v>
      </c>
      <c r="N94" s="44">
        <v>-27055292.389999989</v>
      </c>
      <c r="P94" s="44">
        <v>32013187.040000003</v>
      </c>
    </row>
    <row r="95" spans="1:16" x14ac:dyDescent="0.25">
      <c r="A95" s="26" t="s">
        <v>112</v>
      </c>
      <c r="B95" s="46">
        <v>2278627.52</v>
      </c>
      <c r="C95" s="46"/>
      <c r="D95" s="46">
        <v>0</v>
      </c>
      <c r="E95" s="46"/>
      <c r="F95" s="46">
        <v>0</v>
      </c>
      <c r="G95" s="46"/>
      <c r="H95" s="46">
        <v>0</v>
      </c>
      <c r="I95" s="46"/>
      <c r="J95" s="46">
        <v>0</v>
      </c>
      <c r="K95" s="46"/>
      <c r="L95" s="39">
        <v>2278627.52</v>
      </c>
      <c r="N95" s="44">
        <v>-666657.07999999996</v>
      </c>
      <c r="P95" s="44">
        <v>1611970.44</v>
      </c>
    </row>
    <row r="96" spans="1:16" x14ac:dyDescent="0.25">
      <c r="A96" s="26" t="s">
        <v>113</v>
      </c>
      <c r="B96" s="46">
        <v>7425136.2999999998</v>
      </c>
      <c r="C96" s="46"/>
      <c r="D96" s="46">
        <v>0</v>
      </c>
      <c r="E96" s="46"/>
      <c r="F96" s="46">
        <v>0</v>
      </c>
      <c r="G96" s="46"/>
      <c r="H96" s="46">
        <v>0</v>
      </c>
      <c r="I96" s="46"/>
      <c r="J96" s="46">
        <v>0</v>
      </c>
      <c r="K96" s="46"/>
      <c r="L96" s="39">
        <v>7425136.2999999998</v>
      </c>
      <c r="N96" s="44">
        <v>-3027666.91</v>
      </c>
      <c r="P96" s="44">
        <v>4397469.3899999997</v>
      </c>
    </row>
    <row r="97" spans="1:16" x14ac:dyDescent="0.25">
      <c r="A97" s="26" t="s">
        <v>114</v>
      </c>
      <c r="B97" s="46">
        <v>9342.4699999999993</v>
      </c>
      <c r="C97" s="46"/>
      <c r="D97" s="46">
        <v>0</v>
      </c>
      <c r="E97" s="46"/>
      <c r="F97" s="46">
        <v>0</v>
      </c>
      <c r="G97" s="46"/>
      <c r="H97" s="46">
        <v>0</v>
      </c>
      <c r="I97" s="46"/>
      <c r="J97" s="46">
        <v>0</v>
      </c>
      <c r="K97" s="46"/>
      <c r="L97" s="39">
        <v>9342.4699999999993</v>
      </c>
      <c r="N97" s="44">
        <v>-788.31999999999971</v>
      </c>
      <c r="P97" s="44">
        <v>8554.15</v>
      </c>
    </row>
    <row r="98" spans="1:16" x14ac:dyDescent="0.25">
      <c r="A98" s="26" t="s">
        <v>115</v>
      </c>
      <c r="B98" s="47">
        <v>208742.63</v>
      </c>
      <c r="C98" s="46"/>
      <c r="D98" s="47">
        <v>0</v>
      </c>
      <c r="E98" s="46"/>
      <c r="F98" s="47">
        <v>0</v>
      </c>
      <c r="G98" s="46"/>
      <c r="H98" s="47">
        <v>0</v>
      </c>
      <c r="I98" s="46"/>
      <c r="J98" s="47">
        <v>0</v>
      </c>
      <c r="K98" s="46"/>
      <c r="L98" s="47">
        <v>208742.63</v>
      </c>
      <c r="N98" s="48">
        <v>-26433.83</v>
      </c>
      <c r="P98" s="48">
        <v>182308.8</v>
      </c>
    </row>
    <row r="99" spans="1:16" x14ac:dyDescent="0.25">
      <c r="B99" s="46">
        <v>382269319.02999997</v>
      </c>
      <c r="C99" s="46"/>
      <c r="D99" s="46">
        <v>40754157.5</v>
      </c>
      <c r="E99" s="46"/>
      <c r="F99" s="46">
        <v>-681386.36</v>
      </c>
      <c r="G99" s="46"/>
      <c r="H99" s="46">
        <v>305609.52999999997</v>
      </c>
      <c r="I99" s="46"/>
      <c r="J99" s="46">
        <v>40378380.670000002</v>
      </c>
      <c r="K99" s="46"/>
      <c r="L99" s="46">
        <v>422647699.69999999</v>
      </c>
      <c r="N99" s="46">
        <v>-152712347.27000001</v>
      </c>
      <c r="P99" s="44">
        <v>269935352.42999995</v>
      </c>
    </row>
    <row r="100" spans="1:16" x14ac:dyDescent="0.25">
      <c r="B100" s="46"/>
      <c r="C100" s="46"/>
      <c r="D100" s="46">
        <v>0</v>
      </c>
      <c r="E100" s="46"/>
      <c r="F100" s="46"/>
      <c r="G100" s="46"/>
      <c r="H100" s="46"/>
      <c r="I100" s="46"/>
      <c r="J100" s="46"/>
      <c r="K100" s="46"/>
      <c r="L100" s="46"/>
    </row>
    <row r="101" spans="1:16" x14ac:dyDescent="0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6" x14ac:dyDescent="0.25">
      <c r="A102" s="40" t="s">
        <v>151</v>
      </c>
      <c r="B102" s="60">
        <v>4838466054.1099987</v>
      </c>
      <c r="C102" s="46"/>
      <c r="D102" s="60">
        <v>404874317.94999999</v>
      </c>
      <c r="E102" s="46"/>
      <c r="F102" s="60">
        <v>-71187254.110000014</v>
      </c>
      <c r="G102" s="46"/>
      <c r="H102" s="60">
        <v>3608516.9799999995</v>
      </c>
      <c r="I102" s="46"/>
      <c r="J102" s="60">
        <v>337295580.81999993</v>
      </c>
      <c r="K102" s="46"/>
      <c r="L102" s="60">
        <v>5175761634.9299984</v>
      </c>
      <c r="N102" s="60">
        <v>-1620725940.5</v>
      </c>
      <c r="P102" s="60">
        <v>3555035694.4299998</v>
      </c>
    </row>
    <row r="103" spans="1:16" x14ac:dyDescent="0.2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6" x14ac:dyDescent="0.25">
      <c r="B104" s="46"/>
      <c r="C104" s="39"/>
      <c r="D104" s="46"/>
      <c r="E104" s="39"/>
      <c r="F104" s="46"/>
      <c r="G104" s="39"/>
      <c r="H104" s="46"/>
      <c r="I104" s="39"/>
      <c r="J104" s="46"/>
      <c r="K104" s="46"/>
      <c r="L104" s="46"/>
      <c r="N104" s="46"/>
    </row>
    <row r="105" spans="1:16" x14ac:dyDescent="0.2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6" x14ac:dyDescent="0.2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6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6" x14ac:dyDescent="0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6" x14ac:dyDescent="0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6" x14ac:dyDescent="0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6" x14ac:dyDescent="0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6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2:12" x14ac:dyDescent="0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2" x14ac:dyDescent="0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2:12" x14ac:dyDescent="0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2:12" x14ac:dyDescent="0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2:12" x14ac:dyDescent="0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2:12" x14ac:dyDescent="0.2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2:12" x14ac:dyDescent="0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2:12" x14ac:dyDescent="0.2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2" x14ac:dyDescent="0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2" x14ac:dyDescent="0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2:12" x14ac:dyDescent="0.2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2:12" x14ac:dyDescent="0.2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2:12" x14ac:dyDescent="0.2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2" x14ac:dyDescent="0.2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2" x14ac:dyDescent="0.2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2" x14ac:dyDescent="0.2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2:12" x14ac:dyDescent="0.2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2" x14ac:dyDescent="0.2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2:12" x14ac:dyDescent="0.2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2:12" x14ac:dyDescent="0.2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2:12" x14ac:dyDescent="0.2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2:12" x14ac:dyDescent="0.2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2:12" x14ac:dyDescent="0.2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2:12" x14ac:dyDescent="0.2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</sheetData>
  <pageMargins left="0.7" right="0.7" top="0.75" bottom="0.75" header="0.3" footer="0.3"/>
  <pageSetup scale="76" fitToHeight="2" orientation="portrait" r:id="rId1"/>
  <headerFooter>
    <oddHeader>&amp;R&amp;"times,Bold"&amp;12Attachment to Response to LFUCG-2 Question No. 4 - Att  7
&amp;P of &amp;N
Malloy</oddHead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36"/>
  <sheetViews>
    <sheetView showGridLines="0" view="pageBreakPreview" topLeftCell="AR191" zoomScale="60" zoomScaleNormal="100" workbookViewId="0">
      <selection activeCell="C38" sqref="C38"/>
    </sheetView>
  </sheetViews>
  <sheetFormatPr defaultRowHeight="14.4" x14ac:dyDescent="0.3"/>
  <cols>
    <col min="1" max="1" width="30.6640625" bestFit="1" customWidth="1"/>
    <col min="2" max="2" width="18.5546875" bestFit="1" customWidth="1"/>
    <col min="3" max="3" width="18.5546875" customWidth="1"/>
    <col min="4" max="4" width="34" bestFit="1" customWidth="1"/>
    <col min="5" max="5" width="18.5546875" bestFit="1" customWidth="1"/>
    <col min="6" max="6" width="12.6640625" bestFit="1" customWidth="1"/>
    <col min="7" max="7" width="10.88671875" bestFit="1" customWidth="1"/>
    <col min="8" max="8" width="14.109375" bestFit="1" customWidth="1"/>
    <col min="9" max="9" width="18.5546875" bestFit="1" customWidth="1"/>
    <col min="10" max="10" width="12.6640625" bestFit="1" customWidth="1"/>
    <col min="11" max="11" width="10.88671875" bestFit="1" customWidth="1"/>
    <col min="12" max="12" width="14.109375" bestFit="1" customWidth="1"/>
    <col min="13" max="13" width="18.5546875" bestFit="1" customWidth="1"/>
    <col min="14" max="14" width="12.6640625" bestFit="1" customWidth="1"/>
    <col min="15" max="15" width="10.88671875" bestFit="1" customWidth="1"/>
    <col min="16" max="16" width="14.109375" bestFit="1" customWidth="1"/>
    <col min="17" max="17" width="18.5546875" bestFit="1" customWidth="1"/>
    <col min="18" max="18" width="12.6640625" bestFit="1" customWidth="1"/>
    <col min="19" max="19" width="10.88671875" bestFit="1" customWidth="1"/>
    <col min="20" max="20" width="14.109375" bestFit="1" customWidth="1"/>
    <col min="21" max="21" width="18.5546875" bestFit="1" customWidth="1"/>
    <col min="22" max="22" width="12.6640625" bestFit="1" customWidth="1"/>
    <col min="23" max="23" width="10.88671875" bestFit="1" customWidth="1"/>
    <col min="24" max="24" width="14.109375" bestFit="1" customWidth="1"/>
    <col min="25" max="25" width="18.5546875" bestFit="1" customWidth="1"/>
    <col min="26" max="26" width="12.6640625" bestFit="1" customWidth="1"/>
    <col min="27" max="27" width="10.88671875" bestFit="1" customWidth="1"/>
    <col min="28" max="28" width="14.109375" bestFit="1" customWidth="1"/>
    <col min="29" max="29" width="18.5546875" bestFit="1" customWidth="1"/>
    <col min="30" max="30" width="12.6640625" bestFit="1" customWidth="1"/>
    <col min="31" max="31" width="10.88671875" bestFit="1" customWidth="1"/>
    <col min="32" max="32" width="14.109375" bestFit="1" customWidth="1"/>
    <col min="33" max="33" width="18.5546875" bestFit="1" customWidth="1"/>
    <col min="34" max="34" width="12.6640625" bestFit="1" customWidth="1"/>
    <col min="35" max="35" width="10.88671875" bestFit="1" customWidth="1"/>
    <col min="36" max="36" width="14.109375" bestFit="1" customWidth="1"/>
    <col min="37" max="37" width="18.5546875" bestFit="1" customWidth="1"/>
    <col min="38" max="38" width="12.6640625" bestFit="1" customWidth="1"/>
    <col min="39" max="39" width="10.88671875" bestFit="1" customWidth="1"/>
    <col min="40" max="40" width="14.109375" bestFit="1" customWidth="1"/>
    <col min="41" max="41" width="18.5546875" bestFit="1" customWidth="1"/>
    <col min="42" max="42" width="12.6640625" bestFit="1" customWidth="1"/>
    <col min="43" max="43" width="10.88671875" bestFit="1" customWidth="1"/>
    <col min="44" max="44" width="14.109375" bestFit="1" customWidth="1"/>
    <col min="45" max="45" width="18.5546875" bestFit="1" customWidth="1"/>
    <col min="46" max="46" width="12.6640625" bestFit="1" customWidth="1"/>
    <col min="47" max="47" width="10.88671875" bestFit="1" customWidth="1"/>
    <col min="48" max="48" width="14.109375" bestFit="1" customWidth="1"/>
    <col min="49" max="49" width="18.5546875" bestFit="1" customWidth="1"/>
    <col min="50" max="50" width="12.6640625" bestFit="1" customWidth="1"/>
    <col min="51" max="51" width="10.88671875" bestFit="1" customWidth="1"/>
    <col min="52" max="52" width="14.109375" bestFit="1" customWidth="1"/>
    <col min="53" max="53" width="18.5546875" bestFit="1" customWidth="1"/>
    <col min="54" max="54" width="14.33203125" bestFit="1" customWidth="1"/>
    <col min="55" max="55" width="15.33203125" bestFit="1" customWidth="1"/>
    <col min="56" max="56" width="14.109375" bestFit="1" customWidth="1"/>
    <col min="57" max="57" width="9.5546875" bestFit="1" customWidth="1"/>
    <col min="58" max="58" width="16.6640625" customWidth="1"/>
    <col min="59" max="59" width="13.88671875" customWidth="1"/>
    <col min="60" max="62" width="13.33203125" bestFit="1" customWidth="1"/>
  </cols>
  <sheetData>
    <row r="1" spans="1:56" ht="15.6" x14ac:dyDescent="0.3">
      <c r="A1" s="87" t="s">
        <v>547</v>
      </c>
    </row>
    <row r="2" spans="1:56" x14ac:dyDescent="0.3">
      <c r="A2" s="84"/>
    </row>
    <row r="3" spans="1:56" x14ac:dyDescent="0.3">
      <c r="A3" s="86" t="s">
        <v>546</v>
      </c>
    </row>
    <row r="4" spans="1:56" x14ac:dyDescent="0.3">
      <c r="A4" s="84"/>
    </row>
    <row r="5" spans="1:56" x14ac:dyDescent="0.3">
      <c r="A5" s="86" t="s">
        <v>545</v>
      </c>
    </row>
    <row r="6" spans="1:56" x14ac:dyDescent="0.3">
      <c r="A6" s="84"/>
    </row>
    <row r="7" spans="1:56" x14ac:dyDescent="0.3">
      <c r="A7" s="86" t="s">
        <v>544</v>
      </c>
    </row>
    <row r="8" spans="1:56" x14ac:dyDescent="0.3">
      <c r="A8" s="84"/>
    </row>
    <row r="9" spans="1:56" ht="15.75" customHeight="1" x14ac:dyDescent="0.3">
      <c r="A9" s="270" t="s">
        <v>543</v>
      </c>
      <c r="B9" s="270"/>
      <c r="C9" s="208"/>
    </row>
    <row r="10" spans="1:56" x14ac:dyDescent="0.3">
      <c r="A10" s="85" t="s">
        <v>542</v>
      </c>
      <c r="B10" s="85" t="s">
        <v>539</v>
      </c>
      <c r="C10" s="85"/>
    </row>
    <row r="11" spans="1:56" x14ac:dyDescent="0.3">
      <c r="A11" s="85"/>
      <c r="B11" s="85" t="s">
        <v>538</v>
      </c>
      <c r="C11" s="85"/>
    </row>
    <row r="12" spans="1:56" x14ac:dyDescent="0.3">
      <c r="A12" s="85"/>
      <c r="B12" s="85" t="s">
        <v>537</v>
      </c>
      <c r="C12" s="85"/>
    </row>
    <row r="13" spans="1:56" x14ac:dyDescent="0.3">
      <c r="A13" s="85"/>
      <c r="B13" s="85" t="s">
        <v>536</v>
      </c>
      <c r="C13" s="85"/>
    </row>
    <row r="14" spans="1:56" x14ac:dyDescent="0.3">
      <c r="A14" s="85" t="s">
        <v>541</v>
      </c>
      <c r="B14" s="85" t="s">
        <v>540</v>
      </c>
      <c r="C14" s="85"/>
    </row>
    <row r="15" spans="1:56" ht="15" thickBot="1" x14ac:dyDescent="0.35">
      <c r="A15" s="84"/>
    </row>
    <row r="16" spans="1:56" ht="15" thickBot="1" x14ac:dyDescent="0.35">
      <c r="A16" s="271"/>
      <c r="B16" s="272"/>
      <c r="C16" s="209"/>
      <c r="D16" s="82" t="s">
        <v>541</v>
      </c>
      <c r="E16" s="75" t="s">
        <v>548</v>
      </c>
      <c r="F16" s="75" t="s">
        <v>548</v>
      </c>
      <c r="G16" s="75" t="s">
        <v>548</v>
      </c>
      <c r="H16" s="75" t="s">
        <v>548</v>
      </c>
      <c r="I16" s="75" t="s">
        <v>549</v>
      </c>
      <c r="J16" s="75" t="s">
        <v>549</v>
      </c>
      <c r="K16" s="75" t="s">
        <v>549</v>
      </c>
      <c r="L16" s="75" t="s">
        <v>549</v>
      </c>
      <c r="M16" s="75" t="s">
        <v>550</v>
      </c>
      <c r="N16" s="75" t="s">
        <v>550</v>
      </c>
      <c r="O16" s="75" t="s">
        <v>550</v>
      </c>
      <c r="P16" s="75" t="s">
        <v>550</v>
      </c>
      <c r="Q16" s="75" t="s">
        <v>551</v>
      </c>
      <c r="R16" s="75" t="s">
        <v>551</v>
      </c>
      <c r="S16" s="75" t="s">
        <v>551</v>
      </c>
      <c r="T16" s="75" t="s">
        <v>551</v>
      </c>
      <c r="U16" s="75" t="s">
        <v>552</v>
      </c>
      <c r="V16" s="75" t="s">
        <v>552</v>
      </c>
      <c r="W16" s="75" t="s">
        <v>552</v>
      </c>
      <c r="X16" s="75" t="s">
        <v>552</v>
      </c>
      <c r="Y16" s="75" t="s">
        <v>553</v>
      </c>
      <c r="Z16" s="75" t="s">
        <v>553</v>
      </c>
      <c r="AA16" s="75" t="s">
        <v>553</v>
      </c>
      <c r="AB16" s="75" t="s">
        <v>553</v>
      </c>
      <c r="AC16" s="75" t="s">
        <v>554</v>
      </c>
      <c r="AD16" s="75" t="s">
        <v>554</v>
      </c>
      <c r="AE16" s="75" t="s">
        <v>554</v>
      </c>
      <c r="AF16" s="75" t="s">
        <v>554</v>
      </c>
      <c r="AG16" s="75" t="s">
        <v>555</v>
      </c>
      <c r="AH16" s="75" t="s">
        <v>555</v>
      </c>
      <c r="AI16" s="75" t="s">
        <v>555</v>
      </c>
      <c r="AJ16" s="75" t="s">
        <v>555</v>
      </c>
      <c r="AK16" s="75" t="s">
        <v>556</v>
      </c>
      <c r="AL16" s="75" t="s">
        <v>556</v>
      </c>
      <c r="AM16" s="75" t="s">
        <v>556</v>
      </c>
      <c r="AN16" s="75" t="s">
        <v>556</v>
      </c>
      <c r="AO16" s="75" t="s">
        <v>557</v>
      </c>
      <c r="AP16" s="75" t="s">
        <v>557</v>
      </c>
      <c r="AQ16" s="75" t="s">
        <v>557</v>
      </c>
      <c r="AR16" s="75" t="s">
        <v>557</v>
      </c>
      <c r="AS16" s="75" t="s">
        <v>558</v>
      </c>
      <c r="AT16" s="75" t="s">
        <v>558</v>
      </c>
      <c r="AU16" s="75" t="s">
        <v>558</v>
      </c>
      <c r="AV16" s="75" t="s">
        <v>558</v>
      </c>
      <c r="AW16" s="75" t="s">
        <v>559</v>
      </c>
      <c r="AX16" s="75" t="s">
        <v>559</v>
      </c>
      <c r="AY16" s="75" t="s">
        <v>559</v>
      </c>
      <c r="AZ16" s="75" t="s">
        <v>559</v>
      </c>
      <c r="BA16" s="88" t="s">
        <v>163</v>
      </c>
      <c r="BB16" s="88" t="s">
        <v>163</v>
      </c>
      <c r="BC16" s="88" t="s">
        <v>163</v>
      </c>
      <c r="BD16" s="88" t="s">
        <v>163</v>
      </c>
    </row>
    <row r="17" spans="1:57" ht="15" thickBot="1" x14ac:dyDescent="0.35">
      <c r="A17" s="273"/>
      <c r="B17" s="274"/>
      <c r="C17" s="210"/>
      <c r="D17" s="82"/>
      <c r="E17" s="75" t="s">
        <v>539</v>
      </c>
      <c r="F17" s="75" t="s">
        <v>538</v>
      </c>
      <c r="G17" s="75" t="s">
        <v>537</v>
      </c>
      <c r="H17" s="75" t="s">
        <v>536</v>
      </c>
      <c r="I17" s="75" t="s">
        <v>539</v>
      </c>
      <c r="J17" s="75" t="s">
        <v>538</v>
      </c>
      <c r="K17" s="75" t="s">
        <v>537</v>
      </c>
      <c r="L17" s="75" t="s">
        <v>536</v>
      </c>
      <c r="M17" s="75" t="s">
        <v>539</v>
      </c>
      <c r="N17" s="75" t="s">
        <v>538</v>
      </c>
      <c r="O17" s="75" t="s">
        <v>537</v>
      </c>
      <c r="P17" s="75" t="s">
        <v>536</v>
      </c>
      <c r="Q17" s="75" t="s">
        <v>539</v>
      </c>
      <c r="R17" s="75" t="s">
        <v>538</v>
      </c>
      <c r="S17" s="75" t="s">
        <v>537</v>
      </c>
      <c r="T17" s="75" t="s">
        <v>536</v>
      </c>
      <c r="U17" s="75" t="s">
        <v>539</v>
      </c>
      <c r="V17" s="75" t="s">
        <v>538</v>
      </c>
      <c r="W17" s="75" t="s">
        <v>537</v>
      </c>
      <c r="X17" s="75" t="s">
        <v>536</v>
      </c>
      <c r="Y17" s="75" t="s">
        <v>539</v>
      </c>
      <c r="Z17" s="75" t="s">
        <v>538</v>
      </c>
      <c r="AA17" s="75" t="s">
        <v>537</v>
      </c>
      <c r="AB17" s="75" t="s">
        <v>536</v>
      </c>
      <c r="AC17" s="75" t="s">
        <v>539</v>
      </c>
      <c r="AD17" s="75" t="s">
        <v>538</v>
      </c>
      <c r="AE17" s="75" t="s">
        <v>537</v>
      </c>
      <c r="AF17" s="75" t="s">
        <v>536</v>
      </c>
      <c r="AG17" s="75" t="s">
        <v>539</v>
      </c>
      <c r="AH17" s="75" t="s">
        <v>538</v>
      </c>
      <c r="AI17" s="75" t="s">
        <v>537</v>
      </c>
      <c r="AJ17" s="75" t="s">
        <v>536</v>
      </c>
      <c r="AK17" s="75" t="s">
        <v>539</v>
      </c>
      <c r="AL17" s="75" t="s">
        <v>538</v>
      </c>
      <c r="AM17" s="75" t="s">
        <v>537</v>
      </c>
      <c r="AN17" s="75" t="s">
        <v>536</v>
      </c>
      <c r="AO17" s="75" t="s">
        <v>539</v>
      </c>
      <c r="AP17" s="75" t="s">
        <v>538</v>
      </c>
      <c r="AQ17" s="75" t="s">
        <v>537</v>
      </c>
      <c r="AR17" s="75" t="s">
        <v>536</v>
      </c>
      <c r="AS17" s="75" t="s">
        <v>539</v>
      </c>
      <c r="AT17" s="75" t="s">
        <v>538</v>
      </c>
      <c r="AU17" s="75" t="s">
        <v>537</v>
      </c>
      <c r="AV17" s="75" t="s">
        <v>536</v>
      </c>
      <c r="AW17" s="75" t="s">
        <v>539</v>
      </c>
      <c r="AX17" s="75" t="s">
        <v>538</v>
      </c>
      <c r="AY17" s="75" t="s">
        <v>537</v>
      </c>
      <c r="AZ17" s="75" t="s">
        <v>536</v>
      </c>
      <c r="BA17" s="88" t="s">
        <v>539</v>
      </c>
      <c r="BB17" s="88" t="s">
        <v>538</v>
      </c>
      <c r="BC17" s="88" t="s">
        <v>537</v>
      </c>
      <c r="BD17" s="88" t="s">
        <v>536</v>
      </c>
    </row>
    <row r="18" spans="1:57" ht="15" thickBot="1" x14ac:dyDescent="0.35">
      <c r="A18" s="75" t="s">
        <v>535</v>
      </c>
      <c r="B18" s="75" t="s">
        <v>534</v>
      </c>
      <c r="C18" s="75"/>
      <c r="D18" s="83" t="s">
        <v>571</v>
      </c>
      <c r="E18" s="82"/>
      <c r="F18" s="82"/>
      <c r="G18" s="82" t="s">
        <v>533</v>
      </c>
      <c r="H18" s="82" t="s">
        <v>532</v>
      </c>
      <c r="I18" s="82"/>
      <c r="J18" s="82"/>
      <c r="K18" s="82" t="s">
        <v>533</v>
      </c>
      <c r="L18" s="82" t="s">
        <v>532</v>
      </c>
      <c r="M18" s="82"/>
      <c r="N18" s="82"/>
      <c r="O18" s="82" t="s">
        <v>533</v>
      </c>
      <c r="P18" s="82" t="s">
        <v>532</v>
      </c>
      <c r="Q18" s="82"/>
      <c r="R18" s="82"/>
      <c r="S18" s="82" t="s">
        <v>533</v>
      </c>
      <c r="T18" s="82" t="s">
        <v>532</v>
      </c>
      <c r="U18" s="82"/>
      <c r="V18" s="82"/>
      <c r="W18" s="82" t="s">
        <v>533</v>
      </c>
      <c r="X18" s="82" t="s">
        <v>532</v>
      </c>
      <c r="Y18" s="82"/>
      <c r="Z18" s="82"/>
      <c r="AA18" s="82" t="s">
        <v>533</v>
      </c>
      <c r="AB18" s="82" t="s">
        <v>532</v>
      </c>
      <c r="AC18" s="82"/>
      <c r="AD18" s="82"/>
      <c r="AE18" s="82" t="s">
        <v>533</v>
      </c>
      <c r="AF18" s="82" t="s">
        <v>532</v>
      </c>
      <c r="AG18" s="82"/>
      <c r="AH18" s="82"/>
      <c r="AI18" s="82" t="s">
        <v>533</v>
      </c>
      <c r="AJ18" s="82" t="s">
        <v>532</v>
      </c>
      <c r="AK18" s="82"/>
      <c r="AL18" s="82"/>
      <c r="AM18" s="82" t="s">
        <v>533</v>
      </c>
      <c r="AN18" s="82" t="s">
        <v>532</v>
      </c>
      <c r="AO18" s="82"/>
      <c r="AP18" s="82"/>
      <c r="AQ18" s="82" t="s">
        <v>533</v>
      </c>
      <c r="AR18" s="82" t="s">
        <v>532</v>
      </c>
      <c r="AS18" s="82"/>
      <c r="AT18" s="82"/>
      <c r="AU18" s="82" t="s">
        <v>533</v>
      </c>
      <c r="AV18" s="82" t="s">
        <v>532</v>
      </c>
      <c r="AW18" s="82"/>
      <c r="AX18" s="82"/>
      <c r="AY18" s="82" t="s">
        <v>533</v>
      </c>
      <c r="AZ18" s="82" t="s">
        <v>532</v>
      </c>
      <c r="BA18" s="73"/>
      <c r="BB18" s="73"/>
      <c r="BC18" s="73" t="s">
        <v>533</v>
      </c>
      <c r="BD18" s="73" t="s">
        <v>532</v>
      </c>
    </row>
    <row r="19" spans="1:57" ht="15" thickBot="1" x14ac:dyDescent="0.35">
      <c r="A19" s="75" t="s">
        <v>13</v>
      </c>
      <c r="B19" s="75" t="s">
        <v>531</v>
      </c>
      <c r="C19" s="213" t="str">
        <f>CONCATENATE("KT",RIGHT(B19,3))</f>
        <v>KT406</v>
      </c>
      <c r="D19" s="75" t="s">
        <v>530</v>
      </c>
      <c r="E19" s="81">
        <v>2</v>
      </c>
      <c r="F19" s="80"/>
      <c r="G19" s="79">
        <v>106</v>
      </c>
      <c r="H19" s="79">
        <v>19.04</v>
      </c>
      <c r="I19" s="81">
        <v>2</v>
      </c>
      <c r="J19" s="80"/>
      <c r="K19" s="79">
        <v>126</v>
      </c>
      <c r="L19" s="79">
        <v>19.04</v>
      </c>
      <c r="M19" s="81">
        <v>1</v>
      </c>
      <c r="N19" s="80"/>
      <c r="O19" s="79">
        <v>67</v>
      </c>
      <c r="P19" s="79">
        <v>9.52</v>
      </c>
      <c r="Q19" s="81">
        <v>1</v>
      </c>
      <c r="R19" s="80"/>
      <c r="S19" s="79">
        <v>75</v>
      </c>
      <c r="T19" s="79">
        <v>9.52</v>
      </c>
      <c r="U19" s="81">
        <v>1</v>
      </c>
      <c r="V19" s="80"/>
      <c r="W19" s="79">
        <v>76</v>
      </c>
      <c r="X19" s="79">
        <v>9.52</v>
      </c>
      <c r="Y19" s="81">
        <v>1</v>
      </c>
      <c r="Z19" s="80"/>
      <c r="AA19" s="79">
        <v>94</v>
      </c>
      <c r="AB19" s="79">
        <v>9.52</v>
      </c>
      <c r="AC19" s="81">
        <v>1</v>
      </c>
      <c r="AD19" s="80"/>
      <c r="AE19" s="79">
        <v>82</v>
      </c>
      <c r="AF19" s="79">
        <v>9.52</v>
      </c>
      <c r="AG19" s="81">
        <v>1</v>
      </c>
      <c r="AH19" s="80"/>
      <c r="AI19" s="79">
        <v>72</v>
      </c>
      <c r="AJ19" s="79">
        <v>9.52</v>
      </c>
      <c r="AK19" s="81">
        <v>1</v>
      </c>
      <c r="AL19" s="80"/>
      <c r="AM19" s="79">
        <v>65</v>
      </c>
      <c r="AN19" s="79">
        <v>9.52</v>
      </c>
      <c r="AO19" s="81">
        <v>1</v>
      </c>
      <c r="AP19" s="80"/>
      <c r="AQ19" s="79">
        <v>70</v>
      </c>
      <c r="AR19" s="79">
        <v>9.52</v>
      </c>
      <c r="AS19" s="81">
        <v>1</v>
      </c>
      <c r="AT19" s="80"/>
      <c r="AU19" s="79">
        <v>55</v>
      </c>
      <c r="AV19" s="79">
        <v>9.52</v>
      </c>
      <c r="AW19" s="81">
        <v>1</v>
      </c>
      <c r="AX19" s="80"/>
      <c r="AY19" s="79">
        <v>54</v>
      </c>
      <c r="AZ19" s="79">
        <v>9.52</v>
      </c>
      <c r="BA19" s="74">
        <v>14</v>
      </c>
      <c r="BB19" s="73"/>
      <c r="BC19" s="72">
        <v>942</v>
      </c>
      <c r="BD19" s="72">
        <v>133.27999999999997</v>
      </c>
    </row>
    <row r="20" spans="1:57" ht="15" thickBot="1" x14ac:dyDescent="0.35">
      <c r="A20" s="75" t="s">
        <v>13</v>
      </c>
      <c r="B20" s="75" t="s">
        <v>529</v>
      </c>
      <c r="C20" s="213" t="str">
        <f>CONCATENATE("KT",RIGHT(B20,3))</f>
        <v>KT428</v>
      </c>
      <c r="D20" s="75" t="s">
        <v>528</v>
      </c>
      <c r="E20" s="78">
        <v>1</v>
      </c>
      <c r="F20" s="77"/>
      <c r="G20" s="76">
        <v>30</v>
      </c>
      <c r="H20" s="76">
        <v>6.9</v>
      </c>
      <c r="I20" s="78">
        <v>1</v>
      </c>
      <c r="J20" s="77"/>
      <c r="K20" s="76">
        <v>35</v>
      </c>
      <c r="L20" s="76">
        <v>6.9</v>
      </c>
      <c r="M20" s="78">
        <v>2</v>
      </c>
      <c r="N20" s="77"/>
      <c r="O20" s="76">
        <v>76</v>
      </c>
      <c r="P20" s="76">
        <v>13.8</v>
      </c>
      <c r="Q20" s="78">
        <v>2</v>
      </c>
      <c r="R20" s="77"/>
      <c r="S20" s="76">
        <v>84</v>
      </c>
      <c r="T20" s="76">
        <v>13.8</v>
      </c>
      <c r="U20" s="78">
        <v>2</v>
      </c>
      <c r="V20" s="77"/>
      <c r="W20" s="76">
        <v>86</v>
      </c>
      <c r="X20" s="76">
        <v>13.8</v>
      </c>
      <c r="Y20" s="78">
        <v>2</v>
      </c>
      <c r="Z20" s="77"/>
      <c r="AA20" s="76">
        <v>106</v>
      </c>
      <c r="AB20" s="76">
        <v>13.8</v>
      </c>
      <c r="AC20" s="78">
        <v>2</v>
      </c>
      <c r="AD20" s="77"/>
      <c r="AE20" s="76">
        <v>92</v>
      </c>
      <c r="AF20" s="76">
        <v>13.8</v>
      </c>
      <c r="AG20" s="78">
        <v>2</v>
      </c>
      <c r="AH20" s="77"/>
      <c r="AI20" s="76">
        <v>82</v>
      </c>
      <c r="AJ20" s="76">
        <v>13.8</v>
      </c>
      <c r="AK20" s="78">
        <v>2</v>
      </c>
      <c r="AL20" s="77"/>
      <c r="AM20" s="76">
        <v>74</v>
      </c>
      <c r="AN20" s="76">
        <v>13.8</v>
      </c>
      <c r="AO20" s="78">
        <v>2</v>
      </c>
      <c r="AP20" s="77"/>
      <c r="AQ20" s="76">
        <v>80</v>
      </c>
      <c r="AR20" s="76">
        <v>13.8</v>
      </c>
      <c r="AS20" s="78">
        <v>2</v>
      </c>
      <c r="AT20" s="77"/>
      <c r="AU20" s="76">
        <v>62</v>
      </c>
      <c r="AV20" s="76">
        <v>13.8</v>
      </c>
      <c r="AW20" s="78">
        <v>2</v>
      </c>
      <c r="AX20" s="77"/>
      <c r="AY20" s="76">
        <v>60</v>
      </c>
      <c r="AZ20" s="76">
        <v>13.8</v>
      </c>
      <c r="BA20" s="74">
        <v>22</v>
      </c>
      <c r="BB20" s="73"/>
      <c r="BC20" s="72">
        <v>867</v>
      </c>
      <c r="BD20" s="72">
        <v>151.80000000000001</v>
      </c>
      <c r="BE20">
        <f>13.8/2</f>
        <v>6.9</v>
      </c>
    </row>
    <row r="21" spans="1:57" ht="15" thickBot="1" x14ac:dyDescent="0.35">
      <c r="A21" s="75" t="s">
        <v>13</v>
      </c>
      <c r="B21" s="75" t="s">
        <v>527</v>
      </c>
      <c r="C21" s="213" t="str">
        <f t="shared" ref="C21:C83" si="0">CONCATENATE("KU",RIGHT(B21,3))</f>
        <v>KU360</v>
      </c>
      <c r="D21" s="75" t="s">
        <v>526</v>
      </c>
      <c r="E21" s="81">
        <v>4</v>
      </c>
      <c r="F21" s="80"/>
      <c r="G21" s="79">
        <v>182</v>
      </c>
      <c r="H21" s="79">
        <v>258.35000000000002</v>
      </c>
      <c r="I21" s="81">
        <v>4</v>
      </c>
      <c r="J21" s="80"/>
      <c r="K21" s="79">
        <v>193</v>
      </c>
      <c r="L21" s="79">
        <v>265.66000000000003</v>
      </c>
      <c r="M21" s="81">
        <v>4</v>
      </c>
      <c r="N21" s="80"/>
      <c r="O21" s="79">
        <v>250</v>
      </c>
      <c r="P21" s="79">
        <v>265.02999999999997</v>
      </c>
      <c r="Q21" s="81">
        <v>4</v>
      </c>
      <c r="R21" s="80"/>
      <c r="S21" s="79">
        <v>238</v>
      </c>
      <c r="T21" s="79">
        <v>267.12</v>
      </c>
      <c r="U21" s="81">
        <v>4</v>
      </c>
      <c r="V21" s="80"/>
      <c r="W21" s="79">
        <v>259</v>
      </c>
      <c r="X21" s="79">
        <v>266.83</v>
      </c>
      <c r="Y21" s="81">
        <v>4</v>
      </c>
      <c r="Z21" s="80"/>
      <c r="AA21" s="79">
        <v>304</v>
      </c>
      <c r="AB21" s="79">
        <v>267.12</v>
      </c>
      <c r="AC21" s="81">
        <v>4</v>
      </c>
      <c r="AD21" s="80"/>
      <c r="AE21" s="79">
        <v>298</v>
      </c>
      <c r="AF21" s="79">
        <v>267.52</v>
      </c>
      <c r="AG21" s="81">
        <v>4</v>
      </c>
      <c r="AH21" s="80"/>
      <c r="AI21" s="79">
        <v>289</v>
      </c>
      <c r="AJ21" s="79">
        <v>278.33</v>
      </c>
      <c r="AK21" s="81">
        <v>4</v>
      </c>
      <c r="AL21" s="80"/>
      <c r="AM21" s="79">
        <v>233</v>
      </c>
      <c r="AN21" s="79">
        <v>278.56</v>
      </c>
      <c r="AO21" s="81">
        <v>4</v>
      </c>
      <c r="AP21" s="80"/>
      <c r="AQ21" s="79">
        <v>231</v>
      </c>
      <c r="AR21" s="79">
        <v>267.11</v>
      </c>
      <c r="AS21" s="81">
        <v>4</v>
      </c>
      <c r="AT21" s="80"/>
      <c r="AU21" s="79">
        <v>201</v>
      </c>
      <c r="AV21" s="79">
        <v>269.97000000000003</v>
      </c>
      <c r="AW21" s="81">
        <v>4</v>
      </c>
      <c r="AX21" s="80"/>
      <c r="AY21" s="79">
        <v>211</v>
      </c>
      <c r="AZ21" s="79">
        <v>271.83</v>
      </c>
      <c r="BA21" s="74">
        <v>48</v>
      </c>
      <c r="BB21" s="73"/>
      <c r="BC21" s="72">
        <v>2889</v>
      </c>
      <c r="BD21" s="72">
        <v>3223.4299999999994</v>
      </c>
    </row>
    <row r="22" spans="1:57" ht="15" thickBot="1" x14ac:dyDescent="0.35">
      <c r="A22" s="75" t="s">
        <v>13</v>
      </c>
      <c r="B22" s="75" t="s">
        <v>525</v>
      </c>
      <c r="C22" s="213" t="str">
        <f t="shared" si="0"/>
        <v>KU401</v>
      </c>
      <c r="D22" s="75" t="s">
        <v>524</v>
      </c>
      <c r="E22" s="78">
        <v>52</v>
      </c>
      <c r="F22" s="77"/>
      <c r="G22" s="76">
        <v>1117</v>
      </c>
      <c r="H22" s="76">
        <v>900.84</v>
      </c>
      <c r="I22" s="78">
        <v>52</v>
      </c>
      <c r="J22" s="77"/>
      <c r="K22" s="76">
        <v>1158</v>
      </c>
      <c r="L22" s="76">
        <v>931.23</v>
      </c>
      <c r="M22" s="78">
        <v>52</v>
      </c>
      <c r="N22" s="77"/>
      <c r="O22" s="76">
        <v>1437</v>
      </c>
      <c r="P22" s="76">
        <v>927.26</v>
      </c>
      <c r="Q22" s="78">
        <v>52</v>
      </c>
      <c r="R22" s="77"/>
      <c r="S22" s="76">
        <v>1437</v>
      </c>
      <c r="T22" s="76">
        <v>932.34</v>
      </c>
      <c r="U22" s="78">
        <v>52</v>
      </c>
      <c r="V22" s="77"/>
      <c r="W22" s="76">
        <v>1570</v>
      </c>
      <c r="X22" s="76">
        <v>932.38</v>
      </c>
      <c r="Y22" s="78">
        <v>52</v>
      </c>
      <c r="Z22" s="77"/>
      <c r="AA22" s="76">
        <v>1803</v>
      </c>
      <c r="AB22" s="76">
        <v>930.52</v>
      </c>
      <c r="AC22" s="78">
        <v>52</v>
      </c>
      <c r="AD22" s="77"/>
      <c r="AE22" s="76">
        <v>1756</v>
      </c>
      <c r="AF22" s="76">
        <v>932.21</v>
      </c>
      <c r="AG22" s="78">
        <v>52</v>
      </c>
      <c r="AH22" s="77"/>
      <c r="AI22" s="76">
        <v>1692</v>
      </c>
      <c r="AJ22" s="76">
        <v>954.61</v>
      </c>
      <c r="AK22" s="78">
        <v>78</v>
      </c>
      <c r="AL22" s="78">
        <v>42</v>
      </c>
      <c r="AM22" s="76">
        <v>2446</v>
      </c>
      <c r="AN22" s="76">
        <v>1556.7</v>
      </c>
      <c r="AO22" s="78">
        <v>65</v>
      </c>
      <c r="AP22" s="77"/>
      <c r="AQ22" s="76">
        <v>1722</v>
      </c>
      <c r="AR22" s="76">
        <v>1163.81</v>
      </c>
      <c r="AS22" s="78">
        <v>65</v>
      </c>
      <c r="AT22" s="77"/>
      <c r="AU22" s="76">
        <v>1507</v>
      </c>
      <c r="AV22" s="76">
        <v>1163.6600000000001</v>
      </c>
      <c r="AW22" s="78">
        <v>65</v>
      </c>
      <c r="AX22" s="77"/>
      <c r="AY22" s="76">
        <v>1540</v>
      </c>
      <c r="AZ22" s="76">
        <v>1172.5</v>
      </c>
      <c r="BA22" s="74">
        <v>689</v>
      </c>
      <c r="BB22" s="74">
        <v>42</v>
      </c>
      <c r="BC22" s="72">
        <v>19185</v>
      </c>
      <c r="BD22" s="72">
        <v>12498.06</v>
      </c>
    </row>
    <row r="23" spans="1:57" ht="15" thickBot="1" x14ac:dyDescent="0.35">
      <c r="A23" s="75" t="s">
        <v>13</v>
      </c>
      <c r="B23" s="75" t="s">
        <v>523</v>
      </c>
      <c r="C23" s="213" t="str">
        <f t="shared" si="0"/>
        <v>KU404</v>
      </c>
      <c r="D23" s="75" t="s">
        <v>522</v>
      </c>
      <c r="E23" s="81">
        <v>6625</v>
      </c>
      <c r="F23" s="81">
        <v>2</v>
      </c>
      <c r="G23" s="79">
        <v>352646</v>
      </c>
      <c r="H23" s="79">
        <v>80907.64</v>
      </c>
      <c r="I23" s="81">
        <v>6641</v>
      </c>
      <c r="J23" s="81">
        <v>2</v>
      </c>
      <c r="K23" s="79">
        <v>376915</v>
      </c>
      <c r="L23" s="79">
        <v>82850.990000000005</v>
      </c>
      <c r="M23" s="81">
        <v>6585</v>
      </c>
      <c r="N23" s="81">
        <v>2</v>
      </c>
      <c r="O23" s="79">
        <v>438302</v>
      </c>
      <c r="P23" s="79">
        <v>82147.58</v>
      </c>
      <c r="Q23" s="81">
        <v>6616</v>
      </c>
      <c r="R23" s="81">
        <v>0</v>
      </c>
      <c r="S23" s="79">
        <v>453047</v>
      </c>
      <c r="T23" s="79">
        <v>82672.94</v>
      </c>
      <c r="U23" s="81">
        <v>6443</v>
      </c>
      <c r="V23" s="81">
        <v>0</v>
      </c>
      <c r="W23" s="79">
        <v>479629</v>
      </c>
      <c r="X23" s="79">
        <v>80182.61</v>
      </c>
      <c r="Y23" s="81">
        <v>6552</v>
      </c>
      <c r="Z23" s="81">
        <v>1</v>
      </c>
      <c r="AA23" s="79">
        <v>559064</v>
      </c>
      <c r="AB23" s="79">
        <v>79743.92</v>
      </c>
      <c r="AC23" s="81">
        <v>6348</v>
      </c>
      <c r="AD23" s="81">
        <v>0</v>
      </c>
      <c r="AE23" s="79">
        <v>559467</v>
      </c>
      <c r="AF23" s="79">
        <v>77861.8</v>
      </c>
      <c r="AG23" s="81">
        <v>6390</v>
      </c>
      <c r="AH23" s="81">
        <v>4</v>
      </c>
      <c r="AI23" s="79">
        <v>489948</v>
      </c>
      <c r="AJ23" s="79">
        <v>81668.009999999995</v>
      </c>
      <c r="AK23" s="81">
        <v>6451</v>
      </c>
      <c r="AL23" s="81">
        <v>2</v>
      </c>
      <c r="AM23" s="79">
        <v>443390</v>
      </c>
      <c r="AN23" s="79">
        <v>84284.3</v>
      </c>
      <c r="AO23" s="81">
        <v>6347</v>
      </c>
      <c r="AP23" s="81">
        <v>11</v>
      </c>
      <c r="AQ23" s="79">
        <v>427247</v>
      </c>
      <c r="AR23" s="79">
        <v>78839.59</v>
      </c>
      <c r="AS23" s="81">
        <v>6323</v>
      </c>
      <c r="AT23" s="81">
        <v>1</v>
      </c>
      <c r="AU23" s="79">
        <v>369572</v>
      </c>
      <c r="AV23" s="79">
        <v>78722.37</v>
      </c>
      <c r="AW23" s="81">
        <v>6300</v>
      </c>
      <c r="AX23" s="81">
        <v>0</v>
      </c>
      <c r="AY23" s="79">
        <v>359937</v>
      </c>
      <c r="AZ23" s="79">
        <v>79368.95</v>
      </c>
      <c r="BA23" s="74">
        <v>77621</v>
      </c>
      <c r="BB23" s="74">
        <v>25</v>
      </c>
      <c r="BC23" s="72">
        <v>5309164</v>
      </c>
      <c r="BD23" s="72">
        <v>969250.7</v>
      </c>
    </row>
    <row r="24" spans="1:57" ht="15" thickBot="1" x14ac:dyDescent="0.35">
      <c r="A24" s="75" t="s">
        <v>13</v>
      </c>
      <c r="B24" s="75" t="s">
        <v>521</v>
      </c>
      <c r="C24" s="213" t="str">
        <f t="shared" si="0"/>
        <v>KU409</v>
      </c>
      <c r="D24" s="75" t="s">
        <v>520</v>
      </c>
      <c r="E24" s="78">
        <v>139</v>
      </c>
      <c r="F24" s="77"/>
      <c r="G24" s="76">
        <v>16724</v>
      </c>
      <c r="H24" s="76">
        <v>1904.56</v>
      </c>
      <c r="I24" s="78">
        <v>133</v>
      </c>
      <c r="J24" s="77"/>
      <c r="K24" s="76">
        <v>17795</v>
      </c>
      <c r="L24" s="76">
        <v>1877.8</v>
      </c>
      <c r="M24" s="78">
        <v>134</v>
      </c>
      <c r="N24" s="77"/>
      <c r="O24" s="76">
        <v>19963</v>
      </c>
      <c r="P24" s="76">
        <v>1869.46</v>
      </c>
      <c r="Q24" s="78">
        <v>138</v>
      </c>
      <c r="R24" s="77"/>
      <c r="S24" s="76">
        <v>21816</v>
      </c>
      <c r="T24" s="76">
        <v>1932.67</v>
      </c>
      <c r="U24" s="78">
        <v>132</v>
      </c>
      <c r="V24" s="77"/>
      <c r="W24" s="76">
        <v>22829</v>
      </c>
      <c r="X24" s="76">
        <v>1822.36</v>
      </c>
      <c r="Y24" s="78">
        <v>134</v>
      </c>
      <c r="Z24" s="77"/>
      <c r="AA24" s="76">
        <v>25498</v>
      </c>
      <c r="AB24" s="76">
        <v>1772.18</v>
      </c>
      <c r="AC24" s="78">
        <v>134</v>
      </c>
      <c r="AD24" s="77"/>
      <c r="AE24" s="76">
        <v>27574</v>
      </c>
      <c r="AF24" s="76">
        <v>1769.81</v>
      </c>
      <c r="AG24" s="78">
        <v>136</v>
      </c>
      <c r="AH24" s="77"/>
      <c r="AI24" s="76">
        <v>23302</v>
      </c>
      <c r="AJ24" s="76">
        <v>1918.78</v>
      </c>
      <c r="AK24" s="78">
        <v>134</v>
      </c>
      <c r="AL24" s="77"/>
      <c r="AM24" s="76">
        <v>20891</v>
      </c>
      <c r="AN24" s="76">
        <v>2026.05</v>
      </c>
      <c r="AO24" s="78">
        <v>134</v>
      </c>
      <c r="AP24" s="77"/>
      <c r="AQ24" s="76">
        <v>20995</v>
      </c>
      <c r="AR24" s="76">
        <v>1927.34</v>
      </c>
      <c r="AS24" s="78">
        <v>134</v>
      </c>
      <c r="AT24" s="77"/>
      <c r="AU24" s="76">
        <v>18264</v>
      </c>
      <c r="AV24" s="76">
        <v>1895.23</v>
      </c>
      <c r="AW24" s="78">
        <v>133</v>
      </c>
      <c r="AX24" s="78">
        <v>15</v>
      </c>
      <c r="AY24" s="76">
        <v>16729</v>
      </c>
      <c r="AZ24" s="76">
        <v>1901.67</v>
      </c>
      <c r="BA24" s="74">
        <v>1615</v>
      </c>
      <c r="BB24" s="74">
        <v>15</v>
      </c>
      <c r="BC24" s="72">
        <v>252380</v>
      </c>
      <c r="BD24" s="72">
        <v>22617.910000000003</v>
      </c>
    </row>
    <row r="25" spans="1:57" ht="15" thickBot="1" x14ac:dyDescent="0.35">
      <c r="A25" s="75" t="s">
        <v>13</v>
      </c>
      <c r="B25" s="75" t="s">
        <v>519</v>
      </c>
      <c r="C25" s="213" t="str">
        <f t="shared" si="0"/>
        <v>KU410</v>
      </c>
      <c r="D25" s="75" t="s">
        <v>518</v>
      </c>
      <c r="E25" s="78">
        <v>240</v>
      </c>
      <c r="F25" s="77"/>
      <c r="G25" s="76">
        <v>3610</v>
      </c>
      <c r="H25" s="76">
        <v>5551.54</v>
      </c>
      <c r="I25" s="78">
        <v>240</v>
      </c>
      <c r="J25" s="77"/>
      <c r="K25" s="76">
        <v>3935</v>
      </c>
      <c r="L25" s="76">
        <v>5820.19</v>
      </c>
      <c r="M25" s="78">
        <v>240</v>
      </c>
      <c r="N25" s="77"/>
      <c r="O25" s="76">
        <v>4588</v>
      </c>
      <c r="P25" s="76">
        <v>5808.44</v>
      </c>
      <c r="Q25" s="78">
        <v>240</v>
      </c>
      <c r="R25" s="77"/>
      <c r="S25" s="76">
        <v>4713</v>
      </c>
      <c r="T25" s="76">
        <v>5852.84</v>
      </c>
      <c r="U25" s="78">
        <v>240</v>
      </c>
      <c r="V25" s="77"/>
      <c r="W25" s="76">
        <v>5216</v>
      </c>
      <c r="X25" s="76">
        <v>5846.86</v>
      </c>
      <c r="Y25" s="78">
        <v>240</v>
      </c>
      <c r="Z25" s="77"/>
      <c r="AA25" s="76">
        <v>6002</v>
      </c>
      <c r="AB25" s="76">
        <v>5856.43</v>
      </c>
      <c r="AC25" s="78">
        <v>240</v>
      </c>
      <c r="AD25" s="77"/>
      <c r="AE25" s="76">
        <v>6199</v>
      </c>
      <c r="AF25" s="76">
        <v>5862.49</v>
      </c>
      <c r="AG25" s="78">
        <v>240</v>
      </c>
      <c r="AH25" s="77"/>
      <c r="AI25" s="76">
        <v>5447</v>
      </c>
      <c r="AJ25" s="76">
        <v>5967.07</v>
      </c>
      <c r="AK25" s="78">
        <v>240</v>
      </c>
      <c r="AL25" s="77"/>
      <c r="AM25" s="76">
        <v>4853</v>
      </c>
      <c r="AN25" s="76">
        <v>5967.2</v>
      </c>
      <c r="AO25" s="78">
        <v>240</v>
      </c>
      <c r="AP25" s="77"/>
      <c r="AQ25" s="76">
        <v>4692</v>
      </c>
      <c r="AR25" s="76">
        <v>5722.62</v>
      </c>
      <c r="AS25" s="78">
        <v>240</v>
      </c>
      <c r="AT25" s="77"/>
      <c r="AU25" s="76">
        <v>4265</v>
      </c>
      <c r="AV25" s="76">
        <v>5783.4</v>
      </c>
      <c r="AW25" s="78">
        <v>240</v>
      </c>
      <c r="AX25" s="77"/>
      <c r="AY25" s="76">
        <v>3980</v>
      </c>
      <c r="AZ25" s="76">
        <v>5826.48</v>
      </c>
      <c r="BA25" s="74">
        <v>2880</v>
      </c>
      <c r="BB25" s="73"/>
      <c r="BC25" s="72">
        <v>57500</v>
      </c>
      <c r="BD25" s="72">
        <v>69865.56</v>
      </c>
    </row>
    <row r="26" spans="1:57" ht="15" thickBot="1" x14ac:dyDescent="0.35">
      <c r="A26" s="75" t="s">
        <v>13</v>
      </c>
      <c r="B26" s="75" t="s">
        <v>517</v>
      </c>
      <c r="C26" s="213" t="str">
        <f t="shared" si="0"/>
        <v>KU411</v>
      </c>
      <c r="D26" s="75" t="s">
        <v>516</v>
      </c>
      <c r="E26" s="81">
        <v>148</v>
      </c>
      <c r="F26" s="80"/>
      <c r="G26" s="79">
        <v>3169</v>
      </c>
      <c r="H26" s="79">
        <v>3737.66</v>
      </c>
      <c r="I26" s="81">
        <v>148</v>
      </c>
      <c r="J26" s="80"/>
      <c r="K26" s="79">
        <v>3340</v>
      </c>
      <c r="L26" s="79">
        <v>3876.94</v>
      </c>
      <c r="M26" s="81">
        <v>148</v>
      </c>
      <c r="N26" s="80"/>
      <c r="O26" s="79">
        <v>3977</v>
      </c>
      <c r="P26" s="79">
        <v>3867.99</v>
      </c>
      <c r="Q26" s="81">
        <v>148</v>
      </c>
      <c r="R26" s="80"/>
      <c r="S26" s="79">
        <v>4039</v>
      </c>
      <c r="T26" s="79">
        <v>3897.65</v>
      </c>
      <c r="U26" s="81">
        <v>148</v>
      </c>
      <c r="V26" s="80"/>
      <c r="W26" s="79">
        <v>4490</v>
      </c>
      <c r="X26" s="79">
        <v>3892.17</v>
      </c>
      <c r="Y26" s="81">
        <v>148</v>
      </c>
      <c r="Z26" s="80"/>
      <c r="AA26" s="79">
        <v>5101</v>
      </c>
      <c r="AB26" s="79">
        <v>3894.07</v>
      </c>
      <c r="AC26" s="81">
        <v>152</v>
      </c>
      <c r="AD26" s="80"/>
      <c r="AE26" s="79">
        <v>5124</v>
      </c>
      <c r="AF26" s="79">
        <v>3935.89</v>
      </c>
      <c r="AG26" s="81">
        <v>148</v>
      </c>
      <c r="AH26" s="80"/>
      <c r="AI26" s="79">
        <v>4746</v>
      </c>
      <c r="AJ26" s="79">
        <v>3969.89</v>
      </c>
      <c r="AK26" s="81">
        <v>148</v>
      </c>
      <c r="AL26" s="80"/>
      <c r="AM26" s="79">
        <v>4049</v>
      </c>
      <c r="AN26" s="79">
        <v>3889.73</v>
      </c>
      <c r="AO26" s="81">
        <v>145</v>
      </c>
      <c r="AP26" s="80"/>
      <c r="AQ26" s="79">
        <v>3895</v>
      </c>
      <c r="AR26" s="79">
        <v>3725.39</v>
      </c>
      <c r="AS26" s="81">
        <v>145</v>
      </c>
      <c r="AT26" s="80"/>
      <c r="AU26" s="79">
        <v>3412</v>
      </c>
      <c r="AV26" s="79">
        <v>3763.84</v>
      </c>
      <c r="AW26" s="81">
        <v>145</v>
      </c>
      <c r="AX26" s="80"/>
      <c r="AY26" s="79">
        <v>3398</v>
      </c>
      <c r="AZ26" s="79">
        <v>3791.4</v>
      </c>
      <c r="BA26" s="74">
        <v>1771</v>
      </c>
      <c r="BB26" s="73"/>
      <c r="BC26" s="72">
        <v>48740</v>
      </c>
      <c r="BD26" s="72">
        <v>46242.62</v>
      </c>
    </row>
    <row r="27" spans="1:57" ht="15" thickBot="1" x14ac:dyDescent="0.35">
      <c r="A27" s="75" t="s">
        <v>13</v>
      </c>
      <c r="B27" s="75" t="s">
        <v>515</v>
      </c>
      <c r="C27" s="213" t="str">
        <f t="shared" si="0"/>
        <v>KU412</v>
      </c>
      <c r="D27" s="75" t="s">
        <v>514</v>
      </c>
      <c r="E27" s="78">
        <v>29</v>
      </c>
      <c r="F27" s="77"/>
      <c r="G27" s="76">
        <v>598</v>
      </c>
      <c r="H27" s="76">
        <v>1070.73</v>
      </c>
      <c r="I27" s="78">
        <v>29</v>
      </c>
      <c r="J27" s="77"/>
      <c r="K27" s="76">
        <v>637</v>
      </c>
      <c r="L27" s="76">
        <v>1146.05</v>
      </c>
      <c r="M27" s="78">
        <v>29</v>
      </c>
      <c r="N27" s="77"/>
      <c r="O27" s="76">
        <v>743</v>
      </c>
      <c r="P27" s="76">
        <v>1143.8599999999999</v>
      </c>
      <c r="Q27" s="78">
        <v>29</v>
      </c>
      <c r="R27" s="77"/>
      <c r="S27" s="76">
        <v>776</v>
      </c>
      <c r="T27" s="76">
        <v>1152.57</v>
      </c>
      <c r="U27" s="78">
        <v>29</v>
      </c>
      <c r="V27" s="77"/>
      <c r="W27" s="76">
        <v>830</v>
      </c>
      <c r="X27" s="76">
        <v>1151.6600000000001</v>
      </c>
      <c r="Y27" s="78">
        <v>29</v>
      </c>
      <c r="Z27" s="77"/>
      <c r="AA27" s="76">
        <v>1018</v>
      </c>
      <c r="AB27" s="76">
        <v>1153.6400000000001</v>
      </c>
      <c r="AC27" s="78">
        <v>29</v>
      </c>
      <c r="AD27" s="77"/>
      <c r="AE27" s="76">
        <v>970</v>
      </c>
      <c r="AF27" s="76">
        <v>1155.33</v>
      </c>
      <c r="AG27" s="78">
        <v>29</v>
      </c>
      <c r="AH27" s="77"/>
      <c r="AI27" s="76">
        <v>1002</v>
      </c>
      <c r="AJ27" s="76">
        <v>1171.82</v>
      </c>
      <c r="AK27" s="78">
        <v>29</v>
      </c>
      <c r="AL27" s="77"/>
      <c r="AM27" s="76">
        <v>824</v>
      </c>
      <c r="AN27" s="76">
        <v>1172.03</v>
      </c>
      <c r="AO27" s="78">
        <v>29</v>
      </c>
      <c r="AP27" s="77"/>
      <c r="AQ27" s="76">
        <v>806</v>
      </c>
      <c r="AR27" s="76">
        <v>1124.1199999999999</v>
      </c>
      <c r="AS27" s="78">
        <v>29</v>
      </c>
      <c r="AT27" s="77"/>
      <c r="AU27" s="76">
        <v>699</v>
      </c>
      <c r="AV27" s="76">
        <v>1136.44</v>
      </c>
      <c r="AW27" s="78">
        <v>29</v>
      </c>
      <c r="AX27" s="77"/>
      <c r="AY27" s="76">
        <v>700</v>
      </c>
      <c r="AZ27" s="76">
        <v>1144.45</v>
      </c>
      <c r="BA27" s="74">
        <v>348</v>
      </c>
      <c r="BB27" s="73"/>
      <c r="BC27" s="72">
        <v>9603</v>
      </c>
      <c r="BD27" s="72">
        <v>13722.700000000003</v>
      </c>
    </row>
    <row r="28" spans="1:57" ht="15" thickBot="1" x14ac:dyDescent="0.35">
      <c r="A28" s="75" t="s">
        <v>13</v>
      </c>
      <c r="B28" s="75" t="s">
        <v>513</v>
      </c>
      <c r="C28" s="213" t="str">
        <f t="shared" si="0"/>
        <v>KU413</v>
      </c>
      <c r="D28" s="75" t="s">
        <v>512</v>
      </c>
      <c r="E28" s="81">
        <v>98</v>
      </c>
      <c r="F28" s="80"/>
      <c r="G28" s="79">
        <v>2987</v>
      </c>
      <c r="H28" s="79">
        <v>3622.69</v>
      </c>
      <c r="I28" s="81">
        <v>98</v>
      </c>
      <c r="J28" s="80"/>
      <c r="K28" s="79">
        <v>3057</v>
      </c>
      <c r="L28" s="79">
        <v>3810.75</v>
      </c>
      <c r="M28" s="81">
        <v>98</v>
      </c>
      <c r="N28" s="80"/>
      <c r="O28" s="79">
        <v>3657</v>
      </c>
      <c r="P28" s="79">
        <v>3802.1</v>
      </c>
      <c r="Q28" s="81">
        <v>98</v>
      </c>
      <c r="R28" s="80"/>
      <c r="S28" s="79">
        <v>3771</v>
      </c>
      <c r="T28" s="79">
        <v>3831</v>
      </c>
      <c r="U28" s="81">
        <v>98</v>
      </c>
      <c r="V28" s="80"/>
      <c r="W28" s="79">
        <v>4005</v>
      </c>
      <c r="X28" s="79">
        <v>3826.68</v>
      </c>
      <c r="Y28" s="81">
        <v>98</v>
      </c>
      <c r="Z28" s="80"/>
      <c r="AA28" s="79">
        <v>4808</v>
      </c>
      <c r="AB28" s="79">
        <v>3827.97</v>
      </c>
      <c r="AC28" s="81">
        <v>98</v>
      </c>
      <c r="AD28" s="80"/>
      <c r="AE28" s="79">
        <v>4908</v>
      </c>
      <c r="AF28" s="79">
        <v>3833.12</v>
      </c>
      <c r="AG28" s="81">
        <v>98</v>
      </c>
      <c r="AH28" s="80"/>
      <c r="AI28" s="79">
        <v>4338</v>
      </c>
      <c r="AJ28" s="79">
        <v>3878.62</v>
      </c>
      <c r="AK28" s="81">
        <v>98</v>
      </c>
      <c r="AL28" s="80"/>
      <c r="AM28" s="79">
        <v>3935</v>
      </c>
      <c r="AN28" s="79">
        <v>3883.55</v>
      </c>
      <c r="AO28" s="81">
        <v>98</v>
      </c>
      <c r="AP28" s="80"/>
      <c r="AQ28" s="79">
        <v>3823</v>
      </c>
      <c r="AR28" s="79">
        <v>3722.09</v>
      </c>
      <c r="AS28" s="81">
        <v>98</v>
      </c>
      <c r="AT28" s="80"/>
      <c r="AU28" s="79">
        <v>3356</v>
      </c>
      <c r="AV28" s="79">
        <v>3760.52</v>
      </c>
      <c r="AW28" s="81">
        <v>98</v>
      </c>
      <c r="AX28" s="80"/>
      <c r="AY28" s="79">
        <v>3164</v>
      </c>
      <c r="AZ28" s="79">
        <v>3789.21</v>
      </c>
      <c r="BA28" s="74">
        <v>1176</v>
      </c>
      <c r="BB28" s="73"/>
      <c r="BC28" s="72">
        <v>45809</v>
      </c>
      <c r="BD28" s="72">
        <v>45588.3</v>
      </c>
    </row>
    <row r="29" spans="1:57" ht="15" thickBot="1" x14ac:dyDescent="0.35">
      <c r="A29" s="75" t="s">
        <v>13</v>
      </c>
      <c r="B29" s="75" t="s">
        <v>511</v>
      </c>
      <c r="C29" s="213" t="str">
        <f t="shared" si="0"/>
        <v>KU414</v>
      </c>
      <c r="D29" s="75" t="s">
        <v>510</v>
      </c>
      <c r="E29" s="78">
        <v>21</v>
      </c>
      <c r="F29" s="77"/>
      <c r="G29" s="76">
        <v>480</v>
      </c>
      <c r="H29" s="76">
        <v>713.27</v>
      </c>
      <c r="I29" s="78">
        <v>21</v>
      </c>
      <c r="J29" s="77"/>
      <c r="K29" s="76">
        <v>445</v>
      </c>
      <c r="L29" s="76">
        <v>771.87</v>
      </c>
      <c r="M29" s="78">
        <v>21</v>
      </c>
      <c r="N29" s="77"/>
      <c r="O29" s="76">
        <v>517</v>
      </c>
      <c r="P29" s="76">
        <v>766.45</v>
      </c>
      <c r="Q29" s="78">
        <v>21</v>
      </c>
      <c r="R29" s="77"/>
      <c r="S29" s="76">
        <v>593</v>
      </c>
      <c r="T29" s="76">
        <v>764.95</v>
      </c>
      <c r="U29" s="78">
        <v>21</v>
      </c>
      <c r="V29" s="77"/>
      <c r="W29" s="76">
        <v>598</v>
      </c>
      <c r="X29" s="76">
        <v>770.84</v>
      </c>
      <c r="Y29" s="78">
        <v>21</v>
      </c>
      <c r="Z29" s="77"/>
      <c r="AA29" s="76">
        <v>735</v>
      </c>
      <c r="AB29" s="76">
        <v>769.78</v>
      </c>
      <c r="AC29" s="78">
        <v>21</v>
      </c>
      <c r="AD29" s="77"/>
      <c r="AE29" s="76">
        <v>700</v>
      </c>
      <c r="AF29" s="76">
        <v>771.94</v>
      </c>
      <c r="AG29" s="78">
        <v>21</v>
      </c>
      <c r="AH29" s="77"/>
      <c r="AI29" s="76">
        <v>687</v>
      </c>
      <c r="AJ29" s="76">
        <v>772.9</v>
      </c>
      <c r="AK29" s="78">
        <v>21</v>
      </c>
      <c r="AL29" s="77"/>
      <c r="AM29" s="76">
        <v>645</v>
      </c>
      <c r="AN29" s="76">
        <v>776.89</v>
      </c>
      <c r="AO29" s="78">
        <v>21</v>
      </c>
      <c r="AP29" s="77"/>
      <c r="AQ29" s="76">
        <v>585</v>
      </c>
      <c r="AR29" s="76">
        <v>776.49</v>
      </c>
      <c r="AS29" s="78">
        <v>21</v>
      </c>
      <c r="AT29" s="77"/>
      <c r="AU29" s="76">
        <v>509</v>
      </c>
      <c r="AV29" s="76">
        <v>745.06</v>
      </c>
      <c r="AW29" s="78">
        <v>21</v>
      </c>
      <c r="AX29" s="77"/>
      <c r="AY29" s="76">
        <v>462</v>
      </c>
      <c r="AZ29" s="76">
        <v>753.22</v>
      </c>
      <c r="BA29" s="74">
        <v>252</v>
      </c>
      <c r="BB29" s="73"/>
      <c r="BC29" s="72">
        <v>6956</v>
      </c>
      <c r="BD29" s="72">
        <v>9153.66</v>
      </c>
    </row>
    <row r="30" spans="1:57" ht="15" thickBot="1" x14ac:dyDescent="0.35">
      <c r="A30" s="75" t="s">
        <v>13</v>
      </c>
      <c r="B30" s="75" t="s">
        <v>509</v>
      </c>
      <c r="C30" s="213" t="str">
        <f t="shared" si="0"/>
        <v>KU415</v>
      </c>
      <c r="D30" s="75" t="s">
        <v>508</v>
      </c>
      <c r="E30" s="81">
        <v>10</v>
      </c>
      <c r="F30" s="80"/>
      <c r="G30" s="79">
        <v>322</v>
      </c>
      <c r="H30" s="79">
        <v>343.83</v>
      </c>
      <c r="I30" s="81">
        <v>10</v>
      </c>
      <c r="J30" s="80"/>
      <c r="K30" s="79">
        <v>298</v>
      </c>
      <c r="L30" s="79">
        <v>372.12</v>
      </c>
      <c r="M30" s="81">
        <v>10</v>
      </c>
      <c r="N30" s="80"/>
      <c r="O30" s="79">
        <v>347</v>
      </c>
      <c r="P30" s="79">
        <v>369.31</v>
      </c>
      <c r="Q30" s="81">
        <v>10</v>
      </c>
      <c r="R30" s="80"/>
      <c r="S30" s="79">
        <v>398</v>
      </c>
      <c r="T30" s="79">
        <v>368.49</v>
      </c>
      <c r="U30" s="81">
        <v>10</v>
      </c>
      <c r="V30" s="80"/>
      <c r="W30" s="79">
        <v>401</v>
      </c>
      <c r="X30" s="79">
        <v>371.33</v>
      </c>
      <c r="Y30" s="81">
        <v>10</v>
      </c>
      <c r="Z30" s="80"/>
      <c r="AA30" s="79">
        <v>493</v>
      </c>
      <c r="AB30" s="79">
        <v>370.6</v>
      </c>
      <c r="AC30" s="81">
        <v>10</v>
      </c>
      <c r="AD30" s="80"/>
      <c r="AE30" s="79">
        <v>470</v>
      </c>
      <c r="AF30" s="79">
        <v>371.24</v>
      </c>
      <c r="AG30" s="81">
        <v>10</v>
      </c>
      <c r="AH30" s="80"/>
      <c r="AI30" s="79">
        <v>461</v>
      </c>
      <c r="AJ30" s="79">
        <v>371.84</v>
      </c>
      <c r="AK30" s="81">
        <v>10</v>
      </c>
      <c r="AL30" s="80"/>
      <c r="AM30" s="79">
        <v>433</v>
      </c>
      <c r="AN30" s="79">
        <v>372.6</v>
      </c>
      <c r="AO30" s="81">
        <v>10</v>
      </c>
      <c r="AP30" s="80"/>
      <c r="AQ30" s="79">
        <v>393</v>
      </c>
      <c r="AR30" s="79">
        <v>373.02</v>
      </c>
      <c r="AS30" s="81">
        <v>10</v>
      </c>
      <c r="AT30" s="80"/>
      <c r="AU30" s="79">
        <v>342</v>
      </c>
      <c r="AV30" s="79">
        <v>357.71</v>
      </c>
      <c r="AW30" s="81">
        <v>10</v>
      </c>
      <c r="AX30" s="80"/>
      <c r="AY30" s="79">
        <v>310</v>
      </c>
      <c r="AZ30" s="79">
        <v>361.43</v>
      </c>
      <c r="BA30" s="74">
        <v>120</v>
      </c>
      <c r="BB30" s="73"/>
      <c r="BC30" s="72">
        <v>4668</v>
      </c>
      <c r="BD30" s="72">
        <v>4403.5200000000004</v>
      </c>
    </row>
    <row r="31" spans="1:57" ht="15" thickBot="1" x14ac:dyDescent="0.35">
      <c r="A31" s="75" t="s">
        <v>13</v>
      </c>
      <c r="B31" s="75" t="s">
        <v>507</v>
      </c>
      <c r="C31" s="213" t="str">
        <f t="shared" si="0"/>
        <v>KU420</v>
      </c>
      <c r="D31" s="75" t="s">
        <v>506</v>
      </c>
      <c r="E31" s="78">
        <v>512</v>
      </c>
      <c r="F31" s="77"/>
      <c r="G31" s="76">
        <v>16000</v>
      </c>
      <c r="H31" s="76">
        <v>9084.11</v>
      </c>
      <c r="I31" s="78">
        <v>512</v>
      </c>
      <c r="J31" s="77"/>
      <c r="K31" s="76">
        <v>16118</v>
      </c>
      <c r="L31" s="76">
        <v>9435.2800000000007</v>
      </c>
      <c r="M31" s="78">
        <v>512</v>
      </c>
      <c r="N31" s="77"/>
      <c r="O31" s="76">
        <v>19181</v>
      </c>
      <c r="P31" s="76">
        <v>9427.2800000000007</v>
      </c>
      <c r="Q31" s="78">
        <v>517</v>
      </c>
      <c r="R31" s="78">
        <v>9</v>
      </c>
      <c r="S31" s="76">
        <v>20156</v>
      </c>
      <c r="T31" s="76">
        <v>9608.32</v>
      </c>
      <c r="U31" s="78">
        <v>518</v>
      </c>
      <c r="V31" s="77"/>
      <c r="W31" s="76">
        <v>21402</v>
      </c>
      <c r="X31" s="76">
        <v>9586.89</v>
      </c>
      <c r="Y31" s="78">
        <v>518</v>
      </c>
      <c r="Z31" s="77"/>
      <c r="AA31" s="76">
        <v>24894</v>
      </c>
      <c r="AB31" s="76">
        <v>9543.7900000000009</v>
      </c>
      <c r="AC31" s="78">
        <v>518</v>
      </c>
      <c r="AD31" s="77"/>
      <c r="AE31" s="76">
        <v>25383</v>
      </c>
      <c r="AF31" s="76">
        <v>9556.15</v>
      </c>
      <c r="AG31" s="78">
        <v>518</v>
      </c>
      <c r="AH31" s="77"/>
      <c r="AI31" s="76">
        <v>23571</v>
      </c>
      <c r="AJ31" s="76">
        <v>9748.0400000000009</v>
      </c>
      <c r="AK31" s="78">
        <v>525</v>
      </c>
      <c r="AL31" s="78">
        <v>14</v>
      </c>
      <c r="AM31" s="76">
        <v>21074</v>
      </c>
      <c r="AN31" s="76">
        <v>10010.040000000001</v>
      </c>
      <c r="AO31" s="78">
        <v>532</v>
      </c>
      <c r="AP31" s="77"/>
      <c r="AQ31" s="76">
        <v>19877</v>
      </c>
      <c r="AR31" s="76">
        <v>9665.82</v>
      </c>
      <c r="AS31" s="78">
        <v>527</v>
      </c>
      <c r="AT31" s="77"/>
      <c r="AU31" s="76">
        <v>17813</v>
      </c>
      <c r="AV31" s="76">
        <v>9650.17</v>
      </c>
      <c r="AW31" s="78">
        <v>537</v>
      </c>
      <c r="AX31" s="77"/>
      <c r="AY31" s="76">
        <v>17406</v>
      </c>
      <c r="AZ31" s="76">
        <v>9756.41</v>
      </c>
      <c r="BA31" s="74">
        <v>6246</v>
      </c>
      <c r="BB31" s="74">
        <v>23</v>
      </c>
      <c r="BC31" s="72">
        <v>242875</v>
      </c>
      <c r="BD31" s="72">
        <v>115072.3</v>
      </c>
    </row>
    <row r="32" spans="1:57" ht="15" thickBot="1" x14ac:dyDescent="0.35">
      <c r="A32" s="75" t="s">
        <v>13</v>
      </c>
      <c r="B32" s="75" t="s">
        <v>505</v>
      </c>
      <c r="C32" s="213" t="str">
        <f t="shared" si="0"/>
        <v>KU421</v>
      </c>
      <c r="D32" s="75" t="s">
        <v>504</v>
      </c>
      <c r="E32" s="81">
        <v>5</v>
      </c>
      <c r="F32" s="80"/>
      <c r="G32" s="79">
        <v>142</v>
      </c>
      <c r="H32" s="79">
        <v>19</v>
      </c>
      <c r="I32" s="81">
        <v>5</v>
      </c>
      <c r="J32" s="81">
        <v>2</v>
      </c>
      <c r="K32" s="79">
        <v>130</v>
      </c>
      <c r="L32" s="79">
        <v>19.3</v>
      </c>
      <c r="M32" s="81">
        <v>1</v>
      </c>
      <c r="N32" s="81">
        <v>0</v>
      </c>
      <c r="O32" s="79">
        <v>17</v>
      </c>
      <c r="P32" s="79">
        <v>2.17</v>
      </c>
      <c r="Q32" s="81">
        <v>3</v>
      </c>
      <c r="R32" s="81">
        <v>0</v>
      </c>
      <c r="S32" s="79">
        <v>113</v>
      </c>
      <c r="T32" s="79">
        <v>15.2</v>
      </c>
      <c r="U32" s="81">
        <v>1</v>
      </c>
      <c r="V32" s="80"/>
      <c r="W32" s="79">
        <v>35</v>
      </c>
      <c r="X32" s="79">
        <v>4.07</v>
      </c>
      <c r="Y32" s="81">
        <v>1</v>
      </c>
      <c r="Z32" s="80"/>
      <c r="AA32" s="79">
        <v>43</v>
      </c>
      <c r="AB32" s="79">
        <v>3.91</v>
      </c>
      <c r="AC32" s="81">
        <v>1</v>
      </c>
      <c r="AD32" s="80"/>
      <c r="AE32" s="79">
        <v>45</v>
      </c>
      <c r="AF32" s="79">
        <v>3.95</v>
      </c>
      <c r="AG32" s="81">
        <v>1</v>
      </c>
      <c r="AH32" s="80"/>
      <c r="AI32" s="79">
        <v>39</v>
      </c>
      <c r="AJ32" s="79">
        <v>4.13</v>
      </c>
      <c r="AK32" s="81">
        <v>1</v>
      </c>
      <c r="AL32" s="80"/>
      <c r="AM32" s="79">
        <v>35</v>
      </c>
      <c r="AN32" s="79">
        <v>4.3099999999999996</v>
      </c>
      <c r="AO32" s="81">
        <v>1</v>
      </c>
      <c r="AP32" s="80"/>
      <c r="AQ32" s="79">
        <v>34</v>
      </c>
      <c r="AR32" s="79">
        <v>4.07</v>
      </c>
      <c r="AS32" s="81">
        <v>1</v>
      </c>
      <c r="AT32" s="80"/>
      <c r="AU32" s="79">
        <v>32</v>
      </c>
      <c r="AV32" s="79">
        <v>4.03</v>
      </c>
      <c r="AW32" s="81">
        <v>1</v>
      </c>
      <c r="AX32" s="80"/>
      <c r="AY32" s="79">
        <v>28</v>
      </c>
      <c r="AZ32" s="79">
        <v>4.1100000000000003</v>
      </c>
      <c r="BA32" s="74">
        <v>22</v>
      </c>
      <c r="BB32" s="74">
        <v>2</v>
      </c>
      <c r="BC32" s="72">
        <v>693</v>
      </c>
      <c r="BD32" s="72">
        <v>88.250000000000014</v>
      </c>
    </row>
    <row r="33" spans="1:56" ht="15" thickBot="1" x14ac:dyDescent="0.35">
      <c r="A33" s="75" t="s">
        <v>13</v>
      </c>
      <c r="B33" s="75" t="s">
        <v>503</v>
      </c>
      <c r="C33" s="213" t="str">
        <f t="shared" si="0"/>
        <v>KU422</v>
      </c>
      <c r="D33" s="75" t="s">
        <v>502</v>
      </c>
      <c r="E33" s="78">
        <v>578</v>
      </c>
      <c r="F33" s="78">
        <v>19</v>
      </c>
      <c r="G33" s="76">
        <v>30616</v>
      </c>
      <c r="H33" s="76">
        <v>2982.64</v>
      </c>
      <c r="I33" s="78">
        <v>575</v>
      </c>
      <c r="J33" s="78">
        <v>307</v>
      </c>
      <c r="K33" s="76">
        <v>31523</v>
      </c>
      <c r="L33" s="76">
        <v>3014.86</v>
      </c>
      <c r="M33" s="78">
        <v>573</v>
      </c>
      <c r="N33" s="78">
        <v>839</v>
      </c>
      <c r="O33" s="76">
        <v>36729</v>
      </c>
      <c r="P33" s="76">
        <v>2930.15</v>
      </c>
      <c r="Q33" s="78">
        <v>553</v>
      </c>
      <c r="R33" s="78">
        <v>353</v>
      </c>
      <c r="S33" s="76">
        <v>36840</v>
      </c>
      <c r="T33" s="76">
        <v>2853.15</v>
      </c>
      <c r="U33" s="78">
        <v>541</v>
      </c>
      <c r="V33" s="78">
        <v>224</v>
      </c>
      <c r="W33" s="76">
        <v>38292</v>
      </c>
      <c r="X33" s="76">
        <v>2767.16</v>
      </c>
      <c r="Y33" s="78">
        <v>535</v>
      </c>
      <c r="Z33" s="78">
        <v>145</v>
      </c>
      <c r="AA33" s="76">
        <v>44683</v>
      </c>
      <c r="AB33" s="76">
        <v>2597.2399999999998</v>
      </c>
      <c r="AC33" s="78">
        <v>481</v>
      </c>
      <c r="AD33" s="78">
        <v>722</v>
      </c>
      <c r="AE33" s="76">
        <v>41040</v>
      </c>
      <c r="AF33" s="76">
        <v>2304.75</v>
      </c>
      <c r="AG33" s="78">
        <v>470</v>
      </c>
      <c r="AH33" s="78">
        <v>494</v>
      </c>
      <c r="AI33" s="76">
        <v>34627</v>
      </c>
      <c r="AJ33" s="76">
        <v>2394.34</v>
      </c>
      <c r="AK33" s="78">
        <v>461</v>
      </c>
      <c r="AL33" s="78">
        <v>514</v>
      </c>
      <c r="AM33" s="76">
        <v>30261</v>
      </c>
      <c r="AN33" s="76">
        <v>2471.5</v>
      </c>
      <c r="AO33" s="78">
        <v>447</v>
      </c>
      <c r="AP33" s="78">
        <v>383</v>
      </c>
      <c r="AQ33" s="76">
        <v>29668</v>
      </c>
      <c r="AR33" s="76">
        <v>2297.86</v>
      </c>
      <c r="AS33" s="78">
        <v>436</v>
      </c>
      <c r="AT33" s="77"/>
      <c r="AU33" s="76">
        <v>25105</v>
      </c>
      <c r="AV33" s="76">
        <v>2222.0100000000002</v>
      </c>
      <c r="AW33" s="78">
        <v>436</v>
      </c>
      <c r="AX33" s="78">
        <v>258</v>
      </c>
      <c r="AY33" s="76">
        <v>24047</v>
      </c>
      <c r="AZ33" s="76">
        <v>2241.17</v>
      </c>
      <c r="BA33" s="74">
        <v>6086</v>
      </c>
      <c r="BB33" s="74">
        <v>4258</v>
      </c>
      <c r="BC33" s="72">
        <v>403431</v>
      </c>
      <c r="BD33" s="72">
        <v>31076.829999999994</v>
      </c>
    </row>
    <row r="34" spans="1:56" ht="15" thickBot="1" x14ac:dyDescent="0.35">
      <c r="A34" s="75" t="s">
        <v>13</v>
      </c>
      <c r="B34" s="75" t="s">
        <v>501</v>
      </c>
      <c r="C34" s="213" t="str">
        <f t="shared" si="0"/>
        <v>KU424</v>
      </c>
      <c r="D34" s="75" t="s">
        <v>500</v>
      </c>
      <c r="E34" s="81">
        <v>29</v>
      </c>
      <c r="F34" s="80"/>
      <c r="G34" s="79">
        <v>2494</v>
      </c>
      <c r="H34" s="79">
        <v>225.87</v>
      </c>
      <c r="I34" s="81">
        <v>29</v>
      </c>
      <c r="J34" s="80"/>
      <c r="K34" s="79">
        <v>2544</v>
      </c>
      <c r="L34" s="79">
        <v>231.43</v>
      </c>
      <c r="M34" s="81">
        <v>26</v>
      </c>
      <c r="N34" s="80"/>
      <c r="O34" s="79">
        <v>2785</v>
      </c>
      <c r="P34" s="79">
        <v>205</v>
      </c>
      <c r="Q34" s="81">
        <v>32</v>
      </c>
      <c r="R34" s="80"/>
      <c r="S34" s="79">
        <v>3380</v>
      </c>
      <c r="T34" s="79">
        <v>252.93</v>
      </c>
      <c r="U34" s="81">
        <v>25</v>
      </c>
      <c r="V34" s="81">
        <v>2</v>
      </c>
      <c r="W34" s="79">
        <v>2897</v>
      </c>
      <c r="X34" s="79">
        <v>195.3</v>
      </c>
      <c r="Y34" s="81">
        <v>32</v>
      </c>
      <c r="Z34" s="80"/>
      <c r="AA34" s="79">
        <v>4161</v>
      </c>
      <c r="AB34" s="79">
        <v>236.84</v>
      </c>
      <c r="AC34" s="81">
        <v>24</v>
      </c>
      <c r="AD34" s="80"/>
      <c r="AE34" s="79">
        <v>3317</v>
      </c>
      <c r="AF34" s="79">
        <v>177.72</v>
      </c>
      <c r="AG34" s="81">
        <v>28</v>
      </c>
      <c r="AH34" s="80"/>
      <c r="AI34" s="79">
        <v>3651</v>
      </c>
      <c r="AJ34" s="79">
        <v>214.57</v>
      </c>
      <c r="AK34" s="81">
        <v>32</v>
      </c>
      <c r="AL34" s="80"/>
      <c r="AM34" s="79">
        <v>3575</v>
      </c>
      <c r="AN34" s="79">
        <v>263.44</v>
      </c>
      <c r="AO34" s="81">
        <v>28</v>
      </c>
      <c r="AP34" s="81">
        <v>1</v>
      </c>
      <c r="AQ34" s="79">
        <v>2962</v>
      </c>
      <c r="AR34" s="79">
        <v>212.29</v>
      </c>
      <c r="AS34" s="81">
        <v>26</v>
      </c>
      <c r="AT34" s="80"/>
      <c r="AU34" s="79">
        <v>2442</v>
      </c>
      <c r="AV34" s="79">
        <v>200.58</v>
      </c>
      <c r="AW34" s="81">
        <v>26</v>
      </c>
      <c r="AX34" s="80"/>
      <c r="AY34" s="79">
        <v>2359</v>
      </c>
      <c r="AZ34" s="79">
        <v>203.8</v>
      </c>
      <c r="BA34" s="74">
        <v>337</v>
      </c>
      <c r="BB34" s="74">
        <v>3</v>
      </c>
      <c r="BC34" s="72">
        <v>36567</v>
      </c>
      <c r="BD34" s="72">
        <v>2619.77</v>
      </c>
    </row>
    <row r="35" spans="1:56" ht="15" thickBot="1" x14ac:dyDescent="0.35">
      <c r="A35" s="75" t="s">
        <v>13</v>
      </c>
      <c r="B35" s="75" t="s">
        <v>499</v>
      </c>
      <c r="C35" s="213" t="str">
        <f t="shared" si="0"/>
        <v>KU425</v>
      </c>
      <c r="D35" s="75" t="s">
        <v>498</v>
      </c>
      <c r="E35" s="78">
        <v>2</v>
      </c>
      <c r="F35" s="77"/>
      <c r="G35" s="76">
        <v>239</v>
      </c>
      <c r="H35" s="76">
        <v>20.34</v>
      </c>
      <c r="I35" s="78">
        <v>2</v>
      </c>
      <c r="J35" s="77"/>
      <c r="K35" s="76">
        <v>242</v>
      </c>
      <c r="L35" s="76">
        <v>21.02</v>
      </c>
      <c r="M35" s="78">
        <v>2</v>
      </c>
      <c r="N35" s="77"/>
      <c r="O35" s="76">
        <v>270</v>
      </c>
      <c r="P35" s="76">
        <v>20.77</v>
      </c>
      <c r="Q35" s="78">
        <v>2</v>
      </c>
      <c r="R35" s="77"/>
      <c r="S35" s="76">
        <v>300</v>
      </c>
      <c r="T35" s="76">
        <v>20.82</v>
      </c>
      <c r="U35" s="78">
        <v>2</v>
      </c>
      <c r="V35" s="77"/>
      <c r="W35" s="76">
        <v>324</v>
      </c>
      <c r="X35" s="76">
        <v>20.43</v>
      </c>
      <c r="Y35" s="78">
        <v>2</v>
      </c>
      <c r="Z35" s="77"/>
      <c r="AA35" s="76">
        <v>360</v>
      </c>
      <c r="AB35" s="76">
        <v>19.2</v>
      </c>
      <c r="AC35" s="78">
        <v>2</v>
      </c>
      <c r="AD35" s="77"/>
      <c r="AE35" s="76">
        <v>393</v>
      </c>
      <c r="AF35" s="76">
        <v>19.36</v>
      </c>
      <c r="AG35" s="78">
        <v>2</v>
      </c>
      <c r="AH35" s="77"/>
      <c r="AI35" s="76">
        <v>332</v>
      </c>
      <c r="AJ35" s="76">
        <v>20.46</v>
      </c>
      <c r="AK35" s="78">
        <v>2</v>
      </c>
      <c r="AL35" s="77"/>
      <c r="AM35" s="76">
        <v>303</v>
      </c>
      <c r="AN35" s="76">
        <v>22.03</v>
      </c>
      <c r="AO35" s="78">
        <v>2</v>
      </c>
      <c r="AP35" s="77"/>
      <c r="AQ35" s="76">
        <v>311</v>
      </c>
      <c r="AR35" s="76">
        <v>20.39</v>
      </c>
      <c r="AS35" s="78">
        <v>2</v>
      </c>
      <c r="AT35" s="77"/>
      <c r="AU35" s="76">
        <v>254</v>
      </c>
      <c r="AV35" s="76">
        <v>20.18</v>
      </c>
      <c r="AW35" s="78">
        <v>2</v>
      </c>
      <c r="AX35" s="77"/>
      <c r="AY35" s="76">
        <v>240</v>
      </c>
      <c r="AZ35" s="76">
        <v>20.61</v>
      </c>
      <c r="BA35" s="74">
        <v>24</v>
      </c>
      <c r="BB35" s="73"/>
      <c r="BC35" s="72">
        <v>3568</v>
      </c>
      <c r="BD35" s="72">
        <v>245.61</v>
      </c>
    </row>
    <row r="36" spans="1:56" ht="15" thickBot="1" x14ac:dyDescent="0.35">
      <c r="A36" s="75" t="s">
        <v>13</v>
      </c>
      <c r="B36" s="75" t="s">
        <v>497</v>
      </c>
      <c r="C36" s="213" t="str">
        <f t="shared" si="0"/>
        <v>KU426</v>
      </c>
      <c r="D36" s="75" t="s">
        <v>496</v>
      </c>
      <c r="E36" s="81">
        <v>163</v>
      </c>
      <c r="F36" s="80"/>
      <c r="G36" s="79">
        <v>3462</v>
      </c>
      <c r="H36" s="79">
        <v>1368.42</v>
      </c>
      <c r="I36" s="81">
        <v>160</v>
      </c>
      <c r="J36" s="81">
        <v>0</v>
      </c>
      <c r="K36" s="79">
        <v>3606</v>
      </c>
      <c r="L36" s="79">
        <v>1385.95</v>
      </c>
      <c r="M36" s="81">
        <v>159</v>
      </c>
      <c r="N36" s="80"/>
      <c r="O36" s="79">
        <v>4220</v>
      </c>
      <c r="P36" s="79">
        <v>1385.7</v>
      </c>
      <c r="Q36" s="81">
        <v>160</v>
      </c>
      <c r="R36" s="80"/>
      <c r="S36" s="79">
        <v>4380</v>
      </c>
      <c r="T36" s="79">
        <v>1397.16</v>
      </c>
      <c r="U36" s="81">
        <v>162</v>
      </c>
      <c r="V36" s="80"/>
      <c r="W36" s="79">
        <v>4744</v>
      </c>
      <c r="X36" s="79">
        <v>1394.8</v>
      </c>
      <c r="Y36" s="81">
        <v>157</v>
      </c>
      <c r="Z36" s="80"/>
      <c r="AA36" s="79">
        <v>5450</v>
      </c>
      <c r="AB36" s="79">
        <v>1367.38</v>
      </c>
      <c r="AC36" s="81">
        <v>155</v>
      </c>
      <c r="AD36" s="80"/>
      <c r="AE36" s="79">
        <v>5472</v>
      </c>
      <c r="AF36" s="79">
        <v>1352.58</v>
      </c>
      <c r="AG36" s="81">
        <v>156</v>
      </c>
      <c r="AH36" s="80"/>
      <c r="AI36" s="79">
        <v>4747</v>
      </c>
      <c r="AJ36" s="79">
        <v>1440.78</v>
      </c>
      <c r="AK36" s="81">
        <v>159</v>
      </c>
      <c r="AL36" s="80"/>
      <c r="AM36" s="79">
        <v>4380</v>
      </c>
      <c r="AN36" s="79">
        <v>1486.89</v>
      </c>
      <c r="AO36" s="81">
        <v>153</v>
      </c>
      <c r="AP36" s="80"/>
      <c r="AQ36" s="79">
        <v>4193</v>
      </c>
      <c r="AR36" s="79">
        <v>1373.01</v>
      </c>
      <c r="AS36" s="81">
        <v>157</v>
      </c>
      <c r="AT36" s="80"/>
      <c r="AU36" s="79">
        <v>3655</v>
      </c>
      <c r="AV36" s="79">
        <v>1403.63</v>
      </c>
      <c r="AW36" s="81">
        <v>155</v>
      </c>
      <c r="AX36" s="80"/>
      <c r="AY36" s="79">
        <v>3522</v>
      </c>
      <c r="AZ36" s="79">
        <v>1405.45</v>
      </c>
      <c r="BA36" s="74">
        <v>1896</v>
      </c>
      <c r="BB36" s="74">
        <v>0</v>
      </c>
      <c r="BC36" s="72">
        <v>51831</v>
      </c>
      <c r="BD36" s="72">
        <v>16761.75</v>
      </c>
    </row>
    <row r="37" spans="1:56" ht="15" thickBot="1" x14ac:dyDescent="0.35">
      <c r="A37" s="75" t="s">
        <v>13</v>
      </c>
      <c r="B37" s="75" t="s">
        <v>495</v>
      </c>
      <c r="C37" s="213" t="str">
        <f t="shared" si="0"/>
        <v>KU428</v>
      </c>
      <c r="D37" s="75" t="s">
        <v>494</v>
      </c>
      <c r="E37" s="78">
        <v>36751</v>
      </c>
      <c r="F37" s="78">
        <v>41</v>
      </c>
      <c r="G37" s="76">
        <v>1105184</v>
      </c>
      <c r="H37" s="76">
        <v>327020.76</v>
      </c>
      <c r="I37" s="78">
        <v>36688</v>
      </c>
      <c r="J37" s="78">
        <v>134</v>
      </c>
      <c r="K37" s="76">
        <v>1179520</v>
      </c>
      <c r="L37" s="76">
        <v>335542.53000000003</v>
      </c>
      <c r="M37" s="78">
        <v>36581</v>
      </c>
      <c r="N37" s="78">
        <v>126</v>
      </c>
      <c r="O37" s="76">
        <v>1370783</v>
      </c>
      <c r="P37" s="76">
        <v>333281.42</v>
      </c>
      <c r="Q37" s="78">
        <v>36548</v>
      </c>
      <c r="R37" s="78">
        <v>93</v>
      </c>
      <c r="S37" s="76">
        <v>1414134</v>
      </c>
      <c r="T37" s="76">
        <v>335738.92</v>
      </c>
      <c r="U37" s="78">
        <v>36461</v>
      </c>
      <c r="V37" s="78">
        <v>79</v>
      </c>
      <c r="W37" s="76">
        <v>1534072</v>
      </c>
      <c r="X37" s="76">
        <v>332558.42</v>
      </c>
      <c r="Y37" s="78">
        <v>37046</v>
      </c>
      <c r="Z37" s="78">
        <v>109</v>
      </c>
      <c r="AA37" s="76">
        <v>1788091</v>
      </c>
      <c r="AB37" s="76">
        <v>333473.13</v>
      </c>
      <c r="AC37" s="78">
        <v>36647</v>
      </c>
      <c r="AD37" s="78">
        <v>147</v>
      </c>
      <c r="AE37" s="76">
        <v>1814902</v>
      </c>
      <c r="AF37" s="76">
        <v>331400.69</v>
      </c>
      <c r="AG37" s="78">
        <v>37088</v>
      </c>
      <c r="AH37" s="78">
        <v>128</v>
      </c>
      <c r="AI37" s="76">
        <v>1604012</v>
      </c>
      <c r="AJ37" s="76">
        <v>351847.34</v>
      </c>
      <c r="AK37" s="78">
        <v>37101</v>
      </c>
      <c r="AL37" s="78">
        <v>107</v>
      </c>
      <c r="AM37" s="76">
        <v>1440929</v>
      </c>
      <c r="AN37" s="76">
        <v>358082.37</v>
      </c>
      <c r="AO37" s="78">
        <v>36919</v>
      </c>
      <c r="AP37" s="78">
        <v>125</v>
      </c>
      <c r="AQ37" s="76">
        <v>1400751</v>
      </c>
      <c r="AR37" s="76">
        <v>339138.61</v>
      </c>
      <c r="AS37" s="78">
        <v>36903</v>
      </c>
      <c r="AT37" s="78">
        <v>53</v>
      </c>
      <c r="AU37" s="76">
        <v>1213289</v>
      </c>
      <c r="AV37" s="76">
        <v>340447.35</v>
      </c>
      <c r="AW37" s="78">
        <v>36978</v>
      </c>
      <c r="AX37" s="78">
        <v>173</v>
      </c>
      <c r="AY37" s="76">
        <v>1192948</v>
      </c>
      <c r="AZ37" s="76">
        <v>344499.37</v>
      </c>
      <c r="BA37" s="74">
        <v>441711</v>
      </c>
      <c r="BB37" s="74">
        <v>1315</v>
      </c>
      <c r="BC37" s="72">
        <v>17058615</v>
      </c>
      <c r="BD37" s="72">
        <v>4063030.9099999997</v>
      </c>
    </row>
    <row r="38" spans="1:56" ht="15" thickBot="1" x14ac:dyDescent="0.35">
      <c r="A38" s="75" t="s">
        <v>13</v>
      </c>
      <c r="B38" s="75" t="s">
        <v>493</v>
      </c>
      <c r="C38" s="213" t="str">
        <f t="shared" si="0"/>
        <v>KU430</v>
      </c>
      <c r="D38" s="75" t="s">
        <v>492</v>
      </c>
      <c r="E38" s="81">
        <v>1260</v>
      </c>
      <c r="F38" s="80"/>
      <c r="G38" s="79">
        <v>38496</v>
      </c>
      <c r="H38" s="79">
        <v>32637.47</v>
      </c>
      <c r="I38" s="81">
        <v>1205</v>
      </c>
      <c r="J38" s="81">
        <v>14</v>
      </c>
      <c r="K38" s="79">
        <v>38840</v>
      </c>
      <c r="L38" s="79">
        <v>32335.39</v>
      </c>
      <c r="M38" s="81">
        <v>1237</v>
      </c>
      <c r="N38" s="80"/>
      <c r="O38" s="79">
        <v>45812</v>
      </c>
      <c r="P38" s="79">
        <v>33151.42</v>
      </c>
      <c r="Q38" s="81">
        <v>1261</v>
      </c>
      <c r="R38" s="81">
        <v>7</v>
      </c>
      <c r="S38" s="79">
        <v>49206</v>
      </c>
      <c r="T38" s="79">
        <v>34072.639999999999</v>
      </c>
      <c r="U38" s="81">
        <v>1215</v>
      </c>
      <c r="V38" s="80"/>
      <c r="W38" s="79">
        <v>60184</v>
      </c>
      <c r="X38" s="79">
        <v>38904.239999999998</v>
      </c>
      <c r="Y38" s="81">
        <v>1244</v>
      </c>
      <c r="Z38" s="81">
        <v>22</v>
      </c>
      <c r="AA38" s="79">
        <v>59214</v>
      </c>
      <c r="AB38" s="79">
        <v>33558.15</v>
      </c>
      <c r="AC38" s="81">
        <v>1247</v>
      </c>
      <c r="AD38" s="80"/>
      <c r="AE38" s="79">
        <v>62576</v>
      </c>
      <c r="AF38" s="79">
        <v>33661.800000000003</v>
      </c>
      <c r="AG38" s="81">
        <v>1277</v>
      </c>
      <c r="AH38" s="81">
        <v>13</v>
      </c>
      <c r="AI38" s="79">
        <v>56705</v>
      </c>
      <c r="AJ38" s="79">
        <v>35112.75</v>
      </c>
      <c r="AK38" s="81">
        <v>1236</v>
      </c>
      <c r="AL38" s="81">
        <v>29</v>
      </c>
      <c r="AM38" s="79">
        <v>48903</v>
      </c>
      <c r="AN38" s="79">
        <v>34114.379999999997</v>
      </c>
      <c r="AO38" s="81">
        <v>1246</v>
      </c>
      <c r="AP38" s="80"/>
      <c r="AQ38" s="79">
        <v>47783</v>
      </c>
      <c r="AR38" s="79">
        <v>33160.54</v>
      </c>
      <c r="AS38" s="81">
        <v>1254</v>
      </c>
      <c r="AT38" s="80"/>
      <c r="AU38" s="79">
        <v>42814</v>
      </c>
      <c r="AV38" s="79">
        <v>33398.230000000003</v>
      </c>
      <c r="AW38" s="81">
        <v>1254</v>
      </c>
      <c r="AX38" s="80"/>
      <c r="AY38" s="79">
        <v>40574</v>
      </c>
      <c r="AZ38" s="79">
        <v>33671.19</v>
      </c>
      <c r="BA38" s="74">
        <v>14936</v>
      </c>
      <c r="BB38" s="74">
        <v>85</v>
      </c>
      <c r="BC38" s="72">
        <v>591107</v>
      </c>
      <c r="BD38" s="72">
        <v>407778.19999999995</v>
      </c>
    </row>
    <row r="39" spans="1:56" ht="15" thickBot="1" x14ac:dyDescent="0.35">
      <c r="A39" s="75" t="s">
        <v>13</v>
      </c>
      <c r="B39" s="75" t="s">
        <v>491</v>
      </c>
      <c r="C39" s="213" t="str">
        <f t="shared" si="0"/>
        <v>KU440</v>
      </c>
      <c r="D39" s="75" t="s">
        <v>490</v>
      </c>
      <c r="E39" s="78">
        <v>2</v>
      </c>
      <c r="F39" s="77"/>
      <c r="G39" s="76">
        <v>31</v>
      </c>
      <c r="H39" s="76">
        <v>33.36</v>
      </c>
      <c r="I39" s="78">
        <v>2</v>
      </c>
      <c r="J39" s="77"/>
      <c r="K39" s="76">
        <v>33</v>
      </c>
      <c r="L39" s="76">
        <v>34.28</v>
      </c>
      <c r="M39" s="78">
        <v>3</v>
      </c>
      <c r="N39" s="77"/>
      <c r="O39" s="76">
        <v>42</v>
      </c>
      <c r="P39" s="76">
        <v>34.75</v>
      </c>
      <c r="Q39" s="78">
        <v>2</v>
      </c>
      <c r="R39" s="77"/>
      <c r="S39" s="76">
        <v>39</v>
      </c>
      <c r="T39" s="76">
        <v>34.46</v>
      </c>
      <c r="U39" s="78">
        <v>2</v>
      </c>
      <c r="V39" s="77"/>
      <c r="W39" s="76">
        <v>43</v>
      </c>
      <c r="X39" s="76">
        <v>34.42</v>
      </c>
      <c r="Y39" s="78">
        <v>2</v>
      </c>
      <c r="Z39" s="77"/>
      <c r="AA39" s="76">
        <v>51</v>
      </c>
      <c r="AB39" s="76">
        <v>34.380000000000003</v>
      </c>
      <c r="AC39" s="78">
        <v>2</v>
      </c>
      <c r="AD39" s="77"/>
      <c r="AE39" s="76">
        <v>51</v>
      </c>
      <c r="AF39" s="76">
        <v>34.46</v>
      </c>
      <c r="AG39" s="78">
        <v>2</v>
      </c>
      <c r="AH39" s="77"/>
      <c r="AI39" s="76">
        <v>45</v>
      </c>
      <c r="AJ39" s="76">
        <v>35.380000000000003</v>
      </c>
      <c r="AK39" s="78">
        <v>2</v>
      </c>
      <c r="AL39" s="77"/>
      <c r="AM39" s="76">
        <v>39</v>
      </c>
      <c r="AN39" s="76">
        <v>35.44</v>
      </c>
      <c r="AO39" s="78">
        <v>2</v>
      </c>
      <c r="AP39" s="77"/>
      <c r="AQ39" s="76">
        <v>39</v>
      </c>
      <c r="AR39" s="76">
        <v>33.97</v>
      </c>
      <c r="AS39" s="78">
        <v>2</v>
      </c>
      <c r="AT39" s="77"/>
      <c r="AU39" s="76">
        <v>34</v>
      </c>
      <c r="AV39" s="76">
        <v>34.31</v>
      </c>
      <c r="AW39" s="78">
        <v>2</v>
      </c>
      <c r="AX39" s="77"/>
      <c r="AY39" s="76">
        <v>33</v>
      </c>
      <c r="AZ39" s="76">
        <v>34.58</v>
      </c>
      <c r="BA39" s="74">
        <v>25</v>
      </c>
      <c r="BB39" s="73"/>
      <c r="BC39" s="72">
        <v>480</v>
      </c>
      <c r="BD39" s="72">
        <v>413.78999999999996</v>
      </c>
    </row>
    <row r="40" spans="1:56" ht="15" thickBot="1" x14ac:dyDescent="0.35">
      <c r="A40" s="75" t="s">
        <v>13</v>
      </c>
      <c r="B40" s="75" t="s">
        <v>489</v>
      </c>
      <c r="C40" s="213" t="str">
        <f t="shared" si="0"/>
        <v>KU446</v>
      </c>
      <c r="D40" s="75" t="s">
        <v>488</v>
      </c>
      <c r="E40" s="81">
        <v>1097</v>
      </c>
      <c r="F40" s="80"/>
      <c r="G40" s="79">
        <v>59389</v>
      </c>
      <c r="H40" s="79">
        <v>11988.61</v>
      </c>
      <c r="I40" s="81">
        <v>936</v>
      </c>
      <c r="J40" s="80"/>
      <c r="K40" s="79">
        <v>52812</v>
      </c>
      <c r="L40" s="79">
        <v>10547.31</v>
      </c>
      <c r="M40" s="81">
        <v>1011</v>
      </c>
      <c r="N40" s="81">
        <v>89</v>
      </c>
      <c r="O40" s="79">
        <v>67066</v>
      </c>
      <c r="P40" s="79">
        <v>11312.49</v>
      </c>
      <c r="Q40" s="81">
        <v>1103</v>
      </c>
      <c r="R40" s="80"/>
      <c r="S40" s="79">
        <v>75726</v>
      </c>
      <c r="T40" s="79">
        <v>12416.23</v>
      </c>
      <c r="U40" s="81">
        <v>936</v>
      </c>
      <c r="V40" s="81">
        <v>68</v>
      </c>
      <c r="W40" s="79">
        <v>68892</v>
      </c>
      <c r="X40" s="79">
        <v>10458.540000000001</v>
      </c>
      <c r="Y40" s="81">
        <v>1013</v>
      </c>
      <c r="Z40" s="80"/>
      <c r="AA40" s="79">
        <v>85611</v>
      </c>
      <c r="AB40" s="79">
        <v>11090.68</v>
      </c>
      <c r="AC40" s="81">
        <v>971</v>
      </c>
      <c r="AD40" s="81">
        <v>43</v>
      </c>
      <c r="AE40" s="79">
        <v>87691</v>
      </c>
      <c r="AF40" s="79">
        <v>10634.06</v>
      </c>
      <c r="AG40" s="81">
        <v>972</v>
      </c>
      <c r="AH40" s="81">
        <v>219</v>
      </c>
      <c r="AI40" s="79">
        <v>75481</v>
      </c>
      <c r="AJ40" s="79">
        <v>11086.18</v>
      </c>
      <c r="AK40" s="81">
        <v>967</v>
      </c>
      <c r="AL40" s="81">
        <v>25</v>
      </c>
      <c r="AM40" s="79">
        <v>67075</v>
      </c>
      <c r="AN40" s="79">
        <v>11372.5</v>
      </c>
      <c r="AO40" s="81">
        <v>966</v>
      </c>
      <c r="AP40" s="80"/>
      <c r="AQ40" s="79">
        <v>66284</v>
      </c>
      <c r="AR40" s="79">
        <v>10894.91</v>
      </c>
      <c r="AS40" s="81">
        <v>966</v>
      </c>
      <c r="AT40" s="80"/>
      <c r="AU40" s="79">
        <v>58161</v>
      </c>
      <c r="AV40" s="79">
        <v>10815.63</v>
      </c>
      <c r="AW40" s="81">
        <v>942</v>
      </c>
      <c r="AX40" s="81">
        <v>14</v>
      </c>
      <c r="AY40" s="79">
        <v>53555</v>
      </c>
      <c r="AZ40" s="79">
        <v>10641.84</v>
      </c>
      <c r="BA40" s="74">
        <v>11880</v>
      </c>
      <c r="BB40" s="74">
        <v>458</v>
      </c>
      <c r="BC40" s="72">
        <v>817743</v>
      </c>
      <c r="BD40" s="72">
        <v>133258.98000000001</v>
      </c>
    </row>
    <row r="41" spans="1:56" ht="15" thickBot="1" x14ac:dyDescent="0.35">
      <c r="A41" s="75" t="s">
        <v>13</v>
      </c>
      <c r="B41" s="75" t="s">
        <v>487</v>
      </c>
      <c r="C41" s="213" t="str">
        <f t="shared" si="0"/>
        <v>KU447</v>
      </c>
      <c r="D41" s="75" t="s">
        <v>486</v>
      </c>
      <c r="E41" s="78">
        <v>692</v>
      </c>
      <c r="F41" s="78">
        <v>657</v>
      </c>
      <c r="G41" s="76">
        <v>58147</v>
      </c>
      <c r="H41" s="76">
        <v>8516.16</v>
      </c>
      <c r="I41" s="78">
        <v>691</v>
      </c>
      <c r="J41" s="77"/>
      <c r="K41" s="76">
        <v>51730</v>
      </c>
      <c r="L41" s="76">
        <v>9048.99</v>
      </c>
      <c r="M41" s="78">
        <v>691</v>
      </c>
      <c r="N41" s="77"/>
      <c r="O41" s="76">
        <v>61561</v>
      </c>
      <c r="P41" s="76">
        <v>8998.18</v>
      </c>
      <c r="Q41" s="78">
        <v>691</v>
      </c>
      <c r="R41" s="77"/>
      <c r="S41" s="76">
        <v>66057</v>
      </c>
      <c r="T41" s="76">
        <v>8941.7900000000009</v>
      </c>
      <c r="U41" s="78">
        <v>691</v>
      </c>
      <c r="V41" s="77"/>
      <c r="W41" s="76">
        <v>68733</v>
      </c>
      <c r="X41" s="76">
        <v>8995.08</v>
      </c>
      <c r="Y41" s="78">
        <v>691</v>
      </c>
      <c r="Z41" s="78">
        <v>1307</v>
      </c>
      <c r="AA41" s="76">
        <v>79589</v>
      </c>
      <c r="AB41" s="76">
        <v>8863.17</v>
      </c>
      <c r="AC41" s="78">
        <v>687</v>
      </c>
      <c r="AD41" s="77"/>
      <c r="AE41" s="76">
        <v>80557</v>
      </c>
      <c r="AF41" s="76">
        <v>8626.0300000000007</v>
      </c>
      <c r="AG41" s="78">
        <v>471</v>
      </c>
      <c r="AH41" s="77"/>
      <c r="AI41" s="76">
        <v>68476</v>
      </c>
      <c r="AJ41" s="76">
        <v>5879.04</v>
      </c>
      <c r="AK41" s="78">
        <v>683</v>
      </c>
      <c r="AL41" s="77"/>
      <c r="AM41" s="76">
        <v>70259</v>
      </c>
      <c r="AN41" s="76">
        <v>9071.76</v>
      </c>
      <c r="AO41" s="78">
        <v>683</v>
      </c>
      <c r="AP41" s="78">
        <v>1287</v>
      </c>
      <c r="AQ41" s="76">
        <v>63199</v>
      </c>
      <c r="AR41" s="76">
        <v>9272.44</v>
      </c>
      <c r="AS41" s="78">
        <v>673</v>
      </c>
      <c r="AT41" s="77"/>
      <c r="AU41" s="76">
        <v>61201</v>
      </c>
      <c r="AV41" s="76">
        <v>8721.35</v>
      </c>
      <c r="AW41" s="78">
        <v>673</v>
      </c>
      <c r="AX41" s="78">
        <v>642</v>
      </c>
      <c r="AY41" s="76">
        <v>58727</v>
      </c>
      <c r="AZ41" s="76">
        <v>8674.0400000000009</v>
      </c>
      <c r="BA41" s="74">
        <v>8017</v>
      </c>
      <c r="BB41" s="74">
        <v>3893</v>
      </c>
      <c r="BC41" s="72">
        <v>788236</v>
      </c>
      <c r="BD41" s="72">
        <v>103608.03</v>
      </c>
    </row>
    <row r="42" spans="1:56" ht="15" thickBot="1" x14ac:dyDescent="0.35">
      <c r="A42" s="75" t="s">
        <v>13</v>
      </c>
      <c r="B42" s="75" t="s">
        <v>485</v>
      </c>
      <c r="C42" s="213" t="str">
        <f t="shared" si="0"/>
        <v>KU448</v>
      </c>
      <c r="D42" s="75" t="s">
        <v>484</v>
      </c>
      <c r="E42" s="81">
        <v>1509</v>
      </c>
      <c r="F42" s="81">
        <v>315</v>
      </c>
      <c r="G42" s="79">
        <v>182966</v>
      </c>
      <c r="H42" s="79">
        <v>21999.81</v>
      </c>
      <c r="I42" s="81">
        <v>1405</v>
      </c>
      <c r="J42" s="80"/>
      <c r="K42" s="79">
        <v>171339</v>
      </c>
      <c r="L42" s="79">
        <v>21115.61</v>
      </c>
      <c r="M42" s="81">
        <v>1443</v>
      </c>
      <c r="N42" s="81">
        <v>8</v>
      </c>
      <c r="O42" s="79">
        <v>206543</v>
      </c>
      <c r="P42" s="79">
        <v>21500.67</v>
      </c>
      <c r="Q42" s="81">
        <v>1507</v>
      </c>
      <c r="R42" s="80"/>
      <c r="S42" s="79">
        <v>227754</v>
      </c>
      <c r="T42" s="79">
        <v>22476.68</v>
      </c>
      <c r="U42" s="81">
        <v>1380</v>
      </c>
      <c r="V42" s="81">
        <v>32</v>
      </c>
      <c r="W42" s="79">
        <v>219234</v>
      </c>
      <c r="X42" s="79">
        <v>20402.060000000001</v>
      </c>
      <c r="Y42" s="81">
        <v>1440</v>
      </c>
      <c r="Z42" s="80"/>
      <c r="AA42" s="79">
        <v>264509</v>
      </c>
      <c r="AB42" s="79">
        <v>20611.7</v>
      </c>
      <c r="AC42" s="81">
        <v>1406</v>
      </c>
      <c r="AD42" s="80"/>
      <c r="AE42" s="79">
        <v>267507</v>
      </c>
      <c r="AF42" s="79">
        <v>19936.5</v>
      </c>
      <c r="AG42" s="81">
        <v>1462</v>
      </c>
      <c r="AH42" s="81">
        <v>370</v>
      </c>
      <c r="AI42" s="79">
        <v>258481</v>
      </c>
      <c r="AJ42" s="79">
        <v>21470.16</v>
      </c>
      <c r="AK42" s="81">
        <v>1400</v>
      </c>
      <c r="AL42" s="81">
        <v>180</v>
      </c>
      <c r="AM42" s="79">
        <v>214586</v>
      </c>
      <c r="AN42" s="79">
        <v>21655.17</v>
      </c>
      <c r="AO42" s="81">
        <v>1398</v>
      </c>
      <c r="AP42" s="81">
        <v>300</v>
      </c>
      <c r="AQ42" s="79">
        <v>207389</v>
      </c>
      <c r="AR42" s="79">
        <v>21162.95</v>
      </c>
      <c r="AS42" s="81">
        <v>1372</v>
      </c>
      <c r="AT42" s="81">
        <v>113</v>
      </c>
      <c r="AU42" s="79">
        <v>182153</v>
      </c>
      <c r="AV42" s="79">
        <v>20216.18</v>
      </c>
      <c r="AW42" s="81">
        <v>1381</v>
      </c>
      <c r="AX42" s="81">
        <v>392</v>
      </c>
      <c r="AY42" s="79">
        <v>173186</v>
      </c>
      <c r="AZ42" s="79">
        <v>20503.810000000001</v>
      </c>
      <c r="BA42" s="74">
        <v>17103</v>
      </c>
      <c r="BB42" s="74">
        <v>1710</v>
      </c>
      <c r="BC42" s="72">
        <v>2575647</v>
      </c>
      <c r="BD42" s="72">
        <v>253051.3</v>
      </c>
    </row>
    <row r="43" spans="1:56" ht="15" thickBot="1" x14ac:dyDescent="0.35">
      <c r="A43" s="75" t="s">
        <v>13</v>
      </c>
      <c r="B43" s="75" t="s">
        <v>483</v>
      </c>
      <c r="C43" s="213" t="str">
        <f t="shared" si="0"/>
        <v>KU450</v>
      </c>
      <c r="D43" s="75" t="s">
        <v>482</v>
      </c>
      <c r="E43" s="81">
        <v>706</v>
      </c>
      <c r="F43" s="80"/>
      <c r="G43" s="79">
        <v>27472</v>
      </c>
      <c r="H43" s="79">
        <v>11905.57</v>
      </c>
      <c r="I43" s="81">
        <v>754</v>
      </c>
      <c r="J43" s="81">
        <v>0</v>
      </c>
      <c r="K43" s="79">
        <v>31697</v>
      </c>
      <c r="L43" s="79">
        <v>12964.48</v>
      </c>
      <c r="M43" s="81">
        <v>700</v>
      </c>
      <c r="N43" s="81">
        <v>0</v>
      </c>
      <c r="O43" s="79">
        <v>33757</v>
      </c>
      <c r="P43" s="79">
        <v>12058.62</v>
      </c>
      <c r="Q43" s="81">
        <v>697</v>
      </c>
      <c r="R43" s="81">
        <v>0</v>
      </c>
      <c r="S43" s="79">
        <v>34694</v>
      </c>
      <c r="T43" s="79">
        <v>12110.94</v>
      </c>
      <c r="U43" s="81">
        <v>689</v>
      </c>
      <c r="V43" s="81">
        <v>7</v>
      </c>
      <c r="W43" s="79">
        <v>37313</v>
      </c>
      <c r="X43" s="79">
        <v>11983.64</v>
      </c>
      <c r="Y43" s="81">
        <v>705</v>
      </c>
      <c r="Z43" s="81">
        <v>6</v>
      </c>
      <c r="AA43" s="79">
        <v>43698</v>
      </c>
      <c r="AB43" s="79">
        <v>12127.65</v>
      </c>
      <c r="AC43" s="81">
        <v>701</v>
      </c>
      <c r="AD43" s="81">
        <v>1</v>
      </c>
      <c r="AE43" s="79">
        <v>44362</v>
      </c>
      <c r="AF43" s="79">
        <v>12042.21</v>
      </c>
      <c r="AG43" s="81">
        <v>695</v>
      </c>
      <c r="AH43" s="81">
        <v>3</v>
      </c>
      <c r="AI43" s="79">
        <v>39574</v>
      </c>
      <c r="AJ43" s="79">
        <v>12707.78</v>
      </c>
      <c r="AK43" s="81">
        <v>726</v>
      </c>
      <c r="AL43" s="80"/>
      <c r="AM43" s="79">
        <v>36048</v>
      </c>
      <c r="AN43" s="79">
        <v>13178.97</v>
      </c>
      <c r="AO43" s="81">
        <v>708</v>
      </c>
      <c r="AP43" s="81">
        <v>3</v>
      </c>
      <c r="AQ43" s="79">
        <v>34715</v>
      </c>
      <c r="AR43" s="79">
        <v>12381.85</v>
      </c>
      <c r="AS43" s="81">
        <v>723</v>
      </c>
      <c r="AT43" s="81">
        <v>5</v>
      </c>
      <c r="AU43" s="79">
        <v>30505</v>
      </c>
      <c r="AV43" s="79">
        <v>12762.4</v>
      </c>
      <c r="AW43" s="81">
        <v>711</v>
      </c>
      <c r="AX43" s="81">
        <v>0</v>
      </c>
      <c r="AY43" s="79">
        <v>29202</v>
      </c>
      <c r="AZ43" s="79">
        <v>12464.81</v>
      </c>
      <c r="BA43" s="74">
        <v>8515</v>
      </c>
      <c r="BB43" s="74">
        <v>25</v>
      </c>
      <c r="BC43" s="72">
        <v>423037</v>
      </c>
      <c r="BD43" s="72">
        <v>148688.91999999998</v>
      </c>
    </row>
    <row r="44" spans="1:56" ht="15" thickBot="1" x14ac:dyDescent="0.35">
      <c r="A44" s="75" t="s">
        <v>13</v>
      </c>
      <c r="B44" s="75" t="s">
        <v>481</v>
      </c>
      <c r="C44" s="213" t="str">
        <f t="shared" si="0"/>
        <v>KU451</v>
      </c>
      <c r="D44" s="75" t="s">
        <v>480</v>
      </c>
      <c r="E44" s="81">
        <v>5388</v>
      </c>
      <c r="F44" s="81">
        <v>9</v>
      </c>
      <c r="G44" s="79">
        <v>489061</v>
      </c>
      <c r="H44" s="79">
        <v>129387.65</v>
      </c>
      <c r="I44" s="81">
        <v>5363</v>
      </c>
      <c r="J44" s="81">
        <v>24</v>
      </c>
      <c r="K44" s="79">
        <v>515566</v>
      </c>
      <c r="L44" s="79">
        <v>132683.5</v>
      </c>
      <c r="M44" s="81">
        <v>5364</v>
      </c>
      <c r="N44" s="81">
        <v>21</v>
      </c>
      <c r="O44" s="79">
        <v>603060</v>
      </c>
      <c r="P44" s="79">
        <v>132111.93</v>
      </c>
      <c r="Q44" s="81">
        <v>5413</v>
      </c>
      <c r="R44" s="81">
        <v>41</v>
      </c>
      <c r="S44" s="79">
        <v>631644</v>
      </c>
      <c r="T44" s="79">
        <v>134403.87</v>
      </c>
      <c r="U44" s="81">
        <v>5385</v>
      </c>
      <c r="V44" s="81">
        <v>17</v>
      </c>
      <c r="W44" s="79">
        <v>679913</v>
      </c>
      <c r="X44" s="79">
        <v>132856.19</v>
      </c>
      <c r="Y44" s="81">
        <v>5535</v>
      </c>
      <c r="Z44" s="81">
        <v>26</v>
      </c>
      <c r="AA44" s="79">
        <v>800602</v>
      </c>
      <c r="AB44" s="79">
        <v>134422.25</v>
      </c>
      <c r="AC44" s="81">
        <v>5448</v>
      </c>
      <c r="AD44" s="81">
        <v>20</v>
      </c>
      <c r="AE44" s="79">
        <v>809643</v>
      </c>
      <c r="AF44" s="79">
        <v>132397.38</v>
      </c>
      <c r="AG44" s="81">
        <v>5559</v>
      </c>
      <c r="AH44" s="81">
        <v>60</v>
      </c>
      <c r="AI44" s="79">
        <v>728988</v>
      </c>
      <c r="AJ44" s="79">
        <v>141693.81</v>
      </c>
      <c r="AK44" s="81">
        <v>5582</v>
      </c>
      <c r="AL44" s="81">
        <v>21</v>
      </c>
      <c r="AM44" s="79">
        <v>654835</v>
      </c>
      <c r="AN44" s="79">
        <v>145496.1</v>
      </c>
      <c r="AO44" s="81">
        <v>5589</v>
      </c>
      <c r="AP44" s="81">
        <v>28</v>
      </c>
      <c r="AQ44" s="79">
        <v>639780</v>
      </c>
      <c r="AR44" s="79">
        <v>138212.26</v>
      </c>
      <c r="AS44" s="81">
        <v>5587</v>
      </c>
      <c r="AT44" s="81">
        <v>9</v>
      </c>
      <c r="AU44" s="79">
        <v>550605</v>
      </c>
      <c r="AV44" s="79">
        <v>138016.85</v>
      </c>
      <c r="AW44" s="81">
        <v>5639</v>
      </c>
      <c r="AX44" s="81">
        <v>25</v>
      </c>
      <c r="AY44" s="79">
        <v>547452</v>
      </c>
      <c r="AZ44" s="79">
        <v>141330.06</v>
      </c>
      <c r="BA44" s="74">
        <v>65852</v>
      </c>
      <c r="BB44" s="74">
        <v>301</v>
      </c>
      <c r="BC44" s="72">
        <v>7651149</v>
      </c>
      <c r="BD44" s="72">
        <v>1633011.85</v>
      </c>
    </row>
    <row r="45" spans="1:56" ht="15" thickBot="1" x14ac:dyDescent="0.35">
      <c r="A45" s="75" t="s">
        <v>13</v>
      </c>
      <c r="B45" s="75" t="s">
        <v>479</v>
      </c>
      <c r="C45" s="213" t="str">
        <f t="shared" si="0"/>
        <v>KU452</v>
      </c>
      <c r="D45" s="75" t="s">
        <v>478</v>
      </c>
      <c r="E45" s="81">
        <v>1033</v>
      </c>
      <c r="F45" s="81">
        <v>12</v>
      </c>
      <c r="G45" s="79">
        <v>291836</v>
      </c>
      <c r="H45" s="79">
        <v>52488.81</v>
      </c>
      <c r="I45" s="81">
        <v>1016</v>
      </c>
      <c r="J45" s="81">
        <v>6</v>
      </c>
      <c r="K45" s="79">
        <v>299010</v>
      </c>
      <c r="L45" s="79">
        <v>52290.400000000001</v>
      </c>
      <c r="M45" s="81">
        <v>1017</v>
      </c>
      <c r="N45" s="81">
        <v>8</v>
      </c>
      <c r="O45" s="79">
        <v>351262</v>
      </c>
      <c r="P45" s="79">
        <v>52058.55</v>
      </c>
      <c r="Q45" s="81">
        <v>1016</v>
      </c>
      <c r="R45" s="81">
        <v>4</v>
      </c>
      <c r="S45" s="79">
        <v>364985</v>
      </c>
      <c r="T45" s="79">
        <v>52417.89</v>
      </c>
      <c r="U45" s="81">
        <v>966</v>
      </c>
      <c r="V45" s="81">
        <v>3</v>
      </c>
      <c r="W45" s="79">
        <v>378969</v>
      </c>
      <c r="X45" s="79">
        <v>49791.73</v>
      </c>
      <c r="Y45" s="81">
        <v>1000</v>
      </c>
      <c r="Z45" s="81">
        <v>10</v>
      </c>
      <c r="AA45" s="79">
        <v>441258</v>
      </c>
      <c r="AB45" s="79">
        <v>49037.23</v>
      </c>
      <c r="AC45" s="81">
        <v>963</v>
      </c>
      <c r="AD45" s="81">
        <v>15</v>
      </c>
      <c r="AE45" s="79">
        <v>441556</v>
      </c>
      <c r="AF45" s="79">
        <v>48308.1</v>
      </c>
      <c r="AG45" s="81">
        <v>975</v>
      </c>
      <c r="AH45" s="81">
        <v>3</v>
      </c>
      <c r="AI45" s="79">
        <v>392798</v>
      </c>
      <c r="AJ45" s="79">
        <v>50937.17</v>
      </c>
      <c r="AK45" s="81">
        <v>978</v>
      </c>
      <c r="AL45" s="81">
        <v>1</v>
      </c>
      <c r="AM45" s="79">
        <v>354106</v>
      </c>
      <c r="AN45" s="79">
        <v>53005.41</v>
      </c>
      <c r="AO45" s="81">
        <v>954</v>
      </c>
      <c r="AP45" s="81">
        <v>25</v>
      </c>
      <c r="AQ45" s="79">
        <v>333339</v>
      </c>
      <c r="AR45" s="79">
        <v>48511.95</v>
      </c>
      <c r="AS45" s="81">
        <v>953</v>
      </c>
      <c r="AT45" s="81">
        <v>0</v>
      </c>
      <c r="AU45" s="79">
        <v>288307</v>
      </c>
      <c r="AV45" s="79">
        <v>48340.5</v>
      </c>
      <c r="AW45" s="81">
        <v>967</v>
      </c>
      <c r="AX45" s="81">
        <v>4</v>
      </c>
      <c r="AY45" s="79">
        <v>288194</v>
      </c>
      <c r="AZ45" s="79">
        <v>49702.080000000002</v>
      </c>
      <c r="BA45" s="74">
        <v>11838</v>
      </c>
      <c r="BB45" s="74">
        <v>91</v>
      </c>
      <c r="BC45" s="72">
        <v>4225620</v>
      </c>
      <c r="BD45" s="72">
        <v>606889.81999999995</v>
      </c>
    </row>
    <row r="46" spans="1:56" ht="15" thickBot="1" x14ac:dyDescent="0.35">
      <c r="A46" s="75" t="s">
        <v>13</v>
      </c>
      <c r="B46" s="75" t="s">
        <v>477</v>
      </c>
      <c r="C46" s="213" t="str">
        <f t="shared" si="0"/>
        <v>KU454</v>
      </c>
      <c r="D46" s="75" t="s">
        <v>476</v>
      </c>
      <c r="E46" s="81">
        <v>151</v>
      </c>
      <c r="F46" s="80"/>
      <c r="G46" s="79">
        <v>6001</v>
      </c>
      <c r="H46" s="79">
        <v>3325.27</v>
      </c>
      <c r="I46" s="81">
        <v>94</v>
      </c>
      <c r="J46" s="80"/>
      <c r="K46" s="79">
        <v>3319</v>
      </c>
      <c r="L46" s="79">
        <v>2278.9699999999998</v>
      </c>
      <c r="M46" s="81">
        <v>150</v>
      </c>
      <c r="N46" s="80"/>
      <c r="O46" s="79">
        <v>7105</v>
      </c>
      <c r="P46" s="79">
        <v>3349.66</v>
      </c>
      <c r="Q46" s="81">
        <v>151</v>
      </c>
      <c r="R46" s="80"/>
      <c r="S46" s="79">
        <v>7513</v>
      </c>
      <c r="T46" s="79">
        <v>3405.28</v>
      </c>
      <c r="U46" s="81">
        <v>149</v>
      </c>
      <c r="V46" s="80"/>
      <c r="W46" s="79">
        <v>7991</v>
      </c>
      <c r="X46" s="79">
        <v>3358.02</v>
      </c>
      <c r="Y46" s="81">
        <v>156</v>
      </c>
      <c r="Z46" s="80"/>
      <c r="AA46" s="79">
        <v>9546</v>
      </c>
      <c r="AB46" s="79">
        <v>3489.11</v>
      </c>
      <c r="AC46" s="81">
        <v>151</v>
      </c>
      <c r="AD46" s="80"/>
      <c r="AE46" s="79">
        <v>9569</v>
      </c>
      <c r="AF46" s="79">
        <v>3372.77</v>
      </c>
      <c r="AG46" s="81">
        <v>155</v>
      </c>
      <c r="AH46" s="80"/>
      <c r="AI46" s="79">
        <v>8732</v>
      </c>
      <c r="AJ46" s="79">
        <v>3623.31</v>
      </c>
      <c r="AK46" s="81">
        <v>154</v>
      </c>
      <c r="AL46" s="80"/>
      <c r="AM46" s="79">
        <v>7752</v>
      </c>
      <c r="AN46" s="79">
        <v>3606.08</v>
      </c>
      <c r="AO46" s="81">
        <v>154</v>
      </c>
      <c r="AP46" s="80"/>
      <c r="AQ46" s="79">
        <v>7566</v>
      </c>
      <c r="AR46" s="79">
        <v>3445.81</v>
      </c>
      <c r="AS46" s="81">
        <v>154</v>
      </c>
      <c r="AT46" s="81">
        <v>0</v>
      </c>
      <c r="AU46" s="79">
        <v>6619</v>
      </c>
      <c r="AV46" s="79">
        <v>3497.39</v>
      </c>
      <c r="AW46" s="81">
        <v>154</v>
      </c>
      <c r="AX46" s="80"/>
      <c r="AY46" s="79">
        <v>6403</v>
      </c>
      <c r="AZ46" s="79">
        <v>3525.12</v>
      </c>
      <c r="BA46" s="74">
        <v>1773</v>
      </c>
      <c r="BB46" s="74">
        <v>0</v>
      </c>
      <c r="BC46" s="72">
        <v>88116</v>
      </c>
      <c r="BD46" s="72">
        <v>40276.79</v>
      </c>
    </row>
    <row r="47" spans="1:56" ht="15" thickBot="1" x14ac:dyDescent="0.35">
      <c r="A47" s="75" t="s">
        <v>13</v>
      </c>
      <c r="B47" s="75" t="s">
        <v>475</v>
      </c>
      <c r="C47" s="213" t="str">
        <f t="shared" si="0"/>
        <v>KU455</v>
      </c>
      <c r="D47" s="75" t="s">
        <v>474</v>
      </c>
      <c r="E47" s="81">
        <v>1024</v>
      </c>
      <c r="F47" s="80"/>
      <c r="G47" s="79">
        <v>93028</v>
      </c>
      <c r="H47" s="79">
        <v>29987.47</v>
      </c>
      <c r="I47" s="81">
        <v>1017</v>
      </c>
      <c r="J47" s="81">
        <v>0</v>
      </c>
      <c r="K47" s="79">
        <v>97919</v>
      </c>
      <c r="L47" s="79">
        <v>30766.58</v>
      </c>
      <c r="M47" s="81">
        <v>1017</v>
      </c>
      <c r="N47" s="80"/>
      <c r="O47" s="79">
        <v>114576</v>
      </c>
      <c r="P47" s="79">
        <v>30612.21</v>
      </c>
      <c r="Q47" s="81">
        <v>1027</v>
      </c>
      <c r="R47" s="81">
        <v>3</v>
      </c>
      <c r="S47" s="79">
        <v>118431</v>
      </c>
      <c r="T47" s="79">
        <v>30954.12</v>
      </c>
      <c r="U47" s="81">
        <v>1006</v>
      </c>
      <c r="V47" s="81">
        <v>0</v>
      </c>
      <c r="W47" s="79">
        <v>126927</v>
      </c>
      <c r="X47" s="79">
        <v>30360.53</v>
      </c>
      <c r="Y47" s="81">
        <v>1033</v>
      </c>
      <c r="Z47" s="81">
        <v>3</v>
      </c>
      <c r="AA47" s="79">
        <v>148827</v>
      </c>
      <c r="AB47" s="79">
        <v>30689.01</v>
      </c>
      <c r="AC47" s="81">
        <v>1017</v>
      </c>
      <c r="AD47" s="80"/>
      <c r="AE47" s="79">
        <v>151206</v>
      </c>
      <c r="AF47" s="79">
        <v>30314.78</v>
      </c>
      <c r="AG47" s="81">
        <v>1023</v>
      </c>
      <c r="AH47" s="80"/>
      <c r="AI47" s="79">
        <v>133911</v>
      </c>
      <c r="AJ47" s="79">
        <v>31628.21</v>
      </c>
      <c r="AK47" s="81">
        <v>1020</v>
      </c>
      <c r="AL47" s="81">
        <v>0</v>
      </c>
      <c r="AM47" s="79">
        <v>119093</v>
      </c>
      <c r="AN47" s="79">
        <v>32104.25</v>
      </c>
      <c r="AO47" s="81">
        <v>1028</v>
      </c>
      <c r="AP47" s="80"/>
      <c r="AQ47" s="79">
        <v>118157</v>
      </c>
      <c r="AR47" s="79">
        <v>30857.27</v>
      </c>
      <c r="AS47" s="81">
        <v>1015</v>
      </c>
      <c r="AT47" s="81">
        <v>4</v>
      </c>
      <c r="AU47" s="79">
        <v>100026</v>
      </c>
      <c r="AV47" s="79">
        <v>30367.03</v>
      </c>
      <c r="AW47" s="81">
        <v>1012</v>
      </c>
      <c r="AX47" s="80"/>
      <c r="AY47" s="79">
        <v>98911</v>
      </c>
      <c r="AZ47" s="79">
        <v>30997.94</v>
      </c>
      <c r="BA47" s="74">
        <v>12239</v>
      </c>
      <c r="BB47" s="74">
        <v>10</v>
      </c>
      <c r="BC47" s="72">
        <v>1421012</v>
      </c>
      <c r="BD47" s="72">
        <v>369639.40000000008</v>
      </c>
    </row>
    <row r="48" spans="1:56" ht="15" thickBot="1" x14ac:dyDescent="0.35">
      <c r="A48" s="75" t="s">
        <v>13</v>
      </c>
      <c r="B48" s="75" t="s">
        <v>473</v>
      </c>
      <c r="C48" s="213" t="str">
        <f t="shared" si="0"/>
        <v>KU456</v>
      </c>
      <c r="D48" s="75" t="s">
        <v>472</v>
      </c>
      <c r="E48" s="78">
        <v>138</v>
      </c>
      <c r="F48" s="77"/>
      <c r="G48" s="76">
        <v>7452</v>
      </c>
      <c r="H48" s="76">
        <v>1853.97</v>
      </c>
      <c r="I48" s="78">
        <v>138</v>
      </c>
      <c r="J48" s="77"/>
      <c r="K48" s="76">
        <v>7533</v>
      </c>
      <c r="L48" s="76">
        <v>1927.12</v>
      </c>
      <c r="M48" s="78">
        <v>138</v>
      </c>
      <c r="N48" s="77"/>
      <c r="O48" s="76">
        <v>9287</v>
      </c>
      <c r="P48" s="76">
        <v>1918.74</v>
      </c>
      <c r="Q48" s="78">
        <v>138</v>
      </c>
      <c r="R48" s="77"/>
      <c r="S48" s="76">
        <v>9284</v>
      </c>
      <c r="T48" s="76">
        <v>1930.32</v>
      </c>
      <c r="U48" s="78">
        <v>138</v>
      </c>
      <c r="V48" s="77"/>
      <c r="W48" s="76">
        <v>9948</v>
      </c>
      <c r="X48" s="76">
        <v>1922.25</v>
      </c>
      <c r="Y48" s="78">
        <v>138</v>
      </c>
      <c r="Z48" s="77"/>
      <c r="AA48" s="76">
        <v>11856</v>
      </c>
      <c r="AB48" s="76">
        <v>1888.01</v>
      </c>
      <c r="AC48" s="78">
        <v>134</v>
      </c>
      <c r="AD48" s="77"/>
      <c r="AE48" s="76">
        <v>11457</v>
      </c>
      <c r="AF48" s="76">
        <v>1839.82</v>
      </c>
      <c r="AG48" s="78">
        <v>134</v>
      </c>
      <c r="AH48" s="77"/>
      <c r="AI48" s="76">
        <v>11130</v>
      </c>
      <c r="AJ48" s="76">
        <v>1884.35</v>
      </c>
      <c r="AK48" s="78">
        <v>133</v>
      </c>
      <c r="AL48" s="77"/>
      <c r="AM48" s="76">
        <v>9301</v>
      </c>
      <c r="AN48" s="76">
        <v>1923.72</v>
      </c>
      <c r="AO48" s="78">
        <v>133</v>
      </c>
      <c r="AP48" s="77"/>
      <c r="AQ48" s="76">
        <v>8990</v>
      </c>
      <c r="AR48" s="76">
        <v>1846.55</v>
      </c>
      <c r="AS48" s="78">
        <v>133</v>
      </c>
      <c r="AT48" s="77"/>
      <c r="AU48" s="76">
        <v>8005</v>
      </c>
      <c r="AV48" s="76">
        <v>1837.47</v>
      </c>
      <c r="AW48" s="78">
        <v>133</v>
      </c>
      <c r="AX48" s="77"/>
      <c r="AY48" s="76">
        <v>7802</v>
      </c>
      <c r="AZ48" s="76">
        <v>1854.14</v>
      </c>
      <c r="BA48" s="74">
        <v>1628</v>
      </c>
      <c r="BB48" s="73"/>
      <c r="BC48" s="72">
        <v>112045</v>
      </c>
      <c r="BD48" s="72">
        <v>22626.46</v>
      </c>
    </row>
    <row r="49" spans="1:56" ht="15" thickBot="1" x14ac:dyDescent="0.35">
      <c r="A49" s="75" t="s">
        <v>13</v>
      </c>
      <c r="B49" s="75" t="s">
        <v>471</v>
      </c>
      <c r="C49" s="213" t="str">
        <f t="shared" si="0"/>
        <v>KU457</v>
      </c>
      <c r="D49" s="75" t="s">
        <v>470</v>
      </c>
      <c r="E49" s="81">
        <v>443</v>
      </c>
      <c r="F49" s="80"/>
      <c r="G49" s="79">
        <v>37398</v>
      </c>
      <c r="H49" s="79">
        <v>6429.41</v>
      </c>
      <c r="I49" s="81">
        <v>443</v>
      </c>
      <c r="J49" s="80"/>
      <c r="K49" s="79">
        <v>33080</v>
      </c>
      <c r="L49" s="79">
        <v>6850.47</v>
      </c>
      <c r="M49" s="81">
        <v>443</v>
      </c>
      <c r="N49" s="80"/>
      <c r="O49" s="79">
        <v>39181</v>
      </c>
      <c r="P49" s="79">
        <v>6829.5</v>
      </c>
      <c r="Q49" s="81">
        <v>443</v>
      </c>
      <c r="R49" s="80"/>
      <c r="S49" s="79">
        <v>42459</v>
      </c>
      <c r="T49" s="79">
        <v>6787.75</v>
      </c>
      <c r="U49" s="81">
        <v>443</v>
      </c>
      <c r="V49" s="80"/>
      <c r="W49" s="79">
        <v>43942</v>
      </c>
      <c r="X49" s="79">
        <v>6834.46</v>
      </c>
      <c r="Y49" s="81">
        <v>443</v>
      </c>
      <c r="Z49" s="81">
        <v>397</v>
      </c>
      <c r="AA49" s="79">
        <v>50592</v>
      </c>
      <c r="AB49" s="79">
        <v>6748.92</v>
      </c>
      <c r="AC49" s="81">
        <v>440</v>
      </c>
      <c r="AD49" s="80"/>
      <c r="AE49" s="79">
        <v>51660</v>
      </c>
      <c r="AF49" s="79">
        <v>6586.29</v>
      </c>
      <c r="AG49" s="81">
        <v>440</v>
      </c>
      <c r="AH49" s="80"/>
      <c r="AI49" s="79">
        <v>57816</v>
      </c>
      <c r="AJ49" s="79">
        <v>6597.21</v>
      </c>
      <c r="AK49" s="81">
        <v>417</v>
      </c>
      <c r="AL49" s="80"/>
      <c r="AM49" s="79">
        <v>42948</v>
      </c>
      <c r="AN49" s="79">
        <v>6536.84</v>
      </c>
      <c r="AO49" s="81">
        <v>462</v>
      </c>
      <c r="AP49" s="81">
        <v>810</v>
      </c>
      <c r="AQ49" s="79">
        <v>43268</v>
      </c>
      <c r="AR49" s="79">
        <v>7418.06</v>
      </c>
      <c r="AS49" s="81">
        <v>435</v>
      </c>
      <c r="AT49" s="80"/>
      <c r="AU49" s="79">
        <v>39691</v>
      </c>
      <c r="AV49" s="79">
        <v>6649.49</v>
      </c>
      <c r="AW49" s="81">
        <v>435</v>
      </c>
      <c r="AX49" s="80"/>
      <c r="AY49" s="79">
        <v>37916</v>
      </c>
      <c r="AZ49" s="79">
        <v>6634.41</v>
      </c>
      <c r="BA49" s="74">
        <v>5287</v>
      </c>
      <c r="BB49" s="74">
        <v>1207</v>
      </c>
      <c r="BC49" s="72">
        <v>519951</v>
      </c>
      <c r="BD49" s="72">
        <v>80902.810000000012</v>
      </c>
    </row>
    <row r="50" spans="1:56" ht="15" thickBot="1" x14ac:dyDescent="0.35">
      <c r="A50" s="75" t="s">
        <v>13</v>
      </c>
      <c r="B50" s="75" t="s">
        <v>469</v>
      </c>
      <c r="C50" s="213" t="str">
        <f t="shared" si="0"/>
        <v>KU458</v>
      </c>
      <c r="D50" s="75" t="s">
        <v>468</v>
      </c>
      <c r="E50" s="78">
        <v>1425</v>
      </c>
      <c r="F50" s="77"/>
      <c r="G50" s="76">
        <v>178813</v>
      </c>
      <c r="H50" s="76">
        <v>24135.89</v>
      </c>
      <c r="I50" s="78">
        <v>1399</v>
      </c>
      <c r="J50" s="77"/>
      <c r="K50" s="76">
        <v>165253</v>
      </c>
      <c r="L50" s="76">
        <v>24815.57</v>
      </c>
      <c r="M50" s="78">
        <v>1409</v>
      </c>
      <c r="N50" s="78">
        <v>538</v>
      </c>
      <c r="O50" s="76">
        <v>196398</v>
      </c>
      <c r="P50" s="76">
        <v>24803.86</v>
      </c>
      <c r="Q50" s="78">
        <v>1426</v>
      </c>
      <c r="R50" s="77"/>
      <c r="S50" s="76">
        <v>213472</v>
      </c>
      <c r="T50" s="76">
        <v>25019.7</v>
      </c>
      <c r="U50" s="78">
        <v>1389</v>
      </c>
      <c r="V50" s="77"/>
      <c r="W50" s="76">
        <v>216258</v>
      </c>
      <c r="X50" s="76">
        <v>24351.3</v>
      </c>
      <c r="Y50" s="78">
        <v>1409</v>
      </c>
      <c r="Z50" s="78">
        <v>773</v>
      </c>
      <c r="AA50" s="76">
        <v>256043</v>
      </c>
      <c r="AB50" s="76">
        <v>24202.47</v>
      </c>
      <c r="AC50" s="78">
        <v>1386</v>
      </c>
      <c r="AD50" s="78">
        <v>0</v>
      </c>
      <c r="AE50" s="76">
        <v>255252</v>
      </c>
      <c r="AF50" s="76">
        <v>23367.29</v>
      </c>
      <c r="AG50" s="78">
        <v>1351</v>
      </c>
      <c r="AH50" s="78">
        <v>10</v>
      </c>
      <c r="AI50" s="76">
        <v>257851</v>
      </c>
      <c r="AJ50" s="76">
        <v>23202.82</v>
      </c>
      <c r="AK50" s="78">
        <v>1358</v>
      </c>
      <c r="AL50" s="78">
        <v>8</v>
      </c>
      <c r="AM50" s="76">
        <v>212228</v>
      </c>
      <c r="AN50" s="76">
        <v>24375.8</v>
      </c>
      <c r="AO50" s="78">
        <v>1433</v>
      </c>
      <c r="AP50" s="78">
        <v>764</v>
      </c>
      <c r="AQ50" s="76">
        <v>209928</v>
      </c>
      <c r="AR50" s="76">
        <v>25919.29</v>
      </c>
      <c r="AS50" s="78">
        <v>1388</v>
      </c>
      <c r="AT50" s="78">
        <v>44</v>
      </c>
      <c r="AU50" s="76">
        <v>188834</v>
      </c>
      <c r="AV50" s="76">
        <v>24163.37</v>
      </c>
      <c r="AW50" s="78">
        <v>1381</v>
      </c>
      <c r="AX50" s="78">
        <v>0</v>
      </c>
      <c r="AY50" s="76">
        <v>179591</v>
      </c>
      <c r="AZ50" s="76">
        <v>24033.33</v>
      </c>
      <c r="BA50" s="74">
        <v>16754</v>
      </c>
      <c r="BB50" s="74">
        <v>2137</v>
      </c>
      <c r="BC50" s="72">
        <v>2529921</v>
      </c>
      <c r="BD50" s="72">
        <v>292390.69000000006</v>
      </c>
    </row>
    <row r="51" spans="1:56" ht="15" thickBot="1" x14ac:dyDescent="0.35">
      <c r="A51" s="75" t="s">
        <v>13</v>
      </c>
      <c r="B51" s="75" t="s">
        <v>467</v>
      </c>
      <c r="C51" s="213" t="str">
        <f t="shared" si="0"/>
        <v>KU459</v>
      </c>
      <c r="D51" s="75" t="s">
        <v>466</v>
      </c>
      <c r="E51" s="81">
        <v>216</v>
      </c>
      <c r="F51" s="80"/>
      <c r="G51" s="79">
        <v>60170</v>
      </c>
      <c r="H51" s="79">
        <v>12113.28</v>
      </c>
      <c r="I51" s="81">
        <v>208</v>
      </c>
      <c r="J51" s="81">
        <v>0</v>
      </c>
      <c r="K51" s="79">
        <v>62284</v>
      </c>
      <c r="L51" s="79">
        <v>11738.6</v>
      </c>
      <c r="M51" s="81">
        <v>202</v>
      </c>
      <c r="N51" s="80"/>
      <c r="O51" s="79">
        <v>70980</v>
      </c>
      <c r="P51" s="79">
        <v>11462.28</v>
      </c>
      <c r="Q51" s="81">
        <v>208</v>
      </c>
      <c r="R51" s="81">
        <v>0</v>
      </c>
      <c r="S51" s="79">
        <v>74704</v>
      </c>
      <c r="T51" s="79">
        <v>11799.5</v>
      </c>
      <c r="U51" s="81">
        <v>183</v>
      </c>
      <c r="V51" s="80"/>
      <c r="W51" s="79">
        <v>73340</v>
      </c>
      <c r="X51" s="79">
        <v>10428.09</v>
      </c>
      <c r="Y51" s="81">
        <v>206</v>
      </c>
      <c r="Z51" s="81">
        <v>0</v>
      </c>
      <c r="AA51" s="79">
        <v>89720</v>
      </c>
      <c r="AB51" s="79">
        <v>11180.51</v>
      </c>
      <c r="AC51" s="81">
        <v>194</v>
      </c>
      <c r="AD51" s="81">
        <v>0</v>
      </c>
      <c r="AE51" s="79">
        <v>89287</v>
      </c>
      <c r="AF51" s="79">
        <v>10746.25</v>
      </c>
      <c r="AG51" s="81">
        <v>186</v>
      </c>
      <c r="AH51" s="81">
        <v>0</v>
      </c>
      <c r="AI51" s="79">
        <v>74461</v>
      </c>
      <c r="AJ51" s="79">
        <v>10721.17</v>
      </c>
      <c r="AK51" s="81">
        <v>200</v>
      </c>
      <c r="AL51" s="80"/>
      <c r="AM51" s="79">
        <v>71484</v>
      </c>
      <c r="AN51" s="79">
        <v>11882.63</v>
      </c>
      <c r="AO51" s="81">
        <v>189</v>
      </c>
      <c r="AP51" s="81">
        <v>0</v>
      </c>
      <c r="AQ51" s="79">
        <v>65493</v>
      </c>
      <c r="AR51" s="79">
        <v>10613.96</v>
      </c>
      <c r="AS51" s="81">
        <v>186</v>
      </c>
      <c r="AT51" s="80"/>
      <c r="AU51" s="79">
        <v>57011</v>
      </c>
      <c r="AV51" s="79">
        <v>10524.48</v>
      </c>
      <c r="AW51" s="81">
        <v>188</v>
      </c>
      <c r="AX51" s="80"/>
      <c r="AY51" s="79">
        <v>56568</v>
      </c>
      <c r="AZ51" s="79">
        <v>10762.91</v>
      </c>
      <c r="BA51" s="74">
        <v>2366</v>
      </c>
      <c r="BB51" s="74">
        <v>0</v>
      </c>
      <c r="BC51" s="72">
        <v>845502</v>
      </c>
      <c r="BD51" s="72">
        <v>133973.65999999997</v>
      </c>
    </row>
    <row r="52" spans="1:56" ht="15" thickBot="1" x14ac:dyDescent="0.35">
      <c r="A52" s="75" t="s">
        <v>13</v>
      </c>
      <c r="B52" s="75" t="s">
        <v>465</v>
      </c>
      <c r="C52" s="213" t="str">
        <f t="shared" si="0"/>
        <v>KU460</v>
      </c>
      <c r="D52" s="75" t="s">
        <v>464</v>
      </c>
      <c r="E52" s="81">
        <v>23</v>
      </c>
      <c r="F52" s="80"/>
      <c r="G52" s="79">
        <v>910</v>
      </c>
      <c r="H52" s="79">
        <v>742.68</v>
      </c>
      <c r="I52" s="81">
        <v>23</v>
      </c>
      <c r="J52" s="80"/>
      <c r="K52" s="79">
        <v>953</v>
      </c>
      <c r="L52" s="79">
        <v>759.08</v>
      </c>
      <c r="M52" s="81">
        <v>23</v>
      </c>
      <c r="N52" s="80"/>
      <c r="O52" s="79">
        <v>1058</v>
      </c>
      <c r="P52" s="79">
        <v>771.06</v>
      </c>
      <c r="Q52" s="81">
        <v>23</v>
      </c>
      <c r="R52" s="80"/>
      <c r="S52" s="79">
        <v>1120</v>
      </c>
      <c r="T52" s="79">
        <v>773.3</v>
      </c>
      <c r="U52" s="81">
        <v>23</v>
      </c>
      <c r="V52" s="80"/>
      <c r="W52" s="79">
        <v>1217</v>
      </c>
      <c r="X52" s="79">
        <v>775.07</v>
      </c>
      <c r="Y52" s="81">
        <v>23</v>
      </c>
      <c r="Z52" s="80"/>
      <c r="AA52" s="79">
        <v>1358</v>
      </c>
      <c r="AB52" s="79">
        <v>773.73</v>
      </c>
      <c r="AC52" s="81">
        <v>22</v>
      </c>
      <c r="AD52" s="80"/>
      <c r="AE52" s="79">
        <v>1393</v>
      </c>
      <c r="AF52" s="79">
        <v>740.84</v>
      </c>
      <c r="AG52" s="81">
        <v>22</v>
      </c>
      <c r="AH52" s="80"/>
      <c r="AI52" s="79">
        <v>1311</v>
      </c>
      <c r="AJ52" s="79">
        <v>751.24</v>
      </c>
      <c r="AK52" s="81">
        <v>22</v>
      </c>
      <c r="AL52" s="80"/>
      <c r="AM52" s="79">
        <v>1141</v>
      </c>
      <c r="AN52" s="79">
        <v>761.99</v>
      </c>
      <c r="AO52" s="81">
        <v>22</v>
      </c>
      <c r="AP52" s="80"/>
      <c r="AQ52" s="79">
        <v>1067</v>
      </c>
      <c r="AR52" s="79">
        <v>746.8</v>
      </c>
      <c r="AS52" s="81">
        <v>22</v>
      </c>
      <c r="AT52" s="81">
        <v>0</v>
      </c>
      <c r="AU52" s="79">
        <v>992</v>
      </c>
      <c r="AV52" s="79">
        <v>692.07</v>
      </c>
      <c r="AW52" s="81">
        <v>20</v>
      </c>
      <c r="AX52" s="80"/>
      <c r="AY52" s="79">
        <v>822</v>
      </c>
      <c r="AZ52" s="79">
        <v>672.71</v>
      </c>
      <c r="BA52" s="74">
        <v>268</v>
      </c>
      <c r="BB52" s="74">
        <v>0</v>
      </c>
      <c r="BC52" s="72">
        <v>13342</v>
      </c>
      <c r="BD52" s="72">
        <v>8960.57</v>
      </c>
    </row>
    <row r="53" spans="1:56" ht="15" thickBot="1" x14ac:dyDescent="0.35">
      <c r="A53" s="75" t="s">
        <v>13</v>
      </c>
      <c r="B53" s="75" t="s">
        <v>463</v>
      </c>
      <c r="C53" s="213" t="str">
        <f t="shared" si="0"/>
        <v>KU461</v>
      </c>
      <c r="D53" s="75" t="s">
        <v>462</v>
      </c>
      <c r="E53" s="78">
        <v>7280</v>
      </c>
      <c r="F53" s="78">
        <v>1611</v>
      </c>
      <c r="G53" s="76">
        <v>114382</v>
      </c>
      <c r="H53" s="76">
        <v>62457.56</v>
      </c>
      <c r="I53" s="78">
        <v>6575</v>
      </c>
      <c r="J53" s="77"/>
      <c r="K53" s="76">
        <v>107815</v>
      </c>
      <c r="L53" s="76">
        <v>58595.4</v>
      </c>
      <c r="M53" s="78">
        <v>6911</v>
      </c>
      <c r="N53" s="78">
        <v>1671</v>
      </c>
      <c r="O53" s="76">
        <v>130582</v>
      </c>
      <c r="P53" s="76">
        <v>61523.06</v>
      </c>
      <c r="Q53" s="78">
        <v>7296</v>
      </c>
      <c r="R53" s="77"/>
      <c r="S53" s="76">
        <v>147136</v>
      </c>
      <c r="T53" s="76">
        <v>65294.45</v>
      </c>
      <c r="U53" s="78">
        <v>6507</v>
      </c>
      <c r="V53" s="78">
        <v>417</v>
      </c>
      <c r="W53" s="76">
        <v>138437</v>
      </c>
      <c r="X53" s="76">
        <v>58156.73</v>
      </c>
      <c r="Y53" s="78">
        <v>7953</v>
      </c>
      <c r="Z53" s="78">
        <v>962</v>
      </c>
      <c r="AA53" s="76">
        <v>200280</v>
      </c>
      <c r="AB53" s="76">
        <v>70720.2</v>
      </c>
      <c r="AC53" s="78">
        <v>5945</v>
      </c>
      <c r="AD53" s="77"/>
      <c r="AE53" s="76">
        <v>146671</v>
      </c>
      <c r="AF53" s="76">
        <v>53060.39</v>
      </c>
      <c r="AG53" s="78">
        <v>6972</v>
      </c>
      <c r="AH53" s="77"/>
      <c r="AI53" s="76">
        <v>161841</v>
      </c>
      <c r="AJ53" s="76">
        <v>64331.62</v>
      </c>
      <c r="AK53" s="78">
        <v>7040</v>
      </c>
      <c r="AL53" s="78">
        <v>639</v>
      </c>
      <c r="AM53" s="76">
        <v>144350</v>
      </c>
      <c r="AN53" s="76">
        <v>66158.27</v>
      </c>
      <c r="AO53" s="78">
        <v>6974</v>
      </c>
      <c r="AP53" s="78">
        <v>2252</v>
      </c>
      <c r="AQ53" s="76">
        <v>137000</v>
      </c>
      <c r="AR53" s="76">
        <v>63506.5</v>
      </c>
      <c r="AS53" s="78">
        <v>6969</v>
      </c>
      <c r="AT53" s="78">
        <v>0</v>
      </c>
      <c r="AU53" s="76">
        <v>121748</v>
      </c>
      <c r="AV53" s="76">
        <v>63103.93</v>
      </c>
      <c r="AW53" s="78">
        <v>6967</v>
      </c>
      <c r="AX53" s="78">
        <v>241</v>
      </c>
      <c r="AY53" s="76">
        <v>115561</v>
      </c>
      <c r="AZ53" s="76">
        <v>63606.01</v>
      </c>
      <c r="BA53" s="74">
        <v>83389</v>
      </c>
      <c r="BB53" s="74">
        <v>7793</v>
      </c>
      <c r="BC53" s="72">
        <v>1665803</v>
      </c>
      <c r="BD53" s="72">
        <v>750514.12</v>
      </c>
    </row>
    <row r="54" spans="1:56" ht="15" thickBot="1" x14ac:dyDescent="0.35">
      <c r="A54" s="75" t="s">
        <v>13</v>
      </c>
      <c r="B54" s="75" t="s">
        <v>461</v>
      </c>
      <c r="C54" s="213" t="str">
        <f t="shared" si="0"/>
        <v>KU462</v>
      </c>
      <c r="D54" s="75" t="s">
        <v>460</v>
      </c>
      <c r="E54" s="81">
        <v>8845</v>
      </c>
      <c r="F54" s="81">
        <v>5233</v>
      </c>
      <c r="G54" s="79">
        <v>199355</v>
      </c>
      <c r="H54" s="79">
        <v>85992.31</v>
      </c>
      <c r="I54" s="81">
        <v>8719</v>
      </c>
      <c r="J54" s="80"/>
      <c r="K54" s="79">
        <v>189356</v>
      </c>
      <c r="L54" s="79">
        <v>89351.12</v>
      </c>
      <c r="M54" s="81">
        <v>8802</v>
      </c>
      <c r="N54" s="81">
        <v>1705</v>
      </c>
      <c r="O54" s="79">
        <v>225377</v>
      </c>
      <c r="P54" s="79">
        <v>90002.09</v>
      </c>
      <c r="Q54" s="81">
        <v>8844</v>
      </c>
      <c r="R54" s="81">
        <v>1706</v>
      </c>
      <c r="S54" s="79">
        <v>243297</v>
      </c>
      <c r="T54" s="79">
        <v>90685.65</v>
      </c>
      <c r="U54" s="81">
        <v>8548</v>
      </c>
      <c r="V54" s="81">
        <v>3</v>
      </c>
      <c r="W54" s="79">
        <v>246361</v>
      </c>
      <c r="X54" s="79">
        <v>87763.29</v>
      </c>
      <c r="Y54" s="81">
        <v>8951</v>
      </c>
      <c r="Z54" s="81">
        <v>5289</v>
      </c>
      <c r="AA54" s="79">
        <v>302826</v>
      </c>
      <c r="AB54" s="79">
        <v>91350.02</v>
      </c>
      <c r="AC54" s="81">
        <v>8497</v>
      </c>
      <c r="AD54" s="81">
        <v>15</v>
      </c>
      <c r="AE54" s="79">
        <v>293692</v>
      </c>
      <c r="AF54" s="79">
        <v>86637.77</v>
      </c>
      <c r="AG54" s="81">
        <v>8891</v>
      </c>
      <c r="AH54" s="81">
        <v>256</v>
      </c>
      <c r="AI54" s="79">
        <v>296087</v>
      </c>
      <c r="AJ54" s="79">
        <v>93400.47</v>
      </c>
      <c r="AK54" s="81">
        <v>8960</v>
      </c>
      <c r="AL54" s="81">
        <v>1705</v>
      </c>
      <c r="AM54" s="79">
        <v>258940</v>
      </c>
      <c r="AN54" s="79">
        <v>96954.67</v>
      </c>
      <c r="AO54" s="81">
        <v>8792</v>
      </c>
      <c r="AP54" s="81">
        <v>19</v>
      </c>
      <c r="AQ54" s="79">
        <v>241362</v>
      </c>
      <c r="AR54" s="79">
        <v>93035.34</v>
      </c>
      <c r="AS54" s="81">
        <v>8793</v>
      </c>
      <c r="AT54" s="81">
        <v>1711</v>
      </c>
      <c r="AU54" s="79">
        <v>214796</v>
      </c>
      <c r="AV54" s="79">
        <v>91641.87</v>
      </c>
      <c r="AW54" s="81">
        <v>8799</v>
      </c>
      <c r="AX54" s="81">
        <v>1875</v>
      </c>
      <c r="AY54" s="79">
        <v>204176</v>
      </c>
      <c r="AZ54" s="79">
        <v>92392.85</v>
      </c>
      <c r="BA54" s="74">
        <v>105441</v>
      </c>
      <c r="BB54" s="74">
        <v>19517</v>
      </c>
      <c r="BC54" s="72">
        <v>2915625</v>
      </c>
      <c r="BD54" s="72">
        <v>1089207.45</v>
      </c>
    </row>
    <row r="55" spans="1:56" ht="15" thickBot="1" x14ac:dyDescent="0.35">
      <c r="A55" s="75" t="s">
        <v>13</v>
      </c>
      <c r="B55" s="75" t="s">
        <v>459</v>
      </c>
      <c r="C55" s="213" t="str">
        <f t="shared" si="0"/>
        <v>KU463</v>
      </c>
      <c r="D55" s="75" t="s">
        <v>458</v>
      </c>
      <c r="E55" s="78">
        <v>21295</v>
      </c>
      <c r="F55" s="78">
        <v>1823</v>
      </c>
      <c r="G55" s="76">
        <v>653087</v>
      </c>
      <c r="H55" s="76">
        <v>222783.16</v>
      </c>
      <c r="I55" s="78">
        <v>20398</v>
      </c>
      <c r="J55" s="78">
        <v>408</v>
      </c>
      <c r="K55" s="76">
        <v>651444</v>
      </c>
      <c r="L55" s="76">
        <v>220720.24</v>
      </c>
      <c r="M55" s="78">
        <v>20896</v>
      </c>
      <c r="N55" s="78">
        <v>3634</v>
      </c>
      <c r="O55" s="76">
        <v>779996</v>
      </c>
      <c r="P55" s="76">
        <v>225582.2</v>
      </c>
      <c r="Q55" s="78">
        <v>21292</v>
      </c>
      <c r="R55" s="78">
        <v>1439</v>
      </c>
      <c r="S55" s="76">
        <v>834140</v>
      </c>
      <c r="T55" s="76">
        <v>231002.92</v>
      </c>
      <c r="U55" s="78">
        <v>19919</v>
      </c>
      <c r="V55" s="78">
        <v>1268</v>
      </c>
      <c r="W55" s="76">
        <v>828648</v>
      </c>
      <c r="X55" s="76">
        <v>215460.63</v>
      </c>
      <c r="Y55" s="78">
        <v>21577</v>
      </c>
      <c r="Z55" s="78">
        <v>1125</v>
      </c>
      <c r="AA55" s="76">
        <v>1040924</v>
      </c>
      <c r="AB55" s="76">
        <v>230992.07</v>
      </c>
      <c r="AC55" s="78">
        <v>20419</v>
      </c>
      <c r="AD55" s="78">
        <v>4426</v>
      </c>
      <c r="AE55" s="76">
        <v>1008563</v>
      </c>
      <c r="AF55" s="76">
        <v>218884.52</v>
      </c>
      <c r="AG55" s="78">
        <v>20991</v>
      </c>
      <c r="AH55" s="78">
        <v>1397</v>
      </c>
      <c r="AI55" s="76">
        <v>944031</v>
      </c>
      <c r="AJ55" s="76">
        <v>232797.38</v>
      </c>
      <c r="AK55" s="78">
        <v>21538</v>
      </c>
      <c r="AL55" s="78">
        <v>1108</v>
      </c>
      <c r="AM55" s="76">
        <v>854293</v>
      </c>
      <c r="AN55" s="76">
        <v>243892.25</v>
      </c>
      <c r="AO55" s="78">
        <v>20659</v>
      </c>
      <c r="AP55" s="78">
        <v>1314</v>
      </c>
      <c r="AQ55" s="76">
        <v>791418</v>
      </c>
      <c r="AR55" s="76">
        <v>225351.12</v>
      </c>
      <c r="AS55" s="78">
        <v>21390</v>
      </c>
      <c r="AT55" s="78">
        <v>554</v>
      </c>
      <c r="AU55" s="76">
        <v>724225</v>
      </c>
      <c r="AV55" s="76">
        <v>232281.07</v>
      </c>
      <c r="AW55" s="78">
        <v>21024</v>
      </c>
      <c r="AX55" s="78">
        <v>85</v>
      </c>
      <c r="AY55" s="76">
        <v>686803</v>
      </c>
      <c r="AZ55" s="76">
        <v>230276.65</v>
      </c>
      <c r="BA55" s="74">
        <v>251398</v>
      </c>
      <c r="BB55" s="74">
        <v>18581</v>
      </c>
      <c r="BC55" s="72">
        <v>9797572</v>
      </c>
      <c r="BD55" s="72">
        <v>2730024.21</v>
      </c>
    </row>
    <row r="56" spans="1:56" ht="15" thickBot="1" x14ac:dyDescent="0.35">
      <c r="A56" s="75" t="s">
        <v>13</v>
      </c>
      <c r="B56" s="75" t="s">
        <v>457</v>
      </c>
      <c r="C56" s="213" t="str">
        <f t="shared" si="0"/>
        <v>KU464</v>
      </c>
      <c r="D56" s="75" t="s">
        <v>456</v>
      </c>
      <c r="E56" s="78">
        <v>7781</v>
      </c>
      <c r="F56" s="78">
        <v>632</v>
      </c>
      <c r="G56" s="76">
        <v>498554</v>
      </c>
      <c r="H56" s="76">
        <v>126679.84</v>
      </c>
      <c r="I56" s="78">
        <v>7621</v>
      </c>
      <c r="J56" s="78">
        <v>36</v>
      </c>
      <c r="K56" s="76">
        <v>495485</v>
      </c>
      <c r="L56" s="76">
        <v>128777.53</v>
      </c>
      <c r="M56" s="78">
        <v>7680</v>
      </c>
      <c r="N56" s="78">
        <v>7</v>
      </c>
      <c r="O56" s="76">
        <v>588886</v>
      </c>
      <c r="P56" s="76">
        <v>129188.55</v>
      </c>
      <c r="Q56" s="78">
        <v>7797</v>
      </c>
      <c r="R56" s="78">
        <v>2</v>
      </c>
      <c r="S56" s="76">
        <v>627362</v>
      </c>
      <c r="T56" s="76">
        <v>131902.03</v>
      </c>
      <c r="U56" s="78">
        <v>7455</v>
      </c>
      <c r="V56" s="78">
        <v>95</v>
      </c>
      <c r="W56" s="76">
        <v>636792</v>
      </c>
      <c r="X56" s="76">
        <v>125586.49</v>
      </c>
      <c r="Y56" s="78">
        <v>7897</v>
      </c>
      <c r="Z56" s="78">
        <v>1876</v>
      </c>
      <c r="AA56" s="76">
        <v>786317</v>
      </c>
      <c r="AB56" s="76">
        <v>131029.45</v>
      </c>
      <c r="AC56" s="78">
        <v>7496</v>
      </c>
      <c r="AD56" s="78">
        <v>1</v>
      </c>
      <c r="AE56" s="76">
        <v>768630</v>
      </c>
      <c r="AF56" s="76">
        <v>124500.31</v>
      </c>
      <c r="AG56" s="78">
        <v>7829</v>
      </c>
      <c r="AH56" s="78">
        <v>61</v>
      </c>
      <c r="AI56" s="76">
        <v>729913</v>
      </c>
      <c r="AJ56" s="76">
        <v>135019.53</v>
      </c>
      <c r="AK56" s="78">
        <v>7842</v>
      </c>
      <c r="AL56" s="78">
        <v>819</v>
      </c>
      <c r="AM56" s="76">
        <v>646353</v>
      </c>
      <c r="AN56" s="76">
        <v>138858.4</v>
      </c>
      <c r="AO56" s="78">
        <v>7680</v>
      </c>
      <c r="AP56" s="78">
        <v>1238</v>
      </c>
      <c r="AQ56" s="76">
        <v>612002</v>
      </c>
      <c r="AR56" s="76">
        <v>131167.23000000001</v>
      </c>
      <c r="AS56" s="78">
        <v>7790</v>
      </c>
      <c r="AT56" s="78">
        <v>104</v>
      </c>
      <c r="AU56" s="76">
        <v>547361</v>
      </c>
      <c r="AV56" s="76">
        <v>132040.44</v>
      </c>
      <c r="AW56" s="78">
        <v>7722</v>
      </c>
      <c r="AX56" s="78">
        <v>449</v>
      </c>
      <c r="AY56" s="76">
        <v>520059</v>
      </c>
      <c r="AZ56" s="76">
        <v>132069.82</v>
      </c>
      <c r="BA56" s="74">
        <v>92590</v>
      </c>
      <c r="BB56" s="74">
        <v>5320</v>
      </c>
      <c r="BC56" s="72">
        <v>7457714</v>
      </c>
      <c r="BD56" s="72">
        <v>1566819.6199999999</v>
      </c>
    </row>
    <row r="57" spans="1:56" ht="15" thickBot="1" x14ac:dyDescent="0.35">
      <c r="A57" s="75" t="s">
        <v>13</v>
      </c>
      <c r="B57" s="75" t="s">
        <v>455</v>
      </c>
      <c r="C57" s="213" t="str">
        <f t="shared" si="0"/>
        <v>KU465</v>
      </c>
      <c r="D57" s="75" t="s">
        <v>454</v>
      </c>
      <c r="E57" s="78">
        <v>2752</v>
      </c>
      <c r="F57" s="78">
        <v>267</v>
      </c>
      <c r="G57" s="76">
        <v>339983</v>
      </c>
      <c r="H57" s="76">
        <v>73133.460000000006</v>
      </c>
      <c r="I57" s="78">
        <v>2687</v>
      </c>
      <c r="J57" s="78">
        <v>144</v>
      </c>
      <c r="K57" s="76">
        <v>344836</v>
      </c>
      <c r="L57" s="76">
        <v>73658.44</v>
      </c>
      <c r="M57" s="78">
        <v>2738</v>
      </c>
      <c r="N57" s="78">
        <v>17</v>
      </c>
      <c r="O57" s="76">
        <v>410929</v>
      </c>
      <c r="P57" s="76">
        <v>74271.210000000006</v>
      </c>
      <c r="Q57" s="78">
        <v>2716</v>
      </c>
      <c r="R57" s="78">
        <v>2</v>
      </c>
      <c r="S57" s="76">
        <v>425434</v>
      </c>
      <c r="T57" s="76">
        <v>74480.88</v>
      </c>
      <c r="U57" s="78">
        <v>2644</v>
      </c>
      <c r="V57" s="77"/>
      <c r="W57" s="76">
        <v>444702</v>
      </c>
      <c r="X57" s="76">
        <v>71939.8</v>
      </c>
      <c r="Y57" s="78">
        <v>2743</v>
      </c>
      <c r="Z57" s="77"/>
      <c r="AA57" s="76">
        <v>530922</v>
      </c>
      <c r="AB57" s="76">
        <v>73139.38</v>
      </c>
      <c r="AC57" s="78">
        <v>2684</v>
      </c>
      <c r="AD57" s="78">
        <v>2</v>
      </c>
      <c r="AE57" s="76">
        <v>537919</v>
      </c>
      <c r="AF57" s="76">
        <v>71727.850000000006</v>
      </c>
      <c r="AG57" s="78">
        <v>2694</v>
      </c>
      <c r="AH57" s="78">
        <v>6</v>
      </c>
      <c r="AI57" s="76">
        <v>482440</v>
      </c>
      <c r="AJ57" s="76">
        <v>74703.100000000006</v>
      </c>
      <c r="AK57" s="78">
        <v>2747</v>
      </c>
      <c r="AL57" s="77"/>
      <c r="AM57" s="76">
        <v>435631</v>
      </c>
      <c r="AN57" s="76">
        <v>78487.289999999994</v>
      </c>
      <c r="AO57" s="78">
        <v>2722</v>
      </c>
      <c r="AP57" s="78">
        <v>4</v>
      </c>
      <c r="AQ57" s="76">
        <v>422844</v>
      </c>
      <c r="AR57" s="76">
        <v>74376.850000000006</v>
      </c>
      <c r="AS57" s="78">
        <v>2746</v>
      </c>
      <c r="AT57" s="78">
        <v>6</v>
      </c>
      <c r="AU57" s="76">
        <v>370948</v>
      </c>
      <c r="AV57" s="76">
        <v>74626.179999999993</v>
      </c>
      <c r="AW57" s="78">
        <v>2749</v>
      </c>
      <c r="AX57" s="78">
        <v>1</v>
      </c>
      <c r="AY57" s="76">
        <v>359885</v>
      </c>
      <c r="AZ57" s="76">
        <v>75467.31</v>
      </c>
      <c r="BA57" s="74">
        <v>32622</v>
      </c>
      <c r="BB57" s="74">
        <v>449</v>
      </c>
      <c r="BC57" s="72">
        <v>5106473</v>
      </c>
      <c r="BD57" s="72">
        <v>890011.75</v>
      </c>
    </row>
    <row r="58" spans="1:56" ht="15" thickBot="1" x14ac:dyDescent="0.35">
      <c r="A58" s="75" t="s">
        <v>13</v>
      </c>
      <c r="B58" s="75" t="s">
        <v>453</v>
      </c>
      <c r="C58" s="213" t="str">
        <f t="shared" si="0"/>
        <v>KU466</v>
      </c>
      <c r="D58" s="75" t="s">
        <v>452</v>
      </c>
      <c r="E58" s="78">
        <v>856</v>
      </c>
      <c r="F58" s="77"/>
      <c r="G58" s="76">
        <v>13050</v>
      </c>
      <c r="H58" s="76">
        <v>9464.6299999999992</v>
      </c>
      <c r="I58" s="78">
        <v>856</v>
      </c>
      <c r="J58" s="78">
        <v>1</v>
      </c>
      <c r="K58" s="76">
        <v>13944</v>
      </c>
      <c r="L58" s="76">
        <v>9881.8799999999992</v>
      </c>
      <c r="M58" s="78">
        <v>855</v>
      </c>
      <c r="N58" s="77"/>
      <c r="O58" s="76">
        <v>16505</v>
      </c>
      <c r="P58" s="76">
        <v>9849.09</v>
      </c>
      <c r="Q58" s="78">
        <v>855</v>
      </c>
      <c r="R58" s="77"/>
      <c r="S58" s="76">
        <v>16868</v>
      </c>
      <c r="T58" s="76">
        <v>9922.5</v>
      </c>
      <c r="U58" s="78">
        <v>714</v>
      </c>
      <c r="V58" s="77"/>
      <c r="W58" s="76">
        <v>15006</v>
      </c>
      <c r="X58" s="76">
        <v>8264.93</v>
      </c>
      <c r="Y58" s="78">
        <v>994</v>
      </c>
      <c r="Z58" s="77"/>
      <c r="AA58" s="76">
        <v>24954</v>
      </c>
      <c r="AB58" s="76">
        <v>11475.52</v>
      </c>
      <c r="AC58" s="78">
        <v>713</v>
      </c>
      <c r="AD58" s="77"/>
      <c r="AE58" s="76">
        <v>18583</v>
      </c>
      <c r="AF58" s="76">
        <v>8250.27</v>
      </c>
      <c r="AG58" s="78">
        <v>852</v>
      </c>
      <c r="AH58" s="77"/>
      <c r="AI58" s="76">
        <v>19557</v>
      </c>
      <c r="AJ58" s="76">
        <v>10157.42</v>
      </c>
      <c r="AK58" s="78">
        <v>993</v>
      </c>
      <c r="AL58" s="77"/>
      <c r="AM58" s="76">
        <v>20291</v>
      </c>
      <c r="AN58" s="76">
        <v>11966.64</v>
      </c>
      <c r="AO58" s="78">
        <v>852</v>
      </c>
      <c r="AP58" s="77"/>
      <c r="AQ58" s="76">
        <v>16720</v>
      </c>
      <c r="AR58" s="76">
        <v>9840.4699999999993</v>
      </c>
      <c r="AS58" s="78">
        <v>852</v>
      </c>
      <c r="AT58" s="77"/>
      <c r="AU58" s="76">
        <v>14970</v>
      </c>
      <c r="AV58" s="76">
        <v>9920.24</v>
      </c>
      <c r="AW58" s="78">
        <v>852</v>
      </c>
      <c r="AX58" s="77"/>
      <c r="AY58" s="76">
        <v>14175</v>
      </c>
      <c r="AZ58" s="76">
        <v>10002.44</v>
      </c>
      <c r="BA58" s="74">
        <v>10244</v>
      </c>
      <c r="BB58" s="74">
        <v>1</v>
      </c>
      <c r="BC58" s="72">
        <v>204623</v>
      </c>
      <c r="BD58" s="72">
        <v>118996.03000000001</v>
      </c>
    </row>
    <row r="59" spans="1:56" ht="15" thickBot="1" x14ac:dyDescent="0.35">
      <c r="A59" s="75" t="s">
        <v>13</v>
      </c>
      <c r="B59" s="75" t="s">
        <v>451</v>
      </c>
      <c r="C59" s="213" t="str">
        <f t="shared" si="0"/>
        <v>KU467</v>
      </c>
      <c r="D59" s="75" t="s">
        <v>450</v>
      </c>
      <c r="E59" s="81">
        <v>1407</v>
      </c>
      <c r="F59" s="81">
        <v>388</v>
      </c>
      <c r="G59" s="79">
        <v>30689</v>
      </c>
      <c r="H59" s="79">
        <v>17469.599999999999</v>
      </c>
      <c r="I59" s="81">
        <v>1400</v>
      </c>
      <c r="J59" s="81">
        <v>398</v>
      </c>
      <c r="K59" s="79">
        <v>31221</v>
      </c>
      <c r="L59" s="79">
        <v>18050.849999999999</v>
      </c>
      <c r="M59" s="81">
        <v>1420</v>
      </c>
      <c r="N59" s="81">
        <v>419</v>
      </c>
      <c r="O59" s="79">
        <v>37701</v>
      </c>
      <c r="P59" s="79">
        <v>18322.009999999998</v>
      </c>
      <c r="Q59" s="81">
        <v>1449</v>
      </c>
      <c r="R59" s="81">
        <v>91</v>
      </c>
      <c r="S59" s="79">
        <v>40087</v>
      </c>
      <c r="T59" s="79">
        <v>18754.330000000002</v>
      </c>
      <c r="U59" s="81">
        <v>1319</v>
      </c>
      <c r="V59" s="81">
        <v>522</v>
      </c>
      <c r="W59" s="79">
        <v>38686</v>
      </c>
      <c r="X59" s="79">
        <v>17040.849999999999</v>
      </c>
      <c r="Y59" s="81">
        <v>1586</v>
      </c>
      <c r="Z59" s="80"/>
      <c r="AA59" s="79">
        <v>54020</v>
      </c>
      <c r="AB59" s="79">
        <v>20301.45</v>
      </c>
      <c r="AC59" s="81">
        <v>1338</v>
      </c>
      <c r="AD59" s="80"/>
      <c r="AE59" s="79">
        <v>46424</v>
      </c>
      <c r="AF59" s="79">
        <v>17224.25</v>
      </c>
      <c r="AG59" s="81">
        <v>1458</v>
      </c>
      <c r="AH59" s="80"/>
      <c r="AI59" s="79">
        <v>47358</v>
      </c>
      <c r="AJ59" s="79">
        <v>19318.23</v>
      </c>
      <c r="AK59" s="81">
        <v>1580</v>
      </c>
      <c r="AL59" s="80"/>
      <c r="AM59" s="79">
        <v>44836</v>
      </c>
      <c r="AN59" s="79">
        <v>21268.89</v>
      </c>
      <c r="AO59" s="81">
        <v>1460</v>
      </c>
      <c r="AP59" s="81">
        <v>434</v>
      </c>
      <c r="AQ59" s="79">
        <v>39924</v>
      </c>
      <c r="AR59" s="79">
        <v>18975.2</v>
      </c>
      <c r="AS59" s="81">
        <v>1467</v>
      </c>
      <c r="AT59" s="81">
        <v>110</v>
      </c>
      <c r="AU59" s="79">
        <v>35045</v>
      </c>
      <c r="AV59" s="79">
        <v>19185.29</v>
      </c>
      <c r="AW59" s="81">
        <v>1481</v>
      </c>
      <c r="AX59" s="81">
        <v>39</v>
      </c>
      <c r="AY59" s="79">
        <v>34471</v>
      </c>
      <c r="AZ59" s="79">
        <v>19413.330000000002</v>
      </c>
      <c r="BA59" s="74">
        <v>17365</v>
      </c>
      <c r="BB59" s="74">
        <v>2401</v>
      </c>
      <c r="BC59" s="72">
        <v>480462</v>
      </c>
      <c r="BD59" s="72">
        <v>225324.27999999997</v>
      </c>
    </row>
    <row r="60" spans="1:56" ht="15" thickBot="1" x14ac:dyDescent="0.35">
      <c r="A60" s="75" t="s">
        <v>13</v>
      </c>
      <c r="B60" s="75" t="s">
        <v>449</v>
      </c>
      <c r="C60" s="213" t="str">
        <f t="shared" si="0"/>
        <v>KU468</v>
      </c>
      <c r="D60" s="75" t="s">
        <v>448</v>
      </c>
      <c r="E60" s="78">
        <v>4100</v>
      </c>
      <c r="F60" s="77"/>
      <c r="G60" s="76">
        <v>126712</v>
      </c>
      <c r="H60" s="76">
        <v>52919.97</v>
      </c>
      <c r="I60" s="78">
        <v>4066</v>
      </c>
      <c r="J60" s="78">
        <v>0</v>
      </c>
      <c r="K60" s="76">
        <v>128363</v>
      </c>
      <c r="L60" s="76">
        <v>54606.82</v>
      </c>
      <c r="M60" s="78">
        <v>4079</v>
      </c>
      <c r="N60" s="77"/>
      <c r="O60" s="76">
        <v>150353</v>
      </c>
      <c r="P60" s="76">
        <v>54595.96</v>
      </c>
      <c r="Q60" s="78">
        <v>4098</v>
      </c>
      <c r="R60" s="78">
        <v>563</v>
      </c>
      <c r="S60" s="76">
        <v>162037</v>
      </c>
      <c r="T60" s="76">
        <v>55414.28</v>
      </c>
      <c r="U60" s="78">
        <v>4044</v>
      </c>
      <c r="V60" s="78">
        <v>568</v>
      </c>
      <c r="W60" s="76">
        <v>167715</v>
      </c>
      <c r="X60" s="76">
        <v>54323.71</v>
      </c>
      <c r="Y60" s="78">
        <v>4153</v>
      </c>
      <c r="Z60" s="77"/>
      <c r="AA60" s="76">
        <v>201183</v>
      </c>
      <c r="AB60" s="76">
        <v>55276.37</v>
      </c>
      <c r="AC60" s="78">
        <v>4054</v>
      </c>
      <c r="AD60" s="78">
        <v>0</v>
      </c>
      <c r="AE60" s="76">
        <v>202392</v>
      </c>
      <c r="AF60" s="76">
        <v>54135.77</v>
      </c>
      <c r="AG60" s="78">
        <v>4130</v>
      </c>
      <c r="AH60" s="78">
        <v>3</v>
      </c>
      <c r="AI60" s="76">
        <v>181988</v>
      </c>
      <c r="AJ60" s="76">
        <v>56709.1</v>
      </c>
      <c r="AK60" s="78">
        <v>4149</v>
      </c>
      <c r="AL60" s="78">
        <v>57</v>
      </c>
      <c r="AM60" s="76">
        <v>164741</v>
      </c>
      <c r="AN60" s="76">
        <v>57954.12</v>
      </c>
      <c r="AO60" s="78">
        <v>4153</v>
      </c>
      <c r="AP60" s="78">
        <v>231</v>
      </c>
      <c r="AQ60" s="76">
        <v>168021</v>
      </c>
      <c r="AR60" s="76">
        <v>57361.8</v>
      </c>
      <c r="AS60" s="78">
        <v>4148</v>
      </c>
      <c r="AT60" s="78">
        <v>0</v>
      </c>
      <c r="AU60" s="76">
        <v>138269</v>
      </c>
      <c r="AV60" s="76">
        <v>55417.58</v>
      </c>
      <c r="AW60" s="78">
        <v>4129</v>
      </c>
      <c r="AX60" s="78">
        <v>802</v>
      </c>
      <c r="AY60" s="76">
        <v>134668</v>
      </c>
      <c r="AZ60" s="76">
        <v>56256.04</v>
      </c>
      <c r="BA60" s="74">
        <v>49303</v>
      </c>
      <c r="BB60" s="74">
        <v>2224</v>
      </c>
      <c r="BC60" s="72">
        <v>1926442</v>
      </c>
      <c r="BD60" s="72">
        <v>664971.52000000002</v>
      </c>
    </row>
    <row r="61" spans="1:56" ht="15" thickBot="1" x14ac:dyDescent="0.35">
      <c r="A61" s="75" t="s">
        <v>13</v>
      </c>
      <c r="B61" s="75" t="s">
        <v>447</v>
      </c>
      <c r="C61" s="213" t="str">
        <f t="shared" si="0"/>
        <v>KU469</v>
      </c>
      <c r="D61" s="75" t="s">
        <v>446</v>
      </c>
      <c r="E61" s="78">
        <v>290</v>
      </c>
      <c r="F61" s="77"/>
      <c r="G61" s="76">
        <v>26519</v>
      </c>
      <c r="H61" s="76">
        <v>11408.62</v>
      </c>
      <c r="I61" s="78">
        <v>290</v>
      </c>
      <c r="J61" s="77"/>
      <c r="K61" s="76">
        <v>27833</v>
      </c>
      <c r="L61" s="76">
        <v>11812.71</v>
      </c>
      <c r="M61" s="78">
        <v>290</v>
      </c>
      <c r="N61" s="77"/>
      <c r="O61" s="76">
        <v>32397</v>
      </c>
      <c r="P61" s="76">
        <v>11774.4</v>
      </c>
      <c r="Q61" s="78">
        <v>290</v>
      </c>
      <c r="R61" s="77"/>
      <c r="S61" s="76">
        <v>34027</v>
      </c>
      <c r="T61" s="76">
        <v>11854.07</v>
      </c>
      <c r="U61" s="78">
        <v>290</v>
      </c>
      <c r="V61" s="78">
        <v>0</v>
      </c>
      <c r="W61" s="76">
        <v>36129</v>
      </c>
      <c r="X61" s="76">
        <v>11811.96</v>
      </c>
      <c r="Y61" s="78">
        <v>287</v>
      </c>
      <c r="Z61" s="77"/>
      <c r="AA61" s="76">
        <v>41898</v>
      </c>
      <c r="AB61" s="76">
        <v>11589.59</v>
      </c>
      <c r="AC61" s="78">
        <v>290</v>
      </c>
      <c r="AD61" s="78">
        <v>0</v>
      </c>
      <c r="AE61" s="76">
        <v>42920</v>
      </c>
      <c r="AF61" s="76">
        <v>11747.96</v>
      </c>
      <c r="AG61" s="78">
        <v>288</v>
      </c>
      <c r="AH61" s="77"/>
      <c r="AI61" s="76">
        <v>38069</v>
      </c>
      <c r="AJ61" s="76">
        <v>11975.46</v>
      </c>
      <c r="AK61" s="78">
        <v>281</v>
      </c>
      <c r="AL61" s="77"/>
      <c r="AM61" s="76">
        <v>32985</v>
      </c>
      <c r="AN61" s="76">
        <v>11756.99</v>
      </c>
      <c r="AO61" s="78">
        <v>283</v>
      </c>
      <c r="AP61" s="78">
        <v>12</v>
      </c>
      <c r="AQ61" s="76">
        <v>32966</v>
      </c>
      <c r="AR61" s="76">
        <v>11476.58</v>
      </c>
      <c r="AS61" s="78">
        <v>294</v>
      </c>
      <c r="AT61" s="78">
        <v>4</v>
      </c>
      <c r="AU61" s="76">
        <v>28941</v>
      </c>
      <c r="AV61" s="76">
        <v>11725</v>
      </c>
      <c r="AW61" s="78">
        <v>296</v>
      </c>
      <c r="AX61" s="77"/>
      <c r="AY61" s="76">
        <v>28318</v>
      </c>
      <c r="AZ61" s="76">
        <v>11807.08</v>
      </c>
      <c r="BA61" s="74">
        <v>3469</v>
      </c>
      <c r="BB61" s="74">
        <v>16</v>
      </c>
      <c r="BC61" s="72">
        <v>403002</v>
      </c>
      <c r="BD61" s="72">
        <v>140740.41999999998</v>
      </c>
    </row>
    <row r="62" spans="1:56" ht="15" thickBot="1" x14ac:dyDescent="0.35">
      <c r="A62" s="75" t="s">
        <v>13</v>
      </c>
      <c r="B62" s="75" t="s">
        <v>445</v>
      </c>
      <c r="C62" s="213" t="str">
        <f t="shared" si="0"/>
        <v>KU470</v>
      </c>
      <c r="D62" s="75" t="s">
        <v>444</v>
      </c>
      <c r="E62" s="81">
        <v>58</v>
      </c>
      <c r="F62" s="80"/>
      <c r="G62" s="79">
        <v>16673</v>
      </c>
      <c r="H62" s="79">
        <v>3888.32</v>
      </c>
      <c r="I62" s="81">
        <v>58</v>
      </c>
      <c r="J62" s="80"/>
      <c r="K62" s="79">
        <v>17333</v>
      </c>
      <c r="L62" s="79">
        <v>3967.98</v>
      </c>
      <c r="M62" s="81">
        <v>58</v>
      </c>
      <c r="N62" s="80"/>
      <c r="O62" s="79">
        <v>20055</v>
      </c>
      <c r="P62" s="79">
        <v>3942.91</v>
      </c>
      <c r="Q62" s="81">
        <v>58</v>
      </c>
      <c r="R62" s="80"/>
      <c r="S62" s="79">
        <v>21353</v>
      </c>
      <c r="T62" s="79">
        <v>3968.62</v>
      </c>
      <c r="U62" s="81">
        <v>58</v>
      </c>
      <c r="V62" s="80"/>
      <c r="W62" s="79">
        <v>23124</v>
      </c>
      <c r="X62" s="79">
        <v>3940.13</v>
      </c>
      <c r="Y62" s="81">
        <v>58</v>
      </c>
      <c r="Z62" s="80"/>
      <c r="AA62" s="79">
        <v>26283</v>
      </c>
      <c r="AB62" s="79">
        <v>3857.14</v>
      </c>
      <c r="AC62" s="81">
        <v>55</v>
      </c>
      <c r="AD62" s="80"/>
      <c r="AE62" s="79">
        <v>24751</v>
      </c>
      <c r="AF62" s="79">
        <v>3685.44</v>
      </c>
      <c r="AG62" s="81">
        <v>55</v>
      </c>
      <c r="AH62" s="80"/>
      <c r="AI62" s="79">
        <v>21795</v>
      </c>
      <c r="AJ62" s="79">
        <v>3826.1</v>
      </c>
      <c r="AK62" s="81">
        <v>55</v>
      </c>
      <c r="AL62" s="80"/>
      <c r="AM62" s="79">
        <v>20453</v>
      </c>
      <c r="AN62" s="79">
        <v>3922.37</v>
      </c>
      <c r="AO62" s="81">
        <v>55</v>
      </c>
      <c r="AP62" s="81">
        <v>5</v>
      </c>
      <c r="AQ62" s="79">
        <v>17921</v>
      </c>
      <c r="AR62" s="79">
        <v>3540.19</v>
      </c>
      <c r="AS62" s="81">
        <v>46</v>
      </c>
      <c r="AT62" s="80"/>
      <c r="AU62" s="79">
        <v>13919</v>
      </c>
      <c r="AV62" s="79">
        <v>3118.22</v>
      </c>
      <c r="AW62" s="81">
        <v>46</v>
      </c>
      <c r="AX62" s="80"/>
      <c r="AY62" s="79">
        <v>14004</v>
      </c>
      <c r="AZ62" s="79">
        <v>3149.92</v>
      </c>
      <c r="BA62" s="74">
        <v>660</v>
      </c>
      <c r="BB62" s="74">
        <v>5</v>
      </c>
      <c r="BC62" s="72">
        <v>237664</v>
      </c>
      <c r="BD62" s="72">
        <v>44807.34</v>
      </c>
    </row>
    <row r="63" spans="1:56" ht="15" thickBot="1" x14ac:dyDescent="0.35">
      <c r="A63" s="75" t="s">
        <v>13</v>
      </c>
      <c r="B63" s="75" t="s">
        <v>443</v>
      </c>
      <c r="C63" s="213" t="str">
        <f t="shared" si="0"/>
        <v>KU471</v>
      </c>
      <c r="D63" s="75" t="s">
        <v>442</v>
      </c>
      <c r="E63" s="78">
        <v>3625</v>
      </c>
      <c r="F63" s="78">
        <v>3553</v>
      </c>
      <c r="G63" s="76">
        <v>62403</v>
      </c>
      <c r="H63" s="76">
        <v>41250.1</v>
      </c>
      <c r="I63" s="78">
        <v>3619</v>
      </c>
      <c r="J63" s="77"/>
      <c r="K63" s="76">
        <v>55145</v>
      </c>
      <c r="L63" s="76">
        <v>44003.5</v>
      </c>
      <c r="M63" s="78">
        <v>3619</v>
      </c>
      <c r="N63" s="77"/>
      <c r="O63" s="76">
        <v>65531</v>
      </c>
      <c r="P63" s="76">
        <v>44214.8</v>
      </c>
      <c r="Q63" s="78">
        <v>3619</v>
      </c>
      <c r="R63" s="77"/>
      <c r="S63" s="76">
        <v>70622</v>
      </c>
      <c r="T63" s="76">
        <v>44105.89</v>
      </c>
      <c r="U63" s="78">
        <v>3619</v>
      </c>
      <c r="V63" s="77"/>
      <c r="W63" s="76">
        <v>73268</v>
      </c>
      <c r="X63" s="76">
        <v>44436.84</v>
      </c>
      <c r="Y63" s="78">
        <v>3619</v>
      </c>
      <c r="Z63" s="78">
        <v>7131</v>
      </c>
      <c r="AA63" s="76">
        <v>84767</v>
      </c>
      <c r="AB63" s="76">
        <v>44286.74</v>
      </c>
      <c r="AC63" s="78">
        <v>3616</v>
      </c>
      <c r="AD63" s="77"/>
      <c r="AE63" s="76">
        <v>86407</v>
      </c>
      <c r="AF63" s="76">
        <v>44252.83</v>
      </c>
      <c r="AG63" s="78">
        <v>3616</v>
      </c>
      <c r="AH63" s="77"/>
      <c r="AI63" s="76">
        <v>97216</v>
      </c>
      <c r="AJ63" s="76">
        <v>44279.86</v>
      </c>
      <c r="AK63" s="78">
        <v>3616</v>
      </c>
      <c r="AL63" s="77"/>
      <c r="AM63" s="76">
        <v>76051</v>
      </c>
      <c r="AN63" s="76">
        <v>45861.79</v>
      </c>
      <c r="AO63" s="78">
        <v>3616</v>
      </c>
      <c r="AP63" s="78">
        <v>7085</v>
      </c>
      <c r="AQ63" s="76">
        <v>68688</v>
      </c>
      <c r="AR63" s="76">
        <v>45988.57</v>
      </c>
      <c r="AS63" s="78">
        <v>3611</v>
      </c>
      <c r="AT63" s="77"/>
      <c r="AU63" s="76">
        <v>67228</v>
      </c>
      <c r="AV63" s="76">
        <v>44006.17</v>
      </c>
      <c r="AW63" s="78">
        <v>3611</v>
      </c>
      <c r="AX63" s="77"/>
      <c r="AY63" s="76">
        <v>64470</v>
      </c>
      <c r="AZ63" s="76">
        <v>44384.95</v>
      </c>
      <c r="BA63" s="74">
        <v>43406</v>
      </c>
      <c r="BB63" s="74">
        <v>17769</v>
      </c>
      <c r="BC63" s="72">
        <v>871796</v>
      </c>
      <c r="BD63" s="72">
        <v>531072.03999999992</v>
      </c>
    </row>
    <row r="64" spans="1:56" ht="15" thickBot="1" x14ac:dyDescent="0.35">
      <c r="A64" s="75" t="s">
        <v>13</v>
      </c>
      <c r="B64" s="75" t="s">
        <v>441</v>
      </c>
      <c r="C64" s="213" t="str">
        <f t="shared" si="0"/>
        <v>KU472</v>
      </c>
      <c r="D64" s="75" t="s">
        <v>440</v>
      </c>
      <c r="E64" s="81">
        <v>9004</v>
      </c>
      <c r="F64" s="81">
        <v>8807</v>
      </c>
      <c r="G64" s="79">
        <v>214891</v>
      </c>
      <c r="H64" s="79">
        <v>113635.37</v>
      </c>
      <c r="I64" s="81">
        <v>9032</v>
      </c>
      <c r="J64" s="81">
        <v>26415</v>
      </c>
      <c r="K64" s="79">
        <v>190426</v>
      </c>
      <c r="L64" s="79">
        <v>121385.4</v>
      </c>
      <c r="M64" s="81">
        <v>9030</v>
      </c>
      <c r="N64" s="80"/>
      <c r="O64" s="79">
        <v>226411</v>
      </c>
      <c r="P64" s="79">
        <v>121860.64</v>
      </c>
      <c r="Q64" s="81">
        <v>9030</v>
      </c>
      <c r="R64" s="80"/>
      <c r="S64" s="79">
        <v>243792</v>
      </c>
      <c r="T64" s="79">
        <v>121533.84</v>
      </c>
      <c r="U64" s="81">
        <v>9022</v>
      </c>
      <c r="V64" s="80"/>
      <c r="W64" s="79">
        <v>252745</v>
      </c>
      <c r="X64" s="79">
        <v>122316.89</v>
      </c>
      <c r="Y64" s="81">
        <v>9039</v>
      </c>
      <c r="Z64" s="81">
        <v>8811</v>
      </c>
      <c r="AA64" s="79">
        <v>293544</v>
      </c>
      <c r="AB64" s="79">
        <v>122212.55</v>
      </c>
      <c r="AC64" s="81">
        <v>9029</v>
      </c>
      <c r="AD64" s="80"/>
      <c r="AE64" s="79">
        <v>298512</v>
      </c>
      <c r="AF64" s="79">
        <v>121726.73</v>
      </c>
      <c r="AG64" s="81">
        <v>9037</v>
      </c>
      <c r="AH64" s="80"/>
      <c r="AI64" s="79">
        <v>335765</v>
      </c>
      <c r="AJ64" s="79">
        <v>121953.34</v>
      </c>
      <c r="AK64" s="81">
        <v>9046</v>
      </c>
      <c r="AL64" s="81">
        <v>8812</v>
      </c>
      <c r="AM64" s="79">
        <v>262966</v>
      </c>
      <c r="AN64" s="79">
        <v>127208.6</v>
      </c>
      <c r="AO64" s="81">
        <v>9046</v>
      </c>
      <c r="AP64" s="80"/>
      <c r="AQ64" s="79">
        <v>238063</v>
      </c>
      <c r="AR64" s="79">
        <v>127841.04</v>
      </c>
      <c r="AS64" s="81">
        <v>9046</v>
      </c>
      <c r="AT64" s="80"/>
      <c r="AU64" s="79">
        <v>232739</v>
      </c>
      <c r="AV64" s="79">
        <v>122357.91</v>
      </c>
      <c r="AW64" s="81">
        <v>9046</v>
      </c>
      <c r="AX64" s="81">
        <v>8816</v>
      </c>
      <c r="AY64" s="79">
        <v>223327</v>
      </c>
      <c r="AZ64" s="79">
        <v>123278.5</v>
      </c>
      <c r="BA64" s="74">
        <v>108407</v>
      </c>
      <c r="BB64" s="74">
        <v>61661</v>
      </c>
      <c r="BC64" s="72">
        <v>3013181</v>
      </c>
      <c r="BD64" s="72">
        <v>1467310.81</v>
      </c>
    </row>
    <row r="65" spans="1:56" ht="15" thickBot="1" x14ac:dyDescent="0.35">
      <c r="A65" s="75" t="s">
        <v>13</v>
      </c>
      <c r="B65" s="75" t="s">
        <v>439</v>
      </c>
      <c r="C65" s="213" t="str">
        <f t="shared" si="0"/>
        <v>KU473</v>
      </c>
      <c r="D65" s="75" t="s">
        <v>438</v>
      </c>
      <c r="E65" s="78">
        <v>3460</v>
      </c>
      <c r="F65" s="78">
        <v>3673</v>
      </c>
      <c r="G65" s="76">
        <v>111772</v>
      </c>
      <c r="H65" s="76">
        <v>47598.45</v>
      </c>
      <c r="I65" s="78">
        <v>3339</v>
      </c>
      <c r="J65" s="78">
        <v>5501</v>
      </c>
      <c r="K65" s="76">
        <v>102973</v>
      </c>
      <c r="L65" s="76">
        <v>48049</v>
      </c>
      <c r="M65" s="78">
        <v>3403</v>
      </c>
      <c r="N65" s="78">
        <v>30</v>
      </c>
      <c r="O65" s="76">
        <v>123755</v>
      </c>
      <c r="P65" s="76">
        <v>49038.69</v>
      </c>
      <c r="Q65" s="78">
        <v>3467</v>
      </c>
      <c r="R65" s="78">
        <v>6</v>
      </c>
      <c r="S65" s="76">
        <v>134453</v>
      </c>
      <c r="T65" s="76">
        <v>50038.86</v>
      </c>
      <c r="U65" s="78">
        <v>3317</v>
      </c>
      <c r="V65" s="78">
        <v>1829</v>
      </c>
      <c r="W65" s="76">
        <v>134111</v>
      </c>
      <c r="X65" s="76">
        <v>47911.839999999997</v>
      </c>
      <c r="Y65" s="78">
        <v>3421</v>
      </c>
      <c r="Z65" s="78">
        <v>1831</v>
      </c>
      <c r="AA65" s="76">
        <v>160942</v>
      </c>
      <c r="AB65" s="76">
        <v>49247.18</v>
      </c>
      <c r="AC65" s="78">
        <v>3380</v>
      </c>
      <c r="AD65" s="78">
        <v>1832</v>
      </c>
      <c r="AE65" s="76">
        <v>161348</v>
      </c>
      <c r="AF65" s="76">
        <v>48551.33</v>
      </c>
      <c r="AG65" s="78">
        <v>3404</v>
      </c>
      <c r="AH65" s="77"/>
      <c r="AI65" s="76">
        <v>166085</v>
      </c>
      <c r="AJ65" s="76">
        <v>49519.01</v>
      </c>
      <c r="AK65" s="78">
        <v>3429</v>
      </c>
      <c r="AL65" s="77"/>
      <c r="AM65" s="76">
        <v>137771</v>
      </c>
      <c r="AN65" s="76">
        <v>51084.93</v>
      </c>
      <c r="AO65" s="78">
        <v>3405</v>
      </c>
      <c r="AP65" s="78">
        <v>3664</v>
      </c>
      <c r="AQ65" s="76">
        <v>127050</v>
      </c>
      <c r="AR65" s="76">
        <v>49491.15</v>
      </c>
      <c r="AS65" s="78">
        <v>3314</v>
      </c>
      <c r="AT65" s="78">
        <v>1831</v>
      </c>
      <c r="AU65" s="76">
        <v>115709</v>
      </c>
      <c r="AV65" s="76">
        <v>47522.38</v>
      </c>
      <c r="AW65" s="78">
        <v>3311</v>
      </c>
      <c r="AX65" s="78">
        <v>3696</v>
      </c>
      <c r="AY65" s="76">
        <v>112112</v>
      </c>
      <c r="AZ65" s="76">
        <v>47864.29</v>
      </c>
      <c r="BA65" s="74">
        <v>40650</v>
      </c>
      <c r="BB65" s="74">
        <v>23893</v>
      </c>
      <c r="BC65" s="72">
        <v>1588081</v>
      </c>
      <c r="BD65" s="72">
        <v>585917.1100000001</v>
      </c>
    </row>
    <row r="66" spans="1:56" ht="15" thickBot="1" x14ac:dyDescent="0.35">
      <c r="A66" s="75" t="s">
        <v>13</v>
      </c>
      <c r="B66" s="75" t="s">
        <v>437</v>
      </c>
      <c r="C66" s="213" t="str">
        <f t="shared" si="0"/>
        <v>KU474</v>
      </c>
      <c r="D66" s="75" t="s">
        <v>436</v>
      </c>
      <c r="E66" s="81">
        <v>5228</v>
      </c>
      <c r="F66" s="81">
        <v>216</v>
      </c>
      <c r="G66" s="79">
        <v>349954</v>
      </c>
      <c r="H66" s="79">
        <v>101028.08</v>
      </c>
      <c r="I66" s="81">
        <v>5189</v>
      </c>
      <c r="J66" s="81">
        <v>2723</v>
      </c>
      <c r="K66" s="79">
        <v>327992</v>
      </c>
      <c r="L66" s="79">
        <v>105700.43</v>
      </c>
      <c r="M66" s="81">
        <v>5208</v>
      </c>
      <c r="N66" s="81">
        <v>2728</v>
      </c>
      <c r="O66" s="79">
        <v>388661</v>
      </c>
      <c r="P66" s="79">
        <v>105917.52</v>
      </c>
      <c r="Q66" s="81">
        <v>5229</v>
      </c>
      <c r="R66" s="80"/>
      <c r="S66" s="79">
        <v>418547</v>
      </c>
      <c r="T66" s="79">
        <v>106292.2</v>
      </c>
      <c r="U66" s="81">
        <v>5167</v>
      </c>
      <c r="V66" s="81">
        <v>441</v>
      </c>
      <c r="W66" s="79">
        <v>431840</v>
      </c>
      <c r="X66" s="79">
        <v>105348.4</v>
      </c>
      <c r="Y66" s="81">
        <v>5465</v>
      </c>
      <c r="Z66" s="80"/>
      <c r="AA66" s="79">
        <v>533749</v>
      </c>
      <c r="AB66" s="79">
        <v>110313.63</v>
      </c>
      <c r="AC66" s="81">
        <v>4889</v>
      </c>
      <c r="AD66" s="81">
        <v>13976</v>
      </c>
      <c r="AE66" s="79">
        <v>485530</v>
      </c>
      <c r="AF66" s="79">
        <v>99025.18</v>
      </c>
      <c r="AG66" s="81">
        <v>5374</v>
      </c>
      <c r="AH66" s="80"/>
      <c r="AI66" s="79">
        <v>545675</v>
      </c>
      <c r="AJ66" s="79">
        <v>109680.81</v>
      </c>
      <c r="AK66" s="81">
        <v>5338</v>
      </c>
      <c r="AL66" s="81">
        <v>10</v>
      </c>
      <c r="AM66" s="79">
        <v>444563</v>
      </c>
      <c r="AN66" s="79">
        <v>112411.49</v>
      </c>
      <c r="AO66" s="81">
        <v>5300</v>
      </c>
      <c r="AP66" s="81">
        <v>5946</v>
      </c>
      <c r="AQ66" s="79">
        <v>416817</v>
      </c>
      <c r="AR66" s="79">
        <v>110760.16</v>
      </c>
      <c r="AS66" s="81">
        <v>5350</v>
      </c>
      <c r="AT66" s="81">
        <v>3307</v>
      </c>
      <c r="AU66" s="79">
        <v>388796</v>
      </c>
      <c r="AV66" s="79">
        <v>108656.18</v>
      </c>
      <c r="AW66" s="81">
        <v>5349</v>
      </c>
      <c r="AX66" s="81">
        <v>2855</v>
      </c>
      <c r="AY66" s="79">
        <v>373609</v>
      </c>
      <c r="AZ66" s="79">
        <v>109098.71</v>
      </c>
      <c r="BA66" s="74">
        <v>63086</v>
      </c>
      <c r="BB66" s="74">
        <v>32202</v>
      </c>
      <c r="BC66" s="72">
        <v>5105733</v>
      </c>
      <c r="BD66" s="72">
        <v>1284232.7899999998</v>
      </c>
    </row>
    <row r="67" spans="1:56" ht="15" thickBot="1" x14ac:dyDescent="0.35">
      <c r="A67" s="75" t="s">
        <v>13</v>
      </c>
      <c r="B67" s="75" t="s">
        <v>435</v>
      </c>
      <c r="C67" s="213" t="str">
        <f t="shared" si="0"/>
        <v>KU475</v>
      </c>
      <c r="D67" s="75" t="s">
        <v>434</v>
      </c>
      <c r="E67" s="78">
        <v>530</v>
      </c>
      <c r="F67" s="78">
        <v>169</v>
      </c>
      <c r="G67" s="76">
        <v>68473</v>
      </c>
      <c r="H67" s="76">
        <v>14419.5</v>
      </c>
      <c r="I67" s="78">
        <v>528</v>
      </c>
      <c r="J67" s="77"/>
      <c r="K67" s="76">
        <v>64668</v>
      </c>
      <c r="L67" s="76">
        <v>15132.02</v>
      </c>
      <c r="M67" s="78">
        <v>529</v>
      </c>
      <c r="N67" s="77"/>
      <c r="O67" s="76">
        <v>76972</v>
      </c>
      <c r="P67" s="76">
        <v>15104.92</v>
      </c>
      <c r="Q67" s="78">
        <v>530</v>
      </c>
      <c r="R67" s="77"/>
      <c r="S67" s="76">
        <v>82033</v>
      </c>
      <c r="T67" s="76">
        <v>15128.58</v>
      </c>
      <c r="U67" s="78">
        <v>527</v>
      </c>
      <c r="V67" s="77"/>
      <c r="W67" s="76">
        <v>85238</v>
      </c>
      <c r="X67" s="76">
        <v>15064.05</v>
      </c>
      <c r="Y67" s="78">
        <v>532</v>
      </c>
      <c r="Z67" s="77"/>
      <c r="AA67" s="76">
        <v>100705</v>
      </c>
      <c r="AB67" s="76">
        <v>14993.68</v>
      </c>
      <c r="AC67" s="78">
        <v>526</v>
      </c>
      <c r="AD67" s="78">
        <v>526</v>
      </c>
      <c r="AE67" s="76">
        <v>102144</v>
      </c>
      <c r="AF67" s="76">
        <v>14844.18</v>
      </c>
      <c r="AG67" s="78">
        <v>541</v>
      </c>
      <c r="AH67" s="77"/>
      <c r="AI67" s="76">
        <v>106705</v>
      </c>
      <c r="AJ67" s="76">
        <v>15357.99</v>
      </c>
      <c r="AK67" s="78">
        <v>504</v>
      </c>
      <c r="AL67" s="77"/>
      <c r="AM67" s="76">
        <v>82078</v>
      </c>
      <c r="AN67" s="76">
        <v>14825.33</v>
      </c>
      <c r="AO67" s="78">
        <v>579</v>
      </c>
      <c r="AP67" s="78">
        <v>412</v>
      </c>
      <c r="AQ67" s="76">
        <v>89961</v>
      </c>
      <c r="AR67" s="76">
        <v>17056.849999999999</v>
      </c>
      <c r="AS67" s="78">
        <v>551</v>
      </c>
      <c r="AT67" s="78">
        <v>191</v>
      </c>
      <c r="AU67" s="76">
        <v>78312</v>
      </c>
      <c r="AV67" s="76">
        <v>15669.08</v>
      </c>
      <c r="AW67" s="78">
        <v>553</v>
      </c>
      <c r="AX67" s="77"/>
      <c r="AY67" s="76">
        <v>74481</v>
      </c>
      <c r="AZ67" s="76">
        <v>15742.09</v>
      </c>
      <c r="BA67" s="74">
        <v>6430</v>
      </c>
      <c r="BB67" s="74">
        <v>1298</v>
      </c>
      <c r="BC67" s="72">
        <v>1011770</v>
      </c>
      <c r="BD67" s="72">
        <v>183338.27</v>
      </c>
    </row>
    <row r="68" spans="1:56" ht="15" thickBot="1" x14ac:dyDescent="0.35">
      <c r="A68" s="75" t="s">
        <v>13</v>
      </c>
      <c r="B68" s="75" t="s">
        <v>433</v>
      </c>
      <c r="C68" s="213" t="str">
        <f t="shared" si="0"/>
        <v>KU476</v>
      </c>
      <c r="D68" s="75" t="s">
        <v>432</v>
      </c>
      <c r="E68" s="78">
        <v>4709</v>
      </c>
      <c r="F68" s="78">
        <v>4649</v>
      </c>
      <c r="G68" s="76">
        <v>112199</v>
      </c>
      <c r="H68" s="76">
        <v>85870.74</v>
      </c>
      <c r="I68" s="78">
        <v>4714</v>
      </c>
      <c r="J68" s="78">
        <v>9319</v>
      </c>
      <c r="K68" s="76">
        <v>99489</v>
      </c>
      <c r="L68" s="76">
        <v>91850.22</v>
      </c>
      <c r="M68" s="78">
        <v>4731</v>
      </c>
      <c r="N68" s="78">
        <v>9402</v>
      </c>
      <c r="O68" s="76">
        <v>119214</v>
      </c>
      <c r="P68" s="76">
        <v>93136.66</v>
      </c>
      <c r="Q68" s="78">
        <v>4771</v>
      </c>
      <c r="R68" s="78">
        <v>4710</v>
      </c>
      <c r="S68" s="76">
        <v>128860</v>
      </c>
      <c r="T68" s="76">
        <v>93163.94</v>
      </c>
      <c r="U68" s="78">
        <v>65</v>
      </c>
      <c r="V68" s="78">
        <v>0</v>
      </c>
      <c r="W68" s="76">
        <v>1818</v>
      </c>
      <c r="X68" s="76">
        <v>1320.11</v>
      </c>
      <c r="Y68" s="78">
        <v>65</v>
      </c>
      <c r="Z68" s="77"/>
      <c r="AA68" s="76">
        <v>2051</v>
      </c>
      <c r="AB68" s="76">
        <v>1317.98</v>
      </c>
      <c r="AC68" s="78">
        <v>14268</v>
      </c>
      <c r="AD68" s="78">
        <v>14213</v>
      </c>
      <c r="AE68" s="76">
        <v>445367</v>
      </c>
      <c r="AF68" s="76">
        <v>280391.93</v>
      </c>
      <c r="AG68" s="78">
        <v>4824</v>
      </c>
      <c r="AH68" s="77"/>
      <c r="AI68" s="76">
        <v>179299</v>
      </c>
      <c r="AJ68" s="76">
        <v>94737.83</v>
      </c>
      <c r="AK68" s="78">
        <v>4824</v>
      </c>
      <c r="AL68" s="77"/>
      <c r="AM68" s="76">
        <v>140407</v>
      </c>
      <c r="AN68" s="76">
        <v>97489.85</v>
      </c>
      <c r="AO68" s="78">
        <v>4824</v>
      </c>
      <c r="AP68" s="78">
        <v>4760</v>
      </c>
      <c r="AQ68" s="76">
        <v>126884</v>
      </c>
      <c r="AR68" s="76">
        <v>97731.07</v>
      </c>
      <c r="AS68" s="78">
        <v>4825</v>
      </c>
      <c r="AT68" s="78">
        <v>4769</v>
      </c>
      <c r="AU68" s="76">
        <v>124400</v>
      </c>
      <c r="AV68" s="76">
        <v>93750.38</v>
      </c>
      <c r="AW68" s="78">
        <v>4834</v>
      </c>
      <c r="AX68" s="78">
        <v>4772</v>
      </c>
      <c r="AY68" s="76">
        <v>119378</v>
      </c>
      <c r="AZ68" s="76">
        <v>94670.28</v>
      </c>
      <c r="BA68" s="74">
        <v>57454</v>
      </c>
      <c r="BB68" s="74">
        <v>56594</v>
      </c>
      <c r="BC68" s="72">
        <v>1599366</v>
      </c>
      <c r="BD68" s="72">
        <v>1125430.9899999998</v>
      </c>
    </row>
    <row r="69" spans="1:56" ht="15" thickBot="1" x14ac:dyDescent="0.35">
      <c r="A69" s="75" t="s">
        <v>13</v>
      </c>
      <c r="B69" s="75" t="s">
        <v>431</v>
      </c>
      <c r="C69" s="213" t="str">
        <f t="shared" si="0"/>
        <v>KU477</v>
      </c>
      <c r="D69" s="75" t="s">
        <v>430</v>
      </c>
      <c r="E69" s="81">
        <v>1046</v>
      </c>
      <c r="F69" s="80"/>
      <c r="G69" s="79">
        <v>33254</v>
      </c>
      <c r="H69" s="79">
        <v>24720.05</v>
      </c>
      <c r="I69" s="81">
        <v>1057</v>
      </c>
      <c r="J69" s="80"/>
      <c r="K69" s="79">
        <v>32598</v>
      </c>
      <c r="L69" s="79">
        <v>26273.61</v>
      </c>
      <c r="M69" s="81">
        <v>1054</v>
      </c>
      <c r="N69" s="80"/>
      <c r="O69" s="79">
        <v>38117</v>
      </c>
      <c r="P69" s="79">
        <v>26324.01</v>
      </c>
      <c r="Q69" s="81">
        <v>1054</v>
      </c>
      <c r="R69" s="80"/>
      <c r="S69" s="79">
        <v>40334</v>
      </c>
      <c r="T69" s="79">
        <v>26371.82</v>
      </c>
      <c r="U69" s="81">
        <v>1078</v>
      </c>
      <c r="V69" s="80"/>
      <c r="W69" s="79">
        <v>43214</v>
      </c>
      <c r="X69" s="79">
        <v>26565.32</v>
      </c>
      <c r="Y69" s="81">
        <v>1046</v>
      </c>
      <c r="Z69" s="80"/>
      <c r="AA69" s="79">
        <v>49152</v>
      </c>
      <c r="AB69" s="79">
        <v>26203.34</v>
      </c>
      <c r="AC69" s="81">
        <v>1046</v>
      </c>
      <c r="AD69" s="80"/>
      <c r="AE69" s="79">
        <v>50807</v>
      </c>
      <c r="AF69" s="79">
        <v>26214.38</v>
      </c>
      <c r="AG69" s="81">
        <v>1046</v>
      </c>
      <c r="AH69" s="80"/>
      <c r="AI69" s="79">
        <v>50094</v>
      </c>
      <c r="AJ69" s="79">
        <v>26465.200000000001</v>
      </c>
      <c r="AK69" s="81">
        <v>1046</v>
      </c>
      <c r="AL69" s="80"/>
      <c r="AM69" s="79">
        <v>42193</v>
      </c>
      <c r="AN69" s="79">
        <v>26768.400000000001</v>
      </c>
      <c r="AO69" s="81">
        <v>1048</v>
      </c>
      <c r="AP69" s="80"/>
      <c r="AQ69" s="79">
        <v>39764</v>
      </c>
      <c r="AR69" s="79">
        <v>26254.5</v>
      </c>
      <c r="AS69" s="81">
        <v>1061</v>
      </c>
      <c r="AT69" s="81">
        <v>5</v>
      </c>
      <c r="AU69" s="79">
        <v>36941</v>
      </c>
      <c r="AV69" s="79">
        <v>25915.21</v>
      </c>
      <c r="AW69" s="81">
        <v>1069</v>
      </c>
      <c r="AX69" s="81">
        <v>11</v>
      </c>
      <c r="AY69" s="79">
        <v>35560</v>
      </c>
      <c r="AZ69" s="79">
        <v>26609.31</v>
      </c>
      <c r="BA69" s="74">
        <v>12651</v>
      </c>
      <c r="BB69" s="74">
        <v>16</v>
      </c>
      <c r="BC69" s="72">
        <v>492028</v>
      </c>
      <c r="BD69" s="72">
        <v>314685.15000000002</v>
      </c>
    </row>
    <row r="70" spans="1:56" ht="15" thickBot="1" x14ac:dyDescent="0.35">
      <c r="A70" s="75" t="s">
        <v>13</v>
      </c>
      <c r="B70" s="75" t="s">
        <v>429</v>
      </c>
      <c r="C70" s="213" t="str">
        <f t="shared" si="0"/>
        <v>KU478</v>
      </c>
      <c r="D70" s="75" t="s">
        <v>428</v>
      </c>
      <c r="E70" s="78">
        <v>1463</v>
      </c>
      <c r="F70" s="77"/>
      <c r="G70" s="76">
        <v>95486</v>
      </c>
      <c r="H70" s="76">
        <v>44452.23</v>
      </c>
      <c r="I70" s="78">
        <v>1426</v>
      </c>
      <c r="J70" s="78">
        <v>510</v>
      </c>
      <c r="K70" s="76">
        <v>92111</v>
      </c>
      <c r="L70" s="76">
        <v>45482.1</v>
      </c>
      <c r="M70" s="78">
        <v>1444</v>
      </c>
      <c r="N70" s="78">
        <v>0</v>
      </c>
      <c r="O70" s="76">
        <v>108298</v>
      </c>
      <c r="P70" s="76">
        <v>46075.5</v>
      </c>
      <c r="Q70" s="78">
        <v>1453</v>
      </c>
      <c r="R70" s="78">
        <v>0</v>
      </c>
      <c r="S70" s="76">
        <v>114683</v>
      </c>
      <c r="T70" s="76">
        <v>46148.14</v>
      </c>
      <c r="U70" s="78">
        <v>1393</v>
      </c>
      <c r="V70" s="77"/>
      <c r="W70" s="76">
        <v>118315</v>
      </c>
      <c r="X70" s="76">
        <v>44631.32</v>
      </c>
      <c r="Y70" s="78">
        <v>1419</v>
      </c>
      <c r="Z70" s="78">
        <v>8</v>
      </c>
      <c r="AA70" s="76">
        <v>137838</v>
      </c>
      <c r="AB70" s="76">
        <v>45112.75</v>
      </c>
      <c r="AC70" s="78">
        <v>1427</v>
      </c>
      <c r="AD70" s="77"/>
      <c r="AE70" s="76">
        <v>146152</v>
      </c>
      <c r="AF70" s="76">
        <v>46040.87</v>
      </c>
      <c r="AG70" s="78">
        <v>1421</v>
      </c>
      <c r="AH70" s="78">
        <v>0</v>
      </c>
      <c r="AI70" s="76">
        <v>138811</v>
      </c>
      <c r="AJ70" s="76">
        <v>45837.17</v>
      </c>
      <c r="AK70" s="78">
        <v>1435</v>
      </c>
      <c r="AL70" s="77"/>
      <c r="AM70" s="76">
        <v>118297</v>
      </c>
      <c r="AN70" s="76">
        <v>46955.97</v>
      </c>
      <c r="AO70" s="78">
        <v>1425</v>
      </c>
      <c r="AP70" s="77"/>
      <c r="AQ70" s="76">
        <v>112732</v>
      </c>
      <c r="AR70" s="76">
        <v>45749.94</v>
      </c>
      <c r="AS70" s="78">
        <v>1423</v>
      </c>
      <c r="AT70" s="77"/>
      <c r="AU70" s="76">
        <v>102683</v>
      </c>
      <c r="AV70" s="76">
        <v>45025.48</v>
      </c>
      <c r="AW70" s="78">
        <v>1428</v>
      </c>
      <c r="AX70" s="77"/>
      <c r="AY70" s="76">
        <v>98179</v>
      </c>
      <c r="AZ70" s="76">
        <v>45555.17</v>
      </c>
      <c r="BA70" s="74">
        <v>17157</v>
      </c>
      <c r="BB70" s="74">
        <v>518</v>
      </c>
      <c r="BC70" s="72">
        <v>1383585</v>
      </c>
      <c r="BD70" s="72">
        <v>547066.64</v>
      </c>
    </row>
    <row r="71" spans="1:56" ht="15" thickBot="1" x14ac:dyDescent="0.35">
      <c r="A71" s="75" t="s">
        <v>13</v>
      </c>
      <c r="B71" s="75" t="s">
        <v>427</v>
      </c>
      <c r="C71" s="213" t="str">
        <f t="shared" si="0"/>
        <v>KU479</v>
      </c>
      <c r="D71" s="75" t="s">
        <v>426</v>
      </c>
      <c r="E71" s="81">
        <v>945</v>
      </c>
      <c r="F71" s="80"/>
      <c r="G71" s="79">
        <v>117150</v>
      </c>
      <c r="H71" s="79">
        <v>36798.39</v>
      </c>
      <c r="I71" s="81">
        <v>929</v>
      </c>
      <c r="J71" s="80"/>
      <c r="K71" s="79">
        <v>120238</v>
      </c>
      <c r="L71" s="79">
        <v>37022.07</v>
      </c>
      <c r="M71" s="81">
        <v>937</v>
      </c>
      <c r="N71" s="80"/>
      <c r="O71" s="79">
        <v>141599</v>
      </c>
      <c r="P71" s="79">
        <v>37316.14</v>
      </c>
      <c r="Q71" s="81">
        <v>941</v>
      </c>
      <c r="R71" s="81">
        <v>4</v>
      </c>
      <c r="S71" s="79">
        <v>147309</v>
      </c>
      <c r="T71" s="79">
        <v>37716.31</v>
      </c>
      <c r="U71" s="81">
        <v>926</v>
      </c>
      <c r="V71" s="80"/>
      <c r="W71" s="79">
        <v>156234</v>
      </c>
      <c r="X71" s="79">
        <v>36973.339999999997</v>
      </c>
      <c r="Y71" s="81">
        <v>938</v>
      </c>
      <c r="Z71" s="81">
        <v>76</v>
      </c>
      <c r="AA71" s="79">
        <v>181627</v>
      </c>
      <c r="AB71" s="79">
        <v>36959.99</v>
      </c>
      <c r="AC71" s="81">
        <v>924</v>
      </c>
      <c r="AD71" s="80"/>
      <c r="AE71" s="79">
        <v>185327</v>
      </c>
      <c r="AF71" s="79">
        <v>36528.800000000003</v>
      </c>
      <c r="AG71" s="81">
        <v>951</v>
      </c>
      <c r="AH71" s="80"/>
      <c r="AI71" s="79">
        <v>169559</v>
      </c>
      <c r="AJ71" s="79">
        <v>38380.339999999997</v>
      </c>
      <c r="AK71" s="81">
        <v>940</v>
      </c>
      <c r="AL71" s="81">
        <v>0</v>
      </c>
      <c r="AM71" s="79">
        <v>148362</v>
      </c>
      <c r="AN71" s="79">
        <v>38633.279999999999</v>
      </c>
      <c r="AO71" s="81">
        <v>935</v>
      </c>
      <c r="AP71" s="80"/>
      <c r="AQ71" s="79">
        <v>144359</v>
      </c>
      <c r="AR71" s="79">
        <v>37035.69</v>
      </c>
      <c r="AS71" s="81">
        <v>935</v>
      </c>
      <c r="AT71" s="80"/>
      <c r="AU71" s="79">
        <v>126550</v>
      </c>
      <c r="AV71" s="79">
        <v>36984.75</v>
      </c>
      <c r="AW71" s="81">
        <v>935</v>
      </c>
      <c r="AX71" s="80"/>
      <c r="AY71" s="79">
        <v>123021</v>
      </c>
      <c r="AZ71" s="79">
        <v>37321.96</v>
      </c>
      <c r="BA71" s="74">
        <v>11236</v>
      </c>
      <c r="BB71" s="74">
        <v>80</v>
      </c>
      <c r="BC71" s="72">
        <v>1761335</v>
      </c>
      <c r="BD71" s="72">
        <v>447671.06000000006</v>
      </c>
    </row>
    <row r="72" spans="1:56" ht="15" thickBot="1" x14ac:dyDescent="0.35">
      <c r="A72" s="75" t="s">
        <v>13</v>
      </c>
      <c r="B72" s="75" t="s">
        <v>425</v>
      </c>
      <c r="C72" s="213" t="str">
        <f t="shared" si="0"/>
        <v>KU2CU</v>
      </c>
      <c r="D72" s="75" t="s">
        <v>424</v>
      </c>
      <c r="E72" s="78">
        <v>0</v>
      </c>
      <c r="F72" s="77"/>
      <c r="G72" s="76">
        <v>156</v>
      </c>
      <c r="H72" s="76">
        <v>0</v>
      </c>
      <c r="I72" s="78">
        <v>0</v>
      </c>
      <c r="J72" s="77"/>
      <c r="K72" s="76">
        <v>162</v>
      </c>
      <c r="L72" s="76">
        <v>0</v>
      </c>
      <c r="M72" s="78">
        <v>0</v>
      </c>
      <c r="N72" s="77"/>
      <c r="O72" s="76">
        <v>196</v>
      </c>
      <c r="P72" s="76">
        <v>0</v>
      </c>
      <c r="Q72" s="78">
        <v>0</v>
      </c>
      <c r="R72" s="77"/>
      <c r="S72" s="76">
        <v>194</v>
      </c>
      <c r="T72" s="76">
        <v>0</v>
      </c>
      <c r="U72" s="78">
        <v>0</v>
      </c>
      <c r="V72" s="77"/>
      <c r="W72" s="76">
        <v>209</v>
      </c>
      <c r="X72" s="76">
        <v>0</v>
      </c>
      <c r="Y72" s="78">
        <v>0</v>
      </c>
      <c r="Z72" s="77"/>
      <c r="AA72" s="76">
        <v>235</v>
      </c>
      <c r="AB72" s="76">
        <v>0</v>
      </c>
      <c r="AC72" s="78">
        <v>0</v>
      </c>
      <c r="AD72" s="77"/>
      <c r="AE72" s="76">
        <v>263</v>
      </c>
      <c r="AF72" s="76">
        <v>0</v>
      </c>
      <c r="AG72" s="78">
        <v>0</v>
      </c>
      <c r="AH72" s="77"/>
      <c r="AI72" s="76">
        <v>211</v>
      </c>
      <c r="AJ72" s="76">
        <v>0</v>
      </c>
      <c r="AK72" s="78">
        <v>0</v>
      </c>
      <c r="AL72" s="77"/>
      <c r="AM72" s="76">
        <v>189</v>
      </c>
      <c r="AN72" s="76">
        <v>0</v>
      </c>
      <c r="AO72" s="78">
        <v>0</v>
      </c>
      <c r="AP72" s="77"/>
      <c r="AQ72" s="76">
        <v>196</v>
      </c>
      <c r="AR72" s="76">
        <v>0</v>
      </c>
      <c r="AS72" s="78">
        <v>0</v>
      </c>
      <c r="AT72" s="77"/>
      <c r="AU72" s="76">
        <v>36</v>
      </c>
      <c r="AV72" s="76">
        <v>0</v>
      </c>
      <c r="AW72" s="77"/>
      <c r="AX72" s="77"/>
      <c r="AY72" s="77"/>
      <c r="AZ72" s="77"/>
      <c r="BA72" s="74">
        <v>0</v>
      </c>
      <c r="BB72" s="73"/>
      <c r="BC72" s="72">
        <v>2047</v>
      </c>
      <c r="BD72" s="72">
        <v>0</v>
      </c>
    </row>
    <row r="73" spans="1:56" ht="15" thickBot="1" x14ac:dyDescent="0.35">
      <c r="A73" s="75" t="s">
        <v>13</v>
      </c>
      <c r="B73" s="75" t="s">
        <v>423</v>
      </c>
      <c r="C73" s="213" t="str">
        <f t="shared" si="0"/>
        <v>KU487</v>
      </c>
      <c r="D73" s="75" t="s">
        <v>422</v>
      </c>
      <c r="E73" s="81">
        <v>10927</v>
      </c>
      <c r="F73" s="81">
        <v>9</v>
      </c>
      <c r="G73" s="79">
        <v>327654</v>
      </c>
      <c r="H73" s="79">
        <v>113364.09</v>
      </c>
      <c r="I73" s="81">
        <v>10955</v>
      </c>
      <c r="J73" s="81">
        <v>15</v>
      </c>
      <c r="K73" s="79">
        <v>355884</v>
      </c>
      <c r="L73" s="79">
        <v>117682.93</v>
      </c>
      <c r="M73" s="81">
        <v>11083</v>
      </c>
      <c r="N73" s="81">
        <v>20</v>
      </c>
      <c r="O73" s="79">
        <v>415596</v>
      </c>
      <c r="P73" s="79">
        <v>117460.79</v>
      </c>
      <c r="Q73" s="81">
        <v>11146</v>
      </c>
      <c r="R73" s="81">
        <v>19</v>
      </c>
      <c r="S73" s="79">
        <v>431489</v>
      </c>
      <c r="T73" s="79">
        <v>118914.81</v>
      </c>
      <c r="U73" s="81">
        <v>10847</v>
      </c>
      <c r="V73" s="81">
        <v>18</v>
      </c>
      <c r="W73" s="79">
        <v>457513</v>
      </c>
      <c r="X73" s="79">
        <v>115536.21</v>
      </c>
      <c r="Y73" s="81">
        <v>11236</v>
      </c>
      <c r="Z73" s="81">
        <v>16</v>
      </c>
      <c r="AA73" s="79">
        <v>542758</v>
      </c>
      <c r="AB73" s="79">
        <v>118351.51</v>
      </c>
      <c r="AC73" s="81">
        <v>10134</v>
      </c>
      <c r="AD73" s="81">
        <v>5</v>
      </c>
      <c r="AE73" s="79">
        <v>549543</v>
      </c>
      <c r="AF73" s="79">
        <v>116890.55</v>
      </c>
      <c r="AG73" s="81">
        <v>11181</v>
      </c>
      <c r="AH73" s="81">
        <v>14</v>
      </c>
      <c r="AI73" s="79">
        <v>482160</v>
      </c>
      <c r="AJ73" s="79">
        <v>122753.73</v>
      </c>
      <c r="AK73" s="81">
        <v>11165</v>
      </c>
      <c r="AL73" s="81">
        <v>16</v>
      </c>
      <c r="AM73" s="79">
        <v>433481</v>
      </c>
      <c r="AN73" s="79">
        <v>124734.02</v>
      </c>
      <c r="AO73" s="81">
        <v>11156</v>
      </c>
      <c r="AP73" s="81">
        <v>7</v>
      </c>
      <c r="AQ73" s="79">
        <v>424465</v>
      </c>
      <c r="AR73" s="79">
        <v>118644.06</v>
      </c>
      <c r="AS73" s="81">
        <v>11185</v>
      </c>
      <c r="AT73" s="81">
        <v>13</v>
      </c>
      <c r="AU73" s="79">
        <v>367972</v>
      </c>
      <c r="AV73" s="79">
        <v>119538.92</v>
      </c>
      <c r="AW73" s="81">
        <v>11173</v>
      </c>
      <c r="AX73" s="81">
        <v>-3</v>
      </c>
      <c r="AY73" s="79">
        <v>360076</v>
      </c>
      <c r="AZ73" s="79">
        <v>120436.89</v>
      </c>
      <c r="BA73" s="74">
        <v>132188</v>
      </c>
      <c r="BB73" s="74">
        <v>149</v>
      </c>
      <c r="BC73" s="72">
        <v>5148591</v>
      </c>
      <c r="BD73" s="72">
        <v>1424308.5099999998</v>
      </c>
    </row>
    <row r="74" spans="1:56" ht="15" thickBot="1" x14ac:dyDescent="0.35">
      <c r="A74" s="75" t="s">
        <v>13</v>
      </c>
      <c r="B74" s="75" t="s">
        <v>421</v>
      </c>
      <c r="C74" s="213" t="str">
        <f t="shared" si="0"/>
        <v>KU488</v>
      </c>
      <c r="D74" s="75" t="s">
        <v>420</v>
      </c>
      <c r="E74" s="81">
        <v>6677</v>
      </c>
      <c r="F74" s="81">
        <v>5</v>
      </c>
      <c r="G74" s="79">
        <v>417590</v>
      </c>
      <c r="H74" s="79">
        <v>106672.54</v>
      </c>
      <c r="I74" s="81">
        <v>6659</v>
      </c>
      <c r="J74" s="81">
        <v>0</v>
      </c>
      <c r="K74" s="79">
        <v>443788</v>
      </c>
      <c r="L74" s="79">
        <v>109636.73</v>
      </c>
      <c r="M74" s="81">
        <v>6663</v>
      </c>
      <c r="N74" s="81">
        <v>15</v>
      </c>
      <c r="O74" s="79">
        <v>518040</v>
      </c>
      <c r="P74" s="79">
        <v>109238.1</v>
      </c>
      <c r="Q74" s="81">
        <v>6632</v>
      </c>
      <c r="R74" s="81">
        <v>4</v>
      </c>
      <c r="S74" s="79">
        <v>532731</v>
      </c>
      <c r="T74" s="79">
        <v>109433.28</v>
      </c>
      <c r="U74" s="81">
        <v>6577</v>
      </c>
      <c r="V74" s="81">
        <v>8</v>
      </c>
      <c r="W74" s="79">
        <v>573122</v>
      </c>
      <c r="X74" s="79">
        <v>107776.27</v>
      </c>
      <c r="Y74" s="81">
        <v>6713</v>
      </c>
      <c r="Z74" s="81">
        <v>25</v>
      </c>
      <c r="AA74" s="79">
        <v>669770</v>
      </c>
      <c r="AB74" s="79">
        <v>108165.38</v>
      </c>
      <c r="AC74" s="81">
        <v>6573</v>
      </c>
      <c r="AD74" s="81">
        <v>3</v>
      </c>
      <c r="AE74" s="79">
        <v>677912</v>
      </c>
      <c r="AF74" s="79">
        <v>106510.25</v>
      </c>
      <c r="AG74" s="81">
        <v>6710</v>
      </c>
      <c r="AH74" s="81">
        <v>22</v>
      </c>
      <c r="AI74" s="79">
        <v>604068</v>
      </c>
      <c r="AJ74" s="79">
        <v>113729.48</v>
      </c>
      <c r="AK74" s="81">
        <v>6750</v>
      </c>
      <c r="AL74" s="81">
        <v>1</v>
      </c>
      <c r="AM74" s="79">
        <v>545439</v>
      </c>
      <c r="AN74" s="79">
        <v>116936.53</v>
      </c>
      <c r="AO74" s="81">
        <v>6669</v>
      </c>
      <c r="AP74" s="81">
        <v>1</v>
      </c>
      <c r="AQ74" s="79">
        <v>527705</v>
      </c>
      <c r="AR74" s="79">
        <v>110062.18</v>
      </c>
      <c r="AS74" s="81">
        <v>6646</v>
      </c>
      <c r="AT74" s="81">
        <v>5</v>
      </c>
      <c r="AU74" s="79">
        <v>454587</v>
      </c>
      <c r="AV74" s="79">
        <v>109939.35</v>
      </c>
      <c r="AW74" s="81">
        <v>6675</v>
      </c>
      <c r="AX74" s="81">
        <v>11</v>
      </c>
      <c r="AY74" s="79">
        <v>447470</v>
      </c>
      <c r="AZ74" s="79">
        <v>111470.22</v>
      </c>
      <c r="BA74" s="74">
        <v>79944</v>
      </c>
      <c r="BB74" s="74">
        <v>100</v>
      </c>
      <c r="BC74" s="72">
        <v>6412222</v>
      </c>
      <c r="BD74" s="72">
        <v>1319570.31</v>
      </c>
    </row>
    <row r="75" spans="1:56" ht="15" thickBot="1" x14ac:dyDescent="0.35">
      <c r="A75" s="75" t="s">
        <v>13</v>
      </c>
      <c r="B75" s="75" t="s">
        <v>419</v>
      </c>
      <c r="C75" s="213" t="str">
        <f t="shared" si="0"/>
        <v>KU489</v>
      </c>
      <c r="D75" s="75" t="s">
        <v>418</v>
      </c>
      <c r="E75" s="81">
        <v>8578</v>
      </c>
      <c r="F75" s="81">
        <v>1</v>
      </c>
      <c r="G75" s="79">
        <v>1048268</v>
      </c>
      <c r="H75" s="79">
        <v>197578.97</v>
      </c>
      <c r="I75" s="81">
        <v>8076</v>
      </c>
      <c r="J75" s="81">
        <v>88</v>
      </c>
      <c r="K75" s="79">
        <v>1062540</v>
      </c>
      <c r="L75" s="79">
        <v>196441.81</v>
      </c>
      <c r="M75" s="81">
        <v>8477</v>
      </c>
      <c r="N75" s="81">
        <v>32</v>
      </c>
      <c r="O75" s="79">
        <v>1280953</v>
      </c>
      <c r="P75" s="79">
        <v>199756.73</v>
      </c>
      <c r="Q75" s="81">
        <v>8622</v>
      </c>
      <c r="R75" s="81">
        <v>17</v>
      </c>
      <c r="S75" s="79">
        <v>1344871</v>
      </c>
      <c r="T75" s="79">
        <v>203348.13</v>
      </c>
      <c r="U75" s="81">
        <v>8415</v>
      </c>
      <c r="V75" s="81">
        <v>31</v>
      </c>
      <c r="W75" s="79">
        <v>1426982</v>
      </c>
      <c r="X75" s="79">
        <v>196993.76</v>
      </c>
      <c r="Y75" s="81">
        <v>8452</v>
      </c>
      <c r="Z75" s="81">
        <v>47</v>
      </c>
      <c r="AA75" s="79">
        <v>1661304</v>
      </c>
      <c r="AB75" s="79">
        <v>195767.75</v>
      </c>
      <c r="AC75" s="81">
        <v>8457</v>
      </c>
      <c r="AD75" s="81">
        <v>15</v>
      </c>
      <c r="AE75" s="79">
        <v>1696641</v>
      </c>
      <c r="AF75" s="79">
        <v>193775.64</v>
      </c>
      <c r="AG75" s="81">
        <v>8630</v>
      </c>
      <c r="AH75" s="81">
        <v>35</v>
      </c>
      <c r="AI75" s="79">
        <v>1524455</v>
      </c>
      <c r="AJ75" s="79">
        <v>208008.77</v>
      </c>
      <c r="AK75" s="81">
        <v>8615</v>
      </c>
      <c r="AL75" s="81">
        <v>6</v>
      </c>
      <c r="AM75" s="79">
        <v>1362354</v>
      </c>
      <c r="AN75" s="79">
        <v>214385.08</v>
      </c>
      <c r="AO75" s="81">
        <v>8647</v>
      </c>
      <c r="AP75" s="81">
        <v>18</v>
      </c>
      <c r="AQ75" s="79">
        <v>1338245</v>
      </c>
      <c r="AR75" s="79">
        <v>203988.76</v>
      </c>
      <c r="AS75" s="81">
        <v>8690</v>
      </c>
      <c r="AT75" s="81">
        <v>9</v>
      </c>
      <c r="AU75" s="79">
        <v>1162396</v>
      </c>
      <c r="AV75" s="79">
        <v>203964.84</v>
      </c>
      <c r="AW75" s="81">
        <v>8626</v>
      </c>
      <c r="AX75" s="81">
        <v>21</v>
      </c>
      <c r="AY75" s="79">
        <v>1122594</v>
      </c>
      <c r="AZ75" s="79">
        <v>204931.3</v>
      </c>
      <c r="BA75" s="74">
        <v>102285</v>
      </c>
      <c r="BB75" s="74">
        <v>320</v>
      </c>
      <c r="BC75" s="72">
        <v>16031603</v>
      </c>
      <c r="BD75" s="72">
        <v>2418941.54</v>
      </c>
    </row>
    <row r="76" spans="1:56" ht="15" thickBot="1" x14ac:dyDescent="0.35">
      <c r="A76" s="75" t="s">
        <v>13</v>
      </c>
      <c r="B76" s="75" t="s">
        <v>417</v>
      </c>
      <c r="C76" s="213" t="str">
        <f t="shared" si="0"/>
        <v>KU490</v>
      </c>
      <c r="D76" s="75" t="s">
        <v>416</v>
      </c>
      <c r="E76" s="81">
        <v>59</v>
      </c>
      <c r="F76" s="80"/>
      <c r="G76" s="79">
        <v>2229</v>
      </c>
      <c r="H76" s="79">
        <v>1085.04</v>
      </c>
      <c r="I76" s="81">
        <v>59</v>
      </c>
      <c r="J76" s="80"/>
      <c r="K76" s="79">
        <v>2560</v>
      </c>
      <c r="L76" s="79">
        <v>1124.18</v>
      </c>
      <c r="M76" s="81">
        <v>59</v>
      </c>
      <c r="N76" s="80"/>
      <c r="O76" s="79">
        <v>2754</v>
      </c>
      <c r="P76" s="79">
        <v>1123.01</v>
      </c>
      <c r="Q76" s="81">
        <v>59</v>
      </c>
      <c r="R76" s="80"/>
      <c r="S76" s="79">
        <v>2943</v>
      </c>
      <c r="T76" s="79">
        <v>1130.4000000000001</v>
      </c>
      <c r="U76" s="81">
        <v>59</v>
      </c>
      <c r="V76" s="80"/>
      <c r="W76" s="79">
        <v>3259</v>
      </c>
      <c r="X76" s="79">
        <v>1126.83</v>
      </c>
      <c r="Y76" s="81">
        <v>59</v>
      </c>
      <c r="Z76" s="80"/>
      <c r="AA76" s="79">
        <v>3575</v>
      </c>
      <c r="AB76" s="79">
        <v>1119.55</v>
      </c>
      <c r="AC76" s="81">
        <v>59</v>
      </c>
      <c r="AD76" s="80"/>
      <c r="AE76" s="79">
        <v>3862</v>
      </c>
      <c r="AF76" s="79">
        <v>1121.03</v>
      </c>
      <c r="AG76" s="81">
        <v>59</v>
      </c>
      <c r="AH76" s="80"/>
      <c r="AI76" s="79">
        <v>3271</v>
      </c>
      <c r="AJ76" s="79">
        <v>1170.02</v>
      </c>
      <c r="AK76" s="81">
        <v>59</v>
      </c>
      <c r="AL76" s="80"/>
      <c r="AM76" s="79">
        <v>2939</v>
      </c>
      <c r="AN76" s="79">
        <v>1183.57</v>
      </c>
      <c r="AO76" s="81">
        <v>59</v>
      </c>
      <c r="AP76" s="80"/>
      <c r="AQ76" s="79">
        <v>3003</v>
      </c>
      <c r="AR76" s="79">
        <v>1132.6500000000001</v>
      </c>
      <c r="AS76" s="81">
        <v>59</v>
      </c>
      <c r="AT76" s="80"/>
      <c r="AU76" s="79">
        <v>2535</v>
      </c>
      <c r="AV76" s="79">
        <v>1138.47</v>
      </c>
      <c r="AW76" s="81">
        <v>59</v>
      </c>
      <c r="AX76" s="80"/>
      <c r="AY76" s="79">
        <v>2423</v>
      </c>
      <c r="AZ76" s="79">
        <v>1148.49</v>
      </c>
      <c r="BA76" s="74">
        <v>708</v>
      </c>
      <c r="BB76" s="73"/>
      <c r="BC76" s="72">
        <v>35353</v>
      </c>
      <c r="BD76" s="72">
        <v>13603.24</v>
      </c>
    </row>
    <row r="77" spans="1:56" ht="15" thickBot="1" x14ac:dyDescent="0.35">
      <c r="A77" s="75" t="s">
        <v>13</v>
      </c>
      <c r="B77" s="75" t="s">
        <v>415</v>
      </c>
      <c r="C77" s="213" t="str">
        <f t="shared" si="0"/>
        <v>KU491</v>
      </c>
      <c r="D77" s="75" t="s">
        <v>414</v>
      </c>
      <c r="E77" s="78">
        <v>312</v>
      </c>
      <c r="F77" s="77"/>
      <c r="G77" s="76">
        <v>28738</v>
      </c>
      <c r="H77" s="76">
        <v>8249.9599999999991</v>
      </c>
      <c r="I77" s="78">
        <v>310</v>
      </c>
      <c r="J77" s="77"/>
      <c r="K77" s="76">
        <v>29583</v>
      </c>
      <c r="L77" s="76">
        <v>8436.42</v>
      </c>
      <c r="M77" s="78">
        <v>310</v>
      </c>
      <c r="N77" s="78">
        <v>0</v>
      </c>
      <c r="O77" s="76">
        <v>33306</v>
      </c>
      <c r="P77" s="76">
        <v>7961.58</v>
      </c>
      <c r="Q77" s="78">
        <v>283</v>
      </c>
      <c r="R77" s="77"/>
      <c r="S77" s="76">
        <v>32687</v>
      </c>
      <c r="T77" s="76">
        <v>7741.35</v>
      </c>
      <c r="U77" s="78">
        <v>287</v>
      </c>
      <c r="V77" s="77"/>
      <c r="W77" s="76">
        <v>36619</v>
      </c>
      <c r="X77" s="76">
        <v>7797.16</v>
      </c>
      <c r="Y77" s="78">
        <v>293</v>
      </c>
      <c r="Z77" s="77"/>
      <c r="AA77" s="76">
        <v>42565</v>
      </c>
      <c r="AB77" s="76">
        <v>7868.75</v>
      </c>
      <c r="AC77" s="78">
        <v>293</v>
      </c>
      <c r="AD77" s="78">
        <v>13</v>
      </c>
      <c r="AE77" s="76">
        <v>44130</v>
      </c>
      <c r="AF77" s="76">
        <v>7909.44</v>
      </c>
      <c r="AG77" s="78">
        <v>293</v>
      </c>
      <c r="AH77" s="77"/>
      <c r="AI77" s="76">
        <v>38228</v>
      </c>
      <c r="AJ77" s="76">
        <v>8205.2000000000007</v>
      </c>
      <c r="AK77" s="78">
        <v>302</v>
      </c>
      <c r="AL77" s="77"/>
      <c r="AM77" s="76">
        <v>35014</v>
      </c>
      <c r="AN77" s="76">
        <v>8515.1299999999992</v>
      </c>
      <c r="AO77" s="78">
        <v>295</v>
      </c>
      <c r="AP77" s="77"/>
      <c r="AQ77" s="76">
        <v>33612</v>
      </c>
      <c r="AR77" s="76">
        <v>7913.93</v>
      </c>
      <c r="AS77" s="78">
        <v>305</v>
      </c>
      <c r="AT77" s="77"/>
      <c r="AU77" s="76">
        <v>29022</v>
      </c>
      <c r="AV77" s="76">
        <v>8019.26</v>
      </c>
      <c r="AW77" s="78">
        <v>298</v>
      </c>
      <c r="AX77" s="77"/>
      <c r="AY77" s="76">
        <v>28322</v>
      </c>
      <c r="AZ77" s="76">
        <v>8119.27</v>
      </c>
      <c r="BA77" s="74">
        <v>3581</v>
      </c>
      <c r="BB77" s="74">
        <v>13</v>
      </c>
      <c r="BC77" s="72">
        <v>411826</v>
      </c>
      <c r="BD77" s="72">
        <v>96737.450000000012</v>
      </c>
    </row>
    <row r="78" spans="1:56" ht="15" thickBot="1" x14ac:dyDescent="0.35">
      <c r="A78" s="75" t="s">
        <v>13</v>
      </c>
      <c r="B78" s="75" t="s">
        <v>413</v>
      </c>
      <c r="C78" s="213" t="str">
        <f t="shared" si="0"/>
        <v>KU492</v>
      </c>
      <c r="D78" s="75" t="s">
        <v>412</v>
      </c>
      <c r="E78" s="81">
        <v>2</v>
      </c>
      <c r="F78" s="80"/>
      <c r="G78" s="79">
        <v>42</v>
      </c>
      <c r="H78" s="79">
        <v>36.9</v>
      </c>
      <c r="I78" s="81">
        <v>2</v>
      </c>
      <c r="J78" s="80"/>
      <c r="K78" s="79">
        <v>47</v>
      </c>
      <c r="L78" s="79">
        <v>37.19</v>
      </c>
      <c r="M78" s="81">
        <v>2</v>
      </c>
      <c r="N78" s="80"/>
      <c r="O78" s="79">
        <v>57</v>
      </c>
      <c r="P78" s="79">
        <v>37.090000000000003</v>
      </c>
      <c r="Q78" s="81">
        <v>2</v>
      </c>
      <c r="R78" s="80"/>
      <c r="S78" s="79">
        <v>56</v>
      </c>
      <c r="T78" s="79">
        <v>37.380000000000003</v>
      </c>
      <c r="U78" s="81">
        <v>2</v>
      </c>
      <c r="V78" s="80"/>
      <c r="W78" s="79">
        <v>60</v>
      </c>
      <c r="X78" s="79">
        <v>37.299999999999997</v>
      </c>
      <c r="Y78" s="81">
        <v>2</v>
      </c>
      <c r="Z78" s="80"/>
      <c r="AA78" s="79">
        <v>70</v>
      </c>
      <c r="AB78" s="79">
        <v>37.229999999999997</v>
      </c>
      <c r="AC78" s="81">
        <v>2</v>
      </c>
      <c r="AD78" s="80"/>
      <c r="AE78" s="79">
        <v>74</v>
      </c>
      <c r="AF78" s="79">
        <v>37.29</v>
      </c>
      <c r="AG78" s="81">
        <v>2</v>
      </c>
      <c r="AH78" s="80"/>
      <c r="AI78" s="79">
        <v>58</v>
      </c>
      <c r="AJ78" s="79">
        <v>38.479999999999997</v>
      </c>
      <c r="AK78" s="81">
        <v>2</v>
      </c>
      <c r="AL78" s="80"/>
      <c r="AM78" s="79">
        <v>53</v>
      </c>
      <c r="AN78" s="79">
        <v>38.590000000000003</v>
      </c>
      <c r="AO78" s="81">
        <v>2</v>
      </c>
      <c r="AP78" s="80"/>
      <c r="AQ78" s="79">
        <v>52</v>
      </c>
      <c r="AR78" s="79">
        <v>36.950000000000003</v>
      </c>
      <c r="AS78" s="81">
        <v>2</v>
      </c>
      <c r="AT78" s="80"/>
      <c r="AU78" s="79">
        <v>45</v>
      </c>
      <c r="AV78" s="79">
        <v>37.31</v>
      </c>
      <c r="AW78" s="81">
        <v>2</v>
      </c>
      <c r="AX78" s="80"/>
      <c r="AY78" s="79">
        <v>48</v>
      </c>
      <c r="AZ78" s="79">
        <v>37.57</v>
      </c>
      <c r="BA78" s="74">
        <v>24</v>
      </c>
      <c r="BB78" s="73"/>
      <c r="BC78" s="72">
        <v>662</v>
      </c>
      <c r="BD78" s="72">
        <v>449.28000000000003</v>
      </c>
    </row>
    <row r="79" spans="1:56" ht="15" thickBot="1" x14ac:dyDescent="0.35">
      <c r="A79" s="75" t="s">
        <v>13</v>
      </c>
      <c r="B79" s="75" t="s">
        <v>411</v>
      </c>
      <c r="C79" s="213" t="str">
        <f t="shared" si="0"/>
        <v>KU493</v>
      </c>
      <c r="D79" s="75" t="s">
        <v>410</v>
      </c>
      <c r="E79" s="78">
        <v>43</v>
      </c>
      <c r="F79" s="77"/>
      <c r="G79" s="76">
        <v>12289</v>
      </c>
      <c r="H79" s="76">
        <v>2339.42</v>
      </c>
      <c r="I79" s="78">
        <v>43</v>
      </c>
      <c r="J79" s="77"/>
      <c r="K79" s="76">
        <v>12744</v>
      </c>
      <c r="L79" s="76">
        <v>2407.16</v>
      </c>
      <c r="M79" s="78">
        <v>43</v>
      </c>
      <c r="N79" s="77"/>
      <c r="O79" s="76">
        <v>15208</v>
      </c>
      <c r="P79" s="76">
        <v>2387.98</v>
      </c>
      <c r="Q79" s="78">
        <v>43</v>
      </c>
      <c r="R79" s="77"/>
      <c r="S79" s="76">
        <v>15219</v>
      </c>
      <c r="T79" s="76">
        <v>2406.1</v>
      </c>
      <c r="U79" s="78">
        <v>43</v>
      </c>
      <c r="V79" s="77"/>
      <c r="W79" s="76">
        <v>16613</v>
      </c>
      <c r="X79" s="76">
        <v>2385.35</v>
      </c>
      <c r="Y79" s="78">
        <v>43</v>
      </c>
      <c r="Z79" s="77"/>
      <c r="AA79" s="76">
        <v>18965</v>
      </c>
      <c r="AB79" s="76">
        <v>2323.1799999999998</v>
      </c>
      <c r="AC79" s="78">
        <v>43</v>
      </c>
      <c r="AD79" s="77"/>
      <c r="AE79" s="76">
        <v>20055</v>
      </c>
      <c r="AF79" s="76">
        <v>2335.2399999999998</v>
      </c>
      <c r="AG79" s="78">
        <v>43</v>
      </c>
      <c r="AH79" s="77"/>
      <c r="AI79" s="76">
        <v>17335</v>
      </c>
      <c r="AJ79" s="76">
        <v>2439.0700000000002</v>
      </c>
      <c r="AK79" s="78">
        <v>43</v>
      </c>
      <c r="AL79" s="77"/>
      <c r="AM79" s="76">
        <v>15513</v>
      </c>
      <c r="AN79" s="76">
        <v>2519.16</v>
      </c>
      <c r="AO79" s="78">
        <v>43</v>
      </c>
      <c r="AP79" s="77"/>
      <c r="AQ79" s="76">
        <v>15711</v>
      </c>
      <c r="AR79" s="76">
        <v>2379.86</v>
      </c>
      <c r="AS79" s="78">
        <v>43</v>
      </c>
      <c r="AT79" s="77"/>
      <c r="AU79" s="76">
        <v>13085</v>
      </c>
      <c r="AV79" s="76">
        <v>2383.1</v>
      </c>
      <c r="AW79" s="78">
        <v>43</v>
      </c>
      <c r="AX79" s="77"/>
      <c r="AY79" s="76">
        <v>12665</v>
      </c>
      <c r="AZ79" s="76">
        <v>2412.6</v>
      </c>
      <c r="BA79" s="74">
        <v>516</v>
      </c>
      <c r="BB79" s="73"/>
      <c r="BC79" s="72">
        <v>185402</v>
      </c>
      <c r="BD79" s="72">
        <v>28718.219999999998</v>
      </c>
    </row>
    <row r="80" spans="1:56" ht="15" thickBot="1" x14ac:dyDescent="0.35">
      <c r="A80" s="75" t="s">
        <v>13</v>
      </c>
      <c r="B80" s="75" t="s">
        <v>409</v>
      </c>
      <c r="C80" s="213" t="str">
        <f t="shared" si="0"/>
        <v>KU494</v>
      </c>
      <c r="D80" s="75" t="s">
        <v>408</v>
      </c>
      <c r="E80" s="81">
        <v>182</v>
      </c>
      <c r="F80" s="80"/>
      <c r="G80" s="79">
        <v>6996</v>
      </c>
      <c r="H80" s="79">
        <v>6064.54</v>
      </c>
      <c r="I80" s="81">
        <v>182</v>
      </c>
      <c r="J80" s="80"/>
      <c r="K80" s="79">
        <v>7659</v>
      </c>
      <c r="L80" s="79">
        <v>6319.95</v>
      </c>
      <c r="M80" s="81">
        <v>182</v>
      </c>
      <c r="N80" s="80"/>
      <c r="O80" s="79">
        <v>8280</v>
      </c>
      <c r="P80" s="79">
        <v>6348.25</v>
      </c>
      <c r="Q80" s="81">
        <v>182</v>
      </c>
      <c r="R80" s="80"/>
      <c r="S80" s="79">
        <v>9031</v>
      </c>
      <c r="T80" s="79">
        <v>6380.46</v>
      </c>
      <c r="U80" s="81">
        <v>182</v>
      </c>
      <c r="V80" s="80"/>
      <c r="W80" s="79">
        <v>9793</v>
      </c>
      <c r="X80" s="79">
        <v>6382.19</v>
      </c>
      <c r="Y80" s="81">
        <v>182</v>
      </c>
      <c r="Z80" s="80"/>
      <c r="AA80" s="79">
        <v>10849</v>
      </c>
      <c r="AB80" s="79">
        <v>6373.8</v>
      </c>
      <c r="AC80" s="81">
        <v>182</v>
      </c>
      <c r="AD80" s="80"/>
      <c r="AE80" s="79">
        <v>11715</v>
      </c>
      <c r="AF80" s="79">
        <v>6377.94</v>
      </c>
      <c r="AG80" s="81">
        <v>184</v>
      </c>
      <c r="AH80" s="80"/>
      <c r="AI80" s="79">
        <v>10739</v>
      </c>
      <c r="AJ80" s="79">
        <v>6569.33</v>
      </c>
      <c r="AK80" s="81">
        <v>184</v>
      </c>
      <c r="AL80" s="80"/>
      <c r="AM80" s="79">
        <v>9364</v>
      </c>
      <c r="AN80" s="79">
        <v>6624.57</v>
      </c>
      <c r="AO80" s="81">
        <v>184</v>
      </c>
      <c r="AP80" s="80"/>
      <c r="AQ80" s="79">
        <v>9253</v>
      </c>
      <c r="AR80" s="79">
        <v>6411.31</v>
      </c>
      <c r="AS80" s="81">
        <v>184</v>
      </c>
      <c r="AT80" s="80"/>
      <c r="AU80" s="79">
        <v>8210</v>
      </c>
      <c r="AV80" s="79">
        <v>6394.22</v>
      </c>
      <c r="AW80" s="81">
        <v>184</v>
      </c>
      <c r="AX80" s="80"/>
      <c r="AY80" s="79">
        <v>7630</v>
      </c>
      <c r="AZ80" s="79">
        <v>6447.52</v>
      </c>
      <c r="BA80" s="74">
        <v>2194</v>
      </c>
      <c r="BB80" s="73"/>
      <c r="BC80" s="72">
        <v>109519</v>
      </c>
      <c r="BD80" s="72">
        <v>76694.080000000002</v>
      </c>
    </row>
    <row r="81" spans="1:57" ht="15" thickBot="1" x14ac:dyDescent="0.35">
      <c r="A81" s="75" t="s">
        <v>13</v>
      </c>
      <c r="B81" s="75" t="s">
        <v>407</v>
      </c>
      <c r="C81" s="213" t="str">
        <f t="shared" si="0"/>
        <v>KU495</v>
      </c>
      <c r="D81" s="75" t="s">
        <v>406</v>
      </c>
      <c r="E81" s="78">
        <v>669</v>
      </c>
      <c r="F81" s="78">
        <v>1</v>
      </c>
      <c r="G81" s="76">
        <v>61452</v>
      </c>
      <c r="H81" s="76">
        <v>28104.46</v>
      </c>
      <c r="I81" s="78">
        <v>681</v>
      </c>
      <c r="J81" s="77"/>
      <c r="K81" s="76">
        <v>66192</v>
      </c>
      <c r="L81" s="76">
        <v>29285.18</v>
      </c>
      <c r="M81" s="78">
        <v>675</v>
      </c>
      <c r="N81" s="77"/>
      <c r="O81" s="76">
        <v>77302</v>
      </c>
      <c r="P81" s="76">
        <v>29051.38</v>
      </c>
      <c r="Q81" s="78">
        <v>675</v>
      </c>
      <c r="R81" s="77"/>
      <c r="S81" s="76">
        <v>78334</v>
      </c>
      <c r="T81" s="76">
        <v>29269.9</v>
      </c>
      <c r="U81" s="78">
        <v>678</v>
      </c>
      <c r="V81" s="78">
        <v>7</v>
      </c>
      <c r="W81" s="76">
        <v>84740</v>
      </c>
      <c r="X81" s="76">
        <v>28719.14</v>
      </c>
      <c r="Y81" s="78">
        <v>676</v>
      </c>
      <c r="Z81" s="77"/>
      <c r="AA81" s="76">
        <v>98182</v>
      </c>
      <c r="AB81" s="76">
        <v>29136.25</v>
      </c>
      <c r="AC81" s="78">
        <v>652</v>
      </c>
      <c r="AD81" s="77"/>
      <c r="AE81" s="76">
        <v>98424</v>
      </c>
      <c r="AF81" s="76">
        <v>28006.23</v>
      </c>
      <c r="AG81" s="78">
        <v>683</v>
      </c>
      <c r="AH81" s="77"/>
      <c r="AI81" s="76">
        <v>88150</v>
      </c>
      <c r="AJ81" s="76">
        <v>30094.82</v>
      </c>
      <c r="AK81" s="78">
        <v>699</v>
      </c>
      <c r="AL81" s="77"/>
      <c r="AM81" s="76">
        <v>80654</v>
      </c>
      <c r="AN81" s="76">
        <v>30800.95</v>
      </c>
      <c r="AO81" s="78">
        <v>712</v>
      </c>
      <c r="AP81" s="78">
        <v>4</v>
      </c>
      <c r="AQ81" s="76">
        <v>81527</v>
      </c>
      <c r="AR81" s="76">
        <v>30117.74</v>
      </c>
      <c r="AS81" s="78">
        <v>704</v>
      </c>
      <c r="AT81" s="77"/>
      <c r="AU81" s="76">
        <v>66790</v>
      </c>
      <c r="AV81" s="76">
        <v>29092.31</v>
      </c>
      <c r="AW81" s="78">
        <v>685</v>
      </c>
      <c r="AX81" s="78">
        <v>9</v>
      </c>
      <c r="AY81" s="76">
        <v>65798</v>
      </c>
      <c r="AZ81" s="76">
        <v>29496.22</v>
      </c>
      <c r="BA81" s="74">
        <v>8189</v>
      </c>
      <c r="BB81" s="74">
        <v>21</v>
      </c>
      <c r="BC81" s="72">
        <v>947545</v>
      </c>
      <c r="BD81" s="72">
        <v>351174.57999999996</v>
      </c>
    </row>
    <row r="82" spans="1:57" ht="15" thickBot="1" x14ac:dyDescent="0.35">
      <c r="A82" s="75" t="s">
        <v>13</v>
      </c>
      <c r="B82" s="75" t="s">
        <v>405</v>
      </c>
      <c r="C82" s="213" t="str">
        <f t="shared" si="0"/>
        <v>KU496</v>
      </c>
      <c r="D82" s="75" t="s">
        <v>404</v>
      </c>
      <c r="E82" s="78">
        <v>140</v>
      </c>
      <c r="F82" s="77"/>
      <c r="G82" s="76">
        <v>39523</v>
      </c>
      <c r="H82" s="76">
        <v>9902.39</v>
      </c>
      <c r="I82" s="78">
        <v>140</v>
      </c>
      <c r="J82" s="78">
        <v>0</v>
      </c>
      <c r="K82" s="76">
        <v>41710</v>
      </c>
      <c r="L82" s="76">
        <v>10160.82</v>
      </c>
      <c r="M82" s="78">
        <v>139</v>
      </c>
      <c r="N82" s="77"/>
      <c r="O82" s="76">
        <v>48738</v>
      </c>
      <c r="P82" s="76">
        <v>10027.5</v>
      </c>
      <c r="Q82" s="78">
        <v>139</v>
      </c>
      <c r="R82" s="77"/>
      <c r="S82" s="76">
        <v>50184</v>
      </c>
      <c r="T82" s="76">
        <v>10091.57</v>
      </c>
      <c r="U82" s="78">
        <v>139</v>
      </c>
      <c r="V82" s="77"/>
      <c r="W82" s="76">
        <v>54005</v>
      </c>
      <c r="X82" s="76">
        <v>10034.49</v>
      </c>
      <c r="Y82" s="78">
        <v>139</v>
      </c>
      <c r="Z82" s="77"/>
      <c r="AA82" s="76">
        <v>61447</v>
      </c>
      <c r="AB82" s="76">
        <v>9850.7800000000007</v>
      </c>
      <c r="AC82" s="78">
        <v>139</v>
      </c>
      <c r="AD82" s="77"/>
      <c r="AE82" s="76">
        <v>65749</v>
      </c>
      <c r="AF82" s="76">
        <v>9873.07</v>
      </c>
      <c r="AG82" s="78">
        <v>140</v>
      </c>
      <c r="AH82" s="78">
        <v>3</v>
      </c>
      <c r="AI82" s="76">
        <v>55941</v>
      </c>
      <c r="AJ82" s="76">
        <v>10294.32</v>
      </c>
      <c r="AK82" s="78">
        <v>98</v>
      </c>
      <c r="AL82" s="78">
        <v>1</v>
      </c>
      <c r="AM82" s="76">
        <v>45443</v>
      </c>
      <c r="AN82" s="76">
        <v>9760.93</v>
      </c>
      <c r="AO82" s="78">
        <v>137</v>
      </c>
      <c r="AP82" s="78">
        <v>0</v>
      </c>
      <c r="AQ82" s="76">
        <v>48610</v>
      </c>
      <c r="AR82" s="76">
        <v>9805.57</v>
      </c>
      <c r="AS82" s="78">
        <v>140</v>
      </c>
      <c r="AT82" s="78">
        <v>4</v>
      </c>
      <c r="AU82" s="76">
        <v>42144</v>
      </c>
      <c r="AV82" s="76">
        <v>9886.76</v>
      </c>
      <c r="AW82" s="78">
        <v>137</v>
      </c>
      <c r="AX82" s="77"/>
      <c r="AY82" s="76">
        <v>40902</v>
      </c>
      <c r="AZ82" s="76">
        <v>9926.76</v>
      </c>
      <c r="BA82" s="74">
        <v>1627</v>
      </c>
      <c r="BB82" s="74">
        <v>8</v>
      </c>
      <c r="BC82" s="72">
        <v>594396</v>
      </c>
      <c r="BD82" s="72">
        <v>119614.95999999999</v>
      </c>
    </row>
    <row r="83" spans="1:57" ht="15" thickBot="1" x14ac:dyDescent="0.35">
      <c r="A83" s="75" t="s">
        <v>13</v>
      </c>
      <c r="B83" s="75" t="s">
        <v>403</v>
      </c>
      <c r="C83" s="213" t="str">
        <f t="shared" si="0"/>
        <v>KU497</v>
      </c>
      <c r="D83" s="75" t="s">
        <v>402</v>
      </c>
      <c r="E83" s="81">
        <v>14</v>
      </c>
      <c r="F83" s="80"/>
      <c r="G83" s="79">
        <v>423</v>
      </c>
      <c r="H83" s="79">
        <v>252.55</v>
      </c>
      <c r="I83" s="81">
        <v>18</v>
      </c>
      <c r="J83" s="80"/>
      <c r="K83" s="79">
        <v>572</v>
      </c>
      <c r="L83" s="79">
        <v>315.06</v>
      </c>
      <c r="M83" s="81">
        <v>17</v>
      </c>
      <c r="N83" s="80"/>
      <c r="O83" s="79">
        <v>625</v>
      </c>
      <c r="P83" s="79">
        <v>313.88</v>
      </c>
      <c r="Q83" s="81">
        <v>17</v>
      </c>
      <c r="R83" s="80"/>
      <c r="S83" s="79">
        <v>672</v>
      </c>
      <c r="T83" s="79">
        <v>315.73</v>
      </c>
      <c r="U83" s="81">
        <v>17</v>
      </c>
      <c r="V83" s="80"/>
      <c r="W83" s="79">
        <v>746</v>
      </c>
      <c r="X83" s="79">
        <v>315.16000000000003</v>
      </c>
      <c r="Y83" s="81">
        <v>17</v>
      </c>
      <c r="Z83" s="80"/>
      <c r="AA83" s="79">
        <v>805</v>
      </c>
      <c r="AB83" s="79">
        <v>313.99</v>
      </c>
      <c r="AC83" s="81">
        <v>17</v>
      </c>
      <c r="AD83" s="80"/>
      <c r="AE83" s="79">
        <v>870</v>
      </c>
      <c r="AF83" s="79">
        <v>314.25</v>
      </c>
      <c r="AG83" s="81">
        <v>17</v>
      </c>
      <c r="AH83" s="80"/>
      <c r="AI83" s="79">
        <v>721</v>
      </c>
      <c r="AJ83" s="79">
        <v>321.67</v>
      </c>
      <c r="AK83" s="81">
        <v>17</v>
      </c>
      <c r="AL83" s="80"/>
      <c r="AM83" s="79">
        <v>653</v>
      </c>
      <c r="AN83" s="79">
        <v>324.45999999999998</v>
      </c>
      <c r="AO83" s="81">
        <v>19</v>
      </c>
      <c r="AP83" s="80"/>
      <c r="AQ83" s="79">
        <v>654</v>
      </c>
      <c r="AR83" s="79">
        <v>322.66000000000003</v>
      </c>
      <c r="AS83" s="81">
        <v>18</v>
      </c>
      <c r="AT83" s="80"/>
      <c r="AU83" s="79">
        <v>609</v>
      </c>
      <c r="AV83" s="79">
        <v>324.45</v>
      </c>
      <c r="AW83" s="81">
        <v>18</v>
      </c>
      <c r="AX83" s="80"/>
      <c r="AY83" s="79">
        <v>558</v>
      </c>
      <c r="AZ83" s="79">
        <v>333.37</v>
      </c>
      <c r="BA83" s="74">
        <v>206</v>
      </c>
      <c r="BB83" s="73"/>
      <c r="BC83" s="72">
        <v>7908</v>
      </c>
      <c r="BD83" s="72">
        <v>3767.2299999999996</v>
      </c>
    </row>
    <row r="84" spans="1:57" ht="15" thickBot="1" x14ac:dyDescent="0.35">
      <c r="A84" s="75" t="s">
        <v>13</v>
      </c>
      <c r="B84" s="75" t="s">
        <v>401</v>
      </c>
      <c r="C84" s="213" t="str">
        <f t="shared" ref="C84:C90" si="1">CONCATENATE("KU",RIGHT(B84,3))</f>
        <v>KU498</v>
      </c>
      <c r="D84" s="75" t="s">
        <v>400</v>
      </c>
      <c r="E84" s="78">
        <v>30</v>
      </c>
      <c r="F84" s="77"/>
      <c r="G84" s="76">
        <v>1864</v>
      </c>
      <c r="H84" s="76">
        <v>625.94000000000005</v>
      </c>
      <c r="I84" s="78">
        <v>30</v>
      </c>
      <c r="J84" s="77"/>
      <c r="K84" s="76">
        <v>1966</v>
      </c>
      <c r="L84" s="76">
        <v>655.74</v>
      </c>
      <c r="M84" s="78">
        <v>30</v>
      </c>
      <c r="N84" s="77"/>
      <c r="O84" s="76">
        <v>2303</v>
      </c>
      <c r="P84" s="76">
        <v>652.53</v>
      </c>
      <c r="Q84" s="78">
        <v>30</v>
      </c>
      <c r="R84" s="77"/>
      <c r="S84" s="76">
        <v>2346</v>
      </c>
      <c r="T84" s="76">
        <v>657.39</v>
      </c>
      <c r="U84" s="78">
        <v>30</v>
      </c>
      <c r="V84" s="77"/>
      <c r="W84" s="76">
        <v>2582</v>
      </c>
      <c r="X84" s="76">
        <v>654.12</v>
      </c>
      <c r="Y84" s="78">
        <v>30</v>
      </c>
      <c r="Z84" s="77"/>
      <c r="AA84" s="76">
        <v>3017</v>
      </c>
      <c r="AB84" s="76">
        <v>645.54999999999995</v>
      </c>
      <c r="AC84" s="78">
        <v>30</v>
      </c>
      <c r="AD84" s="77"/>
      <c r="AE84" s="76">
        <v>3187</v>
      </c>
      <c r="AF84" s="76">
        <v>647.48</v>
      </c>
      <c r="AG84" s="78">
        <v>30</v>
      </c>
      <c r="AH84" s="77"/>
      <c r="AI84" s="76">
        <v>2705</v>
      </c>
      <c r="AJ84" s="76">
        <v>672.63</v>
      </c>
      <c r="AK84" s="78">
        <v>30</v>
      </c>
      <c r="AL84" s="77"/>
      <c r="AM84" s="76">
        <v>2458</v>
      </c>
      <c r="AN84" s="76">
        <v>683.68</v>
      </c>
      <c r="AO84" s="78">
        <v>30</v>
      </c>
      <c r="AP84" s="77"/>
      <c r="AQ84" s="76">
        <v>2443</v>
      </c>
      <c r="AR84" s="76">
        <v>650.67999999999995</v>
      </c>
      <c r="AS84" s="78">
        <v>30</v>
      </c>
      <c r="AT84" s="77"/>
      <c r="AU84" s="76">
        <v>2143</v>
      </c>
      <c r="AV84" s="76">
        <v>653.89</v>
      </c>
      <c r="AW84" s="78">
        <v>31</v>
      </c>
      <c r="AX84" s="77"/>
      <c r="AY84" s="76">
        <v>2081</v>
      </c>
      <c r="AZ84" s="76">
        <v>683.65</v>
      </c>
      <c r="BA84" s="74">
        <v>361</v>
      </c>
      <c r="BB84" s="73"/>
      <c r="BC84" s="72">
        <v>29095</v>
      </c>
      <c r="BD84" s="72">
        <v>7883.2800000000007</v>
      </c>
    </row>
    <row r="85" spans="1:57" ht="15" thickBot="1" x14ac:dyDescent="0.35">
      <c r="A85" s="75" t="s">
        <v>13</v>
      </c>
      <c r="B85" s="75" t="s">
        <v>399</v>
      </c>
      <c r="C85" s="213" t="str">
        <f t="shared" si="1"/>
        <v>KU499</v>
      </c>
      <c r="D85" s="75" t="s">
        <v>398</v>
      </c>
      <c r="E85" s="81">
        <v>35</v>
      </c>
      <c r="F85" s="80"/>
      <c r="G85" s="79">
        <v>4237</v>
      </c>
      <c r="H85" s="79">
        <v>903.33</v>
      </c>
      <c r="I85" s="81">
        <v>35</v>
      </c>
      <c r="J85" s="80"/>
      <c r="K85" s="79">
        <v>4628</v>
      </c>
      <c r="L85" s="79">
        <v>921.75</v>
      </c>
      <c r="M85" s="81">
        <v>35</v>
      </c>
      <c r="N85" s="80"/>
      <c r="O85" s="79">
        <v>5308</v>
      </c>
      <c r="P85" s="79">
        <v>916.1</v>
      </c>
      <c r="Q85" s="81">
        <v>35</v>
      </c>
      <c r="R85" s="80"/>
      <c r="S85" s="79">
        <v>5620</v>
      </c>
      <c r="T85" s="79">
        <v>921.72</v>
      </c>
      <c r="U85" s="81">
        <v>35</v>
      </c>
      <c r="V85" s="80"/>
      <c r="W85" s="79">
        <v>5896</v>
      </c>
      <c r="X85" s="79">
        <v>915.45</v>
      </c>
      <c r="Y85" s="81">
        <v>35</v>
      </c>
      <c r="Z85" s="80"/>
      <c r="AA85" s="79">
        <v>7134</v>
      </c>
      <c r="AB85" s="79">
        <v>890.9</v>
      </c>
      <c r="AC85" s="81">
        <v>35</v>
      </c>
      <c r="AD85" s="80"/>
      <c r="AE85" s="79">
        <v>6942</v>
      </c>
      <c r="AF85" s="79">
        <v>898.94</v>
      </c>
      <c r="AG85" s="81">
        <v>35</v>
      </c>
      <c r="AH85" s="80"/>
      <c r="AI85" s="79">
        <v>5978</v>
      </c>
      <c r="AJ85" s="79">
        <v>938.4</v>
      </c>
      <c r="AK85" s="81">
        <v>35</v>
      </c>
      <c r="AL85" s="80"/>
      <c r="AM85" s="79">
        <v>5467</v>
      </c>
      <c r="AN85" s="79">
        <v>965.44</v>
      </c>
      <c r="AO85" s="81">
        <v>35</v>
      </c>
      <c r="AP85" s="80"/>
      <c r="AQ85" s="79">
        <v>5471</v>
      </c>
      <c r="AR85" s="79">
        <v>915.83</v>
      </c>
      <c r="AS85" s="81">
        <v>35</v>
      </c>
      <c r="AT85" s="80"/>
      <c r="AU85" s="79">
        <v>4737</v>
      </c>
      <c r="AV85" s="79">
        <v>915.36</v>
      </c>
      <c r="AW85" s="81">
        <v>35</v>
      </c>
      <c r="AX85" s="80"/>
      <c r="AY85" s="79">
        <v>4398</v>
      </c>
      <c r="AZ85" s="79">
        <v>927.2</v>
      </c>
      <c r="BA85" s="74">
        <v>420</v>
      </c>
      <c r="BB85" s="73"/>
      <c r="BC85" s="72">
        <v>65816</v>
      </c>
      <c r="BD85" s="72">
        <v>11030.42</v>
      </c>
    </row>
    <row r="86" spans="1:57" ht="15" thickBot="1" x14ac:dyDescent="0.35">
      <c r="A86" s="75" t="s">
        <v>13</v>
      </c>
      <c r="B86" s="75" t="s">
        <v>397</v>
      </c>
      <c r="C86" s="213" t="str">
        <f t="shared" si="1"/>
        <v>KU820</v>
      </c>
      <c r="D86" s="75" t="s">
        <v>396</v>
      </c>
      <c r="E86" s="77"/>
      <c r="F86" s="77"/>
      <c r="G86" s="77"/>
      <c r="H86" s="77"/>
      <c r="I86" s="78">
        <v>0</v>
      </c>
      <c r="J86" s="77"/>
      <c r="K86" s="77"/>
      <c r="L86" s="76">
        <v>-21.75</v>
      </c>
      <c r="M86" s="78">
        <v>0</v>
      </c>
      <c r="N86" s="77"/>
      <c r="O86" s="77"/>
      <c r="P86" s="76">
        <v>0</v>
      </c>
      <c r="Q86" s="78">
        <v>0</v>
      </c>
      <c r="R86" s="77"/>
      <c r="S86" s="77"/>
      <c r="T86" s="76">
        <v>0</v>
      </c>
      <c r="U86" s="78">
        <v>0</v>
      </c>
      <c r="V86" s="77"/>
      <c r="W86" s="77"/>
      <c r="X86" s="76">
        <v>0</v>
      </c>
      <c r="Y86" s="78">
        <v>0</v>
      </c>
      <c r="Z86" s="77"/>
      <c r="AA86" s="77"/>
      <c r="AB86" s="76">
        <v>12.75</v>
      </c>
      <c r="AC86" s="78">
        <v>0</v>
      </c>
      <c r="AD86" s="77"/>
      <c r="AE86" s="77"/>
      <c r="AF86" s="76">
        <v>-3.75</v>
      </c>
      <c r="AG86" s="78">
        <v>0</v>
      </c>
      <c r="AH86" s="77"/>
      <c r="AI86" s="77"/>
      <c r="AJ86" s="76">
        <v>0</v>
      </c>
      <c r="AK86" s="78">
        <v>0</v>
      </c>
      <c r="AL86" s="77"/>
      <c r="AM86" s="77"/>
      <c r="AN86" s="76">
        <v>2.27</v>
      </c>
      <c r="AO86" s="77"/>
      <c r="AP86" s="77"/>
      <c r="AQ86" s="77"/>
      <c r="AR86" s="77"/>
      <c r="AS86" s="78">
        <v>0</v>
      </c>
      <c r="AT86" s="77"/>
      <c r="AU86" s="77"/>
      <c r="AV86" s="76">
        <v>0</v>
      </c>
      <c r="AW86" s="78">
        <v>0</v>
      </c>
      <c r="AX86" s="77"/>
      <c r="AY86" s="77"/>
      <c r="AZ86" s="76">
        <v>0</v>
      </c>
      <c r="BA86" s="74">
        <v>0</v>
      </c>
      <c r="BB86" s="73"/>
      <c r="BC86" s="73"/>
      <c r="BD86" s="72">
        <v>-10.48</v>
      </c>
    </row>
    <row r="87" spans="1:57" ht="15" thickBot="1" x14ac:dyDescent="0.35">
      <c r="A87" s="75" t="s">
        <v>13</v>
      </c>
      <c r="B87" s="75" t="s">
        <v>395</v>
      </c>
      <c r="C87" s="213" t="str">
        <f t="shared" si="1"/>
        <v>KU825</v>
      </c>
      <c r="D87" s="75" t="s">
        <v>167</v>
      </c>
      <c r="E87" s="81">
        <v>0</v>
      </c>
      <c r="F87" s="80"/>
      <c r="G87" s="80"/>
      <c r="H87" s="79">
        <v>96249.49</v>
      </c>
      <c r="I87" s="81">
        <v>0</v>
      </c>
      <c r="J87" s="80"/>
      <c r="K87" s="80"/>
      <c r="L87" s="79">
        <v>83334.34</v>
      </c>
      <c r="M87" s="81">
        <v>0</v>
      </c>
      <c r="N87" s="80"/>
      <c r="O87" s="80"/>
      <c r="P87" s="79">
        <v>87183.83</v>
      </c>
      <c r="Q87" s="81">
        <v>0</v>
      </c>
      <c r="R87" s="80"/>
      <c r="S87" s="80"/>
      <c r="T87" s="79">
        <v>82260.03</v>
      </c>
      <c r="U87" s="81">
        <v>0</v>
      </c>
      <c r="V87" s="80"/>
      <c r="W87" s="80"/>
      <c r="X87" s="79">
        <v>84207.53</v>
      </c>
      <c r="Y87" s="81">
        <v>0</v>
      </c>
      <c r="Z87" s="80"/>
      <c r="AA87" s="80"/>
      <c r="AB87" s="79">
        <v>84760.7</v>
      </c>
      <c r="AC87" s="81">
        <v>0</v>
      </c>
      <c r="AD87" s="80"/>
      <c r="AE87" s="80"/>
      <c r="AF87" s="79">
        <v>78608.92</v>
      </c>
      <c r="AG87" s="81">
        <v>0</v>
      </c>
      <c r="AH87" s="80"/>
      <c r="AI87" s="80"/>
      <c r="AJ87" s="79">
        <v>83728.740000000005</v>
      </c>
      <c r="AK87" s="81">
        <v>0</v>
      </c>
      <c r="AL87" s="80"/>
      <c r="AM87" s="80"/>
      <c r="AN87" s="79">
        <v>86431.31</v>
      </c>
      <c r="AO87" s="81">
        <v>0</v>
      </c>
      <c r="AP87" s="80"/>
      <c r="AQ87" s="80"/>
      <c r="AR87" s="79">
        <v>84742.15</v>
      </c>
      <c r="AS87" s="81">
        <v>0</v>
      </c>
      <c r="AT87" s="80"/>
      <c r="AU87" s="80"/>
      <c r="AV87" s="79">
        <v>86678.56</v>
      </c>
      <c r="AW87" s="81">
        <v>0</v>
      </c>
      <c r="AX87" s="80"/>
      <c r="AY87" s="80"/>
      <c r="AZ87" s="79">
        <v>87452.59</v>
      </c>
      <c r="BA87" s="74">
        <v>0</v>
      </c>
      <c r="BB87" s="73"/>
      <c r="BC87" s="73"/>
      <c r="BD87" s="72">
        <v>1025638.1900000001</v>
      </c>
    </row>
    <row r="88" spans="1:57" ht="15" thickBot="1" x14ac:dyDescent="0.35">
      <c r="A88" s="75" t="s">
        <v>13</v>
      </c>
      <c r="B88" s="75" t="s">
        <v>394</v>
      </c>
      <c r="C88" s="213" t="str">
        <f t="shared" si="1"/>
        <v>KU826</v>
      </c>
      <c r="D88" s="75" t="s">
        <v>388</v>
      </c>
      <c r="E88" s="78">
        <v>0</v>
      </c>
      <c r="F88" s="77"/>
      <c r="G88" s="77"/>
      <c r="H88" s="76">
        <v>9490.76</v>
      </c>
      <c r="I88" s="78">
        <v>0</v>
      </c>
      <c r="J88" s="77"/>
      <c r="K88" s="77"/>
      <c r="L88" s="76">
        <v>9671.73</v>
      </c>
      <c r="M88" s="78">
        <v>0</v>
      </c>
      <c r="N88" s="77"/>
      <c r="O88" s="77"/>
      <c r="P88" s="76">
        <v>9671.73</v>
      </c>
      <c r="Q88" s="78">
        <v>0</v>
      </c>
      <c r="R88" s="77"/>
      <c r="S88" s="77"/>
      <c r="T88" s="76">
        <v>9737.08</v>
      </c>
      <c r="U88" s="78">
        <v>0</v>
      </c>
      <c r="V88" s="77"/>
      <c r="W88" s="77"/>
      <c r="X88" s="76">
        <v>9737.08</v>
      </c>
      <c r="Y88" s="78">
        <v>0</v>
      </c>
      <c r="Z88" s="77"/>
      <c r="AA88" s="77"/>
      <c r="AB88" s="76">
        <v>9737.08</v>
      </c>
      <c r="AC88" s="78">
        <v>0</v>
      </c>
      <c r="AD88" s="77"/>
      <c r="AE88" s="77"/>
      <c r="AF88" s="76">
        <v>9671.73</v>
      </c>
      <c r="AG88" s="78">
        <v>0</v>
      </c>
      <c r="AH88" s="77"/>
      <c r="AI88" s="77"/>
      <c r="AJ88" s="76">
        <v>9809.56</v>
      </c>
      <c r="AK88" s="78">
        <v>0</v>
      </c>
      <c r="AL88" s="77"/>
      <c r="AM88" s="77"/>
      <c r="AN88" s="76">
        <v>9737.08</v>
      </c>
      <c r="AO88" s="78">
        <v>0</v>
      </c>
      <c r="AP88" s="77"/>
      <c r="AQ88" s="77"/>
      <c r="AR88" s="76">
        <v>9737.08</v>
      </c>
      <c r="AS88" s="78">
        <v>0</v>
      </c>
      <c r="AT88" s="77"/>
      <c r="AU88" s="77"/>
      <c r="AV88" s="76">
        <v>9737.08</v>
      </c>
      <c r="AW88" s="78">
        <v>0</v>
      </c>
      <c r="AX88" s="77"/>
      <c r="AY88" s="77"/>
      <c r="AZ88" s="76">
        <v>9737.08</v>
      </c>
      <c r="BA88" s="74">
        <v>0</v>
      </c>
      <c r="BB88" s="73"/>
      <c r="BC88" s="73"/>
      <c r="BD88" s="72">
        <v>116475.07</v>
      </c>
    </row>
    <row r="89" spans="1:57" ht="15" thickBot="1" x14ac:dyDescent="0.35">
      <c r="A89" s="75" t="s">
        <v>13</v>
      </c>
      <c r="B89" s="75" t="s">
        <v>393</v>
      </c>
      <c r="C89" s="213" t="str">
        <f t="shared" si="1"/>
        <v>KU827</v>
      </c>
      <c r="D89" s="75" t="s">
        <v>392</v>
      </c>
      <c r="E89" s="81">
        <v>0</v>
      </c>
      <c r="F89" s="80"/>
      <c r="G89" s="80"/>
      <c r="H89" s="79">
        <v>35782.6</v>
      </c>
      <c r="I89" s="81">
        <v>0</v>
      </c>
      <c r="J89" s="80"/>
      <c r="K89" s="80"/>
      <c r="L89" s="79">
        <v>35384.29</v>
      </c>
      <c r="M89" s="81">
        <v>0</v>
      </c>
      <c r="N89" s="80"/>
      <c r="O89" s="80"/>
      <c r="P89" s="79">
        <v>34795.65</v>
      </c>
      <c r="Q89" s="81">
        <v>0</v>
      </c>
      <c r="R89" s="80"/>
      <c r="S89" s="80"/>
      <c r="T89" s="79">
        <v>34795.65</v>
      </c>
      <c r="U89" s="81">
        <v>0</v>
      </c>
      <c r="V89" s="80"/>
      <c r="W89" s="80"/>
      <c r="X89" s="79">
        <v>34795.65</v>
      </c>
      <c r="Y89" s="81">
        <v>0</v>
      </c>
      <c r="Z89" s="80"/>
      <c r="AA89" s="80"/>
      <c r="AB89" s="79">
        <v>34795.65</v>
      </c>
      <c r="AC89" s="81">
        <v>0</v>
      </c>
      <c r="AD89" s="80"/>
      <c r="AE89" s="80"/>
      <c r="AF89" s="79">
        <v>34795.65</v>
      </c>
      <c r="AG89" s="81">
        <v>0</v>
      </c>
      <c r="AH89" s="80"/>
      <c r="AI89" s="80"/>
      <c r="AJ89" s="79">
        <v>34795.65</v>
      </c>
      <c r="AK89" s="81">
        <v>0</v>
      </c>
      <c r="AL89" s="80"/>
      <c r="AM89" s="80"/>
      <c r="AN89" s="79">
        <v>34795.65</v>
      </c>
      <c r="AO89" s="81">
        <v>0</v>
      </c>
      <c r="AP89" s="80"/>
      <c r="AQ89" s="80"/>
      <c r="AR89" s="79">
        <v>34795.65</v>
      </c>
      <c r="AS89" s="81">
        <v>0</v>
      </c>
      <c r="AT89" s="80"/>
      <c r="AU89" s="80"/>
      <c r="AV89" s="79">
        <v>34795.65</v>
      </c>
      <c r="AW89" s="81">
        <v>0</v>
      </c>
      <c r="AX89" s="80"/>
      <c r="AY89" s="80"/>
      <c r="AZ89" s="79">
        <v>34795.65</v>
      </c>
      <c r="BA89" s="74">
        <v>0</v>
      </c>
      <c r="BB89" s="73"/>
      <c r="BC89" s="73"/>
      <c r="BD89" s="72">
        <v>419123.39000000007</v>
      </c>
    </row>
    <row r="90" spans="1:57" ht="15" thickBot="1" x14ac:dyDescent="0.35">
      <c r="A90" s="75" t="s">
        <v>13</v>
      </c>
      <c r="B90" s="75" t="s">
        <v>391</v>
      </c>
      <c r="C90" s="213" t="str">
        <f t="shared" si="1"/>
        <v>KU828</v>
      </c>
      <c r="D90" s="75" t="s">
        <v>165</v>
      </c>
      <c r="E90" s="78">
        <v>0</v>
      </c>
      <c r="F90" s="77"/>
      <c r="G90" s="77"/>
      <c r="H90" s="76">
        <v>32927.410000000003</v>
      </c>
      <c r="I90" s="78">
        <v>0</v>
      </c>
      <c r="J90" s="77"/>
      <c r="K90" s="77"/>
      <c r="L90" s="76">
        <v>32781.019999999997</v>
      </c>
      <c r="M90" s="78">
        <v>0</v>
      </c>
      <c r="N90" s="77"/>
      <c r="O90" s="77"/>
      <c r="P90" s="76">
        <v>32852.199999999997</v>
      </c>
      <c r="Q90" s="78">
        <v>0</v>
      </c>
      <c r="R90" s="77"/>
      <c r="S90" s="77"/>
      <c r="T90" s="76">
        <v>33223.230000000003</v>
      </c>
      <c r="U90" s="78">
        <v>0</v>
      </c>
      <c r="V90" s="77"/>
      <c r="W90" s="77"/>
      <c r="X90" s="76">
        <v>33600.050000000003</v>
      </c>
      <c r="Y90" s="78">
        <v>0</v>
      </c>
      <c r="Z90" s="77"/>
      <c r="AA90" s="77"/>
      <c r="AB90" s="76">
        <v>33480.19</v>
      </c>
      <c r="AC90" s="78">
        <v>0</v>
      </c>
      <c r="AD90" s="77"/>
      <c r="AE90" s="77"/>
      <c r="AF90" s="76">
        <v>32720.35</v>
      </c>
      <c r="AG90" s="78">
        <v>0</v>
      </c>
      <c r="AH90" s="77"/>
      <c r="AI90" s="77"/>
      <c r="AJ90" s="76">
        <v>33345.480000000003</v>
      </c>
      <c r="AK90" s="78">
        <v>0</v>
      </c>
      <c r="AL90" s="77"/>
      <c r="AM90" s="77"/>
      <c r="AN90" s="76">
        <v>33349.449999999997</v>
      </c>
      <c r="AO90" s="78">
        <v>0</v>
      </c>
      <c r="AP90" s="77"/>
      <c r="AQ90" s="77"/>
      <c r="AR90" s="76">
        <v>33429.35</v>
      </c>
      <c r="AS90" s="78">
        <v>0</v>
      </c>
      <c r="AT90" s="77"/>
      <c r="AU90" s="77"/>
      <c r="AV90" s="76">
        <v>33410.870000000003</v>
      </c>
      <c r="AW90" s="78">
        <v>0</v>
      </c>
      <c r="AX90" s="77"/>
      <c r="AY90" s="77"/>
      <c r="AZ90" s="76">
        <v>33468.949999999997</v>
      </c>
      <c r="BA90" s="74">
        <v>0</v>
      </c>
      <c r="BB90" s="73"/>
      <c r="BC90" s="73"/>
      <c r="BD90" s="72">
        <v>398588.55</v>
      </c>
    </row>
    <row r="91" spans="1:57" ht="15" thickBot="1" x14ac:dyDescent="0.35">
      <c r="A91" s="75" t="s">
        <v>13</v>
      </c>
      <c r="B91" s="267" t="s">
        <v>164</v>
      </c>
      <c r="C91" s="268"/>
      <c r="D91" s="269"/>
      <c r="E91" s="74">
        <f>SUM(E19:E90)</f>
        <v>172858</v>
      </c>
      <c r="F91" s="74">
        <f t="shared" ref="F91:BD91" si="2">SUM(F19:F90)</f>
        <v>32092</v>
      </c>
      <c r="G91" s="74">
        <f t="shared" si="2"/>
        <v>8207325</v>
      </c>
      <c r="H91" s="74">
        <f t="shared" si="2"/>
        <v>2612904.37</v>
      </c>
      <c r="I91" s="74">
        <f t="shared" si="2"/>
        <v>169737</v>
      </c>
      <c r="J91" s="74">
        <f t="shared" si="2"/>
        <v>46047</v>
      </c>
      <c r="K91" s="74">
        <f t="shared" si="2"/>
        <v>8296290</v>
      </c>
      <c r="L91" s="74">
        <f t="shared" si="2"/>
        <v>2650452.1300000008</v>
      </c>
      <c r="M91" s="74">
        <f t="shared" si="2"/>
        <v>171425</v>
      </c>
      <c r="N91" s="74">
        <f t="shared" si="2"/>
        <v>21311</v>
      </c>
      <c r="O91" s="74">
        <f t="shared" si="2"/>
        <v>9805602</v>
      </c>
      <c r="P91" s="74">
        <f t="shared" si="2"/>
        <v>2667035.899999999</v>
      </c>
      <c r="Q91" s="74">
        <f t="shared" si="2"/>
        <v>172934</v>
      </c>
      <c r="R91" s="74">
        <f t="shared" si="2"/>
        <v>9073</v>
      </c>
      <c r="S91" s="74">
        <f t="shared" si="2"/>
        <v>10326129</v>
      </c>
      <c r="T91" s="74">
        <f t="shared" si="2"/>
        <v>2693570.38</v>
      </c>
      <c r="U91" s="74">
        <f t="shared" si="2"/>
        <v>163408</v>
      </c>
      <c r="V91" s="74">
        <f t="shared" si="2"/>
        <v>5639</v>
      </c>
      <c r="W91" s="74">
        <f t="shared" si="2"/>
        <v>10659181</v>
      </c>
      <c r="X91" s="74">
        <f t="shared" si="2"/>
        <v>2536940.1</v>
      </c>
      <c r="Y91" s="74">
        <f t="shared" si="2"/>
        <v>170240</v>
      </c>
      <c r="Z91" s="74">
        <f t="shared" si="2"/>
        <v>29996</v>
      </c>
      <c r="AA91" s="74">
        <f t="shared" si="2"/>
        <v>12689840</v>
      </c>
      <c r="AB91" s="74">
        <f t="shared" si="2"/>
        <v>2588578.0299999993</v>
      </c>
      <c r="AC91" s="74">
        <f t="shared" si="2"/>
        <v>176900</v>
      </c>
      <c r="AD91" s="74">
        <f t="shared" si="2"/>
        <v>35975</v>
      </c>
      <c r="AE91" s="74">
        <f t="shared" si="2"/>
        <v>13093465</v>
      </c>
      <c r="AF91" s="74">
        <f t="shared" si="2"/>
        <v>2782129.4599999995</v>
      </c>
      <c r="AG91" s="74">
        <f t="shared" si="2"/>
        <v>172499</v>
      </c>
      <c r="AH91" s="74">
        <f t="shared" si="2"/>
        <v>3101</v>
      </c>
      <c r="AI91" s="74">
        <f t="shared" si="2"/>
        <v>11915113</v>
      </c>
      <c r="AJ91" s="74">
        <f t="shared" si="2"/>
        <v>2739340.74</v>
      </c>
      <c r="AK91" s="74">
        <f t="shared" si="2"/>
        <v>173737</v>
      </c>
      <c r="AL91" s="74">
        <f t="shared" si="2"/>
        <v>14117</v>
      </c>
      <c r="AM91" s="74">
        <f t="shared" si="2"/>
        <v>10506775</v>
      </c>
      <c r="AN91" s="74">
        <f t="shared" si="2"/>
        <v>2819939.95</v>
      </c>
      <c r="AO91" s="74">
        <f t="shared" si="2"/>
        <v>171941</v>
      </c>
      <c r="AP91" s="74">
        <f t="shared" si="2"/>
        <v>31143</v>
      </c>
      <c r="AQ91" s="74">
        <f t="shared" si="2"/>
        <v>10104775</v>
      </c>
      <c r="AR91" s="74">
        <f t="shared" si="2"/>
        <v>2706482.2200000011</v>
      </c>
      <c r="AS91" s="74">
        <f t="shared" si="2"/>
        <v>172639</v>
      </c>
      <c r="AT91" s="74">
        <f t="shared" si="2"/>
        <v>12852</v>
      </c>
      <c r="AU91" s="74">
        <f t="shared" si="2"/>
        <v>8917683</v>
      </c>
      <c r="AV91" s="74">
        <f t="shared" si="2"/>
        <v>2691463.98</v>
      </c>
      <c r="AW91" s="74">
        <f t="shared" si="2"/>
        <v>172242</v>
      </c>
      <c r="AX91" s="74">
        <f t="shared" si="2"/>
        <v>25203</v>
      </c>
      <c r="AY91" s="74">
        <f t="shared" si="2"/>
        <v>8641253</v>
      </c>
      <c r="AZ91" s="74">
        <f t="shared" si="2"/>
        <v>2712830.3900000006</v>
      </c>
      <c r="BA91" s="74">
        <f t="shared" si="2"/>
        <v>2060560</v>
      </c>
      <c r="BB91" s="74">
        <f t="shared" si="2"/>
        <v>266549</v>
      </c>
      <c r="BC91" s="74">
        <f t="shared" si="2"/>
        <v>123163431</v>
      </c>
      <c r="BD91" s="74">
        <f t="shared" si="2"/>
        <v>32201667.649999995</v>
      </c>
      <c r="BE91" s="104"/>
    </row>
    <row r="92" spans="1:57" ht="15" thickBot="1" x14ac:dyDescent="0.35">
      <c r="A92" s="75" t="s">
        <v>155</v>
      </c>
      <c r="B92" s="75" t="s">
        <v>390</v>
      </c>
      <c r="C92" s="213" t="str">
        <f>CONCATENATE("LGE",RIGHT(B92,3))</f>
        <v>LGE825</v>
      </c>
      <c r="D92" s="75" t="s">
        <v>167</v>
      </c>
      <c r="E92" s="78">
        <v>0</v>
      </c>
      <c r="F92" s="77"/>
      <c r="G92" s="77"/>
      <c r="H92" s="76">
        <v>93431.28</v>
      </c>
      <c r="I92" s="78">
        <v>0</v>
      </c>
      <c r="J92" s="77"/>
      <c r="K92" s="77"/>
      <c r="L92" s="76">
        <v>3300</v>
      </c>
      <c r="M92" s="78">
        <v>0</v>
      </c>
      <c r="N92" s="77"/>
      <c r="O92" s="77"/>
      <c r="P92" s="76">
        <v>48365.64</v>
      </c>
      <c r="Q92" s="78">
        <v>0</v>
      </c>
      <c r="R92" s="77"/>
      <c r="S92" s="77"/>
      <c r="T92" s="76">
        <v>48365.64</v>
      </c>
      <c r="U92" s="78">
        <v>0</v>
      </c>
      <c r="V92" s="77"/>
      <c r="W92" s="77"/>
      <c r="X92" s="76">
        <v>48365.64</v>
      </c>
      <c r="Y92" s="78">
        <v>0</v>
      </c>
      <c r="Z92" s="77"/>
      <c r="AA92" s="77"/>
      <c r="AB92" s="76">
        <v>48365.64</v>
      </c>
      <c r="AC92" s="78">
        <v>0</v>
      </c>
      <c r="AD92" s="77"/>
      <c r="AE92" s="77"/>
      <c r="AF92" s="76">
        <v>48365.64</v>
      </c>
      <c r="AG92" s="78">
        <v>0</v>
      </c>
      <c r="AH92" s="77"/>
      <c r="AI92" s="77"/>
      <c r="AJ92" s="76">
        <v>48365.64</v>
      </c>
      <c r="AK92" s="78">
        <v>0</v>
      </c>
      <c r="AL92" s="77"/>
      <c r="AM92" s="77"/>
      <c r="AN92" s="76">
        <v>48365.64</v>
      </c>
      <c r="AO92" s="78">
        <v>0</v>
      </c>
      <c r="AP92" s="77"/>
      <c r="AQ92" s="77"/>
      <c r="AR92" s="76">
        <v>48365.64</v>
      </c>
      <c r="AS92" s="78">
        <v>0</v>
      </c>
      <c r="AT92" s="77"/>
      <c r="AU92" s="77"/>
      <c r="AV92" s="76">
        <v>48365.64</v>
      </c>
      <c r="AW92" s="78">
        <v>0</v>
      </c>
      <c r="AX92" s="77"/>
      <c r="AY92" s="77"/>
      <c r="AZ92" s="76">
        <v>48365.64</v>
      </c>
      <c r="BA92" s="74">
        <v>0</v>
      </c>
      <c r="BB92" s="73"/>
      <c r="BC92" s="73"/>
      <c r="BD92" s="72">
        <v>580387.68000000005</v>
      </c>
    </row>
    <row r="93" spans="1:57" ht="15" thickBot="1" x14ac:dyDescent="0.35">
      <c r="A93" s="75" t="s">
        <v>155</v>
      </c>
      <c r="B93" s="75" t="s">
        <v>389</v>
      </c>
      <c r="C93" s="213" t="str">
        <f t="shared" ref="C93:C156" si="3">CONCATENATE("LGE",RIGHT(B93,3))</f>
        <v>LGE826</v>
      </c>
      <c r="D93" s="75" t="s">
        <v>388</v>
      </c>
      <c r="E93" s="81">
        <v>0</v>
      </c>
      <c r="F93" s="80"/>
      <c r="G93" s="80"/>
      <c r="H93" s="79">
        <v>765.74</v>
      </c>
      <c r="I93" s="81">
        <v>0</v>
      </c>
      <c r="J93" s="80"/>
      <c r="K93" s="80"/>
      <c r="L93" s="79">
        <v>765.74</v>
      </c>
      <c r="M93" s="81">
        <v>0</v>
      </c>
      <c r="N93" s="80"/>
      <c r="O93" s="80"/>
      <c r="P93" s="79">
        <v>765.74</v>
      </c>
      <c r="Q93" s="81">
        <v>0</v>
      </c>
      <c r="R93" s="80"/>
      <c r="S93" s="80"/>
      <c r="T93" s="79">
        <v>765.74</v>
      </c>
      <c r="U93" s="81">
        <v>0</v>
      </c>
      <c r="V93" s="80"/>
      <c r="W93" s="80"/>
      <c r="X93" s="79">
        <v>761.2</v>
      </c>
      <c r="Y93" s="81">
        <v>0</v>
      </c>
      <c r="Z93" s="80"/>
      <c r="AA93" s="80"/>
      <c r="AB93" s="79">
        <v>770.28</v>
      </c>
      <c r="AC93" s="81">
        <v>0</v>
      </c>
      <c r="AD93" s="80"/>
      <c r="AE93" s="80"/>
      <c r="AF93" s="79">
        <v>765.74</v>
      </c>
      <c r="AG93" s="81">
        <v>0</v>
      </c>
      <c r="AH93" s="80"/>
      <c r="AI93" s="80"/>
      <c r="AJ93" s="79">
        <v>765.74</v>
      </c>
      <c r="AK93" s="81">
        <v>0</v>
      </c>
      <c r="AL93" s="80"/>
      <c r="AM93" s="80"/>
      <c r="AN93" s="79">
        <v>765.74</v>
      </c>
      <c r="AO93" s="81">
        <v>0</v>
      </c>
      <c r="AP93" s="80"/>
      <c r="AQ93" s="80"/>
      <c r="AR93" s="79">
        <v>765.74</v>
      </c>
      <c r="AS93" s="81">
        <v>0</v>
      </c>
      <c r="AT93" s="80"/>
      <c r="AU93" s="80"/>
      <c r="AV93" s="79">
        <v>872.16</v>
      </c>
      <c r="AW93" s="81">
        <v>0</v>
      </c>
      <c r="AX93" s="80"/>
      <c r="AY93" s="80"/>
      <c r="AZ93" s="79">
        <v>872.16</v>
      </c>
      <c r="BA93" s="74">
        <v>0</v>
      </c>
      <c r="BB93" s="73"/>
      <c r="BC93" s="73"/>
      <c r="BD93" s="72">
        <v>9401.7199999999993</v>
      </c>
    </row>
    <row r="94" spans="1:57" ht="15" thickBot="1" x14ac:dyDescent="0.35">
      <c r="A94" s="75" t="s">
        <v>155</v>
      </c>
      <c r="B94" s="75" t="s">
        <v>387</v>
      </c>
      <c r="C94" s="213" t="str">
        <f t="shared" si="3"/>
        <v>LGE828</v>
      </c>
      <c r="D94" s="75" t="s">
        <v>165</v>
      </c>
      <c r="E94" s="78">
        <v>0</v>
      </c>
      <c r="F94" s="77"/>
      <c r="G94" s="77"/>
      <c r="H94" s="76">
        <v>2224.2800000000002</v>
      </c>
      <c r="I94" s="78">
        <v>0</v>
      </c>
      <c r="J94" s="77"/>
      <c r="K94" s="77"/>
      <c r="L94" s="76">
        <v>2112.84</v>
      </c>
      <c r="M94" s="78">
        <v>0</v>
      </c>
      <c r="N94" s="77"/>
      <c r="O94" s="77"/>
      <c r="P94" s="76">
        <v>2181.0500000000002</v>
      </c>
      <c r="Q94" s="78">
        <v>0</v>
      </c>
      <c r="R94" s="77"/>
      <c r="S94" s="77"/>
      <c r="T94" s="76">
        <v>2188.3200000000002</v>
      </c>
      <c r="U94" s="78">
        <v>0</v>
      </c>
      <c r="V94" s="77"/>
      <c r="W94" s="77"/>
      <c r="X94" s="76">
        <v>2154.56</v>
      </c>
      <c r="Y94" s="78">
        <v>0</v>
      </c>
      <c r="Z94" s="77"/>
      <c r="AA94" s="77"/>
      <c r="AB94" s="76">
        <v>2163.04</v>
      </c>
      <c r="AC94" s="78">
        <v>0</v>
      </c>
      <c r="AD94" s="77"/>
      <c r="AE94" s="77"/>
      <c r="AF94" s="76">
        <v>2221.36</v>
      </c>
      <c r="AG94" s="78">
        <v>0</v>
      </c>
      <c r="AH94" s="77"/>
      <c r="AI94" s="77"/>
      <c r="AJ94" s="76">
        <v>2719.75</v>
      </c>
      <c r="AK94" s="78">
        <v>0</v>
      </c>
      <c r="AL94" s="77"/>
      <c r="AM94" s="77"/>
      <c r="AN94" s="76">
        <v>2615.1799999999998</v>
      </c>
      <c r="AO94" s="78">
        <v>0</v>
      </c>
      <c r="AP94" s="77"/>
      <c r="AQ94" s="77"/>
      <c r="AR94" s="76">
        <v>2730.51</v>
      </c>
      <c r="AS94" s="78">
        <v>0</v>
      </c>
      <c r="AT94" s="77"/>
      <c r="AU94" s="77"/>
      <c r="AV94" s="76">
        <v>2776.91</v>
      </c>
      <c r="AW94" s="78">
        <v>0</v>
      </c>
      <c r="AX94" s="77"/>
      <c r="AY94" s="77"/>
      <c r="AZ94" s="76">
        <v>2810.46</v>
      </c>
      <c r="BA94" s="74">
        <v>0</v>
      </c>
      <c r="BB94" s="73"/>
      <c r="BC94" s="73"/>
      <c r="BD94" s="72">
        <v>28898.26</v>
      </c>
    </row>
    <row r="95" spans="1:57" ht="15" thickBot="1" x14ac:dyDescent="0.35">
      <c r="A95" s="75" t="s">
        <v>155</v>
      </c>
      <c r="B95" s="75" t="s">
        <v>386</v>
      </c>
      <c r="C95" s="213" t="str">
        <f t="shared" si="3"/>
        <v>LGE829</v>
      </c>
      <c r="D95" s="75" t="s">
        <v>385</v>
      </c>
      <c r="E95" s="81">
        <v>0</v>
      </c>
      <c r="F95" s="80"/>
      <c r="G95" s="80"/>
      <c r="H95" s="79">
        <v>5</v>
      </c>
      <c r="I95" s="81">
        <v>0</v>
      </c>
      <c r="J95" s="80"/>
      <c r="K95" s="80"/>
      <c r="L95" s="79">
        <v>5</v>
      </c>
      <c r="M95" s="81">
        <v>0</v>
      </c>
      <c r="N95" s="80"/>
      <c r="O95" s="80"/>
      <c r="P95" s="79">
        <v>5</v>
      </c>
      <c r="Q95" s="81">
        <v>0</v>
      </c>
      <c r="R95" s="80"/>
      <c r="S95" s="80"/>
      <c r="T95" s="79">
        <v>5</v>
      </c>
      <c r="U95" s="81">
        <v>0</v>
      </c>
      <c r="V95" s="80"/>
      <c r="W95" s="80"/>
      <c r="X95" s="79">
        <v>5</v>
      </c>
      <c r="Y95" s="81">
        <v>0</v>
      </c>
      <c r="Z95" s="80"/>
      <c r="AA95" s="80"/>
      <c r="AB95" s="79">
        <v>5</v>
      </c>
      <c r="AC95" s="81">
        <v>0</v>
      </c>
      <c r="AD95" s="80"/>
      <c r="AE95" s="80"/>
      <c r="AF95" s="79">
        <v>5</v>
      </c>
      <c r="AG95" s="81">
        <v>0</v>
      </c>
      <c r="AH95" s="80"/>
      <c r="AI95" s="80"/>
      <c r="AJ95" s="79">
        <v>5</v>
      </c>
      <c r="AK95" s="81">
        <v>0</v>
      </c>
      <c r="AL95" s="80"/>
      <c r="AM95" s="80"/>
      <c r="AN95" s="79">
        <v>5</v>
      </c>
      <c r="AO95" s="81">
        <v>0</v>
      </c>
      <c r="AP95" s="80"/>
      <c r="AQ95" s="80"/>
      <c r="AR95" s="79">
        <v>5</v>
      </c>
      <c r="AS95" s="81">
        <v>0</v>
      </c>
      <c r="AT95" s="80"/>
      <c r="AU95" s="80"/>
      <c r="AV95" s="79">
        <v>5</v>
      </c>
      <c r="AW95" s="81">
        <v>0</v>
      </c>
      <c r="AX95" s="80"/>
      <c r="AY95" s="80"/>
      <c r="AZ95" s="79">
        <v>5</v>
      </c>
      <c r="BA95" s="74">
        <v>0</v>
      </c>
      <c r="BB95" s="73"/>
      <c r="BC95" s="73"/>
      <c r="BD95" s="72">
        <v>60</v>
      </c>
    </row>
    <row r="96" spans="1:57" ht="15" thickBot="1" x14ac:dyDescent="0.35">
      <c r="A96" s="75" t="s">
        <v>155</v>
      </c>
      <c r="B96" s="75" t="s">
        <v>384</v>
      </c>
      <c r="C96" s="213" t="str">
        <f t="shared" si="3"/>
        <v>LGE201</v>
      </c>
      <c r="D96" s="75" t="s">
        <v>383</v>
      </c>
      <c r="E96" s="81">
        <v>74</v>
      </c>
      <c r="F96" s="80"/>
      <c r="G96" s="79">
        <v>2403</v>
      </c>
      <c r="H96" s="79">
        <v>705.48</v>
      </c>
      <c r="I96" s="81">
        <v>76</v>
      </c>
      <c r="J96" s="80"/>
      <c r="K96" s="79">
        <v>2588</v>
      </c>
      <c r="L96" s="79">
        <v>712.52</v>
      </c>
      <c r="M96" s="81">
        <v>74</v>
      </c>
      <c r="N96" s="80"/>
      <c r="O96" s="79">
        <v>3008</v>
      </c>
      <c r="P96" s="79">
        <v>713.28</v>
      </c>
      <c r="Q96" s="81">
        <v>74</v>
      </c>
      <c r="R96" s="80"/>
      <c r="S96" s="79">
        <v>3076</v>
      </c>
      <c r="T96" s="79">
        <v>713.61</v>
      </c>
      <c r="U96" s="81">
        <v>75</v>
      </c>
      <c r="V96" s="80"/>
      <c r="W96" s="79">
        <v>3325</v>
      </c>
      <c r="X96" s="79">
        <v>716.1</v>
      </c>
      <c r="Y96" s="81">
        <v>74</v>
      </c>
      <c r="Z96" s="80"/>
      <c r="AA96" s="79">
        <v>3673</v>
      </c>
      <c r="AB96" s="79">
        <v>699.4</v>
      </c>
      <c r="AC96" s="81">
        <v>73</v>
      </c>
      <c r="AD96" s="80"/>
      <c r="AE96" s="79">
        <v>3930</v>
      </c>
      <c r="AF96" s="79">
        <v>688.13</v>
      </c>
      <c r="AG96" s="81">
        <v>73</v>
      </c>
      <c r="AH96" s="80"/>
      <c r="AI96" s="79">
        <v>3277</v>
      </c>
      <c r="AJ96" s="79">
        <v>754.39</v>
      </c>
      <c r="AK96" s="81">
        <v>74</v>
      </c>
      <c r="AL96" s="80"/>
      <c r="AM96" s="79">
        <v>2940</v>
      </c>
      <c r="AN96" s="79">
        <v>756.16</v>
      </c>
      <c r="AO96" s="81">
        <v>72</v>
      </c>
      <c r="AP96" s="80"/>
      <c r="AQ96" s="79">
        <v>2980</v>
      </c>
      <c r="AR96" s="79">
        <v>721.69</v>
      </c>
      <c r="AS96" s="81">
        <v>72</v>
      </c>
      <c r="AT96" s="80"/>
      <c r="AU96" s="79">
        <v>2492</v>
      </c>
      <c r="AV96" s="79">
        <v>706.89</v>
      </c>
      <c r="AW96" s="81">
        <v>72</v>
      </c>
      <c r="AX96" s="80"/>
      <c r="AY96" s="79">
        <v>2467</v>
      </c>
      <c r="AZ96" s="79">
        <v>690.74</v>
      </c>
      <c r="BA96" s="74">
        <v>883</v>
      </c>
      <c r="BB96" s="73"/>
      <c r="BC96" s="72">
        <v>36159</v>
      </c>
      <c r="BD96" s="72">
        <v>8578.3900000000012</v>
      </c>
    </row>
    <row r="97" spans="1:56" ht="15" thickBot="1" x14ac:dyDescent="0.35">
      <c r="A97" s="75" t="s">
        <v>155</v>
      </c>
      <c r="B97" s="75" t="s">
        <v>382</v>
      </c>
      <c r="C97" s="213" t="str">
        <f t="shared" si="3"/>
        <v>LGE203</v>
      </c>
      <c r="D97" s="75" t="s">
        <v>381</v>
      </c>
      <c r="E97" s="78">
        <v>3481</v>
      </c>
      <c r="F97" s="78">
        <v>769</v>
      </c>
      <c r="G97" s="76">
        <v>267819</v>
      </c>
      <c r="H97" s="76">
        <v>42273.51</v>
      </c>
      <c r="I97" s="78">
        <v>3465</v>
      </c>
      <c r="J97" s="78">
        <v>1330</v>
      </c>
      <c r="K97" s="76">
        <v>294324</v>
      </c>
      <c r="L97" s="76">
        <v>41736.199999999997</v>
      </c>
      <c r="M97" s="78">
        <v>3449</v>
      </c>
      <c r="N97" s="78">
        <v>873</v>
      </c>
      <c r="O97" s="76">
        <v>337055</v>
      </c>
      <c r="P97" s="76">
        <v>41959.38</v>
      </c>
      <c r="Q97" s="78">
        <v>3430</v>
      </c>
      <c r="R97" s="78">
        <v>1317</v>
      </c>
      <c r="S97" s="76">
        <v>347044</v>
      </c>
      <c r="T97" s="76">
        <v>41760.300000000003</v>
      </c>
      <c r="U97" s="78">
        <v>2831</v>
      </c>
      <c r="V97" s="78">
        <v>742</v>
      </c>
      <c r="W97" s="76">
        <v>328234</v>
      </c>
      <c r="X97" s="76">
        <v>34754.68</v>
      </c>
      <c r="Y97" s="78">
        <v>3939</v>
      </c>
      <c r="Z97" s="78">
        <v>1943</v>
      </c>
      <c r="AA97" s="76">
        <v>480449</v>
      </c>
      <c r="AB97" s="76">
        <v>47178.07</v>
      </c>
      <c r="AC97" s="78">
        <v>2927</v>
      </c>
      <c r="AD97" s="78">
        <v>1574</v>
      </c>
      <c r="AE97" s="76">
        <v>402092</v>
      </c>
      <c r="AF97" s="76">
        <v>39513.85</v>
      </c>
      <c r="AG97" s="78">
        <v>3297</v>
      </c>
      <c r="AH97" s="78">
        <v>661</v>
      </c>
      <c r="AI97" s="76">
        <v>363239</v>
      </c>
      <c r="AJ97" s="76">
        <v>42716.63</v>
      </c>
      <c r="AK97" s="78">
        <v>3296</v>
      </c>
      <c r="AL97" s="78">
        <v>885</v>
      </c>
      <c r="AM97" s="76">
        <v>328301</v>
      </c>
      <c r="AN97" s="76">
        <v>42838.44</v>
      </c>
      <c r="AO97" s="78">
        <v>3234</v>
      </c>
      <c r="AP97" s="78">
        <v>418</v>
      </c>
      <c r="AQ97" s="76">
        <v>293646</v>
      </c>
      <c r="AR97" s="76">
        <v>40578.04</v>
      </c>
      <c r="AS97" s="78">
        <v>3212</v>
      </c>
      <c r="AT97" s="78">
        <v>436</v>
      </c>
      <c r="AU97" s="76">
        <v>261117</v>
      </c>
      <c r="AV97" s="76">
        <v>39297.51</v>
      </c>
      <c r="AW97" s="78">
        <v>3197</v>
      </c>
      <c r="AX97" s="78">
        <v>920</v>
      </c>
      <c r="AY97" s="76">
        <v>269015</v>
      </c>
      <c r="AZ97" s="76">
        <v>38936.449999999997</v>
      </c>
      <c r="BA97" s="74">
        <v>39758</v>
      </c>
      <c r="BB97" s="74">
        <v>11868</v>
      </c>
      <c r="BC97" s="72">
        <v>3972335</v>
      </c>
      <c r="BD97" s="72">
        <v>493543.06</v>
      </c>
    </row>
    <row r="98" spans="1:56" ht="15" thickBot="1" x14ac:dyDescent="0.35">
      <c r="A98" s="75" t="s">
        <v>155</v>
      </c>
      <c r="B98" s="75" t="s">
        <v>380</v>
      </c>
      <c r="C98" s="213" t="str">
        <f t="shared" si="3"/>
        <v>LGE204</v>
      </c>
      <c r="D98" s="75" t="s">
        <v>379</v>
      </c>
      <c r="E98" s="81">
        <v>3492</v>
      </c>
      <c r="F98" s="81">
        <v>861</v>
      </c>
      <c r="G98" s="79">
        <v>413099</v>
      </c>
      <c r="H98" s="79">
        <v>52493.18</v>
      </c>
      <c r="I98" s="81">
        <v>3476</v>
      </c>
      <c r="J98" s="81">
        <v>3774</v>
      </c>
      <c r="K98" s="79">
        <v>467221</v>
      </c>
      <c r="L98" s="79">
        <v>51599.19</v>
      </c>
      <c r="M98" s="81">
        <v>3472</v>
      </c>
      <c r="N98" s="81">
        <v>4399</v>
      </c>
      <c r="O98" s="79">
        <v>536777</v>
      </c>
      <c r="P98" s="79">
        <v>52143.92</v>
      </c>
      <c r="Q98" s="81">
        <v>3438</v>
      </c>
      <c r="R98" s="81">
        <v>1526</v>
      </c>
      <c r="S98" s="79">
        <v>541584</v>
      </c>
      <c r="T98" s="79">
        <v>51796.21</v>
      </c>
      <c r="U98" s="81">
        <v>2872</v>
      </c>
      <c r="V98" s="81">
        <v>3097</v>
      </c>
      <c r="W98" s="79">
        <v>535408</v>
      </c>
      <c r="X98" s="79">
        <v>43380.73</v>
      </c>
      <c r="Y98" s="81">
        <v>3965</v>
      </c>
      <c r="Z98" s="81">
        <v>1054</v>
      </c>
      <c r="AA98" s="79">
        <v>743739</v>
      </c>
      <c r="AB98" s="79">
        <v>58353.36</v>
      </c>
      <c r="AC98" s="81">
        <v>3388</v>
      </c>
      <c r="AD98" s="81">
        <v>3213</v>
      </c>
      <c r="AE98" s="79">
        <v>626149</v>
      </c>
      <c r="AF98" s="79">
        <v>49432.36</v>
      </c>
      <c r="AG98" s="81">
        <v>3359</v>
      </c>
      <c r="AH98" s="81">
        <v>2941</v>
      </c>
      <c r="AI98" s="79">
        <v>573898</v>
      </c>
      <c r="AJ98" s="79">
        <v>53640.74</v>
      </c>
      <c r="AK98" s="81">
        <v>3345</v>
      </c>
      <c r="AL98" s="81">
        <v>2934</v>
      </c>
      <c r="AM98" s="79">
        <v>516399</v>
      </c>
      <c r="AN98" s="79">
        <v>53996.77</v>
      </c>
      <c r="AO98" s="81">
        <v>3312</v>
      </c>
      <c r="AP98" s="81">
        <v>1557</v>
      </c>
      <c r="AQ98" s="79">
        <v>458182</v>
      </c>
      <c r="AR98" s="79">
        <v>51342.93</v>
      </c>
      <c r="AS98" s="81">
        <v>3288</v>
      </c>
      <c r="AT98" s="81">
        <v>3166</v>
      </c>
      <c r="AU98" s="79">
        <v>407764</v>
      </c>
      <c r="AV98" s="79">
        <v>49349.46</v>
      </c>
      <c r="AW98" s="81">
        <v>3266</v>
      </c>
      <c r="AX98" s="81">
        <v>1741</v>
      </c>
      <c r="AY98" s="79">
        <v>426633</v>
      </c>
      <c r="AZ98" s="79">
        <v>48834.77</v>
      </c>
      <c r="BA98" s="74">
        <v>40673</v>
      </c>
      <c r="BB98" s="74">
        <v>30263</v>
      </c>
      <c r="BC98" s="72">
        <v>6246853</v>
      </c>
      <c r="BD98" s="72">
        <v>616363.62</v>
      </c>
    </row>
    <row r="99" spans="1:56" ht="15" thickBot="1" x14ac:dyDescent="0.35">
      <c r="A99" s="75" t="s">
        <v>155</v>
      </c>
      <c r="B99" s="75" t="s">
        <v>378</v>
      </c>
      <c r="C99" s="213" t="str">
        <f t="shared" si="3"/>
        <v>LGE206</v>
      </c>
      <c r="D99" s="75" t="s">
        <v>377</v>
      </c>
      <c r="E99" s="81">
        <v>73</v>
      </c>
      <c r="F99" s="80"/>
      <c r="G99" s="79">
        <v>2443</v>
      </c>
      <c r="H99" s="79">
        <v>1003.9</v>
      </c>
      <c r="I99" s="81">
        <v>73</v>
      </c>
      <c r="J99" s="81">
        <v>11</v>
      </c>
      <c r="K99" s="79">
        <v>2482</v>
      </c>
      <c r="L99" s="79">
        <v>990.72</v>
      </c>
      <c r="M99" s="81">
        <v>72</v>
      </c>
      <c r="N99" s="80"/>
      <c r="O99" s="79">
        <v>2961</v>
      </c>
      <c r="P99" s="79">
        <v>996.66</v>
      </c>
      <c r="Q99" s="81">
        <v>72</v>
      </c>
      <c r="R99" s="80"/>
      <c r="S99" s="79">
        <v>2993</v>
      </c>
      <c r="T99" s="79">
        <v>996.95</v>
      </c>
      <c r="U99" s="81">
        <v>72</v>
      </c>
      <c r="V99" s="80"/>
      <c r="W99" s="79">
        <v>3219</v>
      </c>
      <c r="X99" s="79">
        <v>1000.11</v>
      </c>
      <c r="Y99" s="81">
        <v>72</v>
      </c>
      <c r="Z99" s="80"/>
      <c r="AA99" s="79">
        <v>3742</v>
      </c>
      <c r="AB99" s="79">
        <v>993.61</v>
      </c>
      <c r="AC99" s="81">
        <v>72</v>
      </c>
      <c r="AD99" s="80"/>
      <c r="AE99" s="79">
        <v>3794</v>
      </c>
      <c r="AF99" s="79">
        <v>991.8</v>
      </c>
      <c r="AG99" s="81">
        <v>72</v>
      </c>
      <c r="AH99" s="80"/>
      <c r="AI99" s="79">
        <v>3220</v>
      </c>
      <c r="AJ99" s="79">
        <v>1055.73</v>
      </c>
      <c r="AK99" s="81">
        <v>72</v>
      </c>
      <c r="AL99" s="80"/>
      <c r="AM99" s="79">
        <v>3040</v>
      </c>
      <c r="AN99" s="79">
        <v>1057.1500000000001</v>
      </c>
      <c r="AO99" s="81">
        <v>72</v>
      </c>
      <c r="AP99" s="80"/>
      <c r="AQ99" s="79">
        <v>2898</v>
      </c>
      <c r="AR99" s="79">
        <v>1014.05</v>
      </c>
      <c r="AS99" s="81">
        <v>72</v>
      </c>
      <c r="AT99" s="80"/>
      <c r="AU99" s="79">
        <v>2503</v>
      </c>
      <c r="AV99" s="79">
        <v>995.11</v>
      </c>
      <c r="AW99" s="81">
        <v>72</v>
      </c>
      <c r="AX99" s="80"/>
      <c r="AY99" s="79">
        <v>2478</v>
      </c>
      <c r="AZ99" s="79">
        <v>994.18</v>
      </c>
      <c r="BA99" s="74">
        <v>866</v>
      </c>
      <c r="BB99" s="74">
        <v>11</v>
      </c>
      <c r="BC99" s="72">
        <v>35773</v>
      </c>
      <c r="BD99" s="72">
        <v>12089.97</v>
      </c>
    </row>
    <row r="100" spans="1:56" ht="15" thickBot="1" x14ac:dyDescent="0.35">
      <c r="A100" s="75" t="s">
        <v>155</v>
      </c>
      <c r="B100" s="75" t="s">
        <v>376</v>
      </c>
      <c r="C100" s="213" t="str">
        <f t="shared" si="3"/>
        <v>LGE207</v>
      </c>
      <c r="D100" s="75" t="s">
        <v>375</v>
      </c>
      <c r="E100" s="78">
        <v>728</v>
      </c>
      <c r="F100" s="78">
        <v>1</v>
      </c>
      <c r="G100" s="76">
        <v>85980</v>
      </c>
      <c r="H100" s="76">
        <v>13314.19</v>
      </c>
      <c r="I100" s="78">
        <v>700</v>
      </c>
      <c r="J100" s="78">
        <v>1</v>
      </c>
      <c r="K100" s="76">
        <v>88559</v>
      </c>
      <c r="L100" s="76">
        <v>12831.44</v>
      </c>
      <c r="M100" s="78">
        <v>696</v>
      </c>
      <c r="N100" s="78">
        <v>1</v>
      </c>
      <c r="O100" s="76">
        <v>103107</v>
      </c>
      <c r="P100" s="76">
        <v>12816.99</v>
      </c>
      <c r="Q100" s="78">
        <v>685</v>
      </c>
      <c r="R100" s="77"/>
      <c r="S100" s="76">
        <v>104166</v>
      </c>
      <c r="T100" s="76">
        <v>12604.33</v>
      </c>
      <c r="U100" s="78">
        <v>673</v>
      </c>
      <c r="V100" s="78">
        <v>1</v>
      </c>
      <c r="W100" s="76">
        <v>111728</v>
      </c>
      <c r="X100" s="76">
        <v>12484.1</v>
      </c>
      <c r="Y100" s="78">
        <v>702</v>
      </c>
      <c r="Z100" s="77"/>
      <c r="AA100" s="76">
        <v>130991</v>
      </c>
      <c r="AB100" s="76">
        <v>12579.04</v>
      </c>
      <c r="AC100" s="78">
        <v>671</v>
      </c>
      <c r="AD100" s="77"/>
      <c r="AE100" s="76">
        <v>131342</v>
      </c>
      <c r="AF100" s="76">
        <v>12077.3</v>
      </c>
      <c r="AG100" s="78">
        <v>685</v>
      </c>
      <c r="AH100" s="77"/>
      <c r="AI100" s="76">
        <v>117237</v>
      </c>
      <c r="AJ100" s="76">
        <v>13185.78</v>
      </c>
      <c r="AK100" s="78">
        <v>674</v>
      </c>
      <c r="AL100" s="78">
        <v>7</v>
      </c>
      <c r="AM100" s="76">
        <v>103752</v>
      </c>
      <c r="AN100" s="76">
        <v>13254.57</v>
      </c>
      <c r="AO100" s="78">
        <v>671</v>
      </c>
      <c r="AP100" s="78">
        <v>0</v>
      </c>
      <c r="AQ100" s="76">
        <v>99698</v>
      </c>
      <c r="AR100" s="76">
        <v>12659.32</v>
      </c>
      <c r="AS100" s="78">
        <v>661</v>
      </c>
      <c r="AT100" s="77"/>
      <c r="AU100" s="76">
        <v>87178</v>
      </c>
      <c r="AV100" s="76">
        <v>12101.93</v>
      </c>
      <c r="AW100" s="78">
        <v>665</v>
      </c>
      <c r="AX100" s="77"/>
      <c r="AY100" s="76">
        <v>85022</v>
      </c>
      <c r="AZ100" s="76">
        <v>12232.07</v>
      </c>
      <c r="BA100" s="74">
        <v>8211</v>
      </c>
      <c r="BB100" s="74">
        <v>11</v>
      </c>
      <c r="BC100" s="72">
        <v>1248760</v>
      </c>
      <c r="BD100" s="72">
        <v>152141.06</v>
      </c>
    </row>
    <row r="101" spans="1:56" ht="15" thickBot="1" x14ac:dyDescent="0.35">
      <c r="A101" s="75" t="s">
        <v>155</v>
      </c>
      <c r="B101" s="75" t="s">
        <v>374</v>
      </c>
      <c r="C101" s="213" t="str">
        <f t="shared" si="3"/>
        <v>LGE208</v>
      </c>
      <c r="D101" s="75" t="s">
        <v>373</v>
      </c>
      <c r="E101" s="81">
        <v>1375</v>
      </c>
      <c r="F101" s="81">
        <v>106</v>
      </c>
      <c r="G101" s="79">
        <v>74414</v>
      </c>
      <c r="H101" s="79">
        <v>21647.61</v>
      </c>
      <c r="I101" s="81">
        <v>1360</v>
      </c>
      <c r="J101" s="81">
        <v>29</v>
      </c>
      <c r="K101" s="79">
        <v>81709</v>
      </c>
      <c r="L101" s="79">
        <v>21342.28</v>
      </c>
      <c r="M101" s="81">
        <v>1367</v>
      </c>
      <c r="N101" s="81">
        <v>40</v>
      </c>
      <c r="O101" s="79">
        <v>94127</v>
      </c>
      <c r="P101" s="79">
        <v>21621.94</v>
      </c>
      <c r="Q101" s="81">
        <v>1358</v>
      </c>
      <c r="R101" s="81">
        <v>9</v>
      </c>
      <c r="S101" s="79">
        <v>96758</v>
      </c>
      <c r="T101" s="79">
        <v>21525.1</v>
      </c>
      <c r="U101" s="81">
        <v>1357</v>
      </c>
      <c r="V101" s="81">
        <v>45</v>
      </c>
      <c r="W101" s="79">
        <v>107941</v>
      </c>
      <c r="X101" s="79">
        <v>21561.88</v>
      </c>
      <c r="Y101" s="81">
        <v>1360</v>
      </c>
      <c r="Z101" s="81">
        <v>73</v>
      </c>
      <c r="AA101" s="79">
        <v>117455</v>
      </c>
      <c r="AB101" s="79">
        <v>21352.95</v>
      </c>
      <c r="AC101" s="81">
        <v>1350</v>
      </c>
      <c r="AD101" s="81">
        <v>195</v>
      </c>
      <c r="AE101" s="79">
        <v>116969</v>
      </c>
      <c r="AF101" s="79">
        <v>21157.11</v>
      </c>
      <c r="AG101" s="81">
        <v>1346</v>
      </c>
      <c r="AH101" s="80"/>
      <c r="AI101" s="79">
        <v>103134</v>
      </c>
      <c r="AJ101" s="79">
        <v>22469.49</v>
      </c>
      <c r="AK101" s="81">
        <v>1345</v>
      </c>
      <c r="AL101" s="81">
        <v>51</v>
      </c>
      <c r="AM101" s="79">
        <v>93560</v>
      </c>
      <c r="AN101" s="79">
        <v>22516.68</v>
      </c>
      <c r="AO101" s="81">
        <v>1342</v>
      </c>
      <c r="AP101" s="81">
        <v>166</v>
      </c>
      <c r="AQ101" s="79">
        <v>89129</v>
      </c>
      <c r="AR101" s="79">
        <v>21538.38</v>
      </c>
      <c r="AS101" s="81">
        <v>1335</v>
      </c>
      <c r="AT101" s="81">
        <v>8</v>
      </c>
      <c r="AU101" s="79">
        <v>76812</v>
      </c>
      <c r="AV101" s="79">
        <v>20988.080000000002</v>
      </c>
      <c r="AW101" s="81">
        <v>1336</v>
      </c>
      <c r="AX101" s="81">
        <v>4</v>
      </c>
      <c r="AY101" s="79">
        <v>78048</v>
      </c>
      <c r="AZ101" s="79">
        <v>20976.34</v>
      </c>
      <c r="BA101" s="74">
        <v>16231</v>
      </c>
      <c r="BB101" s="74">
        <v>726</v>
      </c>
      <c r="BC101" s="72">
        <v>1130056</v>
      </c>
      <c r="BD101" s="72">
        <v>258697.84</v>
      </c>
    </row>
    <row r="102" spans="1:56" ht="15" thickBot="1" x14ac:dyDescent="0.35">
      <c r="A102" s="75" t="s">
        <v>155</v>
      </c>
      <c r="B102" s="75" t="s">
        <v>372</v>
      </c>
      <c r="C102" s="213" t="str">
        <f t="shared" si="3"/>
        <v>LGE209</v>
      </c>
      <c r="D102" s="75" t="s">
        <v>371</v>
      </c>
      <c r="E102" s="78">
        <v>41</v>
      </c>
      <c r="F102" s="78">
        <v>1</v>
      </c>
      <c r="G102" s="76">
        <v>11623</v>
      </c>
      <c r="H102" s="76">
        <v>1332.4</v>
      </c>
      <c r="I102" s="78">
        <v>40</v>
      </c>
      <c r="J102" s="77"/>
      <c r="K102" s="76">
        <v>11946</v>
      </c>
      <c r="L102" s="76">
        <v>1313.26</v>
      </c>
      <c r="M102" s="78">
        <v>40</v>
      </c>
      <c r="N102" s="77"/>
      <c r="O102" s="76">
        <v>14204</v>
      </c>
      <c r="P102" s="76">
        <v>1297.67</v>
      </c>
      <c r="Q102" s="78">
        <v>39</v>
      </c>
      <c r="R102" s="77"/>
      <c r="S102" s="76">
        <v>13805</v>
      </c>
      <c r="T102" s="76">
        <v>1266.42</v>
      </c>
      <c r="U102" s="78">
        <v>36</v>
      </c>
      <c r="V102" s="77"/>
      <c r="W102" s="76">
        <v>14306</v>
      </c>
      <c r="X102" s="76">
        <v>1199.77</v>
      </c>
      <c r="Y102" s="78">
        <v>38</v>
      </c>
      <c r="Z102" s="78">
        <v>5</v>
      </c>
      <c r="AA102" s="76">
        <v>16886</v>
      </c>
      <c r="AB102" s="76">
        <v>1181.06</v>
      </c>
      <c r="AC102" s="78">
        <v>36</v>
      </c>
      <c r="AD102" s="78">
        <v>2</v>
      </c>
      <c r="AE102" s="76">
        <v>16081</v>
      </c>
      <c r="AF102" s="76">
        <v>1084.26</v>
      </c>
      <c r="AG102" s="78">
        <v>34</v>
      </c>
      <c r="AH102" s="77"/>
      <c r="AI102" s="76">
        <v>13747</v>
      </c>
      <c r="AJ102" s="76">
        <v>1159.05</v>
      </c>
      <c r="AK102" s="78">
        <v>33</v>
      </c>
      <c r="AL102" s="77"/>
      <c r="AM102" s="76">
        <v>12367</v>
      </c>
      <c r="AN102" s="76">
        <v>1171.26</v>
      </c>
      <c r="AO102" s="78">
        <v>29</v>
      </c>
      <c r="AP102" s="77"/>
      <c r="AQ102" s="76">
        <v>10380</v>
      </c>
      <c r="AR102" s="76">
        <v>990.7</v>
      </c>
      <c r="AS102" s="78">
        <v>29</v>
      </c>
      <c r="AT102" s="77"/>
      <c r="AU102" s="76">
        <v>9362</v>
      </c>
      <c r="AV102" s="76">
        <v>954.8</v>
      </c>
      <c r="AW102" s="78">
        <v>31</v>
      </c>
      <c r="AX102" s="77"/>
      <c r="AY102" s="76">
        <v>9371</v>
      </c>
      <c r="AZ102" s="76">
        <v>1018.74</v>
      </c>
      <c r="BA102" s="74">
        <v>426</v>
      </c>
      <c r="BB102" s="74">
        <v>8</v>
      </c>
      <c r="BC102" s="72">
        <v>154078</v>
      </c>
      <c r="BD102" s="72">
        <v>13969.39</v>
      </c>
    </row>
    <row r="103" spans="1:56" ht="15" thickBot="1" x14ac:dyDescent="0.35">
      <c r="A103" s="75" t="s">
        <v>155</v>
      </c>
      <c r="B103" s="75" t="s">
        <v>370</v>
      </c>
      <c r="C103" s="213" t="str">
        <f t="shared" si="3"/>
        <v>LGE210</v>
      </c>
      <c r="D103" s="75" t="s">
        <v>369</v>
      </c>
      <c r="E103" s="78">
        <v>324</v>
      </c>
      <c r="F103" s="77"/>
      <c r="G103" s="76">
        <v>90605</v>
      </c>
      <c r="H103" s="76">
        <v>10813.27</v>
      </c>
      <c r="I103" s="78">
        <v>328</v>
      </c>
      <c r="J103" s="77"/>
      <c r="K103" s="76">
        <v>98162</v>
      </c>
      <c r="L103" s="76">
        <v>10921.45</v>
      </c>
      <c r="M103" s="78">
        <v>313</v>
      </c>
      <c r="N103" s="78">
        <v>1</v>
      </c>
      <c r="O103" s="76">
        <v>110818</v>
      </c>
      <c r="P103" s="76">
        <v>10550.16</v>
      </c>
      <c r="Q103" s="78">
        <v>305</v>
      </c>
      <c r="R103" s="77"/>
      <c r="S103" s="76">
        <v>108999</v>
      </c>
      <c r="T103" s="76">
        <v>10195.09</v>
      </c>
      <c r="U103" s="78">
        <v>315</v>
      </c>
      <c r="V103" s="77"/>
      <c r="W103" s="76">
        <v>123472</v>
      </c>
      <c r="X103" s="76">
        <v>10606.4</v>
      </c>
      <c r="Y103" s="78">
        <v>325</v>
      </c>
      <c r="Z103" s="77"/>
      <c r="AA103" s="76">
        <v>148139</v>
      </c>
      <c r="AB103" s="76">
        <v>10766.47</v>
      </c>
      <c r="AC103" s="78">
        <v>325</v>
      </c>
      <c r="AD103" s="77"/>
      <c r="AE103" s="76">
        <v>143909</v>
      </c>
      <c r="AF103" s="76">
        <v>10147.5</v>
      </c>
      <c r="AG103" s="78">
        <v>313</v>
      </c>
      <c r="AH103" s="78">
        <v>3</v>
      </c>
      <c r="AI103" s="76">
        <v>124244</v>
      </c>
      <c r="AJ103" s="76">
        <v>10718.82</v>
      </c>
      <c r="AK103" s="78">
        <v>321</v>
      </c>
      <c r="AL103" s="78">
        <v>1</v>
      </c>
      <c r="AM103" s="76">
        <v>117957</v>
      </c>
      <c r="AN103" s="76">
        <v>11568.31</v>
      </c>
      <c r="AO103" s="78">
        <v>300</v>
      </c>
      <c r="AP103" s="78">
        <v>1</v>
      </c>
      <c r="AQ103" s="76">
        <v>106717</v>
      </c>
      <c r="AR103" s="76">
        <v>10399.39</v>
      </c>
      <c r="AS103" s="78">
        <v>331</v>
      </c>
      <c r="AT103" s="77"/>
      <c r="AU103" s="76">
        <v>107946</v>
      </c>
      <c r="AV103" s="76">
        <v>11168.77</v>
      </c>
      <c r="AW103" s="78">
        <v>305</v>
      </c>
      <c r="AX103" s="77"/>
      <c r="AY103" s="76">
        <v>91603</v>
      </c>
      <c r="AZ103" s="76">
        <v>10154.709999999999</v>
      </c>
      <c r="BA103" s="74">
        <v>3805</v>
      </c>
      <c r="BB103" s="74">
        <v>6</v>
      </c>
      <c r="BC103" s="72">
        <v>1372571</v>
      </c>
      <c r="BD103" s="72">
        <v>128010.34</v>
      </c>
    </row>
    <row r="104" spans="1:56" ht="15" thickBot="1" x14ac:dyDescent="0.35">
      <c r="A104" s="75" t="s">
        <v>155</v>
      </c>
      <c r="B104" s="75" t="s">
        <v>368</v>
      </c>
      <c r="C104" s="213" t="str">
        <f t="shared" si="3"/>
        <v>LGE252</v>
      </c>
      <c r="D104" s="75" t="s">
        <v>367</v>
      </c>
      <c r="E104" s="81">
        <v>3786</v>
      </c>
      <c r="F104" s="81">
        <v>144</v>
      </c>
      <c r="G104" s="79">
        <v>204002</v>
      </c>
      <c r="H104" s="79">
        <v>41384.32</v>
      </c>
      <c r="I104" s="81">
        <v>3786</v>
      </c>
      <c r="J104" s="81">
        <v>90</v>
      </c>
      <c r="K104" s="79">
        <v>221726</v>
      </c>
      <c r="L104" s="79">
        <v>41046.480000000003</v>
      </c>
      <c r="M104" s="81">
        <v>3783</v>
      </c>
      <c r="N104" s="81">
        <v>284</v>
      </c>
      <c r="O104" s="79">
        <v>254873</v>
      </c>
      <c r="P104" s="79">
        <v>41277.11</v>
      </c>
      <c r="Q104" s="81">
        <v>3748</v>
      </c>
      <c r="R104" s="81">
        <v>99</v>
      </c>
      <c r="S104" s="79">
        <v>263042</v>
      </c>
      <c r="T104" s="79">
        <v>41128.879999999997</v>
      </c>
      <c r="U104" s="81">
        <v>3429</v>
      </c>
      <c r="V104" s="81">
        <v>213</v>
      </c>
      <c r="W104" s="79">
        <v>269330</v>
      </c>
      <c r="X104" s="79">
        <v>37799.699999999997</v>
      </c>
      <c r="Y104" s="81">
        <v>4001</v>
      </c>
      <c r="Z104" s="81">
        <v>431</v>
      </c>
      <c r="AA104" s="79">
        <v>340043</v>
      </c>
      <c r="AB104" s="79">
        <v>43222.12</v>
      </c>
      <c r="AC104" s="81">
        <v>3650</v>
      </c>
      <c r="AD104" s="81">
        <v>308</v>
      </c>
      <c r="AE104" s="79">
        <v>319499</v>
      </c>
      <c r="AF104" s="79">
        <v>39346.67</v>
      </c>
      <c r="AG104" s="81">
        <v>3663</v>
      </c>
      <c r="AH104" s="81">
        <v>243</v>
      </c>
      <c r="AI104" s="79">
        <v>286840</v>
      </c>
      <c r="AJ104" s="79">
        <v>42577.39</v>
      </c>
      <c r="AK104" s="81">
        <v>3731</v>
      </c>
      <c r="AL104" s="81">
        <v>213</v>
      </c>
      <c r="AM104" s="79">
        <v>263025</v>
      </c>
      <c r="AN104" s="79">
        <v>44010.68</v>
      </c>
      <c r="AO104" s="81">
        <v>3656</v>
      </c>
      <c r="AP104" s="81">
        <v>153</v>
      </c>
      <c r="AQ104" s="79">
        <v>242320</v>
      </c>
      <c r="AR104" s="79">
        <v>41557.43</v>
      </c>
      <c r="AS104" s="81">
        <v>3639</v>
      </c>
      <c r="AT104" s="81">
        <v>207</v>
      </c>
      <c r="AU104" s="79">
        <v>215336</v>
      </c>
      <c r="AV104" s="79">
        <v>40254.269999999997</v>
      </c>
      <c r="AW104" s="81">
        <v>3624</v>
      </c>
      <c r="AX104" s="81">
        <v>369</v>
      </c>
      <c r="AY104" s="79">
        <v>210769</v>
      </c>
      <c r="AZ104" s="79">
        <v>39905.68</v>
      </c>
      <c r="BA104" s="74">
        <v>44496</v>
      </c>
      <c r="BB104" s="74">
        <v>2754</v>
      </c>
      <c r="BC104" s="72">
        <v>3090805</v>
      </c>
      <c r="BD104" s="72">
        <v>493510.73</v>
      </c>
    </row>
    <row r="105" spans="1:56" ht="15" thickBot="1" x14ac:dyDescent="0.35">
      <c r="A105" s="75" t="s">
        <v>155</v>
      </c>
      <c r="B105" s="75" t="s">
        <v>366</v>
      </c>
      <c r="C105" s="213" t="str">
        <f t="shared" si="3"/>
        <v>LGE266</v>
      </c>
      <c r="D105" s="75" t="s">
        <v>365</v>
      </c>
      <c r="E105" s="78">
        <v>2080</v>
      </c>
      <c r="F105" s="77"/>
      <c r="G105" s="76">
        <v>166683</v>
      </c>
      <c r="H105" s="76">
        <v>61986.86</v>
      </c>
      <c r="I105" s="78">
        <v>2069</v>
      </c>
      <c r="J105" s="77"/>
      <c r="K105" s="76">
        <v>186709</v>
      </c>
      <c r="L105" s="76">
        <v>61809.42</v>
      </c>
      <c r="M105" s="78">
        <v>2070</v>
      </c>
      <c r="N105" s="77"/>
      <c r="O105" s="76">
        <v>214397</v>
      </c>
      <c r="P105" s="76">
        <v>62356.57</v>
      </c>
      <c r="Q105" s="78">
        <v>2069</v>
      </c>
      <c r="R105" s="77"/>
      <c r="S105" s="76">
        <v>221134</v>
      </c>
      <c r="T105" s="76">
        <v>62406.62</v>
      </c>
      <c r="U105" s="78">
        <v>1850</v>
      </c>
      <c r="V105" s="77"/>
      <c r="W105" s="76">
        <v>228713</v>
      </c>
      <c r="X105" s="76">
        <v>55924.05</v>
      </c>
      <c r="Y105" s="78">
        <v>2283</v>
      </c>
      <c r="Z105" s="77"/>
      <c r="AA105" s="76">
        <v>288876</v>
      </c>
      <c r="AB105" s="76">
        <v>68560.789999999994</v>
      </c>
      <c r="AC105" s="78">
        <v>2075</v>
      </c>
      <c r="AD105" s="77"/>
      <c r="AE105" s="76">
        <v>263292</v>
      </c>
      <c r="AF105" s="76">
        <v>62218.35</v>
      </c>
      <c r="AG105" s="78">
        <v>2069</v>
      </c>
      <c r="AH105" s="77"/>
      <c r="AI105" s="76">
        <v>239368</v>
      </c>
      <c r="AJ105" s="76">
        <v>65198.12</v>
      </c>
      <c r="AK105" s="78">
        <v>2067</v>
      </c>
      <c r="AL105" s="77"/>
      <c r="AM105" s="76">
        <v>216559</v>
      </c>
      <c r="AN105" s="76">
        <v>65455.64</v>
      </c>
      <c r="AO105" s="78">
        <v>2067</v>
      </c>
      <c r="AP105" s="77"/>
      <c r="AQ105" s="76">
        <v>198161</v>
      </c>
      <c r="AR105" s="76">
        <v>62934.87</v>
      </c>
      <c r="AS105" s="78">
        <v>2068</v>
      </c>
      <c r="AT105" s="78">
        <v>40</v>
      </c>
      <c r="AU105" s="76">
        <v>174647</v>
      </c>
      <c r="AV105" s="76">
        <v>61609.22</v>
      </c>
      <c r="AW105" s="78">
        <v>2065</v>
      </c>
      <c r="AX105" s="77"/>
      <c r="AY105" s="76">
        <v>181420</v>
      </c>
      <c r="AZ105" s="76">
        <v>61426.12</v>
      </c>
      <c r="BA105" s="74">
        <v>24832</v>
      </c>
      <c r="BB105" s="74">
        <v>40</v>
      </c>
      <c r="BC105" s="72">
        <v>2579959</v>
      </c>
      <c r="BD105" s="72">
        <v>751886.62999999989</v>
      </c>
    </row>
    <row r="106" spans="1:56" ht="15" thickBot="1" x14ac:dyDescent="0.35">
      <c r="A106" s="75" t="s">
        <v>155</v>
      </c>
      <c r="B106" s="75" t="s">
        <v>364</v>
      </c>
      <c r="C106" s="213" t="str">
        <f t="shared" si="3"/>
        <v>LGE267</v>
      </c>
      <c r="D106" s="75" t="s">
        <v>363</v>
      </c>
      <c r="E106" s="81">
        <v>2320</v>
      </c>
      <c r="F106" s="80"/>
      <c r="G106" s="79">
        <v>297273</v>
      </c>
      <c r="H106" s="79">
        <v>81555.64</v>
      </c>
      <c r="I106" s="81">
        <v>2275</v>
      </c>
      <c r="J106" s="80"/>
      <c r="K106" s="79">
        <v>319019</v>
      </c>
      <c r="L106" s="79">
        <v>79585.490000000005</v>
      </c>
      <c r="M106" s="81">
        <v>2342</v>
      </c>
      <c r="N106" s="81">
        <v>10</v>
      </c>
      <c r="O106" s="79">
        <v>375171</v>
      </c>
      <c r="P106" s="79">
        <v>82699.06</v>
      </c>
      <c r="Q106" s="81">
        <v>2296</v>
      </c>
      <c r="R106" s="81">
        <v>104</v>
      </c>
      <c r="S106" s="79">
        <v>381804</v>
      </c>
      <c r="T106" s="79">
        <v>81008.070000000007</v>
      </c>
      <c r="U106" s="81">
        <v>2142</v>
      </c>
      <c r="V106" s="81">
        <v>364</v>
      </c>
      <c r="W106" s="79">
        <v>395577</v>
      </c>
      <c r="X106" s="79">
        <v>75874.600000000006</v>
      </c>
      <c r="Y106" s="81">
        <v>2465</v>
      </c>
      <c r="Z106" s="80"/>
      <c r="AA106" s="79">
        <v>498357</v>
      </c>
      <c r="AB106" s="79">
        <v>85941.19</v>
      </c>
      <c r="AC106" s="81">
        <v>2297</v>
      </c>
      <c r="AD106" s="80"/>
      <c r="AE106" s="79">
        <v>479600</v>
      </c>
      <c r="AF106" s="79">
        <v>80230.25</v>
      </c>
      <c r="AG106" s="81">
        <v>2284</v>
      </c>
      <c r="AH106" s="81">
        <v>48</v>
      </c>
      <c r="AI106" s="79">
        <v>416442</v>
      </c>
      <c r="AJ106" s="79">
        <v>84156.9</v>
      </c>
      <c r="AK106" s="81">
        <v>2311</v>
      </c>
      <c r="AL106" s="81">
        <v>0</v>
      </c>
      <c r="AM106" s="79">
        <v>382784</v>
      </c>
      <c r="AN106" s="79">
        <v>85671.2</v>
      </c>
      <c r="AO106" s="81">
        <v>2292</v>
      </c>
      <c r="AP106" s="81">
        <v>76</v>
      </c>
      <c r="AQ106" s="79">
        <v>364926</v>
      </c>
      <c r="AR106" s="79">
        <v>81393.710000000006</v>
      </c>
      <c r="AS106" s="81">
        <v>2273</v>
      </c>
      <c r="AT106" s="81">
        <v>58</v>
      </c>
      <c r="AU106" s="79">
        <v>314005</v>
      </c>
      <c r="AV106" s="79">
        <v>79139.490000000005</v>
      </c>
      <c r="AW106" s="81">
        <v>2291</v>
      </c>
      <c r="AX106" s="81">
        <v>1</v>
      </c>
      <c r="AY106" s="79">
        <v>312612</v>
      </c>
      <c r="AZ106" s="79">
        <v>79140.539999999994</v>
      </c>
      <c r="BA106" s="74">
        <v>27588</v>
      </c>
      <c r="BB106" s="74">
        <v>661</v>
      </c>
      <c r="BC106" s="72">
        <v>4537570</v>
      </c>
      <c r="BD106" s="72">
        <v>976396.14</v>
      </c>
    </row>
    <row r="107" spans="1:56" ht="15" thickBot="1" x14ac:dyDescent="0.35">
      <c r="A107" s="75" t="s">
        <v>155</v>
      </c>
      <c r="B107" s="75" t="s">
        <v>362</v>
      </c>
      <c r="C107" s="213" t="str">
        <f t="shared" si="3"/>
        <v>LGE274</v>
      </c>
      <c r="D107" s="75" t="s">
        <v>361</v>
      </c>
      <c r="E107" s="78">
        <v>17147</v>
      </c>
      <c r="F107" s="78">
        <v>17</v>
      </c>
      <c r="G107" s="76">
        <v>647707</v>
      </c>
      <c r="H107" s="76">
        <v>330241.45</v>
      </c>
      <c r="I107" s="78">
        <v>17141</v>
      </c>
      <c r="J107" s="78">
        <v>29</v>
      </c>
      <c r="K107" s="76">
        <v>700145</v>
      </c>
      <c r="L107" s="76">
        <v>328784.96999999997</v>
      </c>
      <c r="M107" s="78">
        <v>17148</v>
      </c>
      <c r="N107" s="78">
        <v>17</v>
      </c>
      <c r="O107" s="76">
        <v>801799</v>
      </c>
      <c r="P107" s="76">
        <v>330568.08</v>
      </c>
      <c r="Q107" s="78">
        <v>17129</v>
      </c>
      <c r="R107" s="77"/>
      <c r="S107" s="76">
        <v>837461</v>
      </c>
      <c r="T107" s="76">
        <v>331013.2</v>
      </c>
      <c r="U107" s="78">
        <v>16965</v>
      </c>
      <c r="V107" s="78">
        <v>16</v>
      </c>
      <c r="W107" s="76">
        <v>897432</v>
      </c>
      <c r="X107" s="76">
        <v>330019.24</v>
      </c>
      <c r="Y107" s="78">
        <v>17138</v>
      </c>
      <c r="Z107" s="77"/>
      <c r="AA107" s="76">
        <v>1029485</v>
      </c>
      <c r="AB107" s="76">
        <v>331661.28000000003</v>
      </c>
      <c r="AC107" s="78">
        <v>17012</v>
      </c>
      <c r="AD107" s="78">
        <v>1</v>
      </c>
      <c r="AE107" s="76">
        <v>1049004</v>
      </c>
      <c r="AF107" s="76">
        <v>328849.21999999997</v>
      </c>
      <c r="AG107" s="78">
        <v>17015</v>
      </c>
      <c r="AH107" s="78">
        <v>5</v>
      </c>
      <c r="AI107" s="76">
        <v>907062</v>
      </c>
      <c r="AJ107" s="76">
        <v>353217.9</v>
      </c>
      <c r="AK107" s="78">
        <v>17026</v>
      </c>
      <c r="AL107" s="78">
        <v>1</v>
      </c>
      <c r="AM107" s="76">
        <v>818229</v>
      </c>
      <c r="AN107" s="76">
        <v>353895.44</v>
      </c>
      <c r="AO107" s="78">
        <v>17006</v>
      </c>
      <c r="AP107" s="78">
        <v>41</v>
      </c>
      <c r="AQ107" s="76">
        <v>813383</v>
      </c>
      <c r="AR107" s="76">
        <v>339281.13</v>
      </c>
      <c r="AS107" s="78">
        <v>16984</v>
      </c>
      <c r="AT107" s="77"/>
      <c r="AU107" s="76">
        <v>687293</v>
      </c>
      <c r="AV107" s="76">
        <v>333005.01</v>
      </c>
      <c r="AW107" s="78">
        <v>16995</v>
      </c>
      <c r="AX107" s="78">
        <v>14</v>
      </c>
      <c r="AY107" s="76">
        <v>681127</v>
      </c>
      <c r="AZ107" s="76">
        <v>332850.39</v>
      </c>
      <c r="BA107" s="74">
        <v>204706</v>
      </c>
      <c r="BB107" s="74">
        <v>141</v>
      </c>
      <c r="BC107" s="72">
        <v>9870127</v>
      </c>
      <c r="BD107" s="72">
        <v>4023387.31</v>
      </c>
    </row>
    <row r="108" spans="1:56" ht="15" thickBot="1" x14ac:dyDescent="0.35">
      <c r="A108" s="75" t="s">
        <v>155</v>
      </c>
      <c r="B108" s="75" t="s">
        <v>360</v>
      </c>
      <c r="C108" s="213" t="str">
        <f t="shared" si="3"/>
        <v>LGE275</v>
      </c>
      <c r="D108" s="75" t="s">
        <v>359</v>
      </c>
      <c r="E108" s="81">
        <v>521</v>
      </c>
      <c r="F108" s="80"/>
      <c r="G108" s="79">
        <v>27391</v>
      </c>
      <c r="H108" s="79">
        <v>14253.53</v>
      </c>
      <c r="I108" s="81">
        <v>499</v>
      </c>
      <c r="J108" s="80"/>
      <c r="K108" s="79">
        <v>27126</v>
      </c>
      <c r="L108" s="79">
        <v>13644.36</v>
      </c>
      <c r="M108" s="81">
        <v>510</v>
      </c>
      <c r="N108" s="80"/>
      <c r="O108" s="79">
        <v>32836</v>
      </c>
      <c r="P108" s="79">
        <v>14039.19</v>
      </c>
      <c r="Q108" s="81">
        <v>521</v>
      </c>
      <c r="R108" s="80"/>
      <c r="S108" s="79">
        <v>34362</v>
      </c>
      <c r="T108" s="79">
        <v>14342.59</v>
      </c>
      <c r="U108" s="81">
        <v>482</v>
      </c>
      <c r="V108" s="80"/>
      <c r="W108" s="79">
        <v>34737</v>
      </c>
      <c r="X108" s="79">
        <v>13340.62</v>
      </c>
      <c r="Y108" s="81">
        <v>536</v>
      </c>
      <c r="Z108" s="80"/>
      <c r="AA108" s="79">
        <v>43941</v>
      </c>
      <c r="AB108" s="79">
        <v>14760.83</v>
      </c>
      <c r="AC108" s="81">
        <v>498</v>
      </c>
      <c r="AD108" s="80"/>
      <c r="AE108" s="79">
        <v>41134</v>
      </c>
      <c r="AF108" s="79">
        <v>13703.59</v>
      </c>
      <c r="AG108" s="81">
        <v>509</v>
      </c>
      <c r="AH108" s="80"/>
      <c r="AI108" s="79">
        <v>40015</v>
      </c>
      <c r="AJ108" s="79">
        <v>14580.79</v>
      </c>
      <c r="AK108" s="81">
        <v>520</v>
      </c>
      <c r="AL108" s="80"/>
      <c r="AM108" s="79">
        <v>35174</v>
      </c>
      <c r="AN108" s="79">
        <v>15034.15</v>
      </c>
      <c r="AO108" s="81">
        <v>491</v>
      </c>
      <c r="AP108" s="80"/>
      <c r="AQ108" s="79">
        <v>31686</v>
      </c>
      <c r="AR108" s="79">
        <v>13707.13</v>
      </c>
      <c r="AS108" s="81">
        <v>488</v>
      </c>
      <c r="AT108" s="80"/>
      <c r="AU108" s="79">
        <v>27972</v>
      </c>
      <c r="AV108" s="79">
        <v>13340.88</v>
      </c>
      <c r="AW108" s="81">
        <v>477</v>
      </c>
      <c r="AX108" s="80"/>
      <c r="AY108" s="79">
        <v>27103</v>
      </c>
      <c r="AZ108" s="79">
        <v>13004.97</v>
      </c>
      <c r="BA108" s="74">
        <v>6052</v>
      </c>
      <c r="BB108" s="73"/>
      <c r="BC108" s="72">
        <v>403477</v>
      </c>
      <c r="BD108" s="72">
        <v>167752.63</v>
      </c>
    </row>
    <row r="109" spans="1:56" ht="15" thickBot="1" x14ac:dyDescent="0.35">
      <c r="A109" s="75" t="s">
        <v>155</v>
      </c>
      <c r="B109" s="75" t="s">
        <v>358</v>
      </c>
      <c r="C109" s="213" t="str">
        <f t="shared" si="3"/>
        <v>LGE276</v>
      </c>
      <c r="D109" s="75" t="s">
        <v>357</v>
      </c>
      <c r="E109" s="78">
        <v>1347</v>
      </c>
      <c r="F109" s="77"/>
      <c r="G109" s="76">
        <v>38497</v>
      </c>
      <c r="H109" s="76">
        <v>21241.63</v>
      </c>
      <c r="I109" s="78">
        <v>1332</v>
      </c>
      <c r="J109" s="77"/>
      <c r="K109" s="76">
        <v>40917</v>
      </c>
      <c r="L109" s="76">
        <v>21174.11</v>
      </c>
      <c r="M109" s="78">
        <v>1334</v>
      </c>
      <c r="N109" s="77"/>
      <c r="O109" s="76">
        <v>47997</v>
      </c>
      <c r="P109" s="76">
        <v>21380.21</v>
      </c>
      <c r="Q109" s="78">
        <v>1333</v>
      </c>
      <c r="R109" s="77"/>
      <c r="S109" s="76">
        <v>49305</v>
      </c>
      <c r="T109" s="76">
        <v>21375.3</v>
      </c>
      <c r="U109" s="78">
        <v>1328</v>
      </c>
      <c r="V109" s="77"/>
      <c r="W109" s="76">
        <v>53221</v>
      </c>
      <c r="X109" s="76">
        <v>21380.37</v>
      </c>
      <c r="Y109" s="78">
        <v>1347</v>
      </c>
      <c r="Z109" s="77"/>
      <c r="AA109" s="76">
        <v>61446</v>
      </c>
      <c r="AB109" s="76">
        <v>21376.23</v>
      </c>
      <c r="AC109" s="78">
        <v>2126</v>
      </c>
      <c r="AD109" s="77"/>
      <c r="AE109" s="76">
        <v>90931</v>
      </c>
      <c r="AF109" s="76">
        <v>33181.519999999997</v>
      </c>
      <c r="AG109" s="78">
        <v>1362</v>
      </c>
      <c r="AH109" s="78">
        <v>1</v>
      </c>
      <c r="AI109" s="76">
        <v>54836</v>
      </c>
      <c r="AJ109" s="76">
        <v>23556.3</v>
      </c>
      <c r="AK109" s="78">
        <v>1363</v>
      </c>
      <c r="AL109" s="77"/>
      <c r="AM109" s="76">
        <v>50309</v>
      </c>
      <c r="AN109" s="76">
        <v>23648.85</v>
      </c>
      <c r="AO109" s="78">
        <v>1369</v>
      </c>
      <c r="AP109" s="78">
        <v>1</v>
      </c>
      <c r="AQ109" s="76">
        <v>49025</v>
      </c>
      <c r="AR109" s="76">
        <v>22818.12</v>
      </c>
      <c r="AS109" s="78">
        <v>1376</v>
      </c>
      <c r="AT109" s="77"/>
      <c r="AU109" s="76">
        <v>42137</v>
      </c>
      <c r="AV109" s="76">
        <v>22496.21</v>
      </c>
      <c r="AW109" s="78">
        <v>1361</v>
      </c>
      <c r="AX109" s="77"/>
      <c r="AY109" s="76">
        <v>41723</v>
      </c>
      <c r="AZ109" s="76">
        <v>22267.31</v>
      </c>
      <c r="BA109" s="74">
        <v>16978</v>
      </c>
      <c r="BB109" s="74">
        <v>2</v>
      </c>
      <c r="BC109" s="72">
        <v>620344</v>
      </c>
      <c r="BD109" s="72">
        <v>275896.15999999997</v>
      </c>
    </row>
    <row r="110" spans="1:56" ht="15" thickBot="1" x14ac:dyDescent="0.35">
      <c r="A110" s="75" t="s">
        <v>155</v>
      </c>
      <c r="B110" s="75" t="s">
        <v>356</v>
      </c>
      <c r="C110" s="213" t="str">
        <f t="shared" si="3"/>
        <v>LGE277</v>
      </c>
      <c r="D110" s="75" t="s">
        <v>355</v>
      </c>
      <c r="E110" s="81">
        <v>2327</v>
      </c>
      <c r="F110" s="81">
        <v>1</v>
      </c>
      <c r="G110" s="79">
        <v>120611</v>
      </c>
      <c r="H110" s="79">
        <v>57724.02</v>
      </c>
      <c r="I110" s="81">
        <v>2339</v>
      </c>
      <c r="J110" s="80"/>
      <c r="K110" s="79">
        <v>131878</v>
      </c>
      <c r="L110" s="79">
        <v>57849.440000000002</v>
      </c>
      <c r="M110" s="81">
        <v>2326</v>
      </c>
      <c r="N110" s="80"/>
      <c r="O110" s="79">
        <v>152825</v>
      </c>
      <c r="P110" s="79">
        <v>58188.18</v>
      </c>
      <c r="Q110" s="81">
        <v>2339</v>
      </c>
      <c r="R110" s="80"/>
      <c r="S110" s="79">
        <v>157791</v>
      </c>
      <c r="T110" s="79">
        <v>58512.28</v>
      </c>
      <c r="U110" s="81">
        <v>2334</v>
      </c>
      <c r="V110" s="80"/>
      <c r="W110" s="79">
        <v>173417</v>
      </c>
      <c r="X110" s="79">
        <v>58544.36</v>
      </c>
      <c r="Y110" s="81">
        <v>2341</v>
      </c>
      <c r="Z110" s="80"/>
      <c r="AA110" s="79">
        <v>194525</v>
      </c>
      <c r="AB110" s="79">
        <v>58426.06</v>
      </c>
      <c r="AC110" s="81">
        <v>2370</v>
      </c>
      <c r="AD110" s="80"/>
      <c r="AE110" s="79">
        <v>197791</v>
      </c>
      <c r="AF110" s="79">
        <v>58660.62</v>
      </c>
      <c r="AG110" s="81">
        <v>2335</v>
      </c>
      <c r="AH110" s="80"/>
      <c r="AI110" s="79">
        <v>169829</v>
      </c>
      <c r="AJ110" s="79">
        <v>60588.17</v>
      </c>
      <c r="AK110" s="81">
        <v>2348</v>
      </c>
      <c r="AL110" s="80"/>
      <c r="AM110" s="79">
        <v>155722</v>
      </c>
      <c r="AN110" s="79">
        <v>61884.43</v>
      </c>
      <c r="AO110" s="81">
        <v>2334</v>
      </c>
      <c r="AP110" s="80"/>
      <c r="AQ110" s="79">
        <v>151774</v>
      </c>
      <c r="AR110" s="79">
        <v>59039.7</v>
      </c>
      <c r="AS110" s="81">
        <v>2334</v>
      </c>
      <c r="AT110" s="80"/>
      <c r="AU110" s="79">
        <v>129634</v>
      </c>
      <c r="AV110" s="79">
        <v>57956.92</v>
      </c>
      <c r="AW110" s="81">
        <v>2334</v>
      </c>
      <c r="AX110" s="80"/>
      <c r="AY110" s="79">
        <v>129461</v>
      </c>
      <c r="AZ110" s="79">
        <v>57900.69</v>
      </c>
      <c r="BA110" s="74">
        <v>28061</v>
      </c>
      <c r="BB110" s="74">
        <v>1</v>
      </c>
      <c r="BC110" s="72">
        <v>1865258</v>
      </c>
      <c r="BD110" s="72">
        <v>705274.86999999988</v>
      </c>
    </row>
    <row r="111" spans="1:56" ht="15" thickBot="1" x14ac:dyDescent="0.35">
      <c r="A111" s="75" t="s">
        <v>155</v>
      </c>
      <c r="B111" s="75" t="s">
        <v>354</v>
      </c>
      <c r="C111" s="213" t="str">
        <f t="shared" si="3"/>
        <v>LGE278</v>
      </c>
      <c r="D111" s="75" t="s">
        <v>353</v>
      </c>
      <c r="E111" s="78">
        <v>17</v>
      </c>
      <c r="F111" s="77"/>
      <c r="G111" s="76">
        <v>4887</v>
      </c>
      <c r="H111" s="76">
        <v>1408.56</v>
      </c>
      <c r="I111" s="78">
        <v>17</v>
      </c>
      <c r="J111" s="77"/>
      <c r="K111" s="76">
        <v>5083</v>
      </c>
      <c r="L111" s="76">
        <v>1402.08</v>
      </c>
      <c r="M111" s="78">
        <v>17</v>
      </c>
      <c r="N111" s="77"/>
      <c r="O111" s="76">
        <v>6062</v>
      </c>
      <c r="P111" s="76">
        <v>1415.96</v>
      </c>
      <c r="Q111" s="78">
        <v>17</v>
      </c>
      <c r="R111" s="77"/>
      <c r="S111" s="76">
        <v>6299</v>
      </c>
      <c r="T111" s="76">
        <v>1416.52</v>
      </c>
      <c r="U111" s="78">
        <v>17</v>
      </c>
      <c r="V111" s="77"/>
      <c r="W111" s="76">
        <v>6655</v>
      </c>
      <c r="X111" s="76">
        <v>1420.69</v>
      </c>
      <c r="Y111" s="78">
        <v>17</v>
      </c>
      <c r="Z111" s="77"/>
      <c r="AA111" s="76">
        <v>7934</v>
      </c>
      <c r="AB111" s="76">
        <v>1405.4</v>
      </c>
      <c r="AC111" s="78">
        <v>2</v>
      </c>
      <c r="AD111" s="77"/>
      <c r="AE111" s="76">
        <v>338</v>
      </c>
      <c r="AF111" s="76">
        <v>-67.73</v>
      </c>
      <c r="AG111" s="78">
        <v>12</v>
      </c>
      <c r="AH111" s="77"/>
      <c r="AI111" s="76">
        <v>4948</v>
      </c>
      <c r="AJ111" s="76">
        <v>1053.3699999999999</v>
      </c>
      <c r="AK111" s="78">
        <v>12</v>
      </c>
      <c r="AL111" s="77"/>
      <c r="AM111" s="76">
        <v>4549</v>
      </c>
      <c r="AN111" s="76">
        <v>1057.6500000000001</v>
      </c>
      <c r="AO111" s="78">
        <v>12</v>
      </c>
      <c r="AP111" s="77"/>
      <c r="AQ111" s="76">
        <v>4357</v>
      </c>
      <c r="AR111" s="76">
        <v>1013.84</v>
      </c>
      <c r="AS111" s="78">
        <v>12</v>
      </c>
      <c r="AT111" s="77"/>
      <c r="AU111" s="76">
        <v>3831</v>
      </c>
      <c r="AV111" s="76">
        <v>992.01</v>
      </c>
      <c r="AW111" s="78">
        <v>12</v>
      </c>
      <c r="AX111" s="77"/>
      <c r="AY111" s="76">
        <v>3120</v>
      </c>
      <c r="AZ111" s="76">
        <v>843.55</v>
      </c>
      <c r="BA111" s="74">
        <v>164</v>
      </c>
      <c r="BB111" s="73"/>
      <c r="BC111" s="72">
        <v>58063</v>
      </c>
      <c r="BD111" s="72">
        <v>13361.900000000001</v>
      </c>
    </row>
    <row r="112" spans="1:56" ht="15" thickBot="1" x14ac:dyDescent="0.35">
      <c r="A112" s="75" t="s">
        <v>155</v>
      </c>
      <c r="B112" s="75" t="s">
        <v>352</v>
      </c>
      <c r="C112" s="213" t="str">
        <f t="shared" si="3"/>
        <v>LGE279</v>
      </c>
      <c r="D112" s="75" t="s">
        <v>351</v>
      </c>
      <c r="E112" s="81">
        <v>11</v>
      </c>
      <c r="F112" s="80"/>
      <c r="G112" s="79">
        <v>3109</v>
      </c>
      <c r="H112" s="79">
        <v>519.47</v>
      </c>
      <c r="I112" s="81">
        <v>11</v>
      </c>
      <c r="J112" s="80"/>
      <c r="K112" s="79">
        <v>3316</v>
      </c>
      <c r="L112" s="79">
        <v>515.23</v>
      </c>
      <c r="M112" s="81">
        <v>11</v>
      </c>
      <c r="N112" s="80"/>
      <c r="O112" s="79">
        <v>4008</v>
      </c>
      <c r="P112" s="79">
        <v>521.01</v>
      </c>
      <c r="Q112" s="81">
        <v>11</v>
      </c>
      <c r="R112" s="80"/>
      <c r="S112" s="79">
        <v>4013</v>
      </c>
      <c r="T112" s="79">
        <v>521.35</v>
      </c>
      <c r="U112" s="81">
        <v>11</v>
      </c>
      <c r="V112" s="80"/>
      <c r="W112" s="79">
        <v>4316</v>
      </c>
      <c r="X112" s="79">
        <v>522.67999999999995</v>
      </c>
      <c r="Y112" s="81">
        <v>11</v>
      </c>
      <c r="Z112" s="80"/>
      <c r="AA112" s="79">
        <v>5112</v>
      </c>
      <c r="AB112" s="79">
        <v>512.32000000000005</v>
      </c>
      <c r="AC112" s="81">
        <v>2</v>
      </c>
      <c r="AD112" s="80"/>
      <c r="AE112" s="79">
        <v>644</v>
      </c>
      <c r="AF112" s="79">
        <v>8.9600000000000009</v>
      </c>
      <c r="AG112" s="81">
        <v>8</v>
      </c>
      <c r="AH112" s="80"/>
      <c r="AI112" s="79">
        <v>3296</v>
      </c>
      <c r="AJ112" s="79">
        <v>411.13</v>
      </c>
      <c r="AK112" s="81">
        <v>8</v>
      </c>
      <c r="AL112" s="80"/>
      <c r="AM112" s="79">
        <v>2947</v>
      </c>
      <c r="AN112" s="79">
        <v>414.92</v>
      </c>
      <c r="AO112" s="81">
        <v>8</v>
      </c>
      <c r="AP112" s="80"/>
      <c r="AQ112" s="79">
        <v>2907</v>
      </c>
      <c r="AR112" s="79">
        <v>397.16</v>
      </c>
      <c r="AS112" s="81">
        <v>8</v>
      </c>
      <c r="AT112" s="80"/>
      <c r="AU112" s="79">
        <v>2569</v>
      </c>
      <c r="AV112" s="79">
        <v>386.47</v>
      </c>
      <c r="AW112" s="81">
        <v>8</v>
      </c>
      <c r="AX112" s="80"/>
      <c r="AY112" s="79">
        <v>1854</v>
      </c>
      <c r="AZ112" s="79">
        <v>299.36</v>
      </c>
      <c r="BA112" s="74">
        <v>108</v>
      </c>
      <c r="BB112" s="73"/>
      <c r="BC112" s="72">
        <v>38091</v>
      </c>
      <c r="BD112" s="72">
        <v>5030.0600000000004</v>
      </c>
    </row>
    <row r="113" spans="1:56" ht="15" thickBot="1" x14ac:dyDescent="0.35">
      <c r="A113" s="75" t="s">
        <v>155</v>
      </c>
      <c r="B113" s="75" t="s">
        <v>350</v>
      </c>
      <c r="C113" s="213" t="str">
        <f t="shared" si="3"/>
        <v>LGE280</v>
      </c>
      <c r="D113" s="75" t="s">
        <v>349</v>
      </c>
      <c r="E113" s="78">
        <v>46</v>
      </c>
      <c r="F113" s="77"/>
      <c r="G113" s="76">
        <v>1369</v>
      </c>
      <c r="H113" s="76">
        <v>1842.52</v>
      </c>
      <c r="I113" s="78">
        <v>46</v>
      </c>
      <c r="J113" s="77"/>
      <c r="K113" s="76">
        <v>1365</v>
      </c>
      <c r="L113" s="76">
        <v>1841.31</v>
      </c>
      <c r="M113" s="78">
        <v>46</v>
      </c>
      <c r="N113" s="77"/>
      <c r="O113" s="76">
        <v>1604</v>
      </c>
      <c r="P113" s="76">
        <v>1857.08</v>
      </c>
      <c r="Q113" s="78">
        <v>46</v>
      </c>
      <c r="R113" s="77"/>
      <c r="S113" s="76">
        <v>1701</v>
      </c>
      <c r="T113" s="76">
        <v>1857.24</v>
      </c>
      <c r="U113" s="78">
        <v>46</v>
      </c>
      <c r="V113" s="77"/>
      <c r="W113" s="76">
        <v>1792</v>
      </c>
      <c r="X113" s="76">
        <v>1863.62</v>
      </c>
      <c r="Y113" s="78">
        <v>46</v>
      </c>
      <c r="Z113" s="77"/>
      <c r="AA113" s="76">
        <v>2028</v>
      </c>
      <c r="AB113" s="76">
        <v>1861.86</v>
      </c>
      <c r="AC113" s="78">
        <v>64</v>
      </c>
      <c r="AD113" s="77"/>
      <c r="AE113" s="76">
        <v>2574</v>
      </c>
      <c r="AF113" s="76">
        <v>2187.4</v>
      </c>
      <c r="AG113" s="78">
        <v>46</v>
      </c>
      <c r="AH113" s="77"/>
      <c r="AI113" s="76">
        <v>1527</v>
      </c>
      <c r="AJ113" s="76">
        <v>1569.65</v>
      </c>
      <c r="AK113" s="78">
        <v>46</v>
      </c>
      <c r="AL113" s="77"/>
      <c r="AM113" s="76">
        <v>1695</v>
      </c>
      <c r="AN113" s="76">
        <v>1930.53</v>
      </c>
      <c r="AO113" s="78">
        <v>46</v>
      </c>
      <c r="AP113" s="77"/>
      <c r="AQ113" s="76">
        <v>1727</v>
      </c>
      <c r="AR113" s="76">
        <v>1853.35</v>
      </c>
      <c r="AS113" s="78">
        <v>46</v>
      </c>
      <c r="AT113" s="77"/>
      <c r="AU113" s="76">
        <v>1451</v>
      </c>
      <c r="AV113" s="76">
        <v>1824.76</v>
      </c>
      <c r="AW113" s="78">
        <v>46</v>
      </c>
      <c r="AX113" s="77"/>
      <c r="AY113" s="76">
        <v>1365</v>
      </c>
      <c r="AZ113" s="76">
        <v>1824.91</v>
      </c>
      <c r="BA113" s="74">
        <v>570</v>
      </c>
      <c r="BB113" s="73"/>
      <c r="BC113" s="72">
        <v>20198</v>
      </c>
      <c r="BD113" s="72">
        <v>22314.229999999996</v>
      </c>
    </row>
    <row r="114" spans="1:56" ht="15" thickBot="1" x14ac:dyDescent="0.35">
      <c r="A114" s="75" t="s">
        <v>155</v>
      </c>
      <c r="B114" s="75" t="s">
        <v>348</v>
      </c>
      <c r="C114" s="213" t="str">
        <f t="shared" si="3"/>
        <v>LGE281</v>
      </c>
      <c r="D114" s="75" t="s">
        <v>347</v>
      </c>
      <c r="E114" s="81">
        <v>245</v>
      </c>
      <c r="F114" s="80"/>
      <c r="G114" s="79">
        <v>9262</v>
      </c>
      <c r="H114" s="79">
        <v>9815.56</v>
      </c>
      <c r="I114" s="81">
        <v>245</v>
      </c>
      <c r="J114" s="80"/>
      <c r="K114" s="79">
        <v>10058</v>
      </c>
      <c r="L114" s="79">
        <v>9804.6200000000008</v>
      </c>
      <c r="M114" s="81">
        <v>245</v>
      </c>
      <c r="N114" s="80"/>
      <c r="O114" s="79">
        <v>11715</v>
      </c>
      <c r="P114" s="79">
        <v>9889.89</v>
      </c>
      <c r="Q114" s="81">
        <v>245</v>
      </c>
      <c r="R114" s="80"/>
      <c r="S114" s="79">
        <v>11999</v>
      </c>
      <c r="T114" s="79">
        <v>9890.92</v>
      </c>
      <c r="U114" s="81">
        <v>245</v>
      </c>
      <c r="V114" s="80"/>
      <c r="W114" s="79">
        <v>12950</v>
      </c>
      <c r="X114" s="79">
        <v>9924.74</v>
      </c>
      <c r="Y114" s="81">
        <v>245</v>
      </c>
      <c r="Z114" s="80"/>
      <c r="AA114" s="79">
        <v>14745</v>
      </c>
      <c r="AB114" s="79">
        <v>9906.92</v>
      </c>
      <c r="AC114" s="81">
        <v>245</v>
      </c>
      <c r="AD114" s="80"/>
      <c r="AE114" s="79">
        <v>15160</v>
      </c>
      <c r="AF114" s="79">
        <v>9904.8700000000008</v>
      </c>
      <c r="AG114" s="81">
        <v>245</v>
      </c>
      <c r="AH114" s="80"/>
      <c r="AI114" s="79">
        <v>12977</v>
      </c>
      <c r="AJ114" s="79">
        <v>10301.76</v>
      </c>
      <c r="AK114" s="81">
        <v>228</v>
      </c>
      <c r="AL114" s="81">
        <v>17</v>
      </c>
      <c r="AM114" s="79">
        <v>10165</v>
      </c>
      <c r="AN114" s="79">
        <v>8913.89</v>
      </c>
      <c r="AO114" s="81">
        <v>245</v>
      </c>
      <c r="AP114" s="80"/>
      <c r="AQ114" s="79">
        <v>11726</v>
      </c>
      <c r="AR114" s="79">
        <v>9876.42</v>
      </c>
      <c r="AS114" s="81">
        <v>245</v>
      </c>
      <c r="AT114" s="80"/>
      <c r="AU114" s="79">
        <v>9974</v>
      </c>
      <c r="AV114" s="79">
        <v>9719.76</v>
      </c>
      <c r="AW114" s="81">
        <v>245</v>
      </c>
      <c r="AX114" s="80"/>
      <c r="AY114" s="79">
        <v>9637</v>
      </c>
      <c r="AZ114" s="79">
        <v>9690.58</v>
      </c>
      <c r="BA114" s="74">
        <v>2923</v>
      </c>
      <c r="BB114" s="74">
        <v>17</v>
      </c>
      <c r="BC114" s="72">
        <v>140368</v>
      </c>
      <c r="BD114" s="72">
        <v>117639.92999999998</v>
      </c>
    </row>
    <row r="115" spans="1:56" ht="15" thickBot="1" x14ac:dyDescent="0.35">
      <c r="A115" s="75" t="s">
        <v>155</v>
      </c>
      <c r="B115" s="75" t="s">
        <v>346</v>
      </c>
      <c r="C115" s="213" t="str">
        <f t="shared" si="3"/>
        <v>LGE282</v>
      </c>
      <c r="D115" s="75" t="s">
        <v>345</v>
      </c>
      <c r="E115" s="78">
        <v>106</v>
      </c>
      <c r="F115" s="77"/>
      <c r="G115" s="76">
        <v>3043</v>
      </c>
      <c r="H115" s="76">
        <v>3455.75</v>
      </c>
      <c r="I115" s="78">
        <v>106</v>
      </c>
      <c r="J115" s="77"/>
      <c r="K115" s="76">
        <v>3309</v>
      </c>
      <c r="L115" s="76">
        <v>3452.3</v>
      </c>
      <c r="M115" s="78">
        <v>106</v>
      </c>
      <c r="N115" s="77"/>
      <c r="O115" s="76">
        <v>3838</v>
      </c>
      <c r="P115" s="76">
        <v>3482.22</v>
      </c>
      <c r="Q115" s="78">
        <v>106</v>
      </c>
      <c r="R115" s="77"/>
      <c r="S115" s="76">
        <v>3889</v>
      </c>
      <c r="T115" s="76">
        <v>3482.54</v>
      </c>
      <c r="U115" s="78">
        <v>106</v>
      </c>
      <c r="V115" s="77"/>
      <c r="W115" s="76">
        <v>4290</v>
      </c>
      <c r="X115" s="76">
        <v>3494.47</v>
      </c>
      <c r="Y115" s="78">
        <v>106</v>
      </c>
      <c r="Z115" s="77"/>
      <c r="AA115" s="76">
        <v>4678</v>
      </c>
      <c r="AB115" s="76">
        <v>3489.3</v>
      </c>
      <c r="AC115" s="78">
        <v>106</v>
      </c>
      <c r="AD115" s="77"/>
      <c r="AE115" s="76">
        <v>5105</v>
      </c>
      <c r="AF115" s="76">
        <v>3488.09</v>
      </c>
      <c r="AG115" s="78">
        <v>106</v>
      </c>
      <c r="AH115" s="77"/>
      <c r="AI115" s="76">
        <v>4254</v>
      </c>
      <c r="AJ115" s="76">
        <v>3647.19</v>
      </c>
      <c r="AK115" s="78">
        <v>106</v>
      </c>
      <c r="AL115" s="77"/>
      <c r="AM115" s="76">
        <v>3839</v>
      </c>
      <c r="AN115" s="76">
        <v>3642.15</v>
      </c>
      <c r="AO115" s="78">
        <v>106</v>
      </c>
      <c r="AP115" s="77"/>
      <c r="AQ115" s="76">
        <v>3816</v>
      </c>
      <c r="AR115" s="76">
        <v>3496.32</v>
      </c>
      <c r="AS115" s="78">
        <v>106</v>
      </c>
      <c r="AT115" s="77"/>
      <c r="AU115" s="76">
        <v>3302</v>
      </c>
      <c r="AV115" s="76">
        <v>3441.2</v>
      </c>
      <c r="AW115" s="78">
        <v>106</v>
      </c>
      <c r="AX115" s="77"/>
      <c r="AY115" s="76">
        <v>3197</v>
      </c>
      <c r="AZ115" s="76">
        <v>3441.01</v>
      </c>
      <c r="BA115" s="74">
        <v>1272</v>
      </c>
      <c r="BB115" s="73"/>
      <c r="BC115" s="72">
        <v>46560</v>
      </c>
      <c r="BD115" s="72">
        <v>42012.54</v>
      </c>
    </row>
    <row r="116" spans="1:56" ht="15" thickBot="1" x14ac:dyDescent="0.35">
      <c r="A116" s="75" t="s">
        <v>155</v>
      </c>
      <c r="B116" s="75" t="s">
        <v>344</v>
      </c>
      <c r="C116" s="213" t="str">
        <f t="shared" si="3"/>
        <v>LGE283</v>
      </c>
      <c r="D116" s="75" t="s">
        <v>343</v>
      </c>
      <c r="E116" s="81">
        <v>82</v>
      </c>
      <c r="F116" s="80"/>
      <c r="G116" s="79">
        <v>3185</v>
      </c>
      <c r="H116" s="79">
        <v>3419.53</v>
      </c>
      <c r="I116" s="81">
        <v>82</v>
      </c>
      <c r="J116" s="80"/>
      <c r="K116" s="79">
        <v>3401</v>
      </c>
      <c r="L116" s="79">
        <v>3415.42</v>
      </c>
      <c r="M116" s="81">
        <v>82</v>
      </c>
      <c r="N116" s="80"/>
      <c r="O116" s="79">
        <v>4053</v>
      </c>
      <c r="P116" s="79">
        <v>3445.07</v>
      </c>
      <c r="Q116" s="81">
        <v>82</v>
      </c>
      <c r="R116" s="80"/>
      <c r="S116" s="79">
        <v>4072</v>
      </c>
      <c r="T116" s="79">
        <v>3445.48</v>
      </c>
      <c r="U116" s="81">
        <v>82</v>
      </c>
      <c r="V116" s="80"/>
      <c r="W116" s="79">
        <v>4347</v>
      </c>
      <c r="X116" s="79">
        <v>3457.22</v>
      </c>
      <c r="Y116" s="81">
        <v>82</v>
      </c>
      <c r="Z116" s="80"/>
      <c r="AA116" s="79">
        <v>5158</v>
      </c>
      <c r="AB116" s="79">
        <v>3450.71</v>
      </c>
      <c r="AC116" s="81">
        <v>99</v>
      </c>
      <c r="AD116" s="80"/>
      <c r="AE116" s="79">
        <v>5907</v>
      </c>
      <c r="AF116" s="79">
        <v>3855</v>
      </c>
      <c r="AG116" s="81">
        <v>99</v>
      </c>
      <c r="AH116" s="80"/>
      <c r="AI116" s="79">
        <v>5093</v>
      </c>
      <c r="AJ116" s="79">
        <v>4015.27</v>
      </c>
      <c r="AK116" s="81">
        <v>99</v>
      </c>
      <c r="AL116" s="80"/>
      <c r="AM116" s="79">
        <v>4952</v>
      </c>
      <c r="AN116" s="79">
        <v>4010.25</v>
      </c>
      <c r="AO116" s="81">
        <v>99</v>
      </c>
      <c r="AP116" s="80"/>
      <c r="AQ116" s="79">
        <v>4540</v>
      </c>
      <c r="AR116" s="79">
        <v>3849.62</v>
      </c>
      <c r="AS116" s="81">
        <v>99</v>
      </c>
      <c r="AT116" s="80"/>
      <c r="AU116" s="79">
        <v>3900</v>
      </c>
      <c r="AV116" s="79">
        <v>3788.41</v>
      </c>
      <c r="AW116" s="81">
        <v>99</v>
      </c>
      <c r="AX116" s="80"/>
      <c r="AY116" s="79">
        <v>4071</v>
      </c>
      <c r="AZ116" s="79">
        <v>3787.09</v>
      </c>
      <c r="BA116" s="74">
        <v>1086</v>
      </c>
      <c r="BB116" s="73"/>
      <c r="BC116" s="72">
        <v>52679</v>
      </c>
      <c r="BD116" s="72">
        <v>43939.069999999992</v>
      </c>
    </row>
    <row r="117" spans="1:56" ht="15" thickBot="1" x14ac:dyDescent="0.35">
      <c r="A117" s="75" t="s">
        <v>155</v>
      </c>
      <c r="B117" s="75" t="s">
        <v>342</v>
      </c>
      <c r="C117" s="213" t="str">
        <f t="shared" si="3"/>
        <v>LGE314</v>
      </c>
      <c r="D117" s="75" t="s">
        <v>341</v>
      </c>
      <c r="E117" s="78">
        <v>479</v>
      </c>
      <c r="F117" s="77"/>
      <c r="G117" s="76">
        <v>36485</v>
      </c>
      <c r="H117" s="76">
        <v>10016.030000000001</v>
      </c>
      <c r="I117" s="78">
        <v>477</v>
      </c>
      <c r="J117" s="78">
        <v>110</v>
      </c>
      <c r="K117" s="76">
        <v>41519</v>
      </c>
      <c r="L117" s="76">
        <v>9912.57</v>
      </c>
      <c r="M117" s="78">
        <v>475</v>
      </c>
      <c r="N117" s="78">
        <v>127</v>
      </c>
      <c r="O117" s="76">
        <v>47689</v>
      </c>
      <c r="P117" s="76">
        <v>9946.5</v>
      </c>
      <c r="Q117" s="78">
        <v>472</v>
      </c>
      <c r="R117" s="77"/>
      <c r="S117" s="76">
        <v>47959</v>
      </c>
      <c r="T117" s="76">
        <v>9922.9500000000007</v>
      </c>
      <c r="U117" s="78">
        <v>416</v>
      </c>
      <c r="V117" s="78">
        <v>72</v>
      </c>
      <c r="W117" s="76">
        <v>51223</v>
      </c>
      <c r="X117" s="76">
        <v>8765.4500000000007</v>
      </c>
      <c r="Y117" s="78">
        <v>523</v>
      </c>
      <c r="Z117" s="78">
        <v>141</v>
      </c>
      <c r="AA117" s="76">
        <v>62832</v>
      </c>
      <c r="AB117" s="76">
        <v>10893.66</v>
      </c>
      <c r="AC117" s="78">
        <v>464</v>
      </c>
      <c r="AD117" s="78">
        <v>298</v>
      </c>
      <c r="AE117" s="76">
        <v>54842</v>
      </c>
      <c r="AF117" s="76">
        <v>9589.2800000000007</v>
      </c>
      <c r="AG117" s="78">
        <v>458</v>
      </c>
      <c r="AH117" s="78">
        <v>104</v>
      </c>
      <c r="AI117" s="76">
        <v>50554</v>
      </c>
      <c r="AJ117" s="76">
        <v>10008.76</v>
      </c>
      <c r="AK117" s="78">
        <v>456</v>
      </c>
      <c r="AL117" s="78">
        <v>103</v>
      </c>
      <c r="AM117" s="76">
        <v>45667</v>
      </c>
      <c r="AN117" s="76">
        <v>10032.700000000001</v>
      </c>
      <c r="AO117" s="78">
        <v>453</v>
      </c>
      <c r="AP117" s="77"/>
      <c r="AQ117" s="76">
        <v>39883</v>
      </c>
      <c r="AR117" s="76">
        <v>9585.7900000000009</v>
      </c>
      <c r="AS117" s="78">
        <v>452</v>
      </c>
      <c r="AT117" s="78">
        <v>65</v>
      </c>
      <c r="AU117" s="76">
        <v>36386</v>
      </c>
      <c r="AV117" s="76">
        <v>9344.81</v>
      </c>
      <c r="AW117" s="78">
        <v>451</v>
      </c>
      <c r="AX117" s="77"/>
      <c r="AY117" s="76">
        <v>38010</v>
      </c>
      <c r="AZ117" s="76">
        <v>9302.86</v>
      </c>
      <c r="BA117" s="74">
        <v>5576</v>
      </c>
      <c r="BB117" s="74">
        <v>1020</v>
      </c>
      <c r="BC117" s="72">
        <v>553049</v>
      </c>
      <c r="BD117" s="72">
        <v>117321.36</v>
      </c>
    </row>
    <row r="118" spans="1:56" ht="15" thickBot="1" x14ac:dyDescent="0.35">
      <c r="A118" s="75" t="s">
        <v>155</v>
      </c>
      <c r="B118" s="75" t="s">
        <v>340</v>
      </c>
      <c r="C118" s="213" t="str">
        <f t="shared" si="3"/>
        <v>LGE315</v>
      </c>
      <c r="D118" s="75" t="s">
        <v>339</v>
      </c>
      <c r="E118" s="81">
        <v>476</v>
      </c>
      <c r="F118" s="81">
        <v>257</v>
      </c>
      <c r="G118" s="79">
        <v>55766</v>
      </c>
      <c r="H118" s="79">
        <v>11797.36</v>
      </c>
      <c r="I118" s="81">
        <v>473</v>
      </c>
      <c r="J118" s="81">
        <v>256</v>
      </c>
      <c r="K118" s="79">
        <v>64739</v>
      </c>
      <c r="L118" s="79">
        <v>11700.01</v>
      </c>
      <c r="M118" s="81">
        <v>472</v>
      </c>
      <c r="N118" s="81">
        <v>509</v>
      </c>
      <c r="O118" s="79">
        <v>73796</v>
      </c>
      <c r="P118" s="79">
        <v>11782.39</v>
      </c>
      <c r="Q118" s="81">
        <v>469</v>
      </c>
      <c r="R118" s="81">
        <v>273</v>
      </c>
      <c r="S118" s="79">
        <v>74260</v>
      </c>
      <c r="T118" s="79">
        <v>11716.52</v>
      </c>
      <c r="U118" s="81">
        <v>464</v>
      </c>
      <c r="V118" s="81">
        <v>141</v>
      </c>
      <c r="W118" s="79">
        <v>89353</v>
      </c>
      <c r="X118" s="79">
        <v>11585.21</v>
      </c>
      <c r="Y118" s="81">
        <v>464</v>
      </c>
      <c r="Z118" s="81">
        <v>7</v>
      </c>
      <c r="AA118" s="79">
        <v>86344</v>
      </c>
      <c r="AB118" s="79">
        <v>11485.88</v>
      </c>
      <c r="AC118" s="81">
        <v>462</v>
      </c>
      <c r="AD118" s="81">
        <v>251</v>
      </c>
      <c r="AE118" s="79">
        <v>84167</v>
      </c>
      <c r="AF118" s="79">
        <v>11381.35</v>
      </c>
      <c r="AG118" s="81">
        <v>460</v>
      </c>
      <c r="AH118" s="81">
        <v>260</v>
      </c>
      <c r="AI118" s="79">
        <v>78354</v>
      </c>
      <c r="AJ118" s="79">
        <v>11979.54</v>
      </c>
      <c r="AK118" s="81">
        <v>458</v>
      </c>
      <c r="AL118" s="80"/>
      <c r="AM118" s="79">
        <v>70898</v>
      </c>
      <c r="AN118" s="79">
        <v>12033.35</v>
      </c>
      <c r="AO118" s="81">
        <v>457</v>
      </c>
      <c r="AP118" s="81">
        <v>130</v>
      </c>
      <c r="AQ118" s="79">
        <v>61906</v>
      </c>
      <c r="AR118" s="79">
        <v>11479.15</v>
      </c>
      <c r="AS118" s="81">
        <v>454</v>
      </c>
      <c r="AT118" s="80"/>
      <c r="AU118" s="79">
        <v>55680</v>
      </c>
      <c r="AV118" s="79">
        <v>11164.8</v>
      </c>
      <c r="AW118" s="81">
        <v>453</v>
      </c>
      <c r="AX118" s="80"/>
      <c r="AY118" s="79">
        <v>59367</v>
      </c>
      <c r="AZ118" s="79">
        <v>11101.43</v>
      </c>
      <c r="BA118" s="74">
        <v>5562</v>
      </c>
      <c r="BB118" s="74">
        <v>2084</v>
      </c>
      <c r="BC118" s="72">
        <v>854630</v>
      </c>
      <c r="BD118" s="72">
        <v>139206.99000000002</v>
      </c>
    </row>
    <row r="119" spans="1:56" ht="15" thickBot="1" x14ac:dyDescent="0.35">
      <c r="A119" s="75" t="s">
        <v>155</v>
      </c>
      <c r="B119" s="75" t="s">
        <v>338</v>
      </c>
      <c r="C119" s="213" t="str">
        <f t="shared" si="3"/>
        <v>LGE318</v>
      </c>
      <c r="D119" s="75" t="s">
        <v>337</v>
      </c>
      <c r="E119" s="78">
        <v>50</v>
      </c>
      <c r="F119" s="77"/>
      <c r="G119" s="76">
        <v>2681</v>
      </c>
      <c r="H119" s="76">
        <v>944.54</v>
      </c>
      <c r="I119" s="78">
        <v>50</v>
      </c>
      <c r="J119" s="77"/>
      <c r="K119" s="76">
        <v>3069</v>
      </c>
      <c r="L119" s="76">
        <v>927.53</v>
      </c>
      <c r="M119" s="78">
        <v>49</v>
      </c>
      <c r="N119" s="77"/>
      <c r="O119" s="76">
        <v>3500</v>
      </c>
      <c r="P119" s="76">
        <v>930.86</v>
      </c>
      <c r="Q119" s="78">
        <v>49</v>
      </c>
      <c r="R119" s="77"/>
      <c r="S119" s="76">
        <v>3530</v>
      </c>
      <c r="T119" s="76">
        <v>931.12</v>
      </c>
      <c r="U119" s="78">
        <v>49</v>
      </c>
      <c r="V119" s="77"/>
      <c r="W119" s="76">
        <v>4339</v>
      </c>
      <c r="X119" s="76">
        <v>933.91</v>
      </c>
      <c r="Y119" s="78">
        <v>49</v>
      </c>
      <c r="Z119" s="77"/>
      <c r="AA119" s="76">
        <v>4132</v>
      </c>
      <c r="AB119" s="76">
        <v>926.86</v>
      </c>
      <c r="AC119" s="78">
        <v>49</v>
      </c>
      <c r="AD119" s="77"/>
      <c r="AE119" s="76">
        <v>4055</v>
      </c>
      <c r="AF119" s="76">
        <v>925.12</v>
      </c>
      <c r="AG119" s="78">
        <v>49</v>
      </c>
      <c r="AH119" s="78">
        <v>7</v>
      </c>
      <c r="AI119" s="76">
        <v>3777</v>
      </c>
      <c r="AJ119" s="76">
        <v>964.69</v>
      </c>
      <c r="AK119" s="78">
        <v>48</v>
      </c>
      <c r="AL119" s="77"/>
      <c r="AM119" s="76">
        <v>3386</v>
      </c>
      <c r="AN119" s="76">
        <v>956.23</v>
      </c>
      <c r="AO119" s="78">
        <v>48</v>
      </c>
      <c r="AP119" s="77"/>
      <c r="AQ119" s="76">
        <v>2944</v>
      </c>
      <c r="AR119" s="76">
        <v>917.22</v>
      </c>
      <c r="AS119" s="78">
        <v>48</v>
      </c>
      <c r="AT119" s="77"/>
      <c r="AU119" s="76">
        <v>2670</v>
      </c>
      <c r="AV119" s="76">
        <v>899.3</v>
      </c>
      <c r="AW119" s="78">
        <v>48</v>
      </c>
      <c r="AX119" s="77"/>
      <c r="AY119" s="76">
        <v>2870</v>
      </c>
      <c r="AZ119" s="76">
        <v>897.5</v>
      </c>
      <c r="BA119" s="74">
        <v>586</v>
      </c>
      <c r="BB119" s="74">
        <v>7</v>
      </c>
      <c r="BC119" s="72">
        <v>40953</v>
      </c>
      <c r="BD119" s="72">
        <v>11154.879999999997</v>
      </c>
    </row>
    <row r="120" spans="1:56" ht="15" thickBot="1" x14ac:dyDescent="0.35">
      <c r="A120" s="75" t="s">
        <v>155</v>
      </c>
      <c r="B120" s="75" t="s">
        <v>336</v>
      </c>
      <c r="C120" s="213" t="str">
        <f t="shared" si="3"/>
        <v>LGE348</v>
      </c>
      <c r="D120" s="75" t="s">
        <v>335</v>
      </c>
      <c r="E120" s="81">
        <v>39</v>
      </c>
      <c r="F120" s="80"/>
      <c r="G120" s="79">
        <v>2986</v>
      </c>
      <c r="H120" s="79">
        <v>555.85</v>
      </c>
      <c r="I120" s="81">
        <v>39</v>
      </c>
      <c r="J120" s="80"/>
      <c r="K120" s="79">
        <v>3470</v>
      </c>
      <c r="L120" s="79">
        <v>551.61</v>
      </c>
      <c r="M120" s="81">
        <v>39</v>
      </c>
      <c r="N120" s="80"/>
      <c r="O120" s="79">
        <v>3980</v>
      </c>
      <c r="P120" s="79">
        <v>557.70000000000005</v>
      </c>
      <c r="Q120" s="81">
        <v>39</v>
      </c>
      <c r="R120" s="80"/>
      <c r="S120" s="79">
        <v>4015</v>
      </c>
      <c r="T120" s="79">
        <v>558.04</v>
      </c>
      <c r="U120" s="81">
        <v>39</v>
      </c>
      <c r="V120" s="80"/>
      <c r="W120" s="79">
        <v>4934</v>
      </c>
      <c r="X120" s="79">
        <v>559.36</v>
      </c>
      <c r="Y120" s="81">
        <v>39</v>
      </c>
      <c r="Z120" s="80"/>
      <c r="AA120" s="79">
        <v>4700</v>
      </c>
      <c r="AB120" s="79">
        <v>550.67999999999995</v>
      </c>
      <c r="AC120" s="81">
        <v>39</v>
      </c>
      <c r="AD120" s="80"/>
      <c r="AE120" s="79">
        <v>4611</v>
      </c>
      <c r="AF120" s="79">
        <v>548.19000000000005</v>
      </c>
      <c r="AG120" s="81">
        <v>39</v>
      </c>
      <c r="AH120" s="80"/>
      <c r="AI120" s="79">
        <v>4331</v>
      </c>
      <c r="AJ120" s="79">
        <v>593.35</v>
      </c>
      <c r="AK120" s="81">
        <v>39</v>
      </c>
      <c r="AL120" s="80"/>
      <c r="AM120" s="79">
        <v>3930</v>
      </c>
      <c r="AN120" s="79">
        <v>597.84</v>
      </c>
      <c r="AO120" s="81">
        <v>39</v>
      </c>
      <c r="AP120" s="80"/>
      <c r="AQ120" s="79">
        <v>3418</v>
      </c>
      <c r="AR120" s="79">
        <v>572.79</v>
      </c>
      <c r="AS120" s="81">
        <v>39</v>
      </c>
      <c r="AT120" s="80"/>
      <c r="AU120" s="79">
        <v>3099</v>
      </c>
      <c r="AV120" s="79">
        <v>558.79999999999995</v>
      </c>
      <c r="AW120" s="81">
        <v>39</v>
      </c>
      <c r="AX120" s="80"/>
      <c r="AY120" s="79">
        <v>3331</v>
      </c>
      <c r="AZ120" s="79">
        <v>556.59</v>
      </c>
      <c r="BA120" s="74">
        <v>468</v>
      </c>
      <c r="BB120" s="73"/>
      <c r="BC120" s="72">
        <v>46805</v>
      </c>
      <c r="BD120" s="72">
        <v>6760.8</v>
      </c>
    </row>
    <row r="121" spans="1:56" ht="15" thickBot="1" x14ac:dyDescent="0.35">
      <c r="A121" s="75" t="s">
        <v>155</v>
      </c>
      <c r="B121" s="75" t="s">
        <v>334</v>
      </c>
      <c r="C121" s="213" t="str">
        <f t="shared" si="3"/>
        <v>LGE349</v>
      </c>
      <c r="D121" s="75" t="s">
        <v>333</v>
      </c>
      <c r="E121" s="78">
        <v>17</v>
      </c>
      <c r="F121" s="77"/>
      <c r="G121" s="76">
        <v>434</v>
      </c>
      <c r="H121" s="76">
        <v>166.35</v>
      </c>
      <c r="I121" s="78">
        <v>17</v>
      </c>
      <c r="J121" s="77"/>
      <c r="K121" s="76">
        <v>504</v>
      </c>
      <c r="L121" s="76">
        <v>165.74</v>
      </c>
      <c r="M121" s="78">
        <v>17</v>
      </c>
      <c r="N121" s="77"/>
      <c r="O121" s="76">
        <v>578</v>
      </c>
      <c r="P121" s="76">
        <v>167.32</v>
      </c>
      <c r="Q121" s="78">
        <v>17</v>
      </c>
      <c r="R121" s="77"/>
      <c r="S121" s="76">
        <v>583</v>
      </c>
      <c r="T121" s="76">
        <v>167.37</v>
      </c>
      <c r="U121" s="78">
        <v>17</v>
      </c>
      <c r="V121" s="77"/>
      <c r="W121" s="76">
        <v>717</v>
      </c>
      <c r="X121" s="76">
        <v>167.87</v>
      </c>
      <c r="Y121" s="78">
        <v>17</v>
      </c>
      <c r="Z121" s="77"/>
      <c r="AA121" s="76">
        <v>683</v>
      </c>
      <c r="AB121" s="76">
        <v>166.73</v>
      </c>
      <c r="AC121" s="78">
        <v>17</v>
      </c>
      <c r="AD121" s="77"/>
      <c r="AE121" s="76">
        <v>670</v>
      </c>
      <c r="AF121" s="76">
        <v>166.45</v>
      </c>
      <c r="AG121" s="78">
        <v>17</v>
      </c>
      <c r="AH121" s="77"/>
      <c r="AI121" s="76">
        <v>629</v>
      </c>
      <c r="AJ121" s="76">
        <v>178.82</v>
      </c>
      <c r="AK121" s="78">
        <v>17</v>
      </c>
      <c r="AL121" s="77"/>
      <c r="AM121" s="76">
        <v>571</v>
      </c>
      <c r="AN121" s="76">
        <v>179.17</v>
      </c>
      <c r="AO121" s="78">
        <v>17</v>
      </c>
      <c r="AP121" s="77"/>
      <c r="AQ121" s="76">
        <v>497</v>
      </c>
      <c r="AR121" s="76">
        <v>171.88</v>
      </c>
      <c r="AS121" s="78">
        <v>17</v>
      </c>
      <c r="AT121" s="77"/>
      <c r="AU121" s="76">
        <v>450</v>
      </c>
      <c r="AV121" s="76">
        <v>168.62</v>
      </c>
      <c r="AW121" s="78">
        <v>17</v>
      </c>
      <c r="AX121" s="77"/>
      <c r="AY121" s="76">
        <v>484</v>
      </c>
      <c r="AZ121" s="76">
        <v>168.33</v>
      </c>
      <c r="BA121" s="74">
        <v>204</v>
      </c>
      <c r="BB121" s="73"/>
      <c r="BC121" s="72">
        <v>6800</v>
      </c>
      <c r="BD121" s="72">
        <v>2034.6499999999996</v>
      </c>
    </row>
    <row r="122" spans="1:56" ht="15" thickBot="1" x14ac:dyDescent="0.35">
      <c r="A122" s="75" t="s">
        <v>155</v>
      </c>
      <c r="B122" s="75" t="s">
        <v>332</v>
      </c>
      <c r="C122" s="213" t="str">
        <f t="shared" si="3"/>
        <v>LGE400</v>
      </c>
      <c r="D122" s="75" t="s">
        <v>331</v>
      </c>
      <c r="E122" s="81">
        <v>49</v>
      </c>
      <c r="F122" s="80"/>
      <c r="G122" s="79">
        <v>681</v>
      </c>
      <c r="H122" s="79">
        <v>1412.63</v>
      </c>
      <c r="I122" s="81">
        <v>49</v>
      </c>
      <c r="J122" s="80"/>
      <c r="K122" s="79">
        <v>651</v>
      </c>
      <c r="L122" s="79">
        <v>1412</v>
      </c>
      <c r="M122" s="81">
        <v>49</v>
      </c>
      <c r="N122" s="80"/>
      <c r="O122" s="79">
        <v>843</v>
      </c>
      <c r="P122" s="79">
        <v>1423.93</v>
      </c>
      <c r="Q122" s="81">
        <v>60</v>
      </c>
      <c r="R122" s="80"/>
      <c r="S122" s="79">
        <v>840</v>
      </c>
      <c r="T122" s="79">
        <v>1484.8</v>
      </c>
      <c r="U122" s="81">
        <v>49</v>
      </c>
      <c r="V122" s="80"/>
      <c r="W122" s="79">
        <v>815</v>
      </c>
      <c r="X122" s="79">
        <v>1429.01</v>
      </c>
      <c r="Y122" s="81">
        <v>49</v>
      </c>
      <c r="Z122" s="80"/>
      <c r="AA122" s="79">
        <v>1015</v>
      </c>
      <c r="AB122" s="79">
        <v>1428.71</v>
      </c>
      <c r="AC122" s="81">
        <v>61</v>
      </c>
      <c r="AD122" s="80"/>
      <c r="AE122" s="79">
        <v>1069</v>
      </c>
      <c r="AF122" s="79">
        <v>1502.66</v>
      </c>
      <c r="AG122" s="81">
        <v>51</v>
      </c>
      <c r="AH122" s="80"/>
      <c r="AI122" s="79">
        <v>931</v>
      </c>
      <c r="AJ122" s="79">
        <v>1592.22</v>
      </c>
      <c r="AK122" s="81">
        <v>51</v>
      </c>
      <c r="AL122" s="80"/>
      <c r="AM122" s="79">
        <v>894</v>
      </c>
      <c r="AN122" s="79">
        <v>1588.62</v>
      </c>
      <c r="AO122" s="81">
        <v>51</v>
      </c>
      <c r="AP122" s="80"/>
      <c r="AQ122" s="79">
        <v>838</v>
      </c>
      <c r="AR122" s="79">
        <v>1525.41</v>
      </c>
      <c r="AS122" s="81">
        <v>56</v>
      </c>
      <c r="AT122" s="80"/>
      <c r="AU122" s="79">
        <v>829</v>
      </c>
      <c r="AV122" s="79">
        <v>1742.19</v>
      </c>
      <c r="AW122" s="81">
        <v>56</v>
      </c>
      <c r="AX122" s="80"/>
      <c r="AY122" s="79">
        <v>796</v>
      </c>
      <c r="AZ122" s="79">
        <v>1662.56</v>
      </c>
      <c r="BA122" s="74">
        <v>631</v>
      </c>
      <c r="BB122" s="73"/>
      <c r="BC122" s="72">
        <v>10202</v>
      </c>
      <c r="BD122" s="72">
        <v>18204.740000000002</v>
      </c>
    </row>
    <row r="123" spans="1:56" ht="15" thickBot="1" x14ac:dyDescent="0.35">
      <c r="A123" s="75" t="s">
        <v>155</v>
      </c>
      <c r="B123" s="75" t="s">
        <v>330</v>
      </c>
      <c r="C123" s="213" t="str">
        <f t="shared" si="3"/>
        <v>LGE401</v>
      </c>
      <c r="D123" s="75" t="s">
        <v>329</v>
      </c>
      <c r="E123" s="78">
        <v>8</v>
      </c>
      <c r="F123" s="77"/>
      <c r="G123" s="76">
        <v>222</v>
      </c>
      <c r="H123" s="76">
        <v>228.68</v>
      </c>
      <c r="I123" s="78">
        <v>8</v>
      </c>
      <c r="J123" s="77"/>
      <c r="K123" s="76">
        <v>212</v>
      </c>
      <c r="L123" s="76">
        <v>228.48</v>
      </c>
      <c r="M123" s="78">
        <v>8</v>
      </c>
      <c r="N123" s="77"/>
      <c r="O123" s="76">
        <v>276</v>
      </c>
      <c r="P123" s="76">
        <v>230.44</v>
      </c>
      <c r="Q123" s="78">
        <v>18</v>
      </c>
      <c r="R123" s="77"/>
      <c r="S123" s="76">
        <v>526</v>
      </c>
      <c r="T123" s="76">
        <v>482.71</v>
      </c>
      <c r="U123" s="78">
        <v>10</v>
      </c>
      <c r="V123" s="77"/>
      <c r="W123" s="76">
        <v>357</v>
      </c>
      <c r="X123" s="76">
        <v>289.08999999999997</v>
      </c>
      <c r="Y123" s="78">
        <v>10</v>
      </c>
      <c r="Z123" s="77"/>
      <c r="AA123" s="76">
        <v>420</v>
      </c>
      <c r="AB123" s="76">
        <v>288.56</v>
      </c>
      <c r="AC123" s="78">
        <v>13</v>
      </c>
      <c r="AD123" s="77"/>
      <c r="AE123" s="76">
        <v>508</v>
      </c>
      <c r="AF123" s="76">
        <v>387.64</v>
      </c>
      <c r="AG123" s="78">
        <v>13</v>
      </c>
      <c r="AH123" s="77"/>
      <c r="AI123" s="76">
        <v>484</v>
      </c>
      <c r="AJ123" s="76">
        <v>407.51</v>
      </c>
      <c r="AK123" s="78">
        <v>15</v>
      </c>
      <c r="AL123" s="77"/>
      <c r="AM123" s="76">
        <v>573</v>
      </c>
      <c r="AN123" s="76">
        <v>504.07</v>
      </c>
      <c r="AO123" s="78">
        <v>15</v>
      </c>
      <c r="AP123" s="77"/>
      <c r="AQ123" s="76">
        <v>482</v>
      </c>
      <c r="AR123" s="76">
        <v>448.96</v>
      </c>
      <c r="AS123" s="78">
        <v>20</v>
      </c>
      <c r="AT123" s="77"/>
      <c r="AU123" s="76">
        <v>650</v>
      </c>
      <c r="AV123" s="76">
        <v>686.34</v>
      </c>
      <c r="AW123" s="78">
        <v>20</v>
      </c>
      <c r="AX123" s="77"/>
      <c r="AY123" s="76">
        <v>579</v>
      </c>
      <c r="AZ123" s="76">
        <v>604.71</v>
      </c>
      <c r="BA123" s="74">
        <v>158</v>
      </c>
      <c r="BB123" s="73"/>
      <c r="BC123" s="72">
        <v>5289</v>
      </c>
      <c r="BD123" s="72">
        <v>4787.1899999999996</v>
      </c>
    </row>
    <row r="124" spans="1:56" ht="15" thickBot="1" x14ac:dyDescent="0.35">
      <c r="A124" s="75" t="s">
        <v>155</v>
      </c>
      <c r="B124" s="75" t="s">
        <v>328</v>
      </c>
      <c r="C124" s="213" t="str">
        <f t="shared" si="3"/>
        <v>LGE412</v>
      </c>
      <c r="D124" s="75" t="s">
        <v>327</v>
      </c>
      <c r="E124" s="81">
        <v>239</v>
      </c>
      <c r="F124" s="80"/>
      <c r="G124" s="79">
        <v>5333</v>
      </c>
      <c r="H124" s="79">
        <v>5383.1</v>
      </c>
      <c r="I124" s="81">
        <v>198</v>
      </c>
      <c r="J124" s="81">
        <v>0</v>
      </c>
      <c r="K124" s="79">
        <v>4414</v>
      </c>
      <c r="L124" s="79">
        <v>4440.76</v>
      </c>
      <c r="M124" s="81">
        <v>217</v>
      </c>
      <c r="N124" s="80"/>
      <c r="O124" s="79">
        <v>6061</v>
      </c>
      <c r="P124" s="79">
        <v>4926.7700000000004</v>
      </c>
      <c r="Q124" s="81">
        <v>217</v>
      </c>
      <c r="R124" s="80"/>
      <c r="S124" s="79">
        <v>5918</v>
      </c>
      <c r="T124" s="79">
        <v>4927.7</v>
      </c>
      <c r="U124" s="81">
        <v>219</v>
      </c>
      <c r="V124" s="80"/>
      <c r="W124" s="79">
        <v>6529</v>
      </c>
      <c r="X124" s="79">
        <v>4987.5</v>
      </c>
      <c r="Y124" s="81">
        <v>219</v>
      </c>
      <c r="Z124" s="80"/>
      <c r="AA124" s="79">
        <v>7571</v>
      </c>
      <c r="AB124" s="79">
        <v>4978.2700000000004</v>
      </c>
      <c r="AC124" s="81">
        <v>217</v>
      </c>
      <c r="AD124" s="80"/>
      <c r="AE124" s="79">
        <v>7613</v>
      </c>
      <c r="AF124" s="79">
        <v>4932.75</v>
      </c>
      <c r="AG124" s="81">
        <v>220</v>
      </c>
      <c r="AH124" s="80"/>
      <c r="AI124" s="79">
        <v>6767</v>
      </c>
      <c r="AJ124" s="79">
        <v>5307.44</v>
      </c>
      <c r="AK124" s="81">
        <v>221</v>
      </c>
      <c r="AL124" s="80"/>
      <c r="AM124" s="79">
        <v>6256</v>
      </c>
      <c r="AN124" s="79">
        <v>5326.7</v>
      </c>
      <c r="AO124" s="81">
        <v>218</v>
      </c>
      <c r="AP124" s="80"/>
      <c r="AQ124" s="79">
        <v>5856</v>
      </c>
      <c r="AR124" s="79">
        <v>5048.09</v>
      </c>
      <c r="AS124" s="81">
        <v>224</v>
      </c>
      <c r="AT124" s="80"/>
      <c r="AU124" s="79">
        <v>5178</v>
      </c>
      <c r="AV124" s="79">
        <v>5061.79</v>
      </c>
      <c r="AW124" s="81">
        <v>220</v>
      </c>
      <c r="AX124" s="80"/>
      <c r="AY124" s="79">
        <v>5247</v>
      </c>
      <c r="AZ124" s="79">
        <v>5008.8599999999997</v>
      </c>
      <c r="BA124" s="74">
        <v>2629</v>
      </c>
      <c r="BB124" s="74">
        <v>0</v>
      </c>
      <c r="BC124" s="72">
        <v>72743</v>
      </c>
      <c r="BD124" s="72">
        <v>60329.73</v>
      </c>
    </row>
    <row r="125" spans="1:56" ht="15" thickBot="1" x14ac:dyDescent="0.35">
      <c r="A125" s="75" t="s">
        <v>155</v>
      </c>
      <c r="B125" s="75" t="s">
        <v>326</v>
      </c>
      <c r="C125" s="213" t="str">
        <f t="shared" si="3"/>
        <v>LGE413</v>
      </c>
      <c r="D125" s="75" t="s">
        <v>325</v>
      </c>
      <c r="E125" s="78">
        <v>2530</v>
      </c>
      <c r="F125" s="78">
        <v>23</v>
      </c>
      <c r="G125" s="76">
        <v>78187</v>
      </c>
      <c r="H125" s="76">
        <v>58655.17</v>
      </c>
      <c r="I125" s="78">
        <v>2467</v>
      </c>
      <c r="J125" s="78">
        <v>43</v>
      </c>
      <c r="K125" s="76">
        <v>79338</v>
      </c>
      <c r="L125" s="76">
        <v>56050.01</v>
      </c>
      <c r="M125" s="78">
        <v>2834</v>
      </c>
      <c r="N125" s="78">
        <v>19</v>
      </c>
      <c r="O125" s="76">
        <v>107759</v>
      </c>
      <c r="P125" s="76">
        <v>65469.23</v>
      </c>
      <c r="Q125" s="78">
        <v>2563</v>
      </c>
      <c r="R125" s="78">
        <v>24</v>
      </c>
      <c r="S125" s="76">
        <v>100881</v>
      </c>
      <c r="T125" s="76">
        <v>60057.05</v>
      </c>
      <c r="U125" s="78">
        <v>2607</v>
      </c>
      <c r="V125" s="78">
        <v>28</v>
      </c>
      <c r="W125" s="76">
        <v>110340</v>
      </c>
      <c r="X125" s="76">
        <v>60621.08</v>
      </c>
      <c r="Y125" s="78">
        <v>2576</v>
      </c>
      <c r="Z125" s="78">
        <v>60</v>
      </c>
      <c r="AA125" s="76">
        <v>124686</v>
      </c>
      <c r="AB125" s="76">
        <v>60328.26</v>
      </c>
      <c r="AC125" s="78">
        <v>2699</v>
      </c>
      <c r="AD125" s="78">
        <v>69</v>
      </c>
      <c r="AE125" s="76">
        <v>132131</v>
      </c>
      <c r="AF125" s="76">
        <v>62317.35</v>
      </c>
      <c r="AG125" s="78">
        <v>2619</v>
      </c>
      <c r="AH125" s="77"/>
      <c r="AI125" s="76">
        <v>112322</v>
      </c>
      <c r="AJ125" s="76">
        <v>65102.75</v>
      </c>
      <c r="AK125" s="78">
        <v>2669</v>
      </c>
      <c r="AL125" s="78">
        <v>17</v>
      </c>
      <c r="AM125" s="76">
        <v>103258</v>
      </c>
      <c r="AN125" s="76">
        <v>65612.13</v>
      </c>
      <c r="AO125" s="78">
        <v>2856</v>
      </c>
      <c r="AP125" s="78">
        <v>55</v>
      </c>
      <c r="AQ125" s="76">
        <v>109155</v>
      </c>
      <c r="AR125" s="76">
        <v>68030.100000000006</v>
      </c>
      <c r="AS125" s="78">
        <v>2671</v>
      </c>
      <c r="AT125" s="77"/>
      <c r="AU125" s="76">
        <v>86592</v>
      </c>
      <c r="AV125" s="76">
        <v>62228.36</v>
      </c>
      <c r="AW125" s="78">
        <v>2664</v>
      </c>
      <c r="AX125" s="78">
        <v>4</v>
      </c>
      <c r="AY125" s="76">
        <v>86713</v>
      </c>
      <c r="AZ125" s="76">
        <v>62354.85</v>
      </c>
      <c r="BA125" s="74">
        <v>31755</v>
      </c>
      <c r="BB125" s="74">
        <v>342</v>
      </c>
      <c r="BC125" s="72">
        <v>1231362</v>
      </c>
      <c r="BD125" s="72">
        <v>746826.34</v>
      </c>
    </row>
    <row r="126" spans="1:56" ht="15" thickBot="1" x14ac:dyDescent="0.35">
      <c r="A126" s="75" t="s">
        <v>155</v>
      </c>
      <c r="B126" s="75" t="s">
        <v>324</v>
      </c>
      <c r="C126" s="213" t="str">
        <f t="shared" si="3"/>
        <v>LGE415</v>
      </c>
      <c r="D126" s="75" t="s">
        <v>323</v>
      </c>
      <c r="E126" s="81">
        <v>47</v>
      </c>
      <c r="F126" s="80"/>
      <c r="G126" s="79">
        <v>1014</v>
      </c>
      <c r="H126" s="79">
        <v>1077.97</v>
      </c>
      <c r="I126" s="81">
        <v>47</v>
      </c>
      <c r="J126" s="80"/>
      <c r="K126" s="79">
        <v>1097</v>
      </c>
      <c r="L126" s="79">
        <v>1076.78</v>
      </c>
      <c r="M126" s="81">
        <v>47</v>
      </c>
      <c r="N126" s="80"/>
      <c r="O126" s="79">
        <v>1263</v>
      </c>
      <c r="P126" s="79">
        <v>1086.0899999999999</v>
      </c>
      <c r="Q126" s="81">
        <v>47</v>
      </c>
      <c r="R126" s="80"/>
      <c r="S126" s="79">
        <v>1334</v>
      </c>
      <c r="T126" s="79">
        <v>1086.25</v>
      </c>
      <c r="U126" s="81">
        <v>47</v>
      </c>
      <c r="V126" s="80"/>
      <c r="W126" s="79">
        <v>1419</v>
      </c>
      <c r="X126" s="79">
        <v>1089.9100000000001</v>
      </c>
      <c r="Y126" s="81">
        <v>47</v>
      </c>
      <c r="Z126" s="80"/>
      <c r="AA126" s="79">
        <v>1593</v>
      </c>
      <c r="AB126" s="79">
        <v>1088.08</v>
      </c>
      <c r="AC126" s="81">
        <v>43</v>
      </c>
      <c r="AD126" s="80"/>
      <c r="AE126" s="79">
        <v>1561</v>
      </c>
      <c r="AF126" s="79">
        <v>994.07</v>
      </c>
      <c r="AG126" s="81">
        <v>51</v>
      </c>
      <c r="AH126" s="80"/>
      <c r="AI126" s="79">
        <v>1566</v>
      </c>
      <c r="AJ126" s="79">
        <v>1247.8800000000001</v>
      </c>
      <c r="AK126" s="81">
        <v>47</v>
      </c>
      <c r="AL126" s="80"/>
      <c r="AM126" s="79">
        <v>1282</v>
      </c>
      <c r="AN126" s="79">
        <v>1152.9100000000001</v>
      </c>
      <c r="AO126" s="81">
        <v>47</v>
      </c>
      <c r="AP126" s="80"/>
      <c r="AQ126" s="79">
        <v>1279</v>
      </c>
      <c r="AR126" s="79">
        <v>1106.68</v>
      </c>
      <c r="AS126" s="81">
        <v>47</v>
      </c>
      <c r="AT126" s="80"/>
      <c r="AU126" s="79">
        <v>1087</v>
      </c>
      <c r="AV126" s="79">
        <v>1089.2</v>
      </c>
      <c r="AW126" s="81">
        <v>47</v>
      </c>
      <c r="AX126" s="80"/>
      <c r="AY126" s="79">
        <v>1088</v>
      </c>
      <c r="AZ126" s="79">
        <v>1089.04</v>
      </c>
      <c r="BA126" s="74">
        <v>564</v>
      </c>
      <c r="BB126" s="73"/>
      <c r="BC126" s="72">
        <v>15583</v>
      </c>
      <c r="BD126" s="72">
        <v>13184.86</v>
      </c>
    </row>
    <row r="127" spans="1:56" ht="15" thickBot="1" x14ac:dyDescent="0.35">
      <c r="A127" s="75" t="s">
        <v>155</v>
      </c>
      <c r="B127" s="75" t="s">
        <v>322</v>
      </c>
      <c r="C127" s="213" t="str">
        <f t="shared" si="3"/>
        <v>LGE416</v>
      </c>
      <c r="D127" s="75" t="s">
        <v>321</v>
      </c>
      <c r="E127" s="78">
        <v>1968</v>
      </c>
      <c r="F127" s="78">
        <v>15</v>
      </c>
      <c r="G127" s="76">
        <v>60216</v>
      </c>
      <c r="H127" s="76">
        <v>50726.1</v>
      </c>
      <c r="I127" s="78">
        <v>1964</v>
      </c>
      <c r="J127" s="78">
        <v>5</v>
      </c>
      <c r="K127" s="76">
        <v>62879</v>
      </c>
      <c r="L127" s="76">
        <v>50474.34</v>
      </c>
      <c r="M127" s="78">
        <v>1961</v>
      </c>
      <c r="N127" s="77"/>
      <c r="O127" s="76">
        <v>73550</v>
      </c>
      <c r="P127" s="76">
        <v>51038.879999999997</v>
      </c>
      <c r="Q127" s="78">
        <v>2030</v>
      </c>
      <c r="R127" s="77"/>
      <c r="S127" s="76">
        <v>78725</v>
      </c>
      <c r="T127" s="76">
        <v>52565.32</v>
      </c>
      <c r="U127" s="78">
        <v>1998</v>
      </c>
      <c r="V127" s="78">
        <v>1</v>
      </c>
      <c r="W127" s="76">
        <v>83491</v>
      </c>
      <c r="X127" s="76">
        <v>51681.24</v>
      </c>
      <c r="Y127" s="78">
        <v>2003</v>
      </c>
      <c r="Z127" s="78">
        <v>16</v>
      </c>
      <c r="AA127" s="76">
        <v>96934</v>
      </c>
      <c r="AB127" s="76">
        <v>52236.45</v>
      </c>
      <c r="AC127" s="78">
        <v>1982</v>
      </c>
      <c r="AD127" s="78">
        <v>3</v>
      </c>
      <c r="AE127" s="76">
        <v>98973</v>
      </c>
      <c r="AF127" s="76">
        <v>51618.78</v>
      </c>
      <c r="AG127" s="78">
        <v>2043</v>
      </c>
      <c r="AH127" s="78">
        <v>42</v>
      </c>
      <c r="AI127" s="76">
        <v>88961</v>
      </c>
      <c r="AJ127" s="76">
        <v>56050.57</v>
      </c>
      <c r="AK127" s="78">
        <v>2017</v>
      </c>
      <c r="AL127" s="78">
        <v>7</v>
      </c>
      <c r="AM127" s="76">
        <v>79351</v>
      </c>
      <c r="AN127" s="76">
        <v>55488.24</v>
      </c>
      <c r="AO127" s="78">
        <v>1993</v>
      </c>
      <c r="AP127" s="78">
        <v>0</v>
      </c>
      <c r="AQ127" s="76">
        <v>76665</v>
      </c>
      <c r="AR127" s="76">
        <v>52230.75</v>
      </c>
      <c r="AS127" s="78">
        <v>2011</v>
      </c>
      <c r="AT127" s="78">
        <v>1</v>
      </c>
      <c r="AU127" s="76">
        <v>66152</v>
      </c>
      <c r="AV127" s="76">
        <v>52172.6</v>
      </c>
      <c r="AW127" s="78">
        <v>2011</v>
      </c>
      <c r="AX127" s="78">
        <v>12</v>
      </c>
      <c r="AY127" s="76">
        <v>65634</v>
      </c>
      <c r="AZ127" s="76">
        <v>52257.65</v>
      </c>
      <c r="BA127" s="74">
        <v>23981</v>
      </c>
      <c r="BB127" s="74">
        <v>102</v>
      </c>
      <c r="BC127" s="72">
        <v>931531</v>
      </c>
      <c r="BD127" s="72">
        <v>628540.92000000004</v>
      </c>
    </row>
    <row r="128" spans="1:56" ht="15" thickBot="1" x14ac:dyDescent="0.35">
      <c r="A128" s="75" t="s">
        <v>155</v>
      </c>
      <c r="B128" s="75" t="s">
        <v>320</v>
      </c>
      <c r="C128" s="213" t="str">
        <f t="shared" si="3"/>
        <v>LGE417</v>
      </c>
      <c r="D128" s="75" t="s">
        <v>319</v>
      </c>
      <c r="E128" s="81">
        <v>48</v>
      </c>
      <c r="F128" s="80"/>
      <c r="G128" s="79">
        <v>1480</v>
      </c>
      <c r="H128" s="79">
        <v>1299.23</v>
      </c>
      <c r="I128" s="81">
        <v>48</v>
      </c>
      <c r="J128" s="80"/>
      <c r="K128" s="79">
        <v>1589</v>
      </c>
      <c r="L128" s="79">
        <v>1285.8699999999999</v>
      </c>
      <c r="M128" s="81">
        <v>47</v>
      </c>
      <c r="N128" s="80"/>
      <c r="O128" s="79">
        <v>1843</v>
      </c>
      <c r="P128" s="79">
        <v>1282.02</v>
      </c>
      <c r="Q128" s="81">
        <v>47</v>
      </c>
      <c r="R128" s="80"/>
      <c r="S128" s="79">
        <v>1870</v>
      </c>
      <c r="T128" s="79">
        <v>1282.23</v>
      </c>
      <c r="U128" s="81">
        <v>47</v>
      </c>
      <c r="V128" s="80"/>
      <c r="W128" s="79">
        <v>2029</v>
      </c>
      <c r="X128" s="79">
        <v>1286.53</v>
      </c>
      <c r="Y128" s="81">
        <v>47</v>
      </c>
      <c r="Z128" s="80"/>
      <c r="AA128" s="79">
        <v>2259</v>
      </c>
      <c r="AB128" s="79">
        <v>1283.42</v>
      </c>
      <c r="AC128" s="81">
        <v>47</v>
      </c>
      <c r="AD128" s="80"/>
      <c r="AE128" s="79">
        <v>2352</v>
      </c>
      <c r="AF128" s="79">
        <v>1282.73</v>
      </c>
      <c r="AG128" s="81">
        <v>54</v>
      </c>
      <c r="AH128" s="80"/>
      <c r="AI128" s="79">
        <v>1999</v>
      </c>
      <c r="AJ128" s="79">
        <v>1347.88</v>
      </c>
      <c r="AK128" s="81">
        <v>47</v>
      </c>
      <c r="AL128" s="80"/>
      <c r="AM128" s="79">
        <v>1802</v>
      </c>
      <c r="AN128" s="79">
        <v>1353.43</v>
      </c>
      <c r="AO128" s="81">
        <v>49</v>
      </c>
      <c r="AP128" s="80"/>
      <c r="AQ128" s="79">
        <v>1912</v>
      </c>
      <c r="AR128" s="79">
        <v>1389.68</v>
      </c>
      <c r="AS128" s="81">
        <v>49</v>
      </c>
      <c r="AT128" s="80"/>
      <c r="AU128" s="79">
        <v>1566</v>
      </c>
      <c r="AV128" s="79">
        <v>1332.66</v>
      </c>
      <c r="AW128" s="81">
        <v>49</v>
      </c>
      <c r="AX128" s="80"/>
      <c r="AY128" s="79">
        <v>1615</v>
      </c>
      <c r="AZ128" s="79">
        <v>1332</v>
      </c>
      <c r="BA128" s="74">
        <v>579</v>
      </c>
      <c r="BB128" s="73"/>
      <c r="BC128" s="72">
        <v>22316</v>
      </c>
      <c r="BD128" s="72">
        <v>15757.68</v>
      </c>
    </row>
    <row r="129" spans="1:56" ht="15" thickBot="1" x14ac:dyDescent="0.35">
      <c r="A129" s="75" t="s">
        <v>155</v>
      </c>
      <c r="B129" s="75" t="s">
        <v>318</v>
      </c>
      <c r="C129" s="213" t="str">
        <f t="shared" si="3"/>
        <v>LGE419</v>
      </c>
      <c r="D129" s="75" t="s">
        <v>317</v>
      </c>
      <c r="E129" s="78">
        <v>119</v>
      </c>
      <c r="F129" s="77"/>
      <c r="G129" s="76">
        <v>5421</v>
      </c>
      <c r="H129" s="76">
        <v>3241.63</v>
      </c>
      <c r="I129" s="78">
        <v>119</v>
      </c>
      <c r="J129" s="77"/>
      <c r="K129" s="76">
        <v>6197</v>
      </c>
      <c r="L129" s="76">
        <v>3235.54</v>
      </c>
      <c r="M129" s="78">
        <v>119</v>
      </c>
      <c r="N129" s="77"/>
      <c r="O129" s="76">
        <v>6634</v>
      </c>
      <c r="P129" s="76">
        <v>3265.07</v>
      </c>
      <c r="Q129" s="78">
        <v>119</v>
      </c>
      <c r="R129" s="77"/>
      <c r="S129" s="76">
        <v>7066</v>
      </c>
      <c r="T129" s="76">
        <v>3265.61</v>
      </c>
      <c r="U129" s="78">
        <v>119</v>
      </c>
      <c r="V129" s="77"/>
      <c r="W129" s="76">
        <v>8072</v>
      </c>
      <c r="X129" s="76">
        <v>3276.25</v>
      </c>
      <c r="Y129" s="78">
        <v>119</v>
      </c>
      <c r="Z129" s="77"/>
      <c r="AA129" s="76">
        <v>8602</v>
      </c>
      <c r="AB129" s="76">
        <v>3262.9</v>
      </c>
      <c r="AC129" s="78">
        <v>119</v>
      </c>
      <c r="AD129" s="77"/>
      <c r="AE129" s="76">
        <v>9538</v>
      </c>
      <c r="AF129" s="76">
        <v>3257.22</v>
      </c>
      <c r="AG129" s="78">
        <v>119</v>
      </c>
      <c r="AH129" s="77"/>
      <c r="AI129" s="76">
        <v>7971</v>
      </c>
      <c r="AJ129" s="76">
        <v>3499.17</v>
      </c>
      <c r="AK129" s="78">
        <v>119</v>
      </c>
      <c r="AL129" s="77"/>
      <c r="AM129" s="76">
        <v>7123</v>
      </c>
      <c r="AN129" s="76">
        <v>3499.99</v>
      </c>
      <c r="AO129" s="78">
        <v>119</v>
      </c>
      <c r="AP129" s="77"/>
      <c r="AQ129" s="76">
        <v>7200</v>
      </c>
      <c r="AR129" s="76">
        <v>3358.27</v>
      </c>
      <c r="AS129" s="78">
        <v>119</v>
      </c>
      <c r="AT129" s="77"/>
      <c r="AU129" s="76">
        <v>6257</v>
      </c>
      <c r="AV129" s="76">
        <v>3299.48</v>
      </c>
      <c r="AW129" s="78">
        <v>119</v>
      </c>
      <c r="AX129" s="77"/>
      <c r="AY129" s="76">
        <v>5893</v>
      </c>
      <c r="AZ129" s="76">
        <v>3298.47</v>
      </c>
      <c r="BA129" s="74">
        <v>1428</v>
      </c>
      <c r="BB129" s="73"/>
      <c r="BC129" s="72">
        <v>85974</v>
      </c>
      <c r="BD129" s="72">
        <v>39759.599999999999</v>
      </c>
    </row>
    <row r="130" spans="1:56" ht="15" thickBot="1" x14ac:dyDescent="0.35">
      <c r="A130" s="75" t="s">
        <v>155</v>
      </c>
      <c r="B130" s="75" t="s">
        <v>316</v>
      </c>
      <c r="C130" s="213" t="str">
        <f t="shared" si="3"/>
        <v>LGE420</v>
      </c>
      <c r="D130" s="75" t="s">
        <v>315</v>
      </c>
      <c r="E130" s="81">
        <v>61</v>
      </c>
      <c r="F130" s="80"/>
      <c r="G130" s="79">
        <v>2872</v>
      </c>
      <c r="H130" s="79">
        <v>1999.77</v>
      </c>
      <c r="I130" s="81">
        <v>62</v>
      </c>
      <c r="J130" s="80"/>
      <c r="K130" s="79">
        <v>3011</v>
      </c>
      <c r="L130" s="79">
        <v>2029.59</v>
      </c>
      <c r="M130" s="81">
        <v>62</v>
      </c>
      <c r="N130" s="80"/>
      <c r="O130" s="79">
        <v>3651</v>
      </c>
      <c r="P130" s="79">
        <v>2046.56</v>
      </c>
      <c r="Q130" s="81">
        <v>62</v>
      </c>
      <c r="R130" s="80"/>
      <c r="S130" s="79">
        <v>3678</v>
      </c>
      <c r="T130" s="79">
        <v>2047.74</v>
      </c>
      <c r="U130" s="81">
        <v>62</v>
      </c>
      <c r="V130" s="80"/>
      <c r="W130" s="79">
        <v>3979</v>
      </c>
      <c r="X130" s="79">
        <v>2054.2600000000002</v>
      </c>
      <c r="Y130" s="81">
        <v>62</v>
      </c>
      <c r="Z130" s="80"/>
      <c r="AA130" s="79">
        <v>4706</v>
      </c>
      <c r="AB130" s="79">
        <v>2047.8</v>
      </c>
      <c r="AC130" s="81">
        <v>62</v>
      </c>
      <c r="AD130" s="80"/>
      <c r="AE130" s="79">
        <v>4699</v>
      </c>
      <c r="AF130" s="79">
        <v>2046.34</v>
      </c>
      <c r="AG130" s="81">
        <v>65</v>
      </c>
      <c r="AH130" s="80"/>
      <c r="AI130" s="79">
        <v>4362</v>
      </c>
      <c r="AJ130" s="79">
        <v>2126.85</v>
      </c>
      <c r="AK130" s="81">
        <v>62</v>
      </c>
      <c r="AL130" s="80"/>
      <c r="AM130" s="79">
        <v>3757</v>
      </c>
      <c r="AN130" s="79">
        <v>2134.5100000000002</v>
      </c>
      <c r="AO130" s="81">
        <v>62</v>
      </c>
      <c r="AP130" s="80"/>
      <c r="AQ130" s="79">
        <v>3649</v>
      </c>
      <c r="AR130" s="79">
        <v>2052.5500000000002</v>
      </c>
      <c r="AS130" s="81">
        <v>62</v>
      </c>
      <c r="AT130" s="80"/>
      <c r="AU130" s="79">
        <v>3206</v>
      </c>
      <c r="AV130" s="79">
        <v>2015.5</v>
      </c>
      <c r="AW130" s="81">
        <v>62</v>
      </c>
      <c r="AX130" s="80"/>
      <c r="AY130" s="79">
        <v>3192</v>
      </c>
      <c r="AZ130" s="79">
        <v>2012.84</v>
      </c>
      <c r="BA130" s="74">
        <v>746</v>
      </c>
      <c r="BB130" s="73"/>
      <c r="BC130" s="72">
        <v>44762</v>
      </c>
      <c r="BD130" s="72">
        <v>24614.309999999998</v>
      </c>
    </row>
    <row r="131" spans="1:56" ht="15" thickBot="1" x14ac:dyDescent="0.35">
      <c r="A131" s="75" t="s">
        <v>155</v>
      </c>
      <c r="B131" s="75" t="s">
        <v>314</v>
      </c>
      <c r="C131" s="213" t="str">
        <f t="shared" si="3"/>
        <v>LGE421</v>
      </c>
      <c r="D131" s="75" t="s">
        <v>313</v>
      </c>
      <c r="E131" s="78">
        <v>208</v>
      </c>
      <c r="F131" s="77"/>
      <c r="G131" s="76">
        <v>16010</v>
      </c>
      <c r="H131" s="76">
        <v>7785.01</v>
      </c>
      <c r="I131" s="78">
        <v>166</v>
      </c>
      <c r="J131" s="77"/>
      <c r="K131" s="76">
        <v>13528</v>
      </c>
      <c r="L131" s="76">
        <v>6196.55</v>
      </c>
      <c r="M131" s="78">
        <v>187</v>
      </c>
      <c r="N131" s="77"/>
      <c r="O131" s="76">
        <v>18045</v>
      </c>
      <c r="P131" s="76">
        <v>7065.52</v>
      </c>
      <c r="Q131" s="78">
        <v>217</v>
      </c>
      <c r="R131" s="77"/>
      <c r="S131" s="76">
        <v>21183</v>
      </c>
      <c r="T131" s="76">
        <v>8185.52</v>
      </c>
      <c r="U131" s="78">
        <v>213</v>
      </c>
      <c r="V131" s="77"/>
      <c r="W131" s="76">
        <v>22683</v>
      </c>
      <c r="X131" s="76">
        <v>8021.83</v>
      </c>
      <c r="Y131" s="78">
        <v>213</v>
      </c>
      <c r="Z131" s="77"/>
      <c r="AA131" s="76">
        <v>26556</v>
      </c>
      <c r="AB131" s="76">
        <v>8011.22</v>
      </c>
      <c r="AC131" s="78">
        <v>212</v>
      </c>
      <c r="AD131" s="77"/>
      <c r="AE131" s="76">
        <v>26049</v>
      </c>
      <c r="AF131" s="76">
        <v>7964.66</v>
      </c>
      <c r="AG131" s="78">
        <v>214</v>
      </c>
      <c r="AH131" s="78">
        <v>3</v>
      </c>
      <c r="AI131" s="76">
        <v>23523</v>
      </c>
      <c r="AJ131" s="76">
        <v>8435.17</v>
      </c>
      <c r="AK131" s="78">
        <v>215</v>
      </c>
      <c r="AL131" s="77"/>
      <c r="AM131" s="76">
        <v>20830</v>
      </c>
      <c r="AN131" s="76">
        <v>8454.4</v>
      </c>
      <c r="AO131" s="78">
        <v>215</v>
      </c>
      <c r="AP131" s="77"/>
      <c r="AQ131" s="76">
        <v>20603</v>
      </c>
      <c r="AR131" s="76">
        <v>8113.44</v>
      </c>
      <c r="AS131" s="78">
        <v>215</v>
      </c>
      <c r="AT131" s="77"/>
      <c r="AU131" s="76">
        <v>17423</v>
      </c>
      <c r="AV131" s="76">
        <v>7964.42</v>
      </c>
      <c r="AW131" s="78">
        <v>215</v>
      </c>
      <c r="AX131" s="78">
        <v>1</v>
      </c>
      <c r="AY131" s="76">
        <v>17683</v>
      </c>
      <c r="AZ131" s="76">
        <v>7974.15</v>
      </c>
      <c r="BA131" s="74">
        <v>2490</v>
      </c>
      <c r="BB131" s="74">
        <v>4</v>
      </c>
      <c r="BC131" s="72">
        <v>244116</v>
      </c>
      <c r="BD131" s="72">
        <v>94171.889999999985</v>
      </c>
    </row>
    <row r="132" spans="1:56" ht="15" thickBot="1" x14ac:dyDescent="0.35">
      <c r="A132" s="75" t="s">
        <v>155</v>
      </c>
      <c r="B132" s="75" t="s">
        <v>312</v>
      </c>
      <c r="C132" s="213" t="str">
        <f t="shared" si="3"/>
        <v>LGE422</v>
      </c>
      <c r="D132" s="75" t="s">
        <v>311</v>
      </c>
      <c r="E132" s="81">
        <v>439</v>
      </c>
      <c r="F132" s="80"/>
      <c r="G132" s="79">
        <v>52571</v>
      </c>
      <c r="H132" s="79">
        <v>18909.98</v>
      </c>
      <c r="I132" s="81">
        <v>439</v>
      </c>
      <c r="J132" s="80"/>
      <c r="K132" s="79">
        <v>56941</v>
      </c>
      <c r="L132" s="79">
        <v>18779.509999999998</v>
      </c>
      <c r="M132" s="81">
        <v>490</v>
      </c>
      <c r="N132" s="80"/>
      <c r="O132" s="79">
        <v>72594</v>
      </c>
      <c r="P132" s="79">
        <v>21351.439999999999</v>
      </c>
      <c r="Q132" s="81">
        <v>426</v>
      </c>
      <c r="R132" s="80"/>
      <c r="S132" s="79">
        <v>66663</v>
      </c>
      <c r="T132" s="79">
        <v>18661</v>
      </c>
      <c r="U132" s="81">
        <v>430</v>
      </c>
      <c r="V132" s="81">
        <v>2</v>
      </c>
      <c r="W132" s="79">
        <v>74440</v>
      </c>
      <c r="X132" s="79">
        <v>18951.82</v>
      </c>
      <c r="Y132" s="81">
        <v>448</v>
      </c>
      <c r="Z132" s="81">
        <v>16</v>
      </c>
      <c r="AA132" s="79">
        <v>86848</v>
      </c>
      <c r="AB132" s="79">
        <v>19437.7</v>
      </c>
      <c r="AC132" s="81">
        <v>439</v>
      </c>
      <c r="AD132" s="80"/>
      <c r="AE132" s="79">
        <v>88360</v>
      </c>
      <c r="AF132" s="79">
        <v>19070.09</v>
      </c>
      <c r="AG132" s="81">
        <v>440</v>
      </c>
      <c r="AH132" s="80"/>
      <c r="AI132" s="79">
        <v>77217</v>
      </c>
      <c r="AJ132" s="79">
        <v>19975.419999999998</v>
      </c>
      <c r="AK132" s="81">
        <v>450</v>
      </c>
      <c r="AL132" s="80"/>
      <c r="AM132" s="79">
        <v>69721</v>
      </c>
      <c r="AN132" s="79">
        <v>20149.11</v>
      </c>
      <c r="AO132" s="81">
        <v>454</v>
      </c>
      <c r="AP132" s="80"/>
      <c r="AQ132" s="79">
        <v>71379</v>
      </c>
      <c r="AR132" s="79">
        <v>19897.09</v>
      </c>
      <c r="AS132" s="81">
        <v>443</v>
      </c>
      <c r="AT132" s="80"/>
      <c r="AU132" s="79">
        <v>59069</v>
      </c>
      <c r="AV132" s="79">
        <v>18994.990000000002</v>
      </c>
      <c r="AW132" s="81">
        <v>443</v>
      </c>
      <c r="AX132" s="80"/>
      <c r="AY132" s="79">
        <v>57369</v>
      </c>
      <c r="AZ132" s="79">
        <v>18972.3</v>
      </c>
      <c r="BA132" s="74">
        <v>5341</v>
      </c>
      <c r="BB132" s="74">
        <v>18</v>
      </c>
      <c r="BC132" s="72">
        <v>833172</v>
      </c>
      <c r="BD132" s="72">
        <v>233150.44999999998</v>
      </c>
    </row>
    <row r="133" spans="1:56" ht="15" thickBot="1" x14ac:dyDescent="0.35">
      <c r="A133" s="75" t="s">
        <v>155</v>
      </c>
      <c r="B133" s="75" t="s">
        <v>310</v>
      </c>
      <c r="C133" s="213" t="str">
        <f t="shared" si="3"/>
        <v>LGE423</v>
      </c>
      <c r="D133" s="75" t="s">
        <v>309</v>
      </c>
      <c r="E133" s="78">
        <v>23</v>
      </c>
      <c r="F133" s="77"/>
      <c r="G133" s="76">
        <v>1080</v>
      </c>
      <c r="H133" s="76">
        <v>669.56</v>
      </c>
      <c r="I133" s="78">
        <v>23</v>
      </c>
      <c r="J133" s="77"/>
      <c r="K133" s="76">
        <v>1159</v>
      </c>
      <c r="L133" s="76">
        <v>668.31</v>
      </c>
      <c r="M133" s="78">
        <v>24</v>
      </c>
      <c r="N133" s="77"/>
      <c r="O133" s="76">
        <v>1355</v>
      </c>
      <c r="P133" s="76">
        <v>660.86</v>
      </c>
      <c r="Q133" s="78">
        <v>21</v>
      </c>
      <c r="R133" s="77"/>
      <c r="S133" s="76">
        <v>1261</v>
      </c>
      <c r="T133" s="76">
        <v>616.83000000000004</v>
      </c>
      <c r="U133" s="78">
        <v>21</v>
      </c>
      <c r="V133" s="77"/>
      <c r="W133" s="76">
        <v>1448</v>
      </c>
      <c r="X133" s="76">
        <v>618.95000000000005</v>
      </c>
      <c r="Y133" s="78">
        <v>21</v>
      </c>
      <c r="Z133" s="77"/>
      <c r="AA133" s="76">
        <v>1581</v>
      </c>
      <c r="AB133" s="76">
        <v>616.42999999999995</v>
      </c>
      <c r="AC133" s="78">
        <v>21</v>
      </c>
      <c r="AD133" s="77"/>
      <c r="AE133" s="76">
        <v>1557</v>
      </c>
      <c r="AF133" s="76">
        <v>616.04</v>
      </c>
      <c r="AG133" s="78">
        <v>21</v>
      </c>
      <c r="AH133" s="77"/>
      <c r="AI133" s="76">
        <v>1432</v>
      </c>
      <c r="AJ133" s="76">
        <v>645.57000000000005</v>
      </c>
      <c r="AK133" s="78">
        <v>21</v>
      </c>
      <c r="AL133" s="77"/>
      <c r="AM133" s="76">
        <v>1292</v>
      </c>
      <c r="AN133" s="76">
        <v>645.66</v>
      </c>
      <c r="AO133" s="78">
        <v>21</v>
      </c>
      <c r="AP133" s="77"/>
      <c r="AQ133" s="76">
        <v>1184</v>
      </c>
      <c r="AR133" s="76">
        <v>619.62</v>
      </c>
      <c r="AS133" s="78">
        <v>21</v>
      </c>
      <c r="AT133" s="77"/>
      <c r="AU133" s="76">
        <v>1062</v>
      </c>
      <c r="AV133" s="76">
        <v>608.87</v>
      </c>
      <c r="AW133" s="78">
        <v>21</v>
      </c>
      <c r="AX133" s="77"/>
      <c r="AY133" s="76">
        <v>1080</v>
      </c>
      <c r="AZ133" s="76">
        <v>608.44000000000005</v>
      </c>
      <c r="BA133" s="74">
        <v>259</v>
      </c>
      <c r="BB133" s="73"/>
      <c r="BC133" s="72">
        <v>15491</v>
      </c>
      <c r="BD133" s="72">
        <v>7595.1399999999994</v>
      </c>
    </row>
    <row r="134" spans="1:56" ht="15" thickBot="1" x14ac:dyDescent="0.35">
      <c r="A134" s="75" t="s">
        <v>155</v>
      </c>
      <c r="B134" s="75" t="s">
        <v>308</v>
      </c>
      <c r="C134" s="213" t="str">
        <f t="shared" si="3"/>
        <v>LGE424</v>
      </c>
      <c r="D134" s="75" t="s">
        <v>307</v>
      </c>
      <c r="E134" s="81">
        <v>544</v>
      </c>
      <c r="F134" s="81">
        <v>103</v>
      </c>
      <c r="G134" s="79">
        <v>41031</v>
      </c>
      <c r="H134" s="79">
        <v>16889.62</v>
      </c>
      <c r="I134" s="81">
        <v>549</v>
      </c>
      <c r="J134" s="81">
        <v>197</v>
      </c>
      <c r="K134" s="79">
        <v>47888</v>
      </c>
      <c r="L134" s="79">
        <v>16956.3</v>
      </c>
      <c r="M134" s="81">
        <v>554</v>
      </c>
      <c r="N134" s="81">
        <v>394</v>
      </c>
      <c r="O134" s="79">
        <v>55671</v>
      </c>
      <c r="P134" s="79">
        <v>17326.509999999998</v>
      </c>
      <c r="Q134" s="81">
        <v>561</v>
      </c>
      <c r="R134" s="81">
        <v>198</v>
      </c>
      <c r="S134" s="79">
        <v>56803</v>
      </c>
      <c r="T134" s="79">
        <v>17520.79</v>
      </c>
      <c r="U134" s="81">
        <v>536</v>
      </c>
      <c r="V134" s="81">
        <v>406</v>
      </c>
      <c r="W134" s="79">
        <v>67198</v>
      </c>
      <c r="X134" s="79">
        <v>16962.91</v>
      </c>
      <c r="Y134" s="81">
        <v>621</v>
      </c>
      <c r="Z134" s="81">
        <v>93</v>
      </c>
      <c r="AA134" s="79">
        <v>73803</v>
      </c>
      <c r="AB134" s="79">
        <v>19287.77</v>
      </c>
      <c r="AC134" s="81">
        <v>590</v>
      </c>
      <c r="AD134" s="81">
        <v>317</v>
      </c>
      <c r="AE134" s="79">
        <v>68950</v>
      </c>
      <c r="AF134" s="79">
        <v>18331.84</v>
      </c>
      <c r="AG134" s="81">
        <v>596</v>
      </c>
      <c r="AH134" s="81">
        <v>195</v>
      </c>
      <c r="AI134" s="79">
        <v>65107</v>
      </c>
      <c r="AJ134" s="79">
        <v>19440.68</v>
      </c>
      <c r="AK134" s="81">
        <v>600</v>
      </c>
      <c r="AL134" s="81">
        <v>72</v>
      </c>
      <c r="AM134" s="79">
        <v>59308</v>
      </c>
      <c r="AN134" s="79">
        <v>19566.48</v>
      </c>
      <c r="AO134" s="81">
        <v>608</v>
      </c>
      <c r="AP134" s="81">
        <v>195</v>
      </c>
      <c r="AQ134" s="79">
        <v>52689</v>
      </c>
      <c r="AR134" s="79">
        <v>19060.330000000002</v>
      </c>
      <c r="AS134" s="81">
        <v>615</v>
      </c>
      <c r="AT134" s="81">
        <v>151</v>
      </c>
      <c r="AU134" s="79">
        <v>48116</v>
      </c>
      <c r="AV134" s="79">
        <v>18853.25</v>
      </c>
      <c r="AW134" s="81">
        <v>616</v>
      </c>
      <c r="AX134" s="80"/>
      <c r="AY134" s="79">
        <v>51426</v>
      </c>
      <c r="AZ134" s="79">
        <v>18862.72</v>
      </c>
      <c r="BA134" s="74">
        <v>6990</v>
      </c>
      <c r="BB134" s="74">
        <v>2321</v>
      </c>
      <c r="BC134" s="72">
        <v>687990</v>
      </c>
      <c r="BD134" s="72">
        <v>219059.20000000004</v>
      </c>
    </row>
    <row r="135" spans="1:56" ht="15" thickBot="1" x14ac:dyDescent="0.35">
      <c r="A135" s="75" t="s">
        <v>155</v>
      </c>
      <c r="B135" s="75" t="s">
        <v>306</v>
      </c>
      <c r="C135" s="213" t="str">
        <f t="shared" si="3"/>
        <v>LGE425</v>
      </c>
      <c r="D135" s="75" t="s">
        <v>305</v>
      </c>
      <c r="E135" s="78">
        <v>32</v>
      </c>
      <c r="F135" s="77"/>
      <c r="G135" s="76">
        <v>3945</v>
      </c>
      <c r="H135" s="76">
        <v>1217.48</v>
      </c>
      <c r="I135" s="78">
        <v>32</v>
      </c>
      <c r="J135" s="77"/>
      <c r="K135" s="76">
        <v>4253</v>
      </c>
      <c r="L135" s="76">
        <v>1212.8</v>
      </c>
      <c r="M135" s="78">
        <v>32</v>
      </c>
      <c r="N135" s="77"/>
      <c r="O135" s="76">
        <v>4838</v>
      </c>
      <c r="P135" s="76">
        <v>1223.21</v>
      </c>
      <c r="Q135" s="78">
        <v>32</v>
      </c>
      <c r="R135" s="77"/>
      <c r="S135" s="76">
        <v>5170</v>
      </c>
      <c r="T135" s="76">
        <v>1224.6199999999999</v>
      </c>
      <c r="U135" s="78">
        <v>27</v>
      </c>
      <c r="V135" s="78">
        <v>2</v>
      </c>
      <c r="W135" s="76">
        <v>4532</v>
      </c>
      <c r="X135" s="76">
        <v>1012.49</v>
      </c>
      <c r="Y135" s="78">
        <v>37</v>
      </c>
      <c r="Z135" s="78">
        <v>2</v>
      </c>
      <c r="AA135" s="76">
        <v>7211</v>
      </c>
      <c r="AB135" s="76">
        <v>1415.56</v>
      </c>
      <c r="AC135" s="78">
        <v>31</v>
      </c>
      <c r="AD135" s="77"/>
      <c r="AE135" s="76">
        <v>6142</v>
      </c>
      <c r="AF135" s="76">
        <v>1174.5999999999999</v>
      </c>
      <c r="AG135" s="78">
        <v>33</v>
      </c>
      <c r="AH135" s="77"/>
      <c r="AI135" s="76">
        <v>5750</v>
      </c>
      <c r="AJ135" s="76">
        <v>1310.31</v>
      </c>
      <c r="AK135" s="78">
        <v>32</v>
      </c>
      <c r="AL135" s="77"/>
      <c r="AM135" s="76">
        <v>5066</v>
      </c>
      <c r="AN135" s="76">
        <v>1280.92</v>
      </c>
      <c r="AO135" s="78">
        <v>32</v>
      </c>
      <c r="AP135" s="77"/>
      <c r="AQ135" s="76">
        <v>4872</v>
      </c>
      <c r="AR135" s="76">
        <v>1233.22</v>
      </c>
      <c r="AS135" s="78">
        <v>32</v>
      </c>
      <c r="AT135" s="77"/>
      <c r="AU135" s="76">
        <v>4242</v>
      </c>
      <c r="AV135" s="76">
        <v>1205.3599999999999</v>
      </c>
      <c r="AW135" s="78">
        <v>32</v>
      </c>
      <c r="AX135" s="77"/>
      <c r="AY135" s="76">
        <v>4132</v>
      </c>
      <c r="AZ135" s="76">
        <v>1201.5999999999999</v>
      </c>
      <c r="BA135" s="74">
        <v>384</v>
      </c>
      <c r="BB135" s="74">
        <v>4</v>
      </c>
      <c r="BC135" s="72">
        <v>60153</v>
      </c>
      <c r="BD135" s="72">
        <v>14712.17</v>
      </c>
    </row>
    <row r="136" spans="1:56" ht="15" thickBot="1" x14ac:dyDescent="0.35">
      <c r="A136" s="75" t="s">
        <v>155</v>
      </c>
      <c r="B136" s="75" t="s">
        <v>304</v>
      </c>
      <c r="C136" s="213" t="str">
        <f t="shared" si="3"/>
        <v>LGE426</v>
      </c>
      <c r="D136" s="75" t="s">
        <v>303</v>
      </c>
      <c r="E136" s="81">
        <v>34</v>
      </c>
      <c r="F136" s="80"/>
      <c r="G136" s="79">
        <v>732</v>
      </c>
      <c r="H136" s="79">
        <v>1296.05</v>
      </c>
      <c r="I136" s="81">
        <v>34</v>
      </c>
      <c r="J136" s="80"/>
      <c r="K136" s="79">
        <v>794</v>
      </c>
      <c r="L136" s="79">
        <v>1295.5</v>
      </c>
      <c r="M136" s="81">
        <v>34</v>
      </c>
      <c r="N136" s="80"/>
      <c r="O136" s="79">
        <v>874</v>
      </c>
      <c r="P136" s="79">
        <v>1306.55</v>
      </c>
      <c r="Q136" s="81">
        <v>34</v>
      </c>
      <c r="R136" s="80"/>
      <c r="S136" s="79">
        <v>907</v>
      </c>
      <c r="T136" s="79">
        <v>1306.6199999999999</v>
      </c>
      <c r="U136" s="81">
        <v>34</v>
      </c>
      <c r="V136" s="80"/>
      <c r="W136" s="79">
        <v>1064</v>
      </c>
      <c r="X136" s="79">
        <v>1311.15</v>
      </c>
      <c r="Y136" s="81">
        <v>34</v>
      </c>
      <c r="Z136" s="80"/>
      <c r="AA136" s="79">
        <v>1140</v>
      </c>
      <c r="AB136" s="79">
        <v>1310.47</v>
      </c>
      <c r="AC136" s="81">
        <v>34</v>
      </c>
      <c r="AD136" s="80"/>
      <c r="AE136" s="79">
        <v>1238</v>
      </c>
      <c r="AF136" s="79">
        <v>1310.6400000000001</v>
      </c>
      <c r="AG136" s="81">
        <v>34</v>
      </c>
      <c r="AH136" s="80"/>
      <c r="AI136" s="79">
        <v>1039</v>
      </c>
      <c r="AJ136" s="79">
        <v>1363.38</v>
      </c>
      <c r="AK136" s="81">
        <v>34</v>
      </c>
      <c r="AL136" s="80"/>
      <c r="AM136" s="79">
        <v>952</v>
      </c>
      <c r="AN136" s="79">
        <v>1360.68</v>
      </c>
      <c r="AO136" s="81">
        <v>34</v>
      </c>
      <c r="AP136" s="80"/>
      <c r="AQ136" s="79">
        <v>975</v>
      </c>
      <c r="AR136" s="79">
        <v>1306.3900000000001</v>
      </c>
      <c r="AS136" s="81">
        <v>34</v>
      </c>
      <c r="AT136" s="80"/>
      <c r="AU136" s="79">
        <v>794</v>
      </c>
      <c r="AV136" s="79">
        <v>1286.68</v>
      </c>
      <c r="AW136" s="81">
        <v>34</v>
      </c>
      <c r="AX136" s="80"/>
      <c r="AY136" s="79">
        <v>755</v>
      </c>
      <c r="AZ136" s="79">
        <v>1286.8499999999999</v>
      </c>
      <c r="BA136" s="74">
        <v>408</v>
      </c>
      <c r="BB136" s="73"/>
      <c r="BC136" s="72">
        <v>11264</v>
      </c>
      <c r="BD136" s="72">
        <v>15740.960000000001</v>
      </c>
    </row>
    <row r="137" spans="1:56" ht="15" thickBot="1" x14ac:dyDescent="0.35">
      <c r="A137" s="75" t="s">
        <v>155</v>
      </c>
      <c r="B137" s="75" t="s">
        <v>302</v>
      </c>
      <c r="C137" s="213" t="str">
        <f t="shared" si="3"/>
        <v>LGE427</v>
      </c>
      <c r="D137" s="75" t="s">
        <v>301</v>
      </c>
      <c r="E137" s="78">
        <v>53</v>
      </c>
      <c r="F137" s="77"/>
      <c r="G137" s="76">
        <v>1143</v>
      </c>
      <c r="H137" s="76">
        <v>2194.0100000000002</v>
      </c>
      <c r="I137" s="78">
        <v>53</v>
      </c>
      <c r="J137" s="77"/>
      <c r="K137" s="76">
        <v>1229</v>
      </c>
      <c r="L137" s="76">
        <v>2193.1</v>
      </c>
      <c r="M137" s="78">
        <v>53</v>
      </c>
      <c r="N137" s="77"/>
      <c r="O137" s="76">
        <v>1404</v>
      </c>
      <c r="P137" s="76">
        <v>2211.69</v>
      </c>
      <c r="Q137" s="78">
        <v>53</v>
      </c>
      <c r="R137" s="77"/>
      <c r="S137" s="76">
        <v>1427</v>
      </c>
      <c r="T137" s="76">
        <v>2211.85</v>
      </c>
      <c r="U137" s="78">
        <v>53</v>
      </c>
      <c r="V137" s="77"/>
      <c r="W137" s="76">
        <v>1641</v>
      </c>
      <c r="X137" s="76">
        <v>2219.5100000000002</v>
      </c>
      <c r="Y137" s="78">
        <v>53</v>
      </c>
      <c r="Z137" s="77"/>
      <c r="AA137" s="76">
        <v>1789</v>
      </c>
      <c r="AB137" s="76">
        <v>2218.66</v>
      </c>
      <c r="AC137" s="78">
        <v>53</v>
      </c>
      <c r="AD137" s="77"/>
      <c r="AE137" s="76">
        <v>1917</v>
      </c>
      <c r="AF137" s="76">
        <v>2219.1799999999998</v>
      </c>
      <c r="AG137" s="78">
        <v>53</v>
      </c>
      <c r="AH137" s="77"/>
      <c r="AI137" s="76">
        <v>1625</v>
      </c>
      <c r="AJ137" s="76">
        <v>2302.56</v>
      </c>
      <c r="AK137" s="78">
        <v>54</v>
      </c>
      <c r="AL137" s="77"/>
      <c r="AM137" s="76">
        <v>1490</v>
      </c>
      <c r="AN137" s="76">
        <v>2327.2800000000002</v>
      </c>
      <c r="AO137" s="78">
        <v>54</v>
      </c>
      <c r="AP137" s="77"/>
      <c r="AQ137" s="76">
        <v>1516</v>
      </c>
      <c r="AR137" s="76">
        <v>2250.83</v>
      </c>
      <c r="AS137" s="78">
        <v>54</v>
      </c>
      <c r="AT137" s="77"/>
      <c r="AU137" s="76">
        <v>1252</v>
      </c>
      <c r="AV137" s="76">
        <v>2217.11</v>
      </c>
      <c r="AW137" s="78">
        <v>54</v>
      </c>
      <c r="AX137" s="77"/>
      <c r="AY137" s="76">
        <v>1219</v>
      </c>
      <c r="AZ137" s="76">
        <v>2217.33</v>
      </c>
      <c r="BA137" s="74">
        <v>640</v>
      </c>
      <c r="BB137" s="73"/>
      <c r="BC137" s="72">
        <v>17652</v>
      </c>
      <c r="BD137" s="72">
        <v>26783.11</v>
      </c>
    </row>
    <row r="138" spans="1:56" ht="15" thickBot="1" x14ac:dyDescent="0.35">
      <c r="A138" s="75" t="s">
        <v>155</v>
      </c>
      <c r="B138" s="75" t="s">
        <v>300</v>
      </c>
      <c r="C138" s="213" t="str">
        <f t="shared" si="3"/>
        <v>LGE428</v>
      </c>
      <c r="D138" s="75" t="s">
        <v>299</v>
      </c>
      <c r="E138" s="81">
        <v>277</v>
      </c>
      <c r="F138" s="80"/>
      <c r="G138" s="79">
        <v>8390</v>
      </c>
      <c r="H138" s="79">
        <v>11166.18</v>
      </c>
      <c r="I138" s="81">
        <v>275</v>
      </c>
      <c r="J138" s="80"/>
      <c r="K138" s="79">
        <v>9094</v>
      </c>
      <c r="L138" s="79">
        <v>11079.46</v>
      </c>
      <c r="M138" s="81">
        <v>277</v>
      </c>
      <c r="N138" s="80"/>
      <c r="O138" s="79">
        <v>10122</v>
      </c>
      <c r="P138" s="79">
        <v>11218.38</v>
      </c>
      <c r="Q138" s="81">
        <v>276</v>
      </c>
      <c r="R138" s="80"/>
      <c r="S138" s="79">
        <v>10567</v>
      </c>
      <c r="T138" s="79">
        <v>11215.36</v>
      </c>
      <c r="U138" s="81">
        <v>289</v>
      </c>
      <c r="V138" s="80"/>
      <c r="W138" s="79">
        <v>12627</v>
      </c>
      <c r="X138" s="79">
        <v>11768.23</v>
      </c>
      <c r="Y138" s="81">
        <v>289</v>
      </c>
      <c r="Z138" s="80"/>
      <c r="AA138" s="79">
        <v>13725</v>
      </c>
      <c r="AB138" s="79">
        <v>11754.53</v>
      </c>
      <c r="AC138" s="81">
        <v>289</v>
      </c>
      <c r="AD138" s="80"/>
      <c r="AE138" s="79">
        <v>14657</v>
      </c>
      <c r="AF138" s="79">
        <v>11753.23</v>
      </c>
      <c r="AG138" s="81">
        <v>289</v>
      </c>
      <c r="AH138" s="80"/>
      <c r="AI138" s="79">
        <v>12558</v>
      </c>
      <c r="AJ138" s="79">
        <v>12226.23</v>
      </c>
      <c r="AK138" s="81">
        <v>289</v>
      </c>
      <c r="AL138" s="80"/>
      <c r="AM138" s="79">
        <v>11339</v>
      </c>
      <c r="AN138" s="79">
        <v>12207.05</v>
      </c>
      <c r="AO138" s="81">
        <v>289</v>
      </c>
      <c r="AP138" s="80"/>
      <c r="AQ138" s="79">
        <v>11542</v>
      </c>
      <c r="AR138" s="79">
        <v>11718.68</v>
      </c>
      <c r="AS138" s="81">
        <v>289</v>
      </c>
      <c r="AT138" s="81">
        <v>185</v>
      </c>
      <c r="AU138" s="79">
        <v>9722</v>
      </c>
      <c r="AV138" s="79">
        <v>11845.14</v>
      </c>
      <c r="AW138" s="81">
        <v>299</v>
      </c>
      <c r="AX138" s="80"/>
      <c r="AY138" s="79">
        <v>9447</v>
      </c>
      <c r="AZ138" s="79">
        <v>11925.59</v>
      </c>
      <c r="BA138" s="74">
        <v>3427</v>
      </c>
      <c r="BB138" s="74">
        <v>185</v>
      </c>
      <c r="BC138" s="72">
        <v>133790</v>
      </c>
      <c r="BD138" s="72">
        <v>139878.06</v>
      </c>
    </row>
    <row r="139" spans="1:56" ht="15" thickBot="1" x14ac:dyDescent="0.35">
      <c r="A139" s="75" t="s">
        <v>155</v>
      </c>
      <c r="B139" s="75" t="s">
        <v>298</v>
      </c>
      <c r="C139" s="213" t="str">
        <f t="shared" si="3"/>
        <v>LGE429</v>
      </c>
      <c r="D139" s="75" t="s">
        <v>297</v>
      </c>
      <c r="E139" s="78">
        <v>214</v>
      </c>
      <c r="F139" s="77"/>
      <c r="G139" s="76">
        <v>6429</v>
      </c>
      <c r="H139" s="76">
        <v>9638.7199999999993</v>
      </c>
      <c r="I139" s="78">
        <v>201</v>
      </c>
      <c r="J139" s="77"/>
      <c r="K139" s="76">
        <v>6832</v>
      </c>
      <c r="L139" s="76">
        <v>9105.2199999999993</v>
      </c>
      <c r="M139" s="78">
        <v>227</v>
      </c>
      <c r="N139" s="77"/>
      <c r="O139" s="76">
        <v>8461</v>
      </c>
      <c r="P139" s="76">
        <v>10246.69</v>
      </c>
      <c r="Q139" s="78">
        <v>214</v>
      </c>
      <c r="R139" s="77"/>
      <c r="S139" s="76">
        <v>8719</v>
      </c>
      <c r="T139" s="76">
        <v>9724.7000000000007</v>
      </c>
      <c r="U139" s="78">
        <v>214</v>
      </c>
      <c r="V139" s="77"/>
      <c r="W139" s="76">
        <v>9361</v>
      </c>
      <c r="X139" s="76">
        <v>9756.2199999999993</v>
      </c>
      <c r="Y139" s="78">
        <v>214</v>
      </c>
      <c r="Z139" s="77"/>
      <c r="AA139" s="76">
        <v>10219</v>
      </c>
      <c r="AB139" s="76">
        <v>9754.7099999999991</v>
      </c>
      <c r="AC139" s="78">
        <v>214</v>
      </c>
      <c r="AD139" s="77"/>
      <c r="AE139" s="76">
        <v>10583</v>
      </c>
      <c r="AF139" s="76">
        <v>9754.2999999999993</v>
      </c>
      <c r="AG139" s="78">
        <v>579</v>
      </c>
      <c r="AH139" s="77"/>
      <c r="AI139" s="76">
        <v>23411</v>
      </c>
      <c r="AJ139" s="76">
        <v>25414.14</v>
      </c>
      <c r="AK139" s="78">
        <v>247</v>
      </c>
      <c r="AL139" s="77"/>
      <c r="AM139" s="76">
        <v>9621</v>
      </c>
      <c r="AN139" s="76">
        <v>11572.85</v>
      </c>
      <c r="AO139" s="78">
        <v>556</v>
      </c>
      <c r="AP139" s="77"/>
      <c r="AQ139" s="76">
        <v>21199</v>
      </c>
      <c r="AR139" s="76">
        <v>25080.639999999999</v>
      </c>
      <c r="AS139" s="78">
        <v>259</v>
      </c>
      <c r="AT139" s="77"/>
      <c r="AU139" s="76">
        <v>8391</v>
      </c>
      <c r="AV139" s="76">
        <v>11525.61</v>
      </c>
      <c r="AW139" s="78">
        <v>259</v>
      </c>
      <c r="AX139" s="77"/>
      <c r="AY139" s="76">
        <v>8229</v>
      </c>
      <c r="AZ139" s="76">
        <v>11507.27</v>
      </c>
      <c r="BA139" s="74">
        <v>3398</v>
      </c>
      <c r="BB139" s="73"/>
      <c r="BC139" s="72">
        <v>131455</v>
      </c>
      <c r="BD139" s="72">
        <v>153081.06999999998</v>
      </c>
    </row>
    <row r="140" spans="1:56" ht="15" thickBot="1" x14ac:dyDescent="0.35">
      <c r="A140" s="75" t="s">
        <v>155</v>
      </c>
      <c r="B140" s="75" t="s">
        <v>296</v>
      </c>
      <c r="C140" s="213" t="str">
        <f t="shared" si="3"/>
        <v>LGE430</v>
      </c>
      <c r="D140" s="75" t="s">
        <v>295</v>
      </c>
      <c r="E140" s="81">
        <v>13</v>
      </c>
      <c r="F140" s="80"/>
      <c r="G140" s="79">
        <v>275</v>
      </c>
      <c r="H140" s="79">
        <v>456.25</v>
      </c>
      <c r="I140" s="81">
        <v>13</v>
      </c>
      <c r="J140" s="80"/>
      <c r="K140" s="79">
        <v>317</v>
      </c>
      <c r="L140" s="79">
        <v>455.88</v>
      </c>
      <c r="M140" s="81">
        <v>13</v>
      </c>
      <c r="N140" s="80"/>
      <c r="O140" s="79">
        <v>366</v>
      </c>
      <c r="P140" s="79">
        <v>459.76</v>
      </c>
      <c r="Q140" s="81">
        <v>13</v>
      </c>
      <c r="R140" s="80"/>
      <c r="S140" s="79">
        <v>367</v>
      </c>
      <c r="T140" s="79">
        <v>459.81</v>
      </c>
      <c r="U140" s="81">
        <v>13</v>
      </c>
      <c r="V140" s="80"/>
      <c r="W140" s="79">
        <v>449</v>
      </c>
      <c r="X140" s="79">
        <v>461.4</v>
      </c>
      <c r="Y140" s="81">
        <v>13</v>
      </c>
      <c r="Z140" s="80"/>
      <c r="AA140" s="79">
        <v>436</v>
      </c>
      <c r="AB140" s="79">
        <v>461.15</v>
      </c>
      <c r="AC140" s="81">
        <v>13</v>
      </c>
      <c r="AD140" s="80"/>
      <c r="AE140" s="79">
        <v>426</v>
      </c>
      <c r="AF140" s="79">
        <v>461.32</v>
      </c>
      <c r="AG140" s="81">
        <v>13</v>
      </c>
      <c r="AH140" s="80"/>
      <c r="AI140" s="79">
        <v>402</v>
      </c>
      <c r="AJ140" s="79">
        <v>480.18</v>
      </c>
      <c r="AK140" s="81">
        <v>13</v>
      </c>
      <c r="AL140" s="80"/>
      <c r="AM140" s="79">
        <v>363</v>
      </c>
      <c r="AN140" s="79">
        <v>479.24</v>
      </c>
      <c r="AO140" s="81">
        <v>13</v>
      </c>
      <c r="AP140" s="80"/>
      <c r="AQ140" s="79">
        <v>318</v>
      </c>
      <c r="AR140" s="79">
        <v>460.15</v>
      </c>
      <c r="AS140" s="81">
        <v>13</v>
      </c>
      <c r="AT140" s="80"/>
      <c r="AU140" s="79">
        <v>288</v>
      </c>
      <c r="AV140" s="79">
        <v>453.21</v>
      </c>
      <c r="AW140" s="81">
        <v>13</v>
      </c>
      <c r="AX140" s="80"/>
      <c r="AY140" s="79">
        <v>308</v>
      </c>
      <c r="AZ140" s="79">
        <v>453.17</v>
      </c>
      <c r="BA140" s="74">
        <v>156</v>
      </c>
      <c r="BB140" s="73"/>
      <c r="BC140" s="72">
        <v>4315</v>
      </c>
      <c r="BD140" s="72">
        <v>5541.5199999999995</v>
      </c>
    </row>
    <row r="141" spans="1:56" ht="15" thickBot="1" x14ac:dyDescent="0.35">
      <c r="A141" s="75" t="s">
        <v>155</v>
      </c>
      <c r="B141" s="75" t="s">
        <v>294</v>
      </c>
      <c r="C141" s="213" t="str">
        <f t="shared" si="3"/>
        <v>LGE431</v>
      </c>
      <c r="D141" s="75" t="s">
        <v>293</v>
      </c>
      <c r="E141" s="78">
        <v>51</v>
      </c>
      <c r="F141" s="77"/>
      <c r="G141" s="76">
        <v>1132</v>
      </c>
      <c r="H141" s="76">
        <v>2100.4</v>
      </c>
      <c r="I141" s="78">
        <v>43</v>
      </c>
      <c r="J141" s="78">
        <v>1</v>
      </c>
      <c r="K141" s="76">
        <v>896</v>
      </c>
      <c r="L141" s="76">
        <v>1718.36</v>
      </c>
      <c r="M141" s="78">
        <v>43</v>
      </c>
      <c r="N141" s="78">
        <v>9</v>
      </c>
      <c r="O141" s="76">
        <v>1303</v>
      </c>
      <c r="P141" s="76">
        <v>2078.7800000000002</v>
      </c>
      <c r="Q141" s="78">
        <v>51</v>
      </c>
      <c r="R141" s="77"/>
      <c r="S141" s="76">
        <v>1446</v>
      </c>
      <c r="T141" s="76">
        <v>2117.48</v>
      </c>
      <c r="U141" s="78">
        <v>51</v>
      </c>
      <c r="V141" s="77"/>
      <c r="W141" s="76">
        <v>1490</v>
      </c>
      <c r="X141" s="76">
        <v>2124.9</v>
      </c>
      <c r="Y141" s="78">
        <v>51</v>
      </c>
      <c r="Z141" s="77"/>
      <c r="AA141" s="76">
        <v>1730</v>
      </c>
      <c r="AB141" s="76">
        <v>2124.12</v>
      </c>
      <c r="AC141" s="78">
        <v>81</v>
      </c>
      <c r="AD141" s="77"/>
      <c r="AE141" s="76">
        <v>2251</v>
      </c>
      <c r="AF141" s="76">
        <v>2677.99</v>
      </c>
      <c r="AG141" s="78">
        <v>51</v>
      </c>
      <c r="AH141" s="77"/>
      <c r="AI141" s="76">
        <v>1183</v>
      </c>
      <c r="AJ141" s="76">
        <v>1585.69</v>
      </c>
      <c r="AK141" s="78">
        <v>51</v>
      </c>
      <c r="AL141" s="77"/>
      <c r="AM141" s="76">
        <v>1415</v>
      </c>
      <c r="AN141" s="76">
        <v>2199.02</v>
      </c>
      <c r="AO141" s="78">
        <v>51</v>
      </c>
      <c r="AP141" s="77"/>
      <c r="AQ141" s="76">
        <v>1433</v>
      </c>
      <c r="AR141" s="76">
        <v>2111.38</v>
      </c>
      <c r="AS141" s="78">
        <v>51</v>
      </c>
      <c r="AT141" s="77"/>
      <c r="AU141" s="76">
        <v>1197</v>
      </c>
      <c r="AV141" s="76">
        <v>2079.6999999999998</v>
      </c>
      <c r="AW141" s="78">
        <v>51</v>
      </c>
      <c r="AX141" s="77"/>
      <c r="AY141" s="76">
        <v>1175</v>
      </c>
      <c r="AZ141" s="76">
        <v>2079.9</v>
      </c>
      <c r="BA141" s="74">
        <v>626</v>
      </c>
      <c r="BB141" s="74">
        <v>10</v>
      </c>
      <c r="BC141" s="72">
        <v>16651</v>
      </c>
      <c r="BD141" s="72">
        <v>24997.720000000005</v>
      </c>
    </row>
    <row r="142" spans="1:56" ht="15" thickBot="1" x14ac:dyDescent="0.35">
      <c r="A142" s="75" t="s">
        <v>155</v>
      </c>
      <c r="B142" s="75" t="s">
        <v>292</v>
      </c>
      <c r="C142" s="213" t="str">
        <f t="shared" si="3"/>
        <v>LGE432</v>
      </c>
      <c r="D142" s="75" t="s">
        <v>291</v>
      </c>
      <c r="E142" s="81">
        <v>10</v>
      </c>
      <c r="F142" s="80"/>
      <c r="G142" s="79">
        <v>305</v>
      </c>
      <c r="H142" s="79">
        <v>397.95</v>
      </c>
      <c r="I142" s="81">
        <v>10</v>
      </c>
      <c r="J142" s="80"/>
      <c r="K142" s="79">
        <v>305</v>
      </c>
      <c r="L142" s="79">
        <v>397.68</v>
      </c>
      <c r="M142" s="81">
        <v>10</v>
      </c>
      <c r="N142" s="80"/>
      <c r="O142" s="79">
        <v>384</v>
      </c>
      <c r="P142" s="79">
        <v>401.08</v>
      </c>
      <c r="Q142" s="81">
        <v>10</v>
      </c>
      <c r="R142" s="80"/>
      <c r="S142" s="79">
        <v>374</v>
      </c>
      <c r="T142" s="79">
        <v>401.14</v>
      </c>
      <c r="U142" s="81">
        <v>10</v>
      </c>
      <c r="V142" s="80"/>
      <c r="W142" s="79">
        <v>408</v>
      </c>
      <c r="X142" s="79">
        <v>402.51</v>
      </c>
      <c r="Y142" s="81">
        <v>10</v>
      </c>
      <c r="Z142" s="80"/>
      <c r="AA142" s="79">
        <v>499</v>
      </c>
      <c r="AB142" s="79">
        <v>401.96</v>
      </c>
      <c r="AC142" s="81">
        <v>10</v>
      </c>
      <c r="AD142" s="80"/>
      <c r="AE142" s="79">
        <v>486</v>
      </c>
      <c r="AF142" s="79">
        <v>402.05</v>
      </c>
      <c r="AG142" s="81">
        <v>10</v>
      </c>
      <c r="AH142" s="80"/>
      <c r="AI142" s="79">
        <v>461</v>
      </c>
      <c r="AJ142" s="79">
        <v>418.25</v>
      </c>
      <c r="AK142" s="81">
        <v>10</v>
      </c>
      <c r="AL142" s="80"/>
      <c r="AM142" s="79">
        <v>396</v>
      </c>
      <c r="AN142" s="79">
        <v>417.65</v>
      </c>
      <c r="AO142" s="81">
        <v>10</v>
      </c>
      <c r="AP142" s="80"/>
      <c r="AQ142" s="79">
        <v>385</v>
      </c>
      <c r="AR142" s="79">
        <v>400.96</v>
      </c>
      <c r="AS142" s="81">
        <v>10</v>
      </c>
      <c r="AT142" s="80"/>
      <c r="AU142" s="79">
        <v>333</v>
      </c>
      <c r="AV142" s="79">
        <v>394.72</v>
      </c>
      <c r="AW142" s="81">
        <v>10</v>
      </c>
      <c r="AX142" s="80"/>
      <c r="AY142" s="79">
        <v>333</v>
      </c>
      <c r="AZ142" s="79">
        <v>394.68</v>
      </c>
      <c r="BA142" s="74">
        <v>120</v>
      </c>
      <c r="BB142" s="73"/>
      <c r="BC142" s="72">
        <v>4669</v>
      </c>
      <c r="BD142" s="72">
        <v>4830.63</v>
      </c>
    </row>
    <row r="143" spans="1:56" ht="15" thickBot="1" x14ac:dyDescent="0.35">
      <c r="A143" s="75" t="s">
        <v>155</v>
      </c>
      <c r="B143" s="75" t="s">
        <v>290</v>
      </c>
      <c r="C143" s="213" t="str">
        <f t="shared" si="3"/>
        <v>LGE433</v>
      </c>
      <c r="D143" s="75" t="s">
        <v>289</v>
      </c>
      <c r="E143" s="78">
        <v>873</v>
      </c>
      <c r="F143" s="77"/>
      <c r="G143" s="76">
        <v>32058</v>
      </c>
      <c r="H143" s="76">
        <v>34239.68</v>
      </c>
      <c r="I143" s="78">
        <v>241</v>
      </c>
      <c r="J143" s="77"/>
      <c r="K143" s="76">
        <v>7702</v>
      </c>
      <c r="L143" s="76">
        <v>10328.120000000001</v>
      </c>
      <c r="M143" s="78">
        <v>237</v>
      </c>
      <c r="N143" s="77"/>
      <c r="O143" s="76">
        <v>9431</v>
      </c>
      <c r="P143" s="76">
        <v>10414.799999999999</v>
      </c>
      <c r="Q143" s="78">
        <v>237</v>
      </c>
      <c r="R143" s="77"/>
      <c r="S143" s="76">
        <v>9395</v>
      </c>
      <c r="T143" s="76">
        <v>10417.1</v>
      </c>
      <c r="U143" s="78">
        <v>237</v>
      </c>
      <c r="V143" s="77"/>
      <c r="W143" s="76">
        <v>9998</v>
      </c>
      <c r="X143" s="76">
        <v>10452.51</v>
      </c>
      <c r="Y143" s="78">
        <v>237</v>
      </c>
      <c r="Z143" s="77"/>
      <c r="AA143" s="76">
        <v>12001</v>
      </c>
      <c r="AB143" s="76">
        <v>10442.07</v>
      </c>
      <c r="AC143" s="78">
        <v>237</v>
      </c>
      <c r="AD143" s="77"/>
      <c r="AE143" s="76">
        <v>11410</v>
      </c>
      <c r="AF143" s="76">
        <v>10445.370000000001</v>
      </c>
      <c r="AG143" s="78">
        <v>237</v>
      </c>
      <c r="AH143" s="77"/>
      <c r="AI143" s="76">
        <v>9938</v>
      </c>
      <c r="AJ143" s="76">
        <v>10823.6</v>
      </c>
      <c r="AK143" s="78">
        <v>237</v>
      </c>
      <c r="AL143" s="77"/>
      <c r="AM143" s="76">
        <v>9502</v>
      </c>
      <c r="AN143" s="76">
        <v>10810.82</v>
      </c>
      <c r="AO143" s="78">
        <v>237</v>
      </c>
      <c r="AP143" s="77"/>
      <c r="AQ143" s="76">
        <v>8910</v>
      </c>
      <c r="AR143" s="76">
        <v>10385.91</v>
      </c>
      <c r="AS143" s="78">
        <v>237</v>
      </c>
      <c r="AT143" s="77"/>
      <c r="AU143" s="76">
        <v>7555</v>
      </c>
      <c r="AV143" s="76">
        <v>10222.620000000001</v>
      </c>
      <c r="AW143" s="78">
        <v>237</v>
      </c>
      <c r="AX143" s="77"/>
      <c r="AY143" s="76">
        <v>7738</v>
      </c>
      <c r="AZ143" s="76">
        <v>10219.120000000001</v>
      </c>
      <c r="BA143" s="74">
        <v>3484</v>
      </c>
      <c r="BB143" s="73"/>
      <c r="BC143" s="72">
        <v>135638</v>
      </c>
      <c r="BD143" s="72">
        <v>149201.72</v>
      </c>
    </row>
    <row r="144" spans="1:56" ht="15" thickBot="1" x14ac:dyDescent="0.35">
      <c r="A144" s="75" t="s">
        <v>155</v>
      </c>
      <c r="B144" s="75" t="s">
        <v>288</v>
      </c>
      <c r="C144" s="213" t="str">
        <f t="shared" si="3"/>
        <v>LGE440</v>
      </c>
      <c r="D144" s="75" t="s">
        <v>287</v>
      </c>
      <c r="E144" s="81">
        <v>10</v>
      </c>
      <c r="F144" s="80"/>
      <c r="G144" s="79">
        <v>758</v>
      </c>
      <c r="H144" s="79">
        <v>210.17</v>
      </c>
      <c r="I144" s="81">
        <v>10</v>
      </c>
      <c r="J144" s="80"/>
      <c r="K144" s="79">
        <v>823</v>
      </c>
      <c r="L144" s="79">
        <v>209.13</v>
      </c>
      <c r="M144" s="81">
        <v>10</v>
      </c>
      <c r="N144" s="80"/>
      <c r="O144" s="79">
        <v>931</v>
      </c>
      <c r="P144" s="79">
        <v>211.26</v>
      </c>
      <c r="Q144" s="81">
        <v>23</v>
      </c>
      <c r="R144" s="80"/>
      <c r="S144" s="79">
        <v>2084</v>
      </c>
      <c r="T144" s="79">
        <v>486.12</v>
      </c>
      <c r="U144" s="81">
        <v>23</v>
      </c>
      <c r="V144" s="80"/>
      <c r="W144" s="79">
        <v>2506</v>
      </c>
      <c r="X144" s="79">
        <v>487.51</v>
      </c>
      <c r="Y144" s="81">
        <v>23</v>
      </c>
      <c r="Z144" s="80"/>
      <c r="AA144" s="79">
        <v>2926</v>
      </c>
      <c r="AB144" s="79">
        <v>481.76</v>
      </c>
      <c r="AC144" s="81">
        <v>23</v>
      </c>
      <c r="AD144" s="80"/>
      <c r="AE144" s="79">
        <v>2785</v>
      </c>
      <c r="AF144" s="79">
        <v>480.51</v>
      </c>
      <c r="AG144" s="81">
        <v>23</v>
      </c>
      <c r="AH144" s="80"/>
      <c r="AI144" s="79">
        <v>2428</v>
      </c>
      <c r="AJ144" s="79">
        <v>517.79999999999995</v>
      </c>
      <c r="AK144" s="81">
        <v>23</v>
      </c>
      <c r="AL144" s="80"/>
      <c r="AM144" s="79">
        <v>2189</v>
      </c>
      <c r="AN144" s="79">
        <v>519.96</v>
      </c>
      <c r="AO144" s="81">
        <v>23</v>
      </c>
      <c r="AP144" s="80"/>
      <c r="AQ144" s="79">
        <v>2295</v>
      </c>
      <c r="AR144" s="79">
        <v>498.27</v>
      </c>
      <c r="AS144" s="81">
        <v>23</v>
      </c>
      <c r="AT144" s="80"/>
      <c r="AU144" s="79">
        <v>1844</v>
      </c>
      <c r="AV144" s="79">
        <v>487.73</v>
      </c>
      <c r="AW144" s="81">
        <v>23</v>
      </c>
      <c r="AX144" s="80"/>
      <c r="AY144" s="79">
        <v>1794</v>
      </c>
      <c r="AZ144" s="79">
        <v>487.03</v>
      </c>
      <c r="BA144" s="74">
        <v>237</v>
      </c>
      <c r="BB144" s="73"/>
      <c r="BC144" s="72">
        <v>23363</v>
      </c>
      <c r="BD144" s="72">
        <v>5077.2499999999991</v>
      </c>
    </row>
    <row r="145" spans="1:56" ht="15" thickBot="1" x14ac:dyDescent="0.35">
      <c r="A145" s="75" t="s">
        <v>155</v>
      </c>
      <c r="B145" s="75" t="s">
        <v>286</v>
      </c>
      <c r="C145" s="213" t="str">
        <f t="shared" si="3"/>
        <v>LGE441</v>
      </c>
      <c r="D145" s="75" t="s">
        <v>285</v>
      </c>
      <c r="E145" s="78">
        <v>40</v>
      </c>
      <c r="F145" s="77"/>
      <c r="G145" s="76">
        <v>4803</v>
      </c>
      <c r="H145" s="76">
        <v>1013.56</v>
      </c>
      <c r="I145" s="78">
        <v>40</v>
      </c>
      <c r="J145" s="77"/>
      <c r="K145" s="76">
        <v>5381</v>
      </c>
      <c r="L145" s="76">
        <v>1006.73</v>
      </c>
      <c r="M145" s="78">
        <v>39</v>
      </c>
      <c r="N145" s="77"/>
      <c r="O145" s="76">
        <v>5617</v>
      </c>
      <c r="P145" s="76">
        <v>991.9</v>
      </c>
      <c r="Q145" s="78">
        <v>41</v>
      </c>
      <c r="R145" s="77"/>
      <c r="S145" s="76">
        <v>6492</v>
      </c>
      <c r="T145" s="76">
        <v>1043.93</v>
      </c>
      <c r="U145" s="78">
        <v>40</v>
      </c>
      <c r="V145" s="77"/>
      <c r="W145" s="76">
        <v>6922</v>
      </c>
      <c r="X145" s="76">
        <v>1020.85</v>
      </c>
      <c r="Y145" s="78">
        <v>44</v>
      </c>
      <c r="Z145" s="77"/>
      <c r="AA145" s="76">
        <v>8318</v>
      </c>
      <c r="AB145" s="76">
        <v>1102.29</v>
      </c>
      <c r="AC145" s="78">
        <v>43</v>
      </c>
      <c r="AD145" s="77"/>
      <c r="AE145" s="76">
        <v>8749</v>
      </c>
      <c r="AF145" s="76">
        <v>1070.02</v>
      </c>
      <c r="AG145" s="78">
        <v>44</v>
      </c>
      <c r="AH145" s="77"/>
      <c r="AI145" s="76">
        <v>7624</v>
      </c>
      <c r="AJ145" s="76">
        <v>1178.17</v>
      </c>
      <c r="AK145" s="78">
        <v>46</v>
      </c>
      <c r="AL145" s="77"/>
      <c r="AM145" s="76">
        <v>10877</v>
      </c>
      <c r="AN145" s="76">
        <v>1860.36</v>
      </c>
      <c r="AO145" s="78">
        <v>44</v>
      </c>
      <c r="AP145" s="77"/>
      <c r="AQ145" s="76">
        <v>7050</v>
      </c>
      <c r="AR145" s="76">
        <v>1137.68</v>
      </c>
      <c r="AS145" s="78">
        <v>52</v>
      </c>
      <c r="AT145" s="77"/>
      <c r="AU145" s="76">
        <v>6904</v>
      </c>
      <c r="AV145" s="76">
        <v>1316.61</v>
      </c>
      <c r="AW145" s="78">
        <v>51</v>
      </c>
      <c r="AX145" s="77"/>
      <c r="AY145" s="76">
        <v>6511</v>
      </c>
      <c r="AZ145" s="76">
        <v>1287.76</v>
      </c>
      <c r="BA145" s="74">
        <v>524</v>
      </c>
      <c r="BB145" s="73"/>
      <c r="BC145" s="72">
        <v>85248</v>
      </c>
      <c r="BD145" s="72">
        <v>14029.860000000002</v>
      </c>
    </row>
    <row r="146" spans="1:56" ht="15" thickBot="1" x14ac:dyDescent="0.35">
      <c r="A146" s="75" t="s">
        <v>155</v>
      </c>
      <c r="B146" s="75" t="s">
        <v>284</v>
      </c>
      <c r="C146" s="213" t="str">
        <f t="shared" si="3"/>
        <v>LGE444</v>
      </c>
      <c r="D146" s="75" t="s">
        <v>283</v>
      </c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1">
        <v>1</v>
      </c>
      <c r="R146" s="80"/>
      <c r="S146" s="79">
        <v>137</v>
      </c>
      <c r="T146" s="79">
        <v>52.01</v>
      </c>
      <c r="U146" s="81">
        <v>2</v>
      </c>
      <c r="V146" s="81">
        <v>1</v>
      </c>
      <c r="W146" s="79">
        <v>151</v>
      </c>
      <c r="X146" s="79">
        <v>57.82</v>
      </c>
      <c r="Y146" s="81">
        <v>3</v>
      </c>
      <c r="Z146" s="80"/>
      <c r="AA146" s="79">
        <v>237</v>
      </c>
      <c r="AB146" s="79">
        <v>69.02</v>
      </c>
      <c r="AC146" s="81">
        <v>7</v>
      </c>
      <c r="AD146" s="80"/>
      <c r="AE146" s="79">
        <v>620</v>
      </c>
      <c r="AF146" s="79">
        <v>178.69</v>
      </c>
      <c r="AG146" s="81">
        <v>7</v>
      </c>
      <c r="AH146" s="80"/>
      <c r="AI146" s="79">
        <v>483</v>
      </c>
      <c r="AJ146" s="79">
        <v>174.19</v>
      </c>
      <c r="AK146" s="81">
        <v>9</v>
      </c>
      <c r="AL146" s="81">
        <v>1</v>
      </c>
      <c r="AM146" s="79">
        <v>537</v>
      </c>
      <c r="AN146" s="79">
        <v>230.25</v>
      </c>
      <c r="AO146" s="81">
        <v>9</v>
      </c>
      <c r="AP146" s="80"/>
      <c r="AQ146" s="79">
        <v>527</v>
      </c>
      <c r="AR146" s="79">
        <v>214.56</v>
      </c>
      <c r="AS146" s="81">
        <v>9</v>
      </c>
      <c r="AT146" s="81">
        <v>4</v>
      </c>
      <c r="AU146" s="79">
        <v>492</v>
      </c>
      <c r="AV146" s="79">
        <v>224.64</v>
      </c>
      <c r="AW146" s="81">
        <v>10</v>
      </c>
      <c r="AX146" s="80"/>
      <c r="AY146" s="79">
        <v>507</v>
      </c>
      <c r="AZ146" s="79">
        <v>234.3</v>
      </c>
      <c r="BA146" s="74">
        <v>57</v>
      </c>
      <c r="BB146" s="74">
        <v>6</v>
      </c>
      <c r="BC146" s="72">
        <v>3691</v>
      </c>
      <c r="BD146" s="72">
        <v>1435.4799999999998</v>
      </c>
    </row>
    <row r="147" spans="1:56" ht="15" thickBot="1" x14ac:dyDescent="0.35">
      <c r="A147" s="75" t="s">
        <v>155</v>
      </c>
      <c r="B147" s="75" t="s">
        <v>282</v>
      </c>
      <c r="C147" s="213" t="str">
        <f t="shared" si="3"/>
        <v>LGE445</v>
      </c>
      <c r="D147" s="75" t="s">
        <v>281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8">
        <v>4</v>
      </c>
      <c r="V147" s="77"/>
      <c r="W147" s="76">
        <v>205</v>
      </c>
      <c r="X147" s="76">
        <v>81.39</v>
      </c>
      <c r="Y147" s="78">
        <v>12</v>
      </c>
      <c r="Z147" s="78">
        <v>3</v>
      </c>
      <c r="AA147" s="76">
        <v>677</v>
      </c>
      <c r="AB147" s="76">
        <v>321.68</v>
      </c>
      <c r="AC147" s="78">
        <v>18</v>
      </c>
      <c r="AD147" s="77"/>
      <c r="AE147" s="76">
        <v>1454</v>
      </c>
      <c r="AF147" s="76">
        <v>448.09</v>
      </c>
      <c r="AG147" s="78">
        <v>19</v>
      </c>
      <c r="AH147" s="77"/>
      <c r="AI147" s="76">
        <v>1272</v>
      </c>
      <c r="AJ147" s="76">
        <v>518.57000000000005</v>
      </c>
      <c r="AK147" s="78">
        <v>19</v>
      </c>
      <c r="AL147" s="77"/>
      <c r="AM147" s="76">
        <v>1095</v>
      </c>
      <c r="AN147" s="76">
        <v>500.05</v>
      </c>
      <c r="AO147" s="78">
        <v>19</v>
      </c>
      <c r="AP147" s="77"/>
      <c r="AQ147" s="76">
        <v>1077</v>
      </c>
      <c r="AR147" s="76">
        <v>479.8</v>
      </c>
      <c r="AS147" s="78">
        <v>19</v>
      </c>
      <c r="AT147" s="77"/>
      <c r="AU147" s="76">
        <v>1005</v>
      </c>
      <c r="AV147" s="76">
        <v>471.15</v>
      </c>
      <c r="AW147" s="78">
        <v>19</v>
      </c>
      <c r="AX147" s="77"/>
      <c r="AY147" s="76">
        <v>919</v>
      </c>
      <c r="AZ147" s="76">
        <v>471.04</v>
      </c>
      <c r="BA147" s="74">
        <v>129</v>
      </c>
      <c r="BB147" s="74">
        <v>3</v>
      </c>
      <c r="BC147" s="72">
        <v>7704</v>
      </c>
      <c r="BD147" s="72">
        <v>3291.77</v>
      </c>
    </row>
    <row r="148" spans="1:56" ht="15" thickBot="1" x14ac:dyDescent="0.35">
      <c r="A148" s="75" t="s">
        <v>155</v>
      </c>
      <c r="B148" s="75" t="s">
        <v>280</v>
      </c>
      <c r="C148" s="213" t="str">
        <f t="shared" si="3"/>
        <v>LGE452</v>
      </c>
      <c r="D148" s="75" t="s">
        <v>279</v>
      </c>
      <c r="E148" s="81">
        <v>6755</v>
      </c>
      <c r="F148" s="81">
        <v>404</v>
      </c>
      <c r="G148" s="79">
        <v>313640</v>
      </c>
      <c r="H148" s="79">
        <v>96219.75</v>
      </c>
      <c r="I148" s="81">
        <v>6765</v>
      </c>
      <c r="J148" s="81">
        <v>466</v>
      </c>
      <c r="K148" s="79">
        <v>350344</v>
      </c>
      <c r="L148" s="79">
        <v>95884.25</v>
      </c>
      <c r="M148" s="81">
        <v>6747</v>
      </c>
      <c r="N148" s="81">
        <v>887</v>
      </c>
      <c r="O148" s="79">
        <v>403198</v>
      </c>
      <c r="P148" s="79">
        <v>96314.11</v>
      </c>
      <c r="Q148" s="81">
        <v>6811</v>
      </c>
      <c r="R148" s="81">
        <v>189</v>
      </c>
      <c r="S148" s="79">
        <v>416408</v>
      </c>
      <c r="T148" s="79">
        <v>97449.97</v>
      </c>
      <c r="U148" s="81">
        <v>5861</v>
      </c>
      <c r="V148" s="81">
        <v>372</v>
      </c>
      <c r="W148" s="79">
        <v>412643</v>
      </c>
      <c r="X148" s="79">
        <v>84531.33</v>
      </c>
      <c r="Y148" s="81">
        <v>7662</v>
      </c>
      <c r="Z148" s="81">
        <v>783</v>
      </c>
      <c r="AA148" s="79">
        <v>568528</v>
      </c>
      <c r="AB148" s="79">
        <v>108919.7</v>
      </c>
      <c r="AC148" s="81">
        <v>6752</v>
      </c>
      <c r="AD148" s="81">
        <v>809</v>
      </c>
      <c r="AE148" s="79">
        <v>501071</v>
      </c>
      <c r="AF148" s="79">
        <v>95883.72</v>
      </c>
      <c r="AG148" s="81">
        <v>6789</v>
      </c>
      <c r="AH148" s="81">
        <v>479</v>
      </c>
      <c r="AI148" s="79">
        <v>456513</v>
      </c>
      <c r="AJ148" s="79">
        <v>104892.43</v>
      </c>
      <c r="AK148" s="81">
        <v>6909</v>
      </c>
      <c r="AL148" s="81">
        <v>497</v>
      </c>
      <c r="AM148" s="79">
        <v>418804</v>
      </c>
      <c r="AN148" s="79">
        <v>107137</v>
      </c>
      <c r="AO148" s="81">
        <v>6852</v>
      </c>
      <c r="AP148" s="81">
        <v>724</v>
      </c>
      <c r="AQ148" s="79">
        <v>382380</v>
      </c>
      <c r="AR148" s="79">
        <v>102073.96</v>
      </c>
      <c r="AS148" s="81">
        <v>6859</v>
      </c>
      <c r="AT148" s="81">
        <v>346</v>
      </c>
      <c r="AU148" s="79">
        <v>340104</v>
      </c>
      <c r="AV148" s="79">
        <v>99939.16</v>
      </c>
      <c r="AW148" s="81">
        <v>6855</v>
      </c>
      <c r="AX148" s="81">
        <v>751</v>
      </c>
      <c r="AY148" s="79">
        <v>349427</v>
      </c>
      <c r="AZ148" s="79">
        <v>99769.600000000006</v>
      </c>
      <c r="BA148" s="74">
        <v>81617</v>
      </c>
      <c r="BB148" s="74">
        <v>6707</v>
      </c>
      <c r="BC148" s="72">
        <v>4913060</v>
      </c>
      <c r="BD148" s="72">
        <v>1189014.98</v>
      </c>
    </row>
    <row r="149" spans="1:56" ht="15" thickBot="1" x14ac:dyDescent="0.35">
      <c r="A149" s="75" t="s">
        <v>155</v>
      </c>
      <c r="B149" s="75" t="s">
        <v>278</v>
      </c>
      <c r="C149" s="213" t="str">
        <f t="shared" si="3"/>
        <v>LGE453</v>
      </c>
      <c r="D149" s="75" t="s">
        <v>277</v>
      </c>
      <c r="E149" s="81">
        <v>9849</v>
      </c>
      <c r="F149" s="81">
        <v>1432</v>
      </c>
      <c r="G149" s="79">
        <v>741415</v>
      </c>
      <c r="H149" s="79">
        <v>163488.48000000001</v>
      </c>
      <c r="I149" s="81">
        <v>9855</v>
      </c>
      <c r="J149" s="81">
        <v>3022</v>
      </c>
      <c r="K149" s="79">
        <v>847874</v>
      </c>
      <c r="L149" s="79">
        <v>162719.76999999999</v>
      </c>
      <c r="M149" s="81">
        <v>9904</v>
      </c>
      <c r="N149" s="81">
        <v>5494</v>
      </c>
      <c r="O149" s="79">
        <v>978107</v>
      </c>
      <c r="P149" s="79">
        <v>165098.12</v>
      </c>
      <c r="Q149" s="81">
        <v>9941</v>
      </c>
      <c r="R149" s="81">
        <v>1817</v>
      </c>
      <c r="S149" s="79">
        <v>998871</v>
      </c>
      <c r="T149" s="79">
        <v>165924.48000000001</v>
      </c>
      <c r="U149" s="81">
        <v>8121</v>
      </c>
      <c r="V149" s="81">
        <v>3166</v>
      </c>
      <c r="W149" s="79">
        <v>972550</v>
      </c>
      <c r="X149" s="79">
        <v>136305.92000000001</v>
      </c>
      <c r="Y149" s="81">
        <v>11878</v>
      </c>
      <c r="Z149" s="81">
        <v>4245</v>
      </c>
      <c r="AA149" s="79">
        <v>1422963</v>
      </c>
      <c r="AB149" s="79">
        <v>196243.35</v>
      </c>
      <c r="AC149" s="81">
        <v>9944</v>
      </c>
      <c r="AD149" s="81">
        <v>4485</v>
      </c>
      <c r="AE149" s="79">
        <v>1187204</v>
      </c>
      <c r="AF149" s="79">
        <v>165578.18</v>
      </c>
      <c r="AG149" s="81">
        <v>10191</v>
      </c>
      <c r="AH149" s="81">
        <v>5301</v>
      </c>
      <c r="AI149" s="79">
        <v>1114215</v>
      </c>
      <c r="AJ149" s="79">
        <v>183100.99</v>
      </c>
      <c r="AK149" s="81">
        <v>10322</v>
      </c>
      <c r="AL149" s="81">
        <v>4881</v>
      </c>
      <c r="AM149" s="79">
        <v>1028068</v>
      </c>
      <c r="AN149" s="79">
        <v>187402.44</v>
      </c>
      <c r="AO149" s="81">
        <v>10391</v>
      </c>
      <c r="AP149" s="81">
        <v>3048</v>
      </c>
      <c r="AQ149" s="79">
        <v>915306</v>
      </c>
      <c r="AR149" s="79">
        <v>179521.86</v>
      </c>
      <c r="AS149" s="81">
        <v>10407</v>
      </c>
      <c r="AT149" s="81">
        <v>3401</v>
      </c>
      <c r="AU149" s="79">
        <v>823664</v>
      </c>
      <c r="AV149" s="79">
        <v>175796.64</v>
      </c>
      <c r="AW149" s="81">
        <v>10421</v>
      </c>
      <c r="AX149" s="81">
        <v>3862</v>
      </c>
      <c r="AY149" s="79">
        <v>869031</v>
      </c>
      <c r="AZ149" s="79">
        <v>175595.37</v>
      </c>
      <c r="BA149" s="74">
        <v>121224</v>
      </c>
      <c r="BB149" s="74">
        <v>44154</v>
      </c>
      <c r="BC149" s="72">
        <v>11899268</v>
      </c>
      <c r="BD149" s="72">
        <v>2056775.6</v>
      </c>
    </row>
    <row r="150" spans="1:56" ht="15" thickBot="1" x14ac:dyDescent="0.35">
      <c r="A150" s="75" t="s">
        <v>155</v>
      </c>
      <c r="B150" s="75" t="s">
        <v>276</v>
      </c>
      <c r="C150" s="213" t="str">
        <f t="shared" si="3"/>
        <v>LGE454</v>
      </c>
      <c r="D150" s="75" t="s">
        <v>275</v>
      </c>
      <c r="E150" s="81">
        <v>5733</v>
      </c>
      <c r="F150" s="81">
        <v>1460</v>
      </c>
      <c r="G150" s="79">
        <v>700695</v>
      </c>
      <c r="H150" s="79">
        <v>113880.11</v>
      </c>
      <c r="I150" s="81">
        <v>5522</v>
      </c>
      <c r="J150" s="81">
        <v>886</v>
      </c>
      <c r="K150" s="79">
        <v>738877</v>
      </c>
      <c r="L150" s="79">
        <v>108895.8</v>
      </c>
      <c r="M150" s="81">
        <v>5598</v>
      </c>
      <c r="N150" s="81">
        <v>2077</v>
      </c>
      <c r="O150" s="79">
        <v>1057937</v>
      </c>
      <c r="P150" s="79">
        <v>138569.07</v>
      </c>
      <c r="Q150" s="81">
        <v>5589</v>
      </c>
      <c r="R150" s="81">
        <v>693</v>
      </c>
      <c r="S150" s="79">
        <v>888020</v>
      </c>
      <c r="T150" s="79">
        <v>111593.13</v>
      </c>
      <c r="U150" s="81">
        <v>5250</v>
      </c>
      <c r="V150" s="81">
        <v>251</v>
      </c>
      <c r="W150" s="79">
        <v>945007</v>
      </c>
      <c r="X150" s="79">
        <v>105335.46</v>
      </c>
      <c r="Y150" s="81">
        <v>5904</v>
      </c>
      <c r="Z150" s="81">
        <v>1438</v>
      </c>
      <c r="AA150" s="79">
        <v>1137919</v>
      </c>
      <c r="AB150" s="79">
        <v>115832.87</v>
      </c>
      <c r="AC150" s="81">
        <v>5500</v>
      </c>
      <c r="AD150" s="81">
        <v>1419</v>
      </c>
      <c r="AE150" s="79">
        <v>1068603</v>
      </c>
      <c r="AF150" s="79">
        <v>107010.24000000001</v>
      </c>
      <c r="AG150" s="81">
        <v>5622</v>
      </c>
      <c r="AH150" s="81">
        <v>1705</v>
      </c>
      <c r="AI150" s="79">
        <v>971511</v>
      </c>
      <c r="AJ150" s="79">
        <v>119046.54</v>
      </c>
      <c r="AK150" s="81">
        <v>5618</v>
      </c>
      <c r="AL150" s="81">
        <v>631</v>
      </c>
      <c r="AM150" s="79">
        <v>875891</v>
      </c>
      <c r="AN150" s="79">
        <v>119920.15</v>
      </c>
      <c r="AO150" s="81">
        <v>5548</v>
      </c>
      <c r="AP150" s="81">
        <v>2664</v>
      </c>
      <c r="AQ150" s="79">
        <v>813889</v>
      </c>
      <c r="AR150" s="79">
        <v>113974.61</v>
      </c>
      <c r="AS150" s="81">
        <v>5534</v>
      </c>
      <c r="AT150" s="81">
        <v>437</v>
      </c>
      <c r="AU150" s="79">
        <v>719798</v>
      </c>
      <c r="AV150" s="79">
        <v>111150.31</v>
      </c>
      <c r="AW150" s="81">
        <v>5516</v>
      </c>
      <c r="AX150" s="81">
        <v>204</v>
      </c>
      <c r="AY150" s="79">
        <v>724364</v>
      </c>
      <c r="AZ150" s="79">
        <v>110487.66</v>
      </c>
      <c r="BA150" s="74">
        <v>66934</v>
      </c>
      <c r="BB150" s="74">
        <v>13865</v>
      </c>
      <c r="BC150" s="72">
        <v>10642511</v>
      </c>
      <c r="BD150" s="72">
        <v>1375695.95</v>
      </c>
    </row>
    <row r="151" spans="1:56" ht="15" thickBot="1" x14ac:dyDescent="0.35">
      <c r="A151" s="75" t="s">
        <v>155</v>
      </c>
      <c r="B151" s="75" t="s">
        <v>274</v>
      </c>
      <c r="C151" s="213" t="str">
        <f t="shared" si="3"/>
        <v>LGE455</v>
      </c>
      <c r="D151" s="75" t="s">
        <v>273</v>
      </c>
      <c r="E151" s="81">
        <v>416</v>
      </c>
      <c r="F151" s="80"/>
      <c r="G151" s="79">
        <v>19265</v>
      </c>
      <c r="H151" s="79">
        <v>6614.95</v>
      </c>
      <c r="I151" s="81">
        <v>412</v>
      </c>
      <c r="J151" s="80"/>
      <c r="K151" s="79">
        <v>20460</v>
      </c>
      <c r="L151" s="79">
        <v>6544.53</v>
      </c>
      <c r="M151" s="81">
        <v>410</v>
      </c>
      <c r="N151" s="80"/>
      <c r="O151" s="79">
        <v>23947</v>
      </c>
      <c r="P151" s="79">
        <v>6627.99</v>
      </c>
      <c r="Q151" s="81">
        <v>415</v>
      </c>
      <c r="R151" s="80"/>
      <c r="S151" s="79">
        <v>24708</v>
      </c>
      <c r="T151" s="79">
        <v>6631.94</v>
      </c>
      <c r="U151" s="81">
        <v>406</v>
      </c>
      <c r="V151" s="80"/>
      <c r="W151" s="79">
        <v>26271</v>
      </c>
      <c r="X151" s="79">
        <v>6515.43</v>
      </c>
      <c r="Y151" s="81">
        <v>415</v>
      </c>
      <c r="Z151" s="80"/>
      <c r="AA151" s="79">
        <v>30980</v>
      </c>
      <c r="AB151" s="79">
        <v>6600.2</v>
      </c>
      <c r="AC151" s="81">
        <v>396</v>
      </c>
      <c r="AD151" s="80"/>
      <c r="AE151" s="79">
        <v>30614</v>
      </c>
      <c r="AF151" s="79">
        <v>6373.74</v>
      </c>
      <c r="AG151" s="81">
        <v>411</v>
      </c>
      <c r="AH151" s="80"/>
      <c r="AI151" s="79">
        <v>27333</v>
      </c>
      <c r="AJ151" s="79">
        <v>7059.45</v>
      </c>
      <c r="AK151" s="81">
        <v>410</v>
      </c>
      <c r="AL151" s="80"/>
      <c r="AM151" s="79">
        <v>24801</v>
      </c>
      <c r="AN151" s="79">
        <v>7121.55</v>
      </c>
      <c r="AO151" s="81">
        <v>405</v>
      </c>
      <c r="AP151" s="80"/>
      <c r="AQ151" s="79">
        <v>23841</v>
      </c>
      <c r="AR151" s="79">
        <v>6760.43</v>
      </c>
      <c r="AS151" s="81">
        <v>412</v>
      </c>
      <c r="AT151" s="81">
        <v>4</v>
      </c>
      <c r="AU151" s="79">
        <v>21106</v>
      </c>
      <c r="AV151" s="79">
        <v>6710.3</v>
      </c>
      <c r="AW151" s="81">
        <v>402</v>
      </c>
      <c r="AX151" s="80"/>
      <c r="AY151" s="79">
        <v>20237</v>
      </c>
      <c r="AZ151" s="79">
        <v>6590.94</v>
      </c>
      <c r="BA151" s="74">
        <v>4910</v>
      </c>
      <c r="BB151" s="74">
        <v>4</v>
      </c>
      <c r="BC151" s="72">
        <v>293563</v>
      </c>
      <c r="BD151" s="72">
        <v>80151.45</v>
      </c>
    </row>
    <row r="152" spans="1:56" ht="15" thickBot="1" x14ac:dyDescent="0.35">
      <c r="A152" s="75" t="s">
        <v>155</v>
      </c>
      <c r="B152" s="75" t="s">
        <v>272</v>
      </c>
      <c r="C152" s="213" t="str">
        <f t="shared" si="3"/>
        <v>LGE456</v>
      </c>
      <c r="D152" s="75" t="s">
        <v>271</v>
      </c>
      <c r="E152" s="78">
        <v>13210</v>
      </c>
      <c r="F152" s="78">
        <v>15</v>
      </c>
      <c r="G152" s="76">
        <v>1610508</v>
      </c>
      <c r="H152" s="76">
        <v>280046.86</v>
      </c>
      <c r="I152" s="78">
        <v>13080</v>
      </c>
      <c r="J152" s="78">
        <v>21</v>
      </c>
      <c r="K152" s="76">
        <v>1692816</v>
      </c>
      <c r="L152" s="76">
        <v>275416.96000000002</v>
      </c>
      <c r="M152" s="78">
        <v>13165</v>
      </c>
      <c r="N152" s="78">
        <v>30</v>
      </c>
      <c r="O152" s="76">
        <v>1987410</v>
      </c>
      <c r="P152" s="76">
        <v>280241.21999999997</v>
      </c>
      <c r="Q152" s="78">
        <v>13122</v>
      </c>
      <c r="R152" s="78">
        <v>15</v>
      </c>
      <c r="S152" s="76">
        <v>2060031</v>
      </c>
      <c r="T152" s="76">
        <v>279444.71999999997</v>
      </c>
      <c r="U152" s="78">
        <v>12794</v>
      </c>
      <c r="V152" s="78">
        <v>9</v>
      </c>
      <c r="W152" s="76">
        <v>2175887</v>
      </c>
      <c r="X152" s="76">
        <v>273675.68</v>
      </c>
      <c r="Y152" s="78">
        <v>13287</v>
      </c>
      <c r="Z152" s="78">
        <v>6</v>
      </c>
      <c r="AA152" s="76">
        <v>2585815</v>
      </c>
      <c r="AB152" s="76">
        <v>278056.87</v>
      </c>
      <c r="AC152" s="78">
        <v>12929</v>
      </c>
      <c r="AD152" s="78">
        <v>39</v>
      </c>
      <c r="AE152" s="76">
        <v>2590838</v>
      </c>
      <c r="AF152" s="76">
        <v>268940.56</v>
      </c>
      <c r="AG152" s="78">
        <v>13109</v>
      </c>
      <c r="AH152" s="78">
        <v>14</v>
      </c>
      <c r="AI152" s="76">
        <v>2276035</v>
      </c>
      <c r="AJ152" s="76">
        <v>295155.15999999997</v>
      </c>
      <c r="AK152" s="78">
        <v>13255</v>
      </c>
      <c r="AL152" s="78">
        <v>7</v>
      </c>
      <c r="AM152" s="76">
        <v>2084701</v>
      </c>
      <c r="AN152" s="76">
        <v>302974.34000000003</v>
      </c>
      <c r="AO152" s="78">
        <v>12941</v>
      </c>
      <c r="AP152" s="78">
        <v>48</v>
      </c>
      <c r="AQ152" s="76">
        <v>1987888</v>
      </c>
      <c r="AR152" s="76">
        <v>284289.51</v>
      </c>
      <c r="AS152" s="78">
        <v>12933</v>
      </c>
      <c r="AT152" s="78">
        <v>43</v>
      </c>
      <c r="AU152" s="76">
        <v>1732343</v>
      </c>
      <c r="AV152" s="76">
        <v>276108.59999999998</v>
      </c>
      <c r="AW152" s="78">
        <v>12896</v>
      </c>
      <c r="AX152" s="78">
        <v>3</v>
      </c>
      <c r="AY152" s="76">
        <v>1678557</v>
      </c>
      <c r="AZ152" s="76">
        <v>275119.11</v>
      </c>
      <c r="BA152" s="74">
        <v>156721</v>
      </c>
      <c r="BB152" s="74">
        <v>250</v>
      </c>
      <c r="BC152" s="72">
        <v>24462829</v>
      </c>
      <c r="BD152" s="72">
        <v>3369469.59</v>
      </c>
    </row>
    <row r="153" spans="1:56" ht="15" thickBot="1" x14ac:dyDescent="0.35">
      <c r="A153" s="75" t="s">
        <v>155</v>
      </c>
      <c r="B153" s="75" t="s">
        <v>270</v>
      </c>
      <c r="C153" s="213" t="str">
        <f t="shared" si="3"/>
        <v>LGE457</v>
      </c>
      <c r="D153" s="75" t="s">
        <v>269</v>
      </c>
      <c r="E153" s="78">
        <v>3512</v>
      </c>
      <c r="F153" s="78">
        <v>17</v>
      </c>
      <c r="G153" s="76">
        <v>105005</v>
      </c>
      <c r="H153" s="76">
        <v>43656.6</v>
      </c>
      <c r="I153" s="78">
        <v>3492</v>
      </c>
      <c r="J153" s="78">
        <v>6</v>
      </c>
      <c r="K153" s="76">
        <v>112530</v>
      </c>
      <c r="L153" s="76">
        <v>43342.13</v>
      </c>
      <c r="M153" s="78">
        <v>3797</v>
      </c>
      <c r="N153" s="78">
        <v>63</v>
      </c>
      <c r="O153" s="76">
        <v>130673</v>
      </c>
      <c r="P153" s="76">
        <v>44078.65</v>
      </c>
      <c r="Q153" s="78">
        <v>3513</v>
      </c>
      <c r="R153" s="78">
        <v>20</v>
      </c>
      <c r="S153" s="76">
        <v>135962</v>
      </c>
      <c r="T153" s="76">
        <v>44123.76</v>
      </c>
      <c r="U153" s="78">
        <v>3499</v>
      </c>
      <c r="V153" s="78">
        <v>98</v>
      </c>
      <c r="W153" s="76">
        <v>148147</v>
      </c>
      <c r="X153" s="76">
        <v>43950.9</v>
      </c>
      <c r="Y153" s="78">
        <v>3549</v>
      </c>
      <c r="Z153" s="78">
        <v>26</v>
      </c>
      <c r="AA153" s="76">
        <v>170986</v>
      </c>
      <c r="AB153" s="76">
        <v>44369.58</v>
      </c>
      <c r="AC153" s="78">
        <v>3500</v>
      </c>
      <c r="AD153" s="78">
        <v>126</v>
      </c>
      <c r="AE153" s="76">
        <v>174839</v>
      </c>
      <c r="AF153" s="76">
        <v>43748.23</v>
      </c>
      <c r="AG153" s="78">
        <v>3583</v>
      </c>
      <c r="AH153" s="78">
        <v>35</v>
      </c>
      <c r="AI153" s="76">
        <v>155824</v>
      </c>
      <c r="AJ153" s="76">
        <v>49369.89</v>
      </c>
      <c r="AK153" s="78">
        <v>3668</v>
      </c>
      <c r="AL153" s="78">
        <v>19</v>
      </c>
      <c r="AM153" s="76">
        <v>143235</v>
      </c>
      <c r="AN153" s="76">
        <v>50688.62</v>
      </c>
      <c r="AO153" s="78">
        <v>3600</v>
      </c>
      <c r="AP153" s="78">
        <v>53</v>
      </c>
      <c r="AQ153" s="76">
        <v>137266</v>
      </c>
      <c r="AR153" s="76">
        <v>47845.21</v>
      </c>
      <c r="AS153" s="78">
        <v>3595</v>
      </c>
      <c r="AT153" s="78">
        <v>64</v>
      </c>
      <c r="AU153" s="76">
        <v>119294</v>
      </c>
      <c r="AV153" s="76">
        <v>46828.63</v>
      </c>
      <c r="AW153" s="78">
        <v>3607</v>
      </c>
      <c r="AX153" s="78">
        <v>27</v>
      </c>
      <c r="AY153" s="76">
        <v>116757</v>
      </c>
      <c r="AZ153" s="76">
        <v>46964.45</v>
      </c>
      <c r="BA153" s="74">
        <v>42915</v>
      </c>
      <c r="BB153" s="74">
        <v>554</v>
      </c>
      <c r="BC153" s="72">
        <v>1650518</v>
      </c>
      <c r="BD153" s="72">
        <v>548966.65</v>
      </c>
    </row>
    <row r="154" spans="1:56" ht="15" thickBot="1" x14ac:dyDescent="0.35">
      <c r="A154" s="75" t="s">
        <v>155</v>
      </c>
      <c r="B154" s="75" t="s">
        <v>268</v>
      </c>
      <c r="C154" s="213" t="str">
        <f t="shared" si="3"/>
        <v>LGE458</v>
      </c>
      <c r="D154" s="75" t="s">
        <v>267</v>
      </c>
      <c r="E154" s="81">
        <v>5</v>
      </c>
      <c r="F154" s="80"/>
      <c r="G154" s="79">
        <v>102</v>
      </c>
      <c r="H154" s="79">
        <v>23.54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74">
        <v>5</v>
      </c>
      <c r="BB154" s="73"/>
      <c r="BC154" s="72">
        <v>102</v>
      </c>
      <c r="BD154" s="72">
        <v>23.54</v>
      </c>
    </row>
    <row r="155" spans="1:56" ht="15" thickBot="1" x14ac:dyDescent="0.35">
      <c r="A155" s="75" t="s">
        <v>155</v>
      </c>
      <c r="B155" s="75" t="s">
        <v>266</v>
      </c>
      <c r="C155" s="213" t="str">
        <f t="shared" si="3"/>
        <v>LGE470</v>
      </c>
      <c r="D155" s="75" t="s">
        <v>265</v>
      </c>
      <c r="E155" s="78">
        <v>33</v>
      </c>
      <c r="F155" s="77"/>
      <c r="G155" s="76">
        <v>1284</v>
      </c>
      <c r="H155" s="76">
        <v>475.83</v>
      </c>
      <c r="I155" s="78">
        <v>35</v>
      </c>
      <c r="J155" s="77"/>
      <c r="K155" s="76">
        <v>1371</v>
      </c>
      <c r="L155" s="76">
        <v>478.5</v>
      </c>
      <c r="M155" s="78">
        <v>34</v>
      </c>
      <c r="N155" s="77"/>
      <c r="O155" s="76">
        <v>1636</v>
      </c>
      <c r="P155" s="76">
        <v>492.76</v>
      </c>
      <c r="Q155" s="78">
        <v>34</v>
      </c>
      <c r="R155" s="77"/>
      <c r="S155" s="76">
        <v>1683</v>
      </c>
      <c r="T155" s="76">
        <v>492.8</v>
      </c>
      <c r="U155" s="78">
        <v>35</v>
      </c>
      <c r="V155" s="77"/>
      <c r="W155" s="76">
        <v>1928</v>
      </c>
      <c r="X155" s="76">
        <v>516.74</v>
      </c>
      <c r="Y155" s="78">
        <v>37</v>
      </c>
      <c r="Z155" s="77"/>
      <c r="AA155" s="76">
        <v>2296</v>
      </c>
      <c r="AB155" s="76">
        <v>533.78</v>
      </c>
      <c r="AC155" s="78">
        <v>38</v>
      </c>
      <c r="AD155" s="77"/>
      <c r="AE155" s="76">
        <v>2424</v>
      </c>
      <c r="AF155" s="76">
        <v>545.34</v>
      </c>
      <c r="AG155" s="78">
        <v>41</v>
      </c>
      <c r="AH155" s="77"/>
      <c r="AI155" s="76">
        <v>2231</v>
      </c>
      <c r="AJ155" s="76">
        <v>630.26</v>
      </c>
      <c r="AK155" s="78">
        <v>40</v>
      </c>
      <c r="AL155" s="77"/>
      <c r="AM155" s="76">
        <v>2000</v>
      </c>
      <c r="AN155" s="76">
        <v>629.52</v>
      </c>
      <c r="AO155" s="78">
        <v>44</v>
      </c>
      <c r="AP155" s="77"/>
      <c r="AQ155" s="76">
        <v>2098</v>
      </c>
      <c r="AR155" s="76">
        <v>640.20000000000005</v>
      </c>
      <c r="AS155" s="78">
        <v>45</v>
      </c>
      <c r="AT155" s="77"/>
      <c r="AU155" s="76">
        <v>1983</v>
      </c>
      <c r="AV155" s="76">
        <v>682.95</v>
      </c>
      <c r="AW155" s="78">
        <v>42</v>
      </c>
      <c r="AX155" s="77"/>
      <c r="AY155" s="76">
        <v>1740</v>
      </c>
      <c r="AZ155" s="76">
        <v>623.04999999999995</v>
      </c>
      <c r="BA155" s="74">
        <v>458</v>
      </c>
      <c r="BB155" s="73"/>
      <c r="BC155" s="72">
        <v>22674</v>
      </c>
      <c r="BD155" s="72">
        <v>6741.7300000000005</v>
      </c>
    </row>
    <row r="156" spans="1:56" ht="15" thickBot="1" x14ac:dyDescent="0.35">
      <c r="A156" s="75" t="s">
        <v>155</v>
      </c>
      <c r="B156" s="75" t="s">
        <v>264</v>
      </c>
      <c r="C156" s="213" t="str">
        <f t="shared" si="3"/>
        <v>LGE471</v>
      </c>
      <c r="D156" s="75" t="s">
        <v>263</v>
      </c>
      <c r="E156" s="81">
        <v>8</v>
      </c>
      <c r="F156" s="80"/>
      <c r="G156" s="79">
        <v>307</v>
      </c>
      <c r="H156" s="79">
        <v>133.16</v>
      </c>
      <c r="I156" s="81">
        <v>8</v>
      </c>
      <c r="J156" s="80"/>
      <c r="K156" s="79">
        <v>336</v>
      </c>
      <c r="L156" s="79">
        <v>132.76</v>
      </c>
      <c r="M156" s="81">
        <v>8</v>
      </c>
      <c r="N156" s="80"/>
      <c r="O156" s="79">
        <v>404</v>
      </c>
      <c r="P156" s="79">
        <v>134.01</v>
      </c>
      <c r="Q156" s="81">
        <v>8</v>
      </c>
      <c r="R156" s="80"/>
      <c r="S156" s="79">
        <v>400</v>
      </c>
      <c r="T156" s="79">
        <v>134.03</v>
      </c>
      <c r="U156" s="81">
        <v>8</v>
      </c>
      <c r="V156" s="80"/>
      <c r="W156" s="79">
        <v>436</v>
      </c>
      <c r="X156" s="79">
        <v>134.47999999999999</v>
      </c>
      <c r="Y156" s="81">
        <v>8</v>
      </c>
      <c r="Z156" s="80"/>
      <c r="AA156" s="79">
        <v>503</v>
      </c>
      <c r="AB156" s="79">
        <v>133.59</v>
      </c>
      <c r="AC156" s="81">
        <v>8</v>
      </c>
      <c r="AD156" s="80"/>
      <c r="AE156" s="79">
        <v>508</v>
      </c>
      <c r="AF156" s="79">
        <v>133.34</v>
      </c>
      <c r="AG156" s="81">
        <v>8</v>
      </c>
      <c r="AH156" s="80"/>
      <c r="AI156" s="79">
        <v>453</v>
      </c>
      <c r="AJ156" s="79">
        <v>144.24</v>
      </c>
      <c r="AK156" s="81">
        <v>8</v>
      </c>
      <c r="AL156" s="80"/>
      <c r="AM156" s="79">
        <v>391</v>
      </c>
      <c r="AN156" s="79">
        <v>144.47</v>
      </c>
      <c r="AO156" s="81">
        <v>8</v>
      </c>
      <c r="AP156" s="80"/>
      <c r="AQ156" s="79">
        <v>382</v>
      </c>
      <c r="AR156" s="79">
        <v>138.59</v>
      </c>
      <c r="AS156" s="81">
        <v>8</v>
      </c>
      <c r="AT156" s="80"/>
      <c r="AU156" s="79">
        <v>330</v>
      </c>
      <c r="AV156" s="79">
        <v>136.01</v>
      </c>
      <c r="AW156" s="81">
        <v>8</v>
      </c>
      <c r="AX156" s="80"/>
      <c r="AY156" s="79">
        <v>345</v>
      </c>
      <c r="AZ156" s="79">
        <v>135.84</v>
      </c>
      <c r="BA156" s="74">
        <v>96</v>
      </c>
      <c r="BB156" s="73"/>
      <c r="BC156" s="72">
        <v>4795</v>
      </c>
      <c r="BD156" s="72">
        <v>1634.52</v>
      </c>
    </row>
    <row r="157" spans="1:56" ht="15" thickBot="1" x14ac:dyDescent="0.35">
      <c r="A157" s="75" t="s">
        <v>155</v>
      </c>
      <c r="B157" s="75" t="s">
        <v>262</v>
      </c>
      <c r="C157" s="213" t="str">
        <f t="shared" ref="C157:C166" si="4">CONCATENATE("LGE",RIGHT(B157,3))</f>
        <v>LGE473</v>
      </c>
      <c r="D157" s="75" t="s">
        <v>261</v>
      </c>
      <c r="E157" s="78">
        <v>589</v>
      </c>
      <c r="F157" s="78">
        <v>11</v>
      </c>
      <c r="G157" s="76">
        <v>54025</v>
      </c>
      <c r="H157" s="76">
        <v>12784.07</v>
      </c>
      <c r="I157" s="78">
        <v>611</v>
      </c>
      <c r="J157" s="77"/>
      <c r="K157" s="76">
        <v>58289</v>
      </c>
      <c r="L157" s="76">
        <v>13077.82</v>
      </c>
      <c r="M157" s="78">
        <v>618</v>
      </c>
      <c r="N157" s="78">
        <v>9</v>
      </c>
      <c r="O157" s="76">
        <v>68320</v>
      </c>
      <c r="P157" s="76">
        <v>13222.03</v>
      </c>
      <c r="Q157" s="78">
        <v>611</v>
      </c>
      <c r="R157" s="78">
        <v>8</v>
      </c>
      <c r="S157" s="76">
        <v>71298</v>
      </c>
      <c r="T157" s="76">
        <v>13266.31</v>
      </c>
      <c r="U157" s="78">
        <v>617</v>
      </c>
      <c r="V157" s="78">
        <v>2</v>
      </c>
      <c r="W157" s="76">
        <v>76910</v>
      </c>
      <c r="X157" s="76">
        <v>13306.72</v>
      </c>
      <c r="Y157" s="78">
        <v>648</v>
      </c>
      <c r="Z157" s="78">
        <v>8</v>
      </c>
      <c r="AA157" s="76">
        <v>95227</v>
      </c>
      <c r="AB157" s="76">
        <v>14011.6</v>
      </c>
      <c r="AC157" s="78">
        <v>680</v>
      </c>
      <c r="AD157" s="78">
        <v>1</v>
      </c>
      <c r="AE157" s="76">
        <v>99297</v>
      </c>
      <c r="AF157" s="76">
        <v>14246.67</v>
      </c>
      <c r="AG157" s="78">
        <v>711</v>
      </c>
      <c r="AH157" s="78">
        <v>2</v>
      </c>
      <c r="AI157" s="76">
        <v>94462</v>
      </c>
      <c r="AJ157" s="76">
        <v>16406.68</v>
      </c>
      <c r="AK157" s="78">
        <v>756</v>
      </c>
      <c r="AL157" s="78">
        <v>2</v>
      </c>
      <c r="AM157" s="76">
        <v>88530</v>
      </c>
      <c r="AN157" s="76">
        <v>17436.650000000001</v>
      </c>
      <c r="AO157" s="78">
        <v>741</v>
      </c>
      <c r="AP157" s="78">
        <v>4</v>
      </c>
      <c r="AQ157" s="76">
        <v>83765</v>
      </c>
      <c r="AR157" s="76">
        <v>16376.21</v>
      </c>
      <c r="AS157" s="78">
        <v>756</v>
      </c>
      <c r="AT157" s="77"/>
      <c r="AU157" s="76">
        <v>74596</v>
      </c>
      <c r="AV157" s="76">
        <v>16226.03</v>
      </c>
      <c r="AW157" s="78">
        <v>749</v>
      </c>
      <c r="AX157" s="78">
        <v>8</v>
      </c>
      <c r="AY157" s="76">
        <v>71807</v>
      </c>
      <c r="AZ157" s="76">
        <v>16052.19</v>
      </c>
      <c r="BA157" s="74">
        <v>8087</v>
      </c>
      <c r="BB157" s="74">
        <v>55</v>
      </c>
      <c r="BC157" s="72">
        <v>936526</v>
      </c>
      <c r="BD157" s="72">
        <v>176412.97999999998</v>
      </c>
    </row>
    <row r="158" spans="1:56" ht="15" thickBot="1" x14ac:dyDescent="0.35">
      <c r="A158" s="75" t="s">
        <v>155</v>
      </c>
      <c r="B158" s="75" t="s">
        <v>260</v>
      </c>
      <c r="C158" s="213" t="str">
        <f t="shared" si="4"/>
        <v>LGE474</v>
      </c>
      <c r="D158" s="75" t="s">
        <v>259</v>
      </c>
      <c r="E158" s="81">
        <v>54</v>
      </c>
      <c r="F158" s="80"/>
      <c r="G158" s="79">
        <v>4883</v>
      </c>
      <c r="H158" s="79">
        <v>1331.97</v>
      </c>
      <c r="I158" s="81">
        <v>54</v>
      </c>
      <c r="J158" s="80"/>
      <c r="K158" s="79">
        <v>5219</v>
      </c>
      <c r="L158" s="79">
        <v>1325.25</v>
      </c>
      <c r="M158" s="81">
        <v>54</v>
      </c>
      <c r="N158" s="80"/>
      <c r="O158" s="79">
        <v>5395</v>
      </c>
      <c r="P158" s="79">
        <v>1196.97</v>
      </c>
      <c r="Q158" s="81">
        <v>47</v>
      </c>
      <c r="R158" s="80"/>
      <c r="S158" s="79">
        <v>5490</v>
      </c>
      <c r="T158" s="79">
        <v>1169.42</v>
      </c>
      <c r="U158" s="81">
        <v>47</v>
      </c>
      <c r="V158" s="80"/>
      <c r="W158" s="79">
        <v>5999</v>
      </c>
      <c r="X158" s="79">
        <v>1172.8399999999999</v>
      </c>
      <c r="Y158" s="81">
        <v>47</v>
      </c>
      <c r="Z158" s="80"/>
      <c r="AA158" s="79">
        <v>6811</v>
      </c>
      <c r="AB158" s="79">
        <v>1159.6300000000001</v>
      </c>
      <c r="AC158" s="81">
        <v>41</v>
      </c>
      <c r="AD158" s="80"/>
      <c r="AE158" s="79">
        <v>6180</v>
      </c>
      <c r="AF158" s="79">
        <v>1011.28</v>
      </c>
      <c r="AG158" s="81">
        <v>53</v>
      </c>
      <c r="AH158" s="80"/>
      <c r="AI158" s="79">
        <v>7018</v>
      </c>
      <c r="AJ158" s="79">
        <v>1384.8</v>
      </c>
      <c r="AK158" s="81">
        <v>47</v>
      </c>
      <c r="AL158" s="80"/>
      <c r="AM158" s="79">
        <v>5492</v>
      </c>
      <c r="AN158" s="79">
        <v>1246.81</v>
      </c>
      <c r="AO158" s="81">
        <v>47</v>
      </c>
      <c r="AP158" s="80"/>
      <c r="AQ158" s="79">
        <v>5341</v>
      </c>
      <c r="AR158" s="79">
        <v>1195.06</v>
      </c>
      <c r="AS158" s="81">
        <v>49</v>
      </c>
      <c r="AT158" s="80"/>
      <c r="AU158" s="79">
        <v>4842</v>
      </c>
      <c r="AV158" s="79">
        <v>1186.3699999999999</v>
      </c>
      <c r="AW158" s="81">
        <v>47</v>
      </c>
      <c r="AX158" s="80"/>
      <c r="AY158" s="79">
        <v>4451</v>
      </c>
      <c r="AZ158" s="79">
        <v>1167.49</v>
      </c>
      <c r="BA158" s="74">
        <v>587</v>
      </c>
      <c r="BB158" s="73"/>
      <c r="BC158" s="72">
        <v>67121</v>
      </c>
      <c r="BD158" s="72">
        <v>14547.889999999998</v>
      </c>
    </row>
    <row r="159" spans="1:56" ht="15" thickBot="1" x14ac:dyDescent="0.35">
      <c r="A159" s="75" t="s">
        <v>155</v>
      </c>
      <c r="B159" s="75" t="s">
        <v>258</v>
      </c>
      <c r="C159" s="213" t="str">
        <f t="shared" si="4"/>
        <v>LGE475</v>
      </c>
      <c r="D159" s="75" t="s">
        <v>257</v>
      </c>
      <c r="E159" s="78">
        <v>2</v>
      </c>
      <c r="F159" s="77"/>
      <c r="G159" s="76">
        <v>177</v>
      </c>
      <c r="H159" s="76">
        <v>65.33</v>
      </c>
      <c r="I159" s="78">
        <v>2</v>
      </c>
      <c r="J159" s="77"/>
      <c r="K159" s="76">
        <v>210</v>
      </c>
      <c r="L159" s="76">
        <v>65.06</v>
      </c>
      <c r="M159" s="78">
        <v>2</v>
      </c>
      <c r="N159" s="77"/>
      <c r="O159" s="76">
        <v>225</v>
      </c>
      <c r="P159" s="76">
        <v>65.72</v>
      </c>
      <c r="Q159" s="78">
        <v>2</v>
      </c>
      <c r="R159" s="77"/>
      <c r="S159" s="76">
        <v>233</v>
      </c>
      <c r="T159" s="76">
        <v>65.739999999999995</v>
      </c>
      <c r="U159" s="78">
        <v>2</v>
      </c>
      <c r="V159" s="77"/>
      <c r="W159" s="76">
        <v>271</v>
      </c>
      <c r="X159" s="76">
        <v>65.94</v>
      </c>
      <c r="Y159" s="78">
        <v>2</v>
      </c>
      <c r="Z159" s="77"/>
      <c r="AA159" s="76">
        <v>277</v>
      </c>
      <c r="AB159" s="76">
        <v>65.42</v>
      </c>
      <c r="AC159" s="78">
        <v>2</v>
      </c>
      <c r="AD159" s="77"/>
      <c r="AE159" s="76">
        <v>315</v>
      </c>
      <c r="AF159" s="76">
        <v>65.16</v>
      </c>
      <c r="AG159" s="78">
        <v>2</v>
      </c>
      <c r="AH159" s="77"/>
      <c r="AI159" s="76">
        <v>249</v>
      </c>
      <c r="AJ159" s="76">
        <v>69.02</v>
      </c>
      <c r="AK159" s="78">
        <v>2</v>
      </c>
      <c r="AL159" s="77"/>
      <c r="AM159" s="76">
        <v>223</v>
      </c>
      <c r="AN159" s="76">
        <v>69.22</v>
      </c>
      <c r="AO159" s="78">
        <v>2</v>
      </c>
      <c r="AP159" s="77"/>
      <c r="AQ159" s="76">
        <v>220</v>
      </c>
      <c r="AR159" s="76">
        <v>66.36</v>
      </c>
      <c r="AS159" s="78">
        <v>2</v>
      </c>
      <c r="AT159" s="77"/>
      <c r="AU159" s="76">
        <v>208</v>
      </c>
      <c r="AV159" s="76">
        <v>65</v>
      </c>
      <c r="AW159" s="78">
        <v>2</v>
      </c>
      <c r="AX159" s="77"/>
      <c r="AY159" s="76">
        <v>187</v>
      </c>
      <c r="AZ159" s="76">
        <v>64.98</v>
      </c>
      <c r="BA159" s="74">
        <v>24</v>
      </c>
      <c r="BB159" s="73"/>
      <c r="BC159" s="72">
        <v>2795</v>
      </c>
      <c r="BD159" s="72">
        <v>792.95</v>
      </c>
    </row>
    <row r="160" spans="1:56" ht="15" thickBot="1" x14ac:dyDescent="0.35">
      <c r="A160" s="75" t="s">
        <v>155</v>
      </c>
      <c r="B160" s="75" t="s">
        <v>256</v>
      </c>
      <c r="C160" s="213" t="str">
        <f t="shared" si="4"/>
        <v>LGE476</v>
      </c>
      <c r="D160" s="75" t="s">
        <v>255</v>
      </c>
      <c r="E160" s="81">
        <v>551</v>
      </c>
      <c r="F160" s="81">
        <v>7</v>
      </c>
      <c r="G160" s="79">
        <v>155989</v>
      </c>
      <c r="H160" s="79">
        <v>25282.560000000001</v>
      </c>
      <c r="I160" s="81">
        <v>509</v>
      </c>
      <c r="J160" s="80"/>
      <c r="K160" s="79">
        <v>152217</v>
      </c>
      <c r="L160" s="79">
        <v>23111.34</v>
      </c>
      <c r="M160" s="81">
        <v>539</v>
      </c>
      <c r="N160" s="81">
        <v>13</v>
      </c>
      <c r="O160" s="79">
        <v>188233</v>
      </c>
      <c r="P160" s="79">
        <v>24760.71</v>
      </c>
      <c r="Q160" s="81">
        <v>552</v>
      </c>
      <c r="R160" s="80"/>
      <c r="S160" s="79">
        <v>198570</v>
      </c>
      <c r="T160" s="79">
        <v>25363.49</v>
      </c>
      <c r="U160" s="81">
        <v>513</v>
      </c>
      <c r="V160" s="80"/>
      <c r="W160" s="79">
        <v>201649</v>
      </c>
      <c r="X160" s="79">
        <v>23578.46</v>
      </c>
      <c r="Y160" s="81">
        <v>526</v>
      </c>
      <c r="Z160" s="80"/>
      <c r="AA160" s="79">
        <v>235442</v>
      </c>
      <c r="AB160" s="79">
        <v>23794.52</v>
      </c>
      <c r="AC160" s="81">
        <v>510</v>
      </c>
      <c r="AD160" s="81">
        <v>36</v>
      </c>
      <c r="AE160" s="79">
        <v>234659</v>
      </c>
      <c r="AF160" s="79">
        <v>22932.59</v>
      </c>
      <c r="AG160" s="81">
        <v>629</v>
      </c>
      <c r="AH160" s="81">
        <v>19</v>
      </c>
      <c r="AI160" s="79">
        <v>257058</v>
      </c>
      <c r="AJ160" s="79">
        <v>30193.74</v>
      </c>
      <c r="AK160" s="81">
        <v>619</v>
      </c>
      <c r="AL160" s="81">
        <v>4</v>
      </c>
      <c r="AM160" s="79">
        <v>223232</v>
      </c>
      <c r="AN160" s="79">
        <v>30203.49</v>
      </c>
      <c r="AO160" s="81">
        <v>588</v>
      </c>
      <c r="AP160" s="81">
        <v>14</v>
      </c>
      <c r="AQ160" s="79">
        <v>204891</v>
      </c>
      <c r="AR160" s="79">
        <v>27668.080000000002</v>
      </c>
      <c r="AS160" s="81">
        <v>564</v>
      </c>
      <c r="AT160" s="81">
        <v>2</v>
      </c>
      <c r="AU160" s="79">
        <v>175633</v>
      </c>
      <c r="AV160" s="79">
        <v>25819.3</v>
      </c>
      <c r="AW160" s="81">
        <v>611</v>
      </c>
      <c r="AX160" s="81">
        <v>3</v>
      </c>
      <c r="AY160" s="79">
        <v>179937</v>
      </c>
      <c r="AZ160" s="79">
        <v>27776.36</v>
      </c>
      <c r="BA160" s="74">
        <v>6711</v>
      </c>
      <c r="BB160" s="74">
        <v>98</v>
      </c>
      <c r="BC160" s="72">
        <v>2407510</v>
      </c>
      <c r="BD160" s="72">
        <v>310484.63999999996</v>
      </c>
    </row>
    <row r="161" spans="1:56" ht="15" thickBot="1" x14ac:dyDescent="0.35">
      <c r="A161" s="75" t="s">
        <v>155</v>
      </c>
      <c r="B161" s="75" t="s">
        <v>254</v>
      </c>
      <c r="C161" s="213" t="str">
        <f t="shared" si="4"/>
        <v>LGE477</v>
      </c>
      <c r="D161" s="75" t="s">
        <v>253</v>
      </c>
      <c r="E161" s="78">
        <v>63</v>
      </c>
      <c r="F161" s="77"/>
      <c r="G161" s="76">
        <v>17819</v>
      </c>
      <c r="H161" s="76">
        <v>3119.57</v>
      </c>
      <c r="I161" s="78">
        <v>61</v>
      </c>
      <c r="J161" s="77"/>
      <c r="K161" s="76">
        <v>18137</v>
      </c>
      <c r="L161" s="76">
        <v>3002.73</v>
      </c>
      <c r="M161" s="78">
        <v>60</v>
      </c>
      <c r="N161" s="77"/>
      <c r="O161" s="76">
        <v>20595</v>
      </c>
      <c r="P161" s="76">
        <v>2947.69</v>
      </c>
      <c r="Q161" s="78">
        <v>63</v>
      </c>
      <c r="R161" s="77"/>
      <c r="S161" s="76">
        <v>22815</v>
      </c>
      <c r="T161" s="76">
        <v>3130.94</v>
      </c>
      <c r="U161" s="78">
        <v>59</v>
      </c>
      <c r="V161" s="77"/>
      <c r="W161" s="76">
        <v>22960</v>
      </c>
      <c r="X161" s="76">
        <v>2952.12</v>
      </c>
      <c r="Y161" s="78">
        <v>54</v>
      </c>
      <c r="Z161" s="77"/>
      <c r="AA161" s="76">
        <v>24382</v>
      </c>
      <c r="AB161" s="76">
        <v>2651.05</v>
      </c>
      <c r="AC161" s="78">
        <v>60</v>
      </c>
      <c r="AD161" s="77"/>
      <c r="AE161" s="76">
        <v>27573</v>
      </c>
      <c r="AF161" s="76">
        <v>2925.1</v>
      </c>
      <c r="AG161" s="78">
        <v>69</v>
      </c>
      <c r="AH161" s="77"/>
      <c r="AI161" s="76">
        <v>28298</v>
      </c>
      <c r="AJ161" s="76">
        <v>3589.83</v>
      </c>
      <c r="AK161" s="78">
        <v>61</v>
      </c>
      <c r="AL161" s="77"/>
      <c r="AM161" s="76">
        <v>22000</v>
      </c>
      <c r="AN161" s="76">
        <v>3237.5</v>
      </c>
      <c r="AO161" s="78">
        <v>63</v>
      </c>
      <c r="AP161" s="77"/>
      <c r="AQ161" s="76">
        <v>21870</v>
      </c>
      <c r="AR161" s="76">
        <v>3163.51</v>
      </c>
      <c r="AS161" s="78">
        <v>60</v>
      </c>
      <c r="AT161" s="77"/>
      <c r="AU161" s="76">
        <v>18478</v>
      </c>
      <c r="AV161" s="76">
        <v>2970.04</v>
      </c>
      <c r="AW161" s="78">
        <v>58</v>
      </c>
      <c r="AX161" s="77"/>
      <c r="AY161" s="76">
        <v>17289</v>
      </c>
      <c r="AZ161" s="76">
        <v>2870.11</v>
      </c>
      <c r="BA161" s="74">
        <v>731</v>
      </c>
      <c r="BB161" s="73"/>
      <c r="BC161" s="72">
        <v>262216</v>
      </c>
      <c r="BD161" s="72">
        <v>36560.19</v>
      </c>
    </row>
    <row r="162" spans="1:56" ht="15" thickBot="1" x14ac:dyDescent="0.35">
      <c r="A162" s="75" t="s">
        <v>155</v>
      </c>
      <c r="B162" s="75" t="s">
        <v>252</v>
      </c>
      <c r="C162" s="213" t="str">
        <f t="shared" si="4"/>
        <v>LGE480</v>
      </c>
      <c r="D162" s="75" t="s">
        <v>251</v>
      </c>
      <c r="E162" s="81">
        <v>20</v>
      </c>
      <c r="F162" s="80"/>
      <c r="G162" s="79">
        <v>767</v>
      </c>
      <c r="H162" s="79">
        <v>519.4</v>
      </c>
      <c r="I162" s="81">
        <v>20</v>
      </c>
      <c r="J162" s="80"/>
      <c r="K162" s="79">
        <v>899</v>
      </c>
      <c r="L162" s="79">
        <v>518.32000000000005</v>
      </c>
      <c r="M162" s="81">
        <v>20</v>
      </c>
      <c r="N162" s="80"/>
      <c r="O162" s="79">
        <v>980</v>
      </c>
      <c r="P162" s="79">
        <v>523</v>
      </c>
      <c r="Q162" s="81">
        <v>20</v>
      </c>
      <c r="R162" s="80"/>
      <c r="S162" s="79">
        <v>1011</v>
      </c>
      <c r="T162" s="79">
        <v>523.08000000000004</v>
      </c>
      <c r="U162" s="81">
        <v>20</v>
      </c>
      <c r="V162" s="80"/>
      <c r="W162" s="79">
        <v>1164</v>
      </c>
      <c r="X162" s="79">
        <v>524.80999999999995</v>
      </c>
      <c r="Y162" s="81">
        <v>20</v>
      </c>
      <c r="Z162" s="80"/>
      <c r="AA162" s="79">
        <v>1193</v>
      </c>
      <c r="AB162" s="79">
        <v>523.08000000000004</v>
      </c>
      <c r="AC162" s="81">
        <v>20</v>
      </c>
      <c r="AD162" s="80"/>
      <c r="AE162" s="79">
        <v>1346</v>
      </c>
      <c r="AF162" s="79">
        <v>522.29</v>
      </c>
      <c r="AG162" s="81">
        <v>20</v>
      </c>
      <c r="AH162" s="80"/>
      <c r="AI162" s="79">
        <v>1053</v>
      </c>
      <c r="AJ162" s="79">
        <v>551.04999999999995</v>
      </c>
      <c r="AK162" s="81">
        <v>20</v>
      </c>
      <c r="AL162" s="80"/>
      <c r="AM162" s="79">
        <v>951</v>
      </c>
      <c r="AN162" s="79">
        <v>550.85</v>
      </c>
      <c r="AO162" s="81">
        <v>20</v>
      </c>
      <c r="AP162" s="80"/>
      <c r="AQ162" s="79">
        <v>939</v>
      </c>
      <c r="AR162" s="79">
        <v>528.64</v>
      </c>
      <c r="AS162" s="81">
        <v>20</v>
      </c>
      <c r="AT162" s="80"/>
      <c r="AU162" s="79">
        <v>886</v>
      </c>
      <c r="AV162" s="79">
        <v>519.54</v>
      </c>
      <c r="AW162" s="81">
        <v>20</v>
      </c>
      <c r="AX162" s="80"/>
      <c r="AY162" s="79">
        <v>790</v>
      </c>
      <c r="AZ162" s="79">
        <v>519.57000000000005</v>
      </c>
      <c r="BA162" s="74">
        <v>240</v>
      </c>
      <c r="BB162" s="73"/>
      <c r="BC162" s="72">
        <v>11979</v>
      </c>
      <c r="BD162" s="72">
        <v>6323.63</v>
      </c>
    </row>
    <row r="163" spans="1:56" ht="15" thickBot="1" x14ac:dyDescent="0.35">
      <c r="A163" s="75" t="s">
        <v>155</v>
      </c>
      <c r="B163" s="75" t="s">
        <v>250</v>
      </c>
      <c r="C163" s="213" t="str">
        <f t="shared" si="4"/>
        <v>LGE481</v>
      </c>
      <c r="D163" s="75" t="s">
        <v>249</v>
      </c>
      <c r="E163" s="78">
        <v>6</v>
      </c>
      <c r="F163" s="77"/>
      <c r="G163" s="76">
        <v>556</v>
      </c>
      <c r="H163" s="76">
        <v>143.97999999999999</v>
      </c>
      <c r="I163" s="78">
        <v>6</v>
      </c>
      <c r="J163" s="77"/>
      <c r="K163" s="76">
        <v>577</v>
      </c>
      <c r="L163" s="76">
        <v>143.21</v>
      </c>
      <c r="M163" s="78">
        <v>6</v>
      </c>
      <c r="N163" s="77"/>
      <c r="O163" s="76">
        <v>648</v>
      </c>
      <c r="P163" s="76">
        <v>144.69999999999999</v>
      </c>
      <c r="Q163" s="78">
        <v>6</v>
      </c>
      <c r="R163" s="77"/>
      <c r="S163" s="76">
        <v>706</v>
      </c>
      <c r="T163" s="76">
        <v>144.74</v>
      </c>
      <c r="U163" s="78">
        <v>6</v>
      </c>
      <c r="V163" s="77"/>
      <c r="W163" s="76">
        <v>756</v>
      </c>
      <c r="X163" s="76">
        <v>145.16999999999999</v>
      </c>
      <c r="Y163" s="78">
        <v>6</v>
      </c>
      <c r="Z163" s="77"/>
      <c r="AA163" s="76">
        <v>857</v>
      </c>
      <c r="AB163" s="76">
        <v>143.46</v>
      </c>
      <c r="AC163" s="78">
        <v>6</v>
      </c>
      <c r="AD163" s="77"/>
      <c r="AE163" s="76">
        <v>912</v>
      </c>
      <c r="AF163" s="76">
        <v>142.79</v>
      </c>
      <c r="AG163" s="78">
        <v>6</v>
      </c>
      <c r="AH163" s="77"/>
      <c r="AI163" s="76">
        <v>776</v>
      </c>
      <c r="AJ163" s="76">
        <v>154.03</v>
      </c>
      <c r="AK163" s="78">
        <v>6</v>
      </c>
      <c r="AL163" s="77"/>
      <c r="AM163" s="76">
        <v>717</v>
      </c>
      <c r="AN163" s="76">
        <v>154.74</v>
      </c>
      <c r="AO163" s="78">
        <v>6</v>
      </c>
      <c r="AP163" s="77"/>
      <c r="AQ163" s="76">
        <v>712</v>
      </c>
      <c r="AR163" s="76">
        <v>148.28</v>
      </c>
      <c r="AS163" s="78">
        <v>6</v>
      </c>
      <c r="AT163" s="77"/>
      <c r="AU163" s="76">
        <v>593</v>
      </c>
      <c r="AV163" s="76">
        <v>145.02000000000001</v>
      </c>
      <c r="AW163" s="78">
        <v>6</v>
      </c>
      <c r="AX163" s="78">
        <v>2</v>
      </c>
      <c r="AY163" s="76">
        <v>771</v>
      </c>
      <c r="AZ163" s="76">
        <v>186.5</v>
      </c>
      <c r="BA163" s="74">
        <v>72</v>
      </c>
      <c r="BB163" s="74">
        <v>2</v>
      </c>
      <c r="BC163" s="72">
        <v>8581</v>
      </c>
      <c r="BD163" s="72">
        <v>1796.62</v>
      </c>
    </row>
    <row r="164" spans="1:56" ht="15" thickBot="1" x14ac:dyDescent="0.35">
      <c r="A164" s="75" t="s">
        <v>155</v>
      </c>
      <c r="B164" s="75" t="s">
        <v>248</v>
      </c>
      <c r="C164" s="213" t="str">
        <f t="shared" si="4"/>
        <v>LGE482</v>
      </c>
      <c r="D164" s="75" t="s">
        <v>247</v>
      </c>
      <c r="E164" s="81">
        <v>100</v>
      </c>
      <c r="F164" s="81">
        <v>2</v>
      </c>
      <c r="G164" s="79">
        <v>9329</v>
      </c>
      <c r="H164" s="79">
        <v>3504.28</v>
      </c>
      <c r="I164" s="81">
        <v>100</v>
      </c>
      <c r="J164" s="80"/>
      <c r="K164" s="79">
        <v>9705</v>
      </c>
      <c r="L164" s="79">
        <v>3458.43</v>
      </c>
      <c r="M164" s="81">
        <v>90</v>
      </c>
      <c r="N164" s="80"/>
      <c r="O164" s="79">
        <v>10146</v>
      </c>
      <c r="P164" s="79">
        <v>3142.22</v>
      </c>
      <c r="Q164" s="81">
        <v>90</v>
      </c>
      <c r="R164" s="80"/>
      <c r="S164" s="79">
        <v>10574</v>
      </c>
      <c r="T164" s="79">
        <v>3143.09</v>
      </c>
      <c r="U164" s="81">
        <v>92</v>
      </c>
      <c r="V164" s="80"/>
      <c r="W164" s="79">
        <v>11683</v>
      </c>
      <c r="X164" s="79">
        <v>3224.98</v>
      </c>
      <c r="Y164" s="81">
        <v>92</v>
      </c>
      <c r="Z164" s="80"/>
      <c r="AA164" s="79">
        <v>13256</v>
      </c>
      <c r="AB164" s="79">
        <v>3200.59</v>
      </c>
      <c r="AC164" s="81">
        <v>92</v>
      </c>
      <c r="AD164" s="80"/>
      <c r="AE164" s="79">
        <v>13956</v>
      </c>
      <c r="AF164" s="79">
        <v>3191.69</v>
      </c>
      <c r="AG164" s="81">
        <v>90</v>
      </c>
      <c r="AH164" s="80"/>
      <c r="AI164" s="79">
        <v>11539</v>
      </c>
      <c r="AJ164" s="79">
        <v>3295.53</v>
      </c>
      <c r="AK164" s="81">
        <v>94</v>
      </c>
      <c r="AL164" s="80"/>
      <c r="AM164" s="79">
        <v>11024</v>
      </c>
      <c r="AN164" s="79">
        <v>3449.69</v>
      </c>
      <c r="AO164" s="81">
        <v>98</v>
      </c>
      <c r="AP164" s="80"/>
      <c r="AQ164" s="79">
        <v>11586</v>
      </c>
      <c r="AR164" s="79">
        <v>3455.09</v>
      </c>
      <c r="AS164" s="81">
        <v>98</v>
      </c>
      <c r="AT164" s="80"/>
      <c r="AU164" s="79">
        <v>9674</v>
      </c>
      <c r="AV164" s="79">
        <v>3387.79</v>
      </c>
      <c r="AW164" s="81">
        <v>98</v>
      </c>
      <c r="AX164" s="81">
        <v>11</v>
      </c>
      <c r="AY164" s="79">
        <v>10525</v>
      </c>
      <c r="AZ164" s="79">
        <v>3718.57</v>
      </c>
      <c r="BA164" s="74">
        <v>1134</v>
      </c>
      <c r="BB164" s="74">
        <v>13</v>
      </c>
      <c r="BC164" s="72">
        <v>132997</v>
      </c>
      <c r="BD164" s="72">
        <v>40171.949999999997</v>
      </c>
    </row>
    <row r="165" spans="1:56" ht="15" thickBot="1" x14ac:dyDescent="0.35">
      <c r="A165" s="75" t="s">
        <v>155</v>
      </c>
      <c r="B165" s="75" t="s">
        <v>246</v>
      </c>
      <c r="C165" s="213" t="str">
        <f t="shared" si="4"/>
        <v>LGE483</v>
      </c>
      <c r="D165" s="75" t="s">
        <v>245</v>
      </c>
      <c r="E165" s="78">
        <v>4</v>
      </c>
      <c r="F165" s="77"/>
      <c r="G165" s="76">
        <v>1136</v>
      </c>
      <c r="H165" s="76">
        <v>196.02</v>
      </c>
      <c r="I165" s="78">
        <v>4</v>
      </c>
      <c r="J165" s="77"/>
      <c r="K165" s="76">
        <v>1141</v>
      </c>
      <c r="L165" s="76">
        <v>194.55</v>
      </c>
      <c r="M165" s="78">
        <v>4</v>
      </c>
      <c r="N165" s="77"/>
      <c r="O165" s="76">
        <v>1406</v>
      </c>
      <c r="P165" s="76">
        <v>196.66</v>
      </c>
      <c r="Q165" s="78">
        <v>4</v>
      </c>
      <c r="R165" s="77"/>
      <c r="S165" s="76">
        <v>1400</v>
      </c>
      <c r="T165" s="76">
        <v>196.8</v>
      </c>
      <c r="U165" s="78">
        <v>5</v>
      </c>
      <c r="V165" s="77"/>
      <c r="W165" s="76">
        <v>1776</v>
      </c>
      <c r="X165" s="76">
        <v>246.65</v>
      </c>
      <c r="Y165" s="78">
        <v>5</v>
      </c>
      <c r="Z165" s="77"/>
      <c r="AA165" s="76">
        <v>2222</v>
      </c>
      <c r="AB165" s="76">
        <v>242.09</v>
      </c>
      <c r="AC165" s="78">
        <v>5</v>
      </c>
      <c r="AD165" s="77"/>
      <c r="AE165" s="76">
        <v>2240</v>
      </c>
      <c r="AF165" s="76">
        <v>240.63</v>
      </c>
      <c r="AG165" s="78">
        <v>5</v>
      </c>
      <c r="AH165" s="77"/>
      <c r="AI165" s="76">
        <v>2098</v>
      </c>
      <c r="AJ165" s="76">
        <v>260.02</v>
      </c>
      <c r="AK165" s="78">
        <v>5</v>
      </c>
      <c r="AL165" s="77"/>
      <c r="AM165" s="76">
        <v>1832</v>
      </c>
      <c r="AN165" s="76">
        <v>262.45</v>
      </c>
      <c r="AO165" s="78">
        <v>5</v>
      </c>
      <c r="AP165" s="77"/>
      <c r="AQ165" s="76">
        <v>1785</v>
      </c>
      <c r="AR165" s="76">
        <v>251.27</v>
      </c>
      <c r="AS165" s="78">
        <v>5</v>
      </c>
      <c r="AT165" s="77"/>
      <c r="AU165" s="76">
        <v>1521</v>
      </c>
      <c r="AV165" s="76">
        <v>244.68</v>
      </c>
      <c r="AW165" s="78">
        <v>5</v>
      </c>
      <c r="AX165" s="78">
        <v>2</v>
      </c>
      <c r="AY165" s="76">
        <v>2064</v>
      </c>
      <c r="AZ165" s="76">
        <v>330.12</v>
      </c>
      <c r="BA165" s="74">
        <v>56</v>
      </c>
      <c r="BB165" s="74">
        <v>2</v>
      </c>
      <c r="BC165" s="72">
        <v>20621</v>
      </c>
      <c r="BD165" s="72">
        <v>2861.94</v>
      </c>
    </row>
    <row r="166" spans="1:56" ht="15" thickBot="1" x14ac:dyDescent="0.35">
      <c r="A166" s="75" t="s">
        <v>155</v>
      </c>
      <c r="B166" s="75" t="s">
        <v>244</v>
      </c>
      <c r="C166" s="213" t="str">
        <f t="shared" si="4"/>
        <v>LGE484</v>
      </c>
      <c r="D166" s="75" t="s">
        <v>243</v>
      </c>
      <c r="E166" s="81">
        <v>23</v>
      </c>
      <c r="F166" s="80"/>
      <c r="G166" s="79">
        <v>6853</v>
      </c>
      <c r="H166" s="79">
        <v>1428.88</v>
      </c>
      <c r="I166" s="81">
        <v>23</v>
      </c>
      <c r="J166" s="80"/>
      <c r="K166" s="79">
        <v>6893</v>
      </c>
      <c r="L166" s="79">
        <v>1365.34</v>
      </c>
      <c r="M166" s="81">
        <v>23</v>
      </c>
      <c r="N166" s="80"/>
      <c r="O166" s="79">
        <v>8218</v>
      </c>
      <c r="P166" s="79">
        <v>1379.74</v>
      </c>
      <c r="Q166" s="81">
        <v>23</v>
      </c>
      <c r="R166" s="80"/>
      <c r="S166" s="79">
        <v>8182</v>
      </c>
      <c r="T166" s="79">
        <v>1380.54</v>
      </c>
      <c r="U166" s="81">
        <v>58</v>
      </c>
      <c r="V166" s="80"/>
      <c r="W166" s="79">
        <v>19141</v>
      </c>
      <c r="X166" s="79">
        <v>3507.44</v>
      </c>
      <c r="Y166" s="81">
        <v>58</v>
      </c>
      <c r="Z166" s="80"/>
      <c r="AA166" s="79">
        <v>25258</v>
      </c>
      <c r="AB166" s="79">
        <v>3456.53</v>
      </c>
      <c r="AC166" s="81">
        <v>63</v>
      </c>
      <c r="AD166" s="80"/>
      <c r="AE166" s="79">
        <v>27469</v>
      </c>
      <c r="AF166" s="79">
        <v>3738.68</v>
      </c>
      <c r="AG166" s="81">
        <v>63</v>
      </c>
      <c r="AH166" s="80"/>
      <c r="AI166" s="79">
        <v>25305</v>
      </c>
      <c r="AJ166" s="79">
        <v>3987.24</v>
      </c>
      <c r="AK166" s="81">
        <v>63</v>
      </c>
      <c r="AL166" s="80"/>
      <c r="AM166" s="79">
        <v>22741</v>
      </c>
      <c r="AN166" s="79">
        <v>4013.93</v>
      </c>
      <c r="AO166" s="81">
        <v>63</v>
      </c>
      <c r="AP166" s="80"/>
      <c r="AQ166" s="79">
        <v>21077</v>
      </c>
      <c r="AR166" s="79">
        <v>3845.64</v>
      </c>
      <c r="AS166" s="81">
        <v>65</v>
      </c>
      <c r="AT166" s="80"/>
      <c r="AU166" s="79">
        <v>19634</v>
      </c>
      <c r="AV166" s="79">
        <v>3933.22</v>
      </c>
      <c r="AW166" s="81">
        <v>65</v>
      </c>
      <c r="AX166" s="81">
        <v>2</v>
      </c>
      <c r="AY166" s="79">
        <v>20175</v>
      </c>
      <c r="AZ166" s="79">
        <v>3968.08</v>
      </c>
      <c r="BA166" s="74">
        <v>590</v>
      </c>
      <c r="BB166" s="74">
        <v>2</v>
      </c>
      <c r="BC166" s="72">
        <v>210946</v>
      </c>
      <c r="BD166" s="72">
        <v>36005.26</v>
      </c>
    </row>
    <row r="167" spans="1:56" ht="15" thickBot="1" x14ac:dyDescent="0.35">
      <c r="A167" s="75" t="s">
        <v>155</v>
      </c>
      <c r="B167" s="267" t="s">
        <v>164</v>
      </c>
      <c r="C167" s="268"/>
      <c r="D167" s="269"/>
      <c r="E167" s="74">
        <f>SUM(E92:E166)</f>
        <v>89507</v>
      </c>
      <c r="F167" s="74">
        <f>SUM(F92:F166)</f>
        <v>5646</v>
      </c>
      <c r="G167" s="74">
        <f>SUM(G92:G166)</f>
        <v>6643600</v>
      </c>
      <c r="H167" s="74">
        <f t="shared" ref="H167:BD167" si="5">SUM(H92:H166)</f>
        <v>1877463.05</v>
      </c>
      <c r="I167" s="74">
        <f t="shared" si="5"/>
        <v>88172</v>
      </c>
      <c r="J167" s="74">
        <f t="shared" si="5"/>
        <v>10277</v>
      </c>
      <c r="K167" s="74">
        <f t="shared" si="5"/>
        <v>7148769</v>
      </c>
      <c r="L167" s="74">
        <f t="shared" si="5"/>
        <v>1736726.1000000003</v>
      </c>
      <c r="M167" s="74">
        <f t="shared" si="5"/>
        <v>89208</v>
      </c>
      <c r="N167" s="74">
        <f t="shared" si="5"/>
        <v>15256</v>
      </c>
      <c r="O167" s="74">
        <f t="shared" si="5"/>
        <v>8523532</v>
      </c>
      <c r="P167" s="74">
        <f t="shared" si="5"/>
        <v>1844994.6199999996</v>
      </c>
      <c r="Q167" s="74">
        <f t="shared" si="5"/>
        <v>88613</v>
      </c>
      <c r="R167" s="74">
        <f t="shared" si="5"/>
        <v>6292</v>
      </c>
      <c r="S167" s="74">
        <f t="shared" si="5"/>
        <v>8565839</v>
      </c>
      <c r="T167" s="74">
        <f t="shared" si="5"/>
        <v>1812902.97</v>
      </c>
      <c r="U167" s="74">
        <f t="shared" si="5"/>
        <v>83001</v>
      </c>
      <c r="V167" s="74">
        <f t="shared" si="5"/>
        <v>9029</v>
      </c>
      <c r="W167" s="74">
        <f t="shared" si="5"/>
        <v>8924308</v>
      </c>
      <c r="X167" s="74">
        <f t="shared" si="5"/>
        <v>1724686.2699999993</v>
      </c>
      <c r="Y167" s="74">
        <f t="shared" si="5"/>
        <v>93838</v>
      </c>
      <c r="Z167" s="74">
        <f t="shared" si="5"/>
        <v>10350</v>
      </c>
      <c r="AA167" s="74">
        <f t="shared" si="5"/>
        <v>11122490</v>
      </c>
      <c r="AB167" s="74">
        <f t="shared" si="5"/>
        <v>1889098.2000000002</v>
      </c>
      <c r="AC167" s="74">
        <f t="shared" si="5"/>
        <v>88523</v>
      </c>
      <c r="AD167" s="74">
        <f t="shared" si="5"/>
        <v>13146</v>
      </c>
      <c r="AE167" s="74">
        <f t="shared" si="5"/>
        <v>10539716</v>
      </c>
      <c r="AF167" s="74">
        <f t="shared" si="5"/>
        <v>1798555.64</v>
      </c>
      <c r="AG167" s="74">
        <f t="shared" si="5"/>
        <v>89255</v>
      </c>
      <c r="AH167" s="74">
        <f t="shared" si="5"/>
        <v>12068</v>
      </c>
      <c r="AI167" s="74">
        <f t="shared" si="5"/>
        <v>9478915</v>
      </c>
      <c r="AJ167" s="74">
        <f t="shared" si="5"/>
        <v>1948938.9399999997</v>
      </c>
      <c r="AK167" s="74">
        <f t="shared" si="5"/>
        <v>89544</v>
      </c>
      <c r="AL167" s="74">
        <f t="shared" si="5"/>
        <v>10350</v>
      </c>
      <c r="AM167" s="74">
        <f t="shared" si="5"/>
        <v>8617639</v>
      </c>
      <c r="AN167" s="74">
        <f t="shared" si="5"/>
        <v>1960165.77</v>
      </c>
      <c r="AO167" s="74">
        <f t="shared" si="5"/>
        <v>89278</v>
      </c>
      <c r="AP167" s="74">
        <f t="shared" si="5"/>
        <v>9348</v>
      </c>
      <c r="AQ167" s="74">
        <f t="shared" si="5"/>
        <v>8082852</v>
      </c>
      <c r="AR167" s="74">
        <f t="shared" si="5"/>
        <v>1887158.9699999995</v>
      </c>
      <c r="AS167" s="74">
        <f t="shared" si="5"/>
        <v>88741</v>
      </c>
      <c r="AT167" s="74">
        <f t="shared" si="5"/>
        <v>8618</v>
      </c>
      <c r="AU167" s="74">
        <f t="shared" si="5"/>
        <v>7075403</v>
      </c>
      <c r="AV167" s="74">
        <f t="shared" si="5"/>
        <v>1829302.7199999997</v>
      </c>
      <c r="AW167" s="74">
        <f t="shared" si="5"/>
        <v>88658</v>
      </c>
      <c r="AX167" s="74">
        <f t="shared" si="5"/>
        <v>7941</v>
      </c>
      <c r="AY167" s="74">
        <f t="shared" si="5"/>
        <v>7085994</v>
      </c>
      <c r="AZ167" s="74">
        <f t="shared" si="5"/>
        <v>1826044.3900000006</v>
      </c>
      <c r="BA167" s="74">
        <f t="shared" si="5"/>
        <v>1066338</v>
      </c>
      <c r="BB167" s="74">
        <f t="shared" si="5"/>
        <v>118321</v>
      </c>
      <c r="BC167" s="74">
        <f t="shared" si="5"/>
        <v>101809057</v>
      </c>
      <c r="BD167" s="74">
        <f t="shared" si="5"/>
        <v>22136037.640000004</v>
      </c>
    </row>
    <row r="168" spans="1:56" ht="15" thickBot="1" x14ac:dyDescent="0.35">
      <c r="A168" s="75" t="s">
        <v>153</v>
      </c>
      <c r="B168" s="75" t="s">
        <v>242</v>
      </c>
      <c r="C168" s="213" t="s">
        <v>832</v>
      </c>
      <c r="D168" s="75" t="s">
        <v>241</v>
      </c>
      <c r="E168" s="81">
        <v>1622</v>
      </c>
      <c r="F168" s="81">
        <v>0</v>
      </c>
      <c r="G168" s="79">
        <v>87043</v>
      </c>
      <c r="H168" s="79">
        <v>19957</v>
      </c>
      <c r="I168" s="81">
        <v>1611</v>
      </c>
      <c r="J168" s="81">
        <v>3</v>
      </c>
      <c r="K168" s="79">
        <v>91672</v>
      </c>
      <c r="L168" s="79">
        <v>19886.68</v>
      </c>
      <c r="M168" s="81">
        <v>1551</v>
      </c>
      <c r="N168" s="81">
        <v>4</v>
      </c>
      <c r="O168" s="79">
        <v>104801</v>
      </c>
      <c r="P168" s="79">
        <v>19705.18</v>
      </c>
      <c r="Q168" s="81">
        <v>1594</v>
      </c>
      <c r="R168" s="81">
        <v>0</v>
      </c>
      <c r="S168" s="79">
        <v>109034</v>
      </c>
      <c r="T168" s="79">
        <v>20230.77</v>
      </c>
      <c r="U168" s="81">
        <v>1584</v>
      </c>
      <c r="V168" s="81">
        <v>3</v>
      </c>
      <c r="W168" s="79">
        <v>118929</v>
      </c>
      <c r="X168" s="79">
        <v>20488.75</v>
      </c>
      <c r="Y168" s="81">
        <v>1578</v>
      </c>
      <c r="Z168" s="81">
        <v>1</v>
      </c>
      <c r="AA168" s="79">
        <v>134241</v>
      </c>
      <c r="AB168" s="79">
        <v>20801.259999999998</v>
      </c>
      <c r="AC168" s="81">
        <v>1552</v>
      </c>
      <c r="AD168" s="81">
        <v>0</v>
      </c>
      <c r="AE168" s="79">
        <v>137174</v>
      </c>
      <c r="AF168" s="79">
        <v>20673.89</v>
      </c>
      <c r="AG168" s="81">
        <v>1489</v>
      </c>
      <c r="AH168" s="81">
        <v>0</v>
      </c>
      <c r="AI168" s="79">
        <v>112883</v>
      </c>
      <c r="AJ168" s="79">
        <v>19367.330000000002</v>
      </c>
      <c r="AK168" s="81">
        <v>1536</v>
      </c>
      <c r="AL168" s="81">
        <v>2</v>
      </c>
      <c r="AM168" s="79">
        <v>105015</v>
      </c>
      <c r="AN168" s="79">
        <v>20588.87</v>
      </c>
      <c r="AO168" s="81">
        <v>1514</v>
      </c>
      <c r="AP168" s="81">
        <v>1</v>
      </c>
      <c r="AQ168" s="79">
        <v>101837</v>
      </c>
      <c r="AR168" s="79">
        <v>20167.7</v>
      </c>
      <c r="AS168" s="81">
        <v>1519</v>
      </c>
      <c r="AT168" s="81">
        <v>2</v>
      </c>
      <c r="AU168" s="79">
        <v>88317</v>
      </c>
      <c r="AV168" s="79">
        <v>19505.75</v>
      </c>
      <c r="AW168" s="81">
        <v>1503</v>
      </c>
      <c r="AX168" s="80"/>
      <c r="AY168" s="79">
        <v>85852</v>
      </c>
      <c r="AZ168" s="79">
        <v>19262.580000000002</v>
      </c>
      <c r="BA168" s="74">
        <v>18653</v>
      </c>
      <c r="BB168" s="74">
        <v>16</v>
      </c>
      <c r="BC168" s="72">
        <v>1276798</v>
      </c>
      <c r="BD168" s="72">
        <v>240635.76</v>
      </c>
    </row>
    <row r="169" spans="1:56" ht="15" thickBot="1" x14ac:dyDescent="0.35">
      <c r="A169" s="75" t="s">
        <v>153</v>
      </c>
      <c r="B169" s="75" t="s">
        <v>240</v>
      </c>
      <c r="C169" s="213" t="s">
        <v>832</v>
      </c>
      <c r="D169" s="75" t="s">
        <v>239</v>
      </c>
      <c r="E169" s="78">
        <v>217</v>
      </c>
      <c r="F169" s="77"/>
      <c r="G169" s="76">
        <v>11699</v>
      </c>
      <c r="H169" s="76">
        <v>2684.87</v>
      </c>
      <c r="I169" s="78">
        <v>224</v>
      </c>
      <c r="J169" s="78">
        <v>1</v>
      </c>
      <c r="K169" s="76">
        <v>12623</v>
      </c>
      <c r="L169" s="76">
        <v>2718.94</v>
      </c>
      <c r="M169" s="78">
        <v>218</v>
      </c>
      <c r="N169" s="77"/>
      <c r="O169" s="76">
        <v>14671</v>
      </c>
      <c r="P169" s="76">
        <v>2783.56</v>
      </c>
      <c r="Q169" s="78">
        <v>218</v>
      </c>
      <c r="R169" s="77"/>
      <c r="S169" s="76">
        <v>15071</v>
      </c>
      <c r="T169" s="76">
        <v>2792.3</v>
      </c>
      <c r="U169" s="78">
        <v>216</v>
      </c>
      <c r="V169" s="77"/>
      <c r="W169" s="76">
        <v>16218</v>
      </c>
      <c r="X169" s="76">
        <v>2792.98</v>
      </c>
      <c r="Y169" s="78">
        <v>220</v>
      </c>
      <c r="Z169" s="78">
        <v>1</v>
      </c>
      <c r="AA169" s="76">
        <v>18769</v>
      </c>
      <c r="AB169" s="76">
        <v>2915.14</v>
      </c>
      <c r="AC169" s="78">
        <v>212</v>
      </c>
      <c r="AD169" s="78">
        <v>0</v>
      </c>
      <c r="AE169" s="76">
        <v>18705</v>
      </c>
      <c r="AF169" s="76">
        <v>2837.18</v>
      </c>
      <c r="AG169" s="78">
        <v>213</v>
      </c>
      <c r="AH169" s="78">
        <v>5</v>
      </c>
      <c r="AI169" s="76">
        <v>15879</v>
      </c>
      <c r="AJ169" s="76">
        <v>2747.83</v>
      </c>
      <c r="AK169" s="78">
        <v>213</v>
      </c>
      <c r="AL169" s="77"/>
      <c r="AM169" s="76">
        <v>14505</v>
      </c>
      <c r="AN169" s="76">
        <v>2848.74</v>
      </c>
      <c r="AO169" s="78">
        <v>204</v>
      </c>
      <c r="AP169" s="78">
        <v>0</v>
      </c>
      <c r="AQ169" s="76">
        <v>13524</v>
      </c>
      <c r="AR169" s="76">
        <v>2701.37</v>
      </c>
      <c r="AS169" s="78">
        <v>209</v>
      </c>
      <c r="AT169" s="78">
        <v>1</v>
      </c>
      <c r="AU169" s="76">
        <v>12191</v>
      </c>
      <c r="AV169" s="76">
        <v>2700.13</v>
      </c>
      <c r="AW169" s="78">
        <v>203</v>
      </c>
      <c r="AX169" s="77"/>
      <c r="AY169" s="76">
        <v>11719</v>
      </c>
      <c r="AZ169" s="76">
        <v>2629.43</v>
      </c>
      <c r="BA169" s="74">
        <v>2567</v>
      </c>
      <c r="BB169" s="74">
        <v>8</v>
      </c>
      <c r="BC169" s="72">
        <v>175574</v>
      </c>
      <c r="BD169" s="72">
        <v>33152.469999999994</v>
      </c>
    </row>
    <row r="170" spans="1:56" ht="15" thickBot="1" x14ac:dyDescent="0.35">
      <c r="A170" s="75" t="s">
        <v>153</v>
      </c>
      <c r="B170" s="75" t="s">
        <v>238</v>
      </c>
      <c r="C170" s="213" t="s">
        <v>832</v>
      </c>
      <c r="D170" s="75" t="s">
        <v>237</v>
      </c>
      <c r="E170" s="78">
        <v>3</v>
      </c>
      <c r="F170" s="77"/>
      <c r="G170" s="76">
        <v>159</v>
      </c>
      <c r="H170" s="76">
        <v>36.96</v>
      </c>
      <c r="I170" s="78">
        <v>3</v>
      </c>
      <c r="J170" s="77"/>
      <c r="K170" s="76">
        <v>167</v>
      </c>
      <c r="L170" s="76">
        <v>37.14</v>
      </c>
      <c r="M170" s="78">
        <v>3</v>
      </c>
      <c r="N170" s="77"/>
      <c r="O170" s="76">
        <v>199</v>
      </c>
      <c r="P170" s="76">
        <v>38.090000000000003</v>
      </c>
      <c r="Q170" s="78">
        <v>3</v>
      </c>
      <c r="R170" s="77"/>
      <c r="S170" s="76">
        <v>203</v>
      </c>
      <c r="T170" s="76">
        <v>38.22</v>
      </c>
      <c r="U170" s="78">
        <v>3</v>
      </c>
      <c r="V170" s="77"/>
      <c r="W170" s="76">
        <v>218</v>
      </c>
      <c r="X170" s="76">
        <v>38.67</v>
      </c>
      <c r="Y170" s="78">
        <v>3</v>
      </c>
      <c r="Z170" s="77"/>
      <c r="AA170" s="76">
        <v>258</v>
      </c>
      <c r="AB170" s="76">
        <v>39.880000000000003</v>
      </c>
      <c r="AC170" s="78">
        <v>3</v>
      </c>
      <c r="AD170" s="77"/>
      <c r="AE170" s="76">
        <v>275</v>
      </c>
      <c r="AF170" s="76">
        <v>40.39</v>
      </c>
      <c r="AG170" s="78">
        <v>3</v>
      </c>
      <c r="AH170" s="77"/>
      <c r="AI170" s="76">
        <v>230</v>
      </c>
      <c r="AJ170" s="76">
        <v>39.18</v>
      </c>
      <c r="AK170" s="78">
        <v>3</v>
      </c>
      <c r="AL170" s="77"/>
      <c r="AM170" s="76">
        <v>208</v>
      </c>
      <c r="AN170" s="76">
        <v>40.14</v>
      </c>
      <c r="AO170" s="78">
        <v>3</v>
      </c>
      <c r="AP170" s="77"/>
      <c r="AQ170" s="76">
        <v>208</v>
      </c>
      <c r="AR170" s="76">
        <v>40.549999999999997</v>
      </c>
      <c r="AS170" s="78">
        <v>5</v>
      </c>
      <c r="AT170" s="77"/>
      <c r="AU170" s="76">
        <v>241</v>
      </c>
      <c r="AV170" s="76">
        <v>51.92</v>
      </c>
      <c r="AW170" s="78">
        <v>1</v>
      </c>
      <c r="AX170" s="77"/>
      <c r="AY170" s="76">
        <v>60</v>
      </c>
      <c r="AZ170" s="76">
        <v>12.97</v>
      </c>
      <c r="BA170" s="74">
        <v>36</v>
      </c>
      <c r="BB170" s="73"/>
      <c r="BC170" s="72">
        <v>2426</v>
      </c>
      <c r="BD170" s="72">
        <v>454.11</v>
      </c>
    </row>
    <row r="171" spans="1:56" ht="15" thickBot="1" x14ac:dyDescent="0.35">
      <c r="A171" s="75" t="s">
        <v>153</v>
      </c>
      <c r="B171" s="75" t="s">
        <v>236</v>
      </c>
      <c r="C171" s="213" t="s">
        <v>832</v>
      </c>
      <c r="D171" s="75" t="s">
        <v>235</v>
      </c>
      <c r="E171" s="81">
        <v>114</v>
      </c>
      <c r="F171" s="80"/>
      <c r="G171" s="79">
        <v>6189</v>
      </c>
      <c r="H171" s="79">
        <v>1398.85</v>
      </c>
      <c r="I171" s="81">
        <v>114</v>
      </c>
      <c r="J171" s="80"/>
      <c r="K171" s="79">
        <v>6562</v>
      </c>
      <c r="L171" s="79">
        <v>1407.78</v>
      </c>
      <c r="M171" s="81">
        <v>114</v>
      </c>
      <c r="N171" s="81">
        <v>1</v>
      </c>
      <c r="O171" s="79">
        <v>7554</v>
      </c>
      <c r="P171" s="79">
        <v>1431.85</v>
      </c>
      <c r="Q171" s="81">
        <v>113</v>
      </c>
      <c r="R171" s="80"/>
      <c r="S171" s="79">
        <v>7867</v>
      </c>
      <c r="T171" s="79">
        <v>1434.37</v>
      </c>
      <c r="U171" s="81">
        <v>113</v>
      </c>
      <c r="V171" s="81">
        <v>7</v>
      </c>
      <c r="W171" s="79">
        <v>8459</v>
      </c>
      <c r="X171" s="79">
        <v>1442.43</v>
      </c>
      <c r="Y171" s="81">
        <v>112</v>
      </c>
      <c r="Z171" s="80"/>
      <c r="AA171" s="79">
        <v>9500</v>
      </c>
      <c r="AB171" s="79">
        <v>1470.42</v>
      </c>
      <c r="AC171" s="81">
        <v>112</v>
      </c>
      <c r="AD171" s="80"/>
      <c r="AE171" s="79">
        <v>9859</v>
      </c>
      <c r="AF171" s="79">
        <v>1480.66</v>
      </c>
      <c r="AG171" s="81">
        <v>112</v>
      </c>
      <c r="AH171" s="80"/>
      <c r="AI171" s="79">
        <v>8707</v>
      </c>
      <c r="AJ171" s="79">
        <v>1461.43</v>
      </c>
      <c r="AK171" s="81">
        <v>112</v>
      </c>
      <c r="AL171" s="80"/>
      <c r="AM171" s="79">
        <v>7786</v>
      </c>
      <c r="AN171" s="79">
        <v>1496.44</v>
      </c>
      <c r="AO171" s="81">
        <v>116</v>
      </c>
      <c r="AP171" s="80"/>
      <c r="AQ171" s="79">
        <v>7582</v>
      </c>
      <c r="AR171" s="79">
        <v>1502.45</v>
      </c>
      <c r="AS171" s="81">
        <v>108</v>
      </c>
      <c r="AT171" s="80"/>
      <c r="AU171" s="79">
        <v>6395</v>
      </c>
      <c r="AV171" s="79">
        <v>1390.76</v>
      </c>
      <c r="AW171" s="81">
        <v>107</v>
      </c>
      <c r="AX171" s="80"/>
      <c r="AY171" s="79">
        <v>6151</v>
      </c>
      <c r="AZ171" s="79">
        <v>1372.13</v>
      </c>
      <c r="BA171" s="74">
        <v>1347</v>
      </c>
      <c r="BB171" s="74">
        <v>8</v>
      </c>
      <c r="BC171" s="72">
        <v>92611</v>
      </c>
      <c r="BD171" s="72">
        <v>17289.570000000003</v>
      </c>
    </row>
    <row r="172" spans="1:56" ht="15" thickBot="1" x14ac:dyDescent="0.35">
      <c r="A172" s="75" t="s">
        <v>153</v>
      </c>
      <c r="B172" s="75" t="s">
        <v>234</v>
      </c>
      <c r="C172" s="213" t="s">
        <v>832</v>
      </c>
      <c r="D172" s="75" t="s">
        <v>233</v>
      </c>
      <c r="E172" s="78">
        <v>1</v>
      </c>
      <c r="F172" s="77"/>
      <c r="G172" s="76">
        <v>56</v>
      </c>
      <c r="H172" s="76">
        <v>12.39</v>
      </c>
      <c r="I172" s="78">
        <v>1</v>
      </c>
      <c r="J172" s="77"/>
      <c r="K172" s="76">
        <v>59</v>
      </c>
      <c r="L172" s="76">
        <v>12.48</v>
      </c>
      <c r="M172" s="78">
        <v>1</v>
      </c>
      <c r="N172" s="77"/>
      <c r="O172" s="76">
        <v>72</v>
      </c>
      <c r="P172" s="76">
        <v>12.87</v>
      </c>
      <c r="Q172" s="78">
        <v>1</v>
      </c>
      <c r="R172" s="77"/>
      <c r="S172" s="76">
        <v>71</v>
      </c>
      <c r="T172" s="76">
        <v>12.84</v>
      </c>
      <c r="U172" s="78">
        <v>1</v>
      </c>
      <c r="V172" s="77"/>
      <c r="W172" s="76">
        <v>76</v>
      </c>
      <c r="X172" s="76">
        <v>13</v>
      </c>
      <c r="Y172" s="78">
        <v>1</v>
      </c>
      <c r="Z172" s="77"/>
      <c r="AA172" s="76">
        <v>94</v>
      </c>
      <c r="AB172" s="76">
        <v>13.53</v>
      </c>
      <c r="AC172" s="78">
        <v>1</v>
      </c>
      <c r="AD172" s="77"/>
      <c r="AE172" s="76">
        <v>82</v>
      </c>
      <c r="AF172" s="76">
        <v>13.17</v>
      </c>
      <c r="AG172" s="78">
        <v>1</v>
      </c>
      <c r="AH172" s="77"/>
      <c r="AI172" s="76">
        <v>72</v>
      </c>
      <c r="AJ172" s="76">
        <v>13.2</v>
      </c>
      <c r="AK172" s="78">
        <v>1</v>
      </c>
      <c r="AL172" s="77"/>
      <c r="AM172" s="76">
        <v>72</v>
      </c>
      <c r="AN172" s="76">
        <v>13.68</v>
      </c>
      <c r="AO172" s="78">
        <v>1</v>
      </c>
      <c r="AP172" s="77"/>
      <c r="AQ172" s="76">
        <v>63</v>
      </c>
      <c r="AR172" s="76">
        <v>13.09</v>
      </c>
      <c r="AS172" s="78">
        <v>1</v>
      </c>
      <c r="AT172" s="77"/>
      <c r="AU172" s="76">
        <v>55</v>
      </c>
      <c r="AV172" s="76">
        <v>12.85</v>
      </c>
      <c r="AW172" s="78">
        <v>1</v>
      </c>
      <c r="AX172" s="77"/>
      <c r="AY172" s="76">
        <v>59</v>
      </c>
      <c r="AZ172" s="76">
        <v>12.95</v>
      </c>
      <c r="BA172" s="74">
        <v>12</v>
      </c>
      <c r="BB172" s="73"/>
      <c r="BC172" s="72">
        <v>831</v>
      </c>
      <c r="BD172" s="72">
        <v>156.04999999999998</v>
      </c>
    </row>
    <row r="173" spans="1:56" ht="15" thickBot="1" x14ac:dyDescent="0.35">
      <c r="A173" s="75" t="s">
        <v>153</v>
      </c>
      <c r="B173" s="75" t="s">
        <v>232</v>
      </c>
      <c r="C173" s="213" t="s">
        <v>833</v>
      </c>
      <c r="D173" s="75" t="s">
        <v>231</v>
      </c>
      <c r="E173" s="81">
        <v>1</v>
      </c>
      <c r="F173" s="80"/>
      <c r="G173" s="79">
        <v>127</v>
      </c>
      <c r="H173" s="79">
        <v>36.54</v>
      </c>
      <c r="I173" s="81">
        <v>1</v>
      </c>
      <c r="J173" s="80"/>
      <c r="K173" s="79">
        <v>132</v>
      </c>
      <c r="L173" s="79">
        <v>36.67</v>
      </c>
      <c r="M173" s="81">
        <v>1</v>
      </c>
      <c r="N173" s="80"/>
      <c r="O173" s="79">
        <v>161</v>
      </c>
      <c r="P173" s="79">
        <v>37.54</v>
      </c>
      <c r="Q173" s="81">
        <v>1</v>
      </c>
      <c r="R173" s="80"/>
      <c r="S173" s="79">
        <v>157</v>
      </c>
      <c r="T173" s="79">
        <v>37.42</v>
      </c>
      <c r="U173" s="81">
        <v>1</v>
      </c>
      <c r="V173" s="80"/>
      <c r="W173" s="79">
        <v>171</v>
      </c>
      <c r="X173" s="79">
        <v>37.85</v>
      </c>
      <c r="Y173" s="81">
        <v>1</v>
      </c>
      <c r="Z173" s="80"/>
      <c r="AA173" s="79">
        <v>186</v>
      </c>
      <c r="AB173" s="79">
        <v>38.299999999999997</v>
      </c>
      <c r="AC173" s="81">
        <v>1</v>
      </c>
      <c r="AD173" s="80"/>
      <c r="AE173" s="79">
        <v>212</v>
      </c>
      <c r="AF173" s="79">
        <v>39.08</v>
      </c>
      <c r="AG173" s="81">
        <v>1</v>
      </c>
      <c r="AH173" s="80"/>
      <c r="AI173" s="79">
        <v>168</v>
      </c>
      <c r="AJ173" s="79">
        <v>38.19</v>
      </c>
      <c r="AK173" s="81">
        <v>1</v>
      </c>
      <c r="AL173" s="80"/>
      <c r="AM173" s="79">
        <v>151</v>
      </c>
      <c r="AN173" s="79">
        <v>39.729999999999997</v>
      </c>
      <c r="AO173" s="81">
        <v>1</v>
      </c>
      <c r="AP173" s="80"/>
      <c r="AQ173" s="79">
        <v>159</v>
      </c>
      <c r="AR173" s="79">
        <v>39.46</v>
      </c>
      <c r="AS173" s="81">
        <v>1</v>
      </c>
      <c r="AT173" s="80"/>
      <c r="AU173" s="79">
        <v>129</v>
      </c>
      <c r="AV173" s="79">
        <v>38.33</v>
      </c>
      <c r="AW173" s="81">
        <v>1</v>
      </c>
      <c r="AX173" s="80"/>
      <c r="AY173" s="79">
        <v>136</v>
      </c>
      <c r="AZ173" s="79">
        <v>38.5</v>
      </c>
      <c r="BA173" s="74">
        <v>12</v>
      </c>
      <c r="BB173" s="73"/>
      <c r="BC173" s="72">
        <v>1889</v>
      </c>
      <c r="BD173" s="72">
        <v>457.60999999999996</v>
      </c>
    </row>
    <row r="174" spans="1:56" ht="15" thickBot="1" x14ac:dyDescent="0.35">
      <c r="A174" s="75" t="s">
        <v>153</v>
      </c>
      <c r="B174" s="75" t="s">
        <v>230</v>
      </c>
      <c r="C174" s="213" t="s">
        <v>833</v>
      </c>
      <c r="D174" s="75" t="s">
        <v>229</v>
      </c>
      <c r="E174" s="78">
        <v>1</v>
      </c>
      <c r="F174" s="77"/>
      <c r="G174" s="76">
        <v>136</v>
      </c>
      <c r="H174" s="76">
        <v>36.659999999999997</v>
      </c>
      <c r="I174" s="78">
        <v>1</v>
      </c>
      <c r="J174" s="77"/>
      <c r="K174" s="76">
        <v>120</v>
      </c>
      <c r="L174" s="76">
        <v>36.14</v>
      </c>
      <c r="M174" s="78">
        <v>1</v>
      </c>
      <c r="N174" s="77"/>
      <c r="O174" s="76">
        <v>133</v>
      </c>
      <c r="P174" s="76">
        <v>36.5</v>
      </c>
      <c r="Q174" s="78">
        <v>1</v>
      </c>
      <c r="R174" s="77"/>
      <c r="S174" s="76">
        <v>162</v>
      </c>
      <c r="T174" s="76">
        <v>37.33</v>
      </c>
      <c r="U174" s="78">
        <v>1</v>
      </c>
      <c r="V174" s="77"/>
      <c r="W174" s="76">
        <v>158</v>
      </c>
      <c r="X174" s="76">
        <v>37.21</v>
      </c>
      <c r="Y174" s="78">
        <v>1</v>
      </c>
      <c r="Z174" s="77"/>
      <c r="AA174" s="76">
        <v>171</v>
      </c>
      <c r="AB174" s="76">
        <v>37.590000000000003</v>
      </c>
      <c r="AC174" s="78">
        <v>1</v>
      </c>
      <c r="AD174" s="77"/>
      <c r="AE174" s="76">
        <v>199</v>
      </c>
      <c r="AF174" s="76">
        <v>38.39</v>
      </c>
      <c r="AG174" s="78">
        <v>1</v>
      </c>
      <c r="AH174" s="77"/>
      <c r="AI174" s="76">
        <v>211</v>
      </c>
      <c r="AJ174" s="76">
        <v>38.729999999999997</v>
      </c>
      <c r="AK174" s="78">
        <v>1</v>
      </c>
      <c r="AL174" s="77"/>
      <c r="AM174" s="76">
        <v>166</v>
      </c>
      <c r="AN174" s="76">
        <v>38.21</v>
      </c>
      <c r="AO174" s="78">
        <v>1</v>
      </c>
      <c r="AP174" s="77"/>
      <c r="AQ174" s="76">
        <v>144</v>
      </c>
      <c r="AR174" s="76">
        <v>39.299999999999997</v>
      </c>
      <c r="AS174" s="78">
        <v>1</v>
      </c>
      <c r="AT174" s="77"/>
      <c r="AU174" s="76">
        <v>147</v>
      </c>
      <c r="AV174" s="76">
        <v>38.85</v>
      </c>
      <c r="AW174" s="78">
        <v>1</v>
      </c>
      <c r="AX174" s="77"/>
      <c r="AY174" s="76">
        <v>129</v>
      </c>
      <c r="AZ174" s="76">
        <v>38.130000000000003</v>
      </c>
      <c r="BA174" s="74">
        <v>12</v>
      </c>
      <c r="BB174" s="73"/>
      <c r="BC174" s="72">
        <v>1876</v>
      </c>
      <c r="BD174" s="72">
        <v>453.04</v>
      </c>
    </row>
    <row r="175" spans="1:56" ht="15" thickBot="1" x14ac:dyDescent="0.35">
      <c r="A175" s="75" t="s">
        <v>153</v>
      </c>
      <c r="B175" s="75" t="s">
        <v>228</v>
      </c>
      <c r="C175" s="213" t="s">
        <v>834</v>
      </c>
      <c r="D175" s="75" t="s">
        <v>227</v>
      </c>
      <c r="E175" s="81">
        <v>2903</v>
      </c>
      <c r="F175" s="81">
        <v>4</v>
      </c>
      <c r="G175" s="79">
        <v>87284</v>
      </c>
      <c r="H175" s="79">
        <v>34887.360000000001</v>
      </c>
      <c r="I175" s="81">
        <v>2925</v>
      </c>
      <c r="J175" s="81">
        <v>15</v>
      </c>
      <c r="K175" s="79">
        <v>95115</v>
      </c>
      <c r="L175" s="79">
        <v>35482.22</v>
      </c>
      <c r="M175" s="81">
        <v>2941</v>
      </c>
      <c r="N175" s="81">
        <v>6</v>
      </c>
      <c r="O175" s="79">
        <v>110767</v>
      </c>
      <c r="P175" s="79">
        <v>36013.61</v>
      </c>
      <c r="Q175" s="81">
        <v>2941</v>
      </c>
      <c r="R175" s="81">
        <v>10</v>
      </c>
      <c r="S175" s="79">
        <v>113906</v>
      </c>
      <c r="T175" s="79">
        <v>36193.5</v>
      </c>
      <c r="U175" s="81">
        <v>2964</v>
      </c>
      <c r="V175" s="81">
        <v>15</v>
      </c>
      <c r="W175" s="79">
        <v>125783</v>
      </c>
      <c r="X175" s="79">
        <v>36807.94</v>
      </c>
      <c r="Y175" s="81">
        <v>2963</v>
      </c>
      <c r="Z175" s="81">
        <v>14</v>
      </c>
      <c r="AA175" s="79">
        <v>143152</v>
      </c>
      <c r="AB175" s="79">
        <v>37403.339999999997</v>
      </c>
      <c r="AC175" s="81">
        <v>2997</v>
      </c>
      <c r="AD175" s="81">
        <v>10</v>
      </c>
      <c r="AE175" s="79">
        <v>150075</v>
      </c>
      <c r="AF175" s="79">
        <v>37947.42</v>
      </c>
      <c r="AG175" s="81">
        <v>3021</v>
      </c>
      <c r="AH175" s="81">
        <v>9</v>
      </c>
      <c r="AI175" s="79">
        <v>129687</v>
      </c>
      <c r="AJ175" s="79">
        <v>37822.620000000003</v>
      </c>
      <c r="AK175" s="81">
        <v>3040</v>
      </c>
      <c r="AL175" s="81">
        <v>11</v>
      </c>
      <c r="AM175" s="79">
        <v>117913</v>
      </c>
      <c r="AN175" s="79">
        <v>39718.699999999997</v>
      </c>
      <c r="AO175" s="81">
        <v>3039</v>
      </c>
      <c r="AP175" s="81">
        <v>9</v>
      </c>
      <c r="AQ175" s="79">
        <v>115749</v>
      </c>
      <c r="AR175" s="79">
        <v>39598.480000000003</v>
      </c>
      <c r="AS175" s="81">
        <v>3049</v>
      </c>
      <c r="AT175" s="81">
        <v>7</v>
      </c>
      <c r="AU175" s="79">
        <v>100488</v>
      </c>
      <c r="AV175" s="79">
        <v>38900.82</v>
      </c>
      <c r="AW175" s="81">
        <v>3071</v>
      </c>
      <c r="AX175" s="81">
        <v>11</v>
      </c>
      <c r="AY175" s="79">
        <v>99307</v>
      </c>
      <c r="AZ175" s="79">
        <v>39130.639999999999</v>
      </c>
      <c r="BA175" s="74">
        <v>35854</v>
      </c>
      <c r="BB175" s="74">
        <v>121</v>
      </c>
      <c r="BC175" s="72">
        <v>1389226</v>
      </c>
      <c r="BD175" s="72">
        <v>449906.65</v>
      </c>
    </row>
    <row r="176" spans="1:56" ht="15" thickBot="1" x14ac:dyDescent="0.35">
      <c r="A176" s="75" t="s">
        <v>153</v>
      </c>
      <c r="B176" s="75" t="s">
        <v>226</v>
      </c>
      <c r="C176" s="213" t="s">
        <v>834</v>
      </c>
      <c r="D176" s="75" t="s">
        <v>225</v>
      </c>
      <c r="E176" s="78">
        <v>169</v>
      </c>
      <c r="F176" s="77"/>
      <c r="G176" s="76">
        <v>5087</v>
      </c>
      <c r="H176" s="76">
        <v>2040.7</v>
      </c>
      <c r="I176" s="78">
        <v>166</v>
      </c>
      <c r="J176" s="77"/>
      <c r="K176" s="76">
        <v>5398</v>
      </c>
      <c r="L176" s="76">
        <v>2009.08</v>
      </c>
      <c r="M176" s="78">
        <v>169</v>
      </c>
      <c r="N176" s="78">
        <v>2</v>
      </c>
      <c r="O176" s="76">
        <v>6505</v>
      </c>
      <c r="P176" s="76">
        <v>2106.0500000000002</v>
      </c>
      <c r="Q176" s="78">
        <v>171</v>
      </c>
      <c r="R176" s="77"/>
      <c r="S176" s="76">
        <v>6584</v>
      </c>
      <c r="T176" s="76">
        <v>2098.98</v>
      </c>
      <c r="U176" s="78">
        <v>175</v>
      </c>
      <c r="V176" s="77"/>
      <c r="W176" s="76">
        <v>7598</v>
      </c>
      <c r="X176" s="76">
        <v>2241.71</v>
      </c>
      <c r="Y176" s="78">
        <v>177</v>
      </c>
      <c r="Z176" s="78">
        <v>2</v>
      </c>
      <c r="AA176" s="76">
        <v>8461</v>
      </c>
      <c r="AB176" s="76">
        <v>2222.9299999999998</v>
      </c>
      <c r="AC176" s="78">
        <v>180</v>
      </c>
      <c r="AD176" s="78">
        <v>5</v>
      </c>
      <c r="AE176" s="76">
        <v>8980</v>
      </c>
      <c r="AF176" s="76">
        <v>2271.94</v>
      </c>
      <c r="AG176" s="78">
        <v>178</v>
      </c>
      <c r="AH176" s="78">
        <v>1</v>
      </c>
      <c r="AI176" s="76">
        <v>7609</v>
      </c>
      <c r="AJ176" s="76">
        <v>2212.7600000000002</v>
      </c>
      <c r="AK176" s="78">
        <v>177</v>
      </c>
      <c r="AL176" s="78">
        <v>0</v>
      </c>
      <c r="AM176" s="76">
        <v>6822</v>
      </c>
      <c r="AN176" s="76">
        <v>2308.4299999999998</v>
      </c>
      <c r="AO176" s="78">
        <v>172</v>
      </c>
      <c r="AP176" s="77"/>
      <c r="AQ176" s="76">
        <v>6518</v>
      </c>
      <c r="AR176" s="76">
        <v>2241.83</v>
      </c>
      <c r="AS176" s="78">
        <v>181</v>
      </c>
      <c r="AT176" s="77"/>
      <c r="AU176" s="76">
        <v>6021</v>
      </c>
      <c r="AV176" s="76">
        <v>2314.08</v>
      </c>
      <c r="AW176" s="78">
        <v>177</v>
      </c>
      <c r="AX176" s="77"/>
      <c r="AY176" s="76">
        <v>5778</v>
      </c>
      <c r="AZ176" s="76">
        <v>2267.73</v>
      </c>
      <c r="BA176" s="74">
        <v>2092</v>
      </c>
      <c r="BB176" s="74">
        <v>10</v>
      </c>
      <c r="BC176" s="72">
        <v>81361</v>
      </c>
      <c r="BD176" s="72">
        <v>26336.220000000005</v>
      </c>
    </row>
    <row r="177" spans="1:56" ht="15" thickBot="1" x14ac:dyDescent="0.35">
      <c r="A177" s="75" t="s">
        <v>153</v>
      </c>
      <c r="B177" s="75" t="s">
        <v>224</v>
      </c>
      <c r="C177" s="213" t="s">
        <v>834</v>
      </c>
      <c r="D177" s="75" t="s">
        <v>223</v>
      </c>
      <c r="E177" s="78">
        <v>2</v>
      </c>
      <c r="F177" s="77"/>
      <c r="G177" s="76">
        <v>65</v>
      </c>
      <c r="H177" s="76">
        <v>24.28</v>
      </c>
      <c r="I177" s="78">
        <v>2</v>
      </c>
      <c r="J177" s="77"/>
      <c r="K177" s="76">
        <v>62</v>
      </c>
      <c r="L177" s="76">
        <v>24.17</v>
      </c>
      <c r="M177" s="78">
        <v>2</v>
      </c>
      <c r="N177" s="77"/>
      <c r="O177" s="76">
        <v>81</v>
      </c>
      <c r="P177" s="76">
        <v>24.74</v>
      </c>
      <c r="Q177" s="78">
        <v>2</v>
      </c>
      <c r="R177" s="77"/>
      <c r="S177" s="76">
        <v>77</v>
      </c>
      <c r="T177" s="76">
        <v>24.62</v>
      </c>
      <c r="U177" s="78">
        <v>2</v>
      </c>
      <c r="V177" s="77"/>
      <c r="W177" s="76">
        <v>83</v>
      </c>
      <c r="X177" s="76">
        <v>24.81</v>
      </c>
      <c r="Y177" s="78">
        <v>2</v>
      </c>
      <c r="Z177" s="77"/>
      <c r="AA177" s="76">
        <v>98</v>
      </c>
      <c r="AB177" s="76">
        <v>25.26</v>
      </c>
      <c r="AC177" s="78">
        <v>2</v>
      </c>
      <c r="AD177" s="77"/>
      <c r="AE177" s="76">
        <v>96</v>
      </c>
      <c r="AF177" s="76">
        <v>25.2</v>
      </c>
      <c r="AG177" s="78">
        <v>2</v>
      </c>
      <c r="AH177" s="77"/>
      <c r="AI177" s="76">
        <v>86</v>
      </c>
      <c r="AJ177" s="76">
        <v>24.89</v>
      </c>
      <c r="AK177" s="78">
        <v>2</v>
      </c>
      <c r="AL177" s="77"/>
      <c r="AM177" s="76">
        <v>84</v>
      </c>
      <c r="AN177" s="76">
        <v>26.42</v>
      </c>
      <c r="AO177" s="78">
        <v>5</v>
      </c>
      <c r="AP177" s="77"/>
      <c r="AQ177" s="76">
        <v>193</v>
      </c>
      <c r="AR177" s="76">
        <v>65.27</v>
      </c>
      <c r="AS177" s="78">
        <v>5</v>
      </c>
      <c r="AT177" s="77"/>
      <c r="AU177" s="76">
        <v>161</v>
      </c>
      <c r="AV177" s="76">
        <v>63.93</v>
      </c>
      <c r="AW177" s="78">
        <v>5</v>
      </c>
      <c r="AX177" s="77"/>
      <c r="AY177" s="76">
        <v>164</v>
      </c>
      <c r="AZ177" s="76">
        <v>63.99</v>
      </c>
      <c r="BA177" s="74">
        <v>33</v>
      </c>
      <c r="BB177" s="73"/>
      <c r="BC177" s="72">
        <v>1250</v>
      </c>
      <c r="BD177" s="72">
        <v>417.58</v>
      </c>
    </row>
    <row r="178" spans="1:56" ht="15" thickBot="1" x14ac:dyDescent="0.35">
      <c r="A178" s="75" t="s">
        <v>153</v>
      </c>
      <c r="B178" s="75" t="s">
        <v>222</v>
      </c>
      <c r="C178" s="213" t="s">
        <v>834</v>
      </c>
      <c r="D178" s="75" t="s">
        <v>221</v>
      </c>
      <c r="E178" s="81">
        <v>91</v>
      </c>
      <c r="F178" s="80"/>
      <c r="G178" s="79">
        <v>2793</v>
      </c>
      <c r="H178" s="79">
        <v>1095.53</v>
      </c>
      <c r="I178" s="81">
        <v>92</v>
      </c>
      <c r="J178" s="80"/>
      <c r="K178" s="79">
        <v>3028</v>
      </c>
      <c r="L178" s="79">
        <v>1112.52</v>
      </c>
      <c r="M178" s="81">
        <v>91</v>
      </c>
      <c r="N178" s="80"/>
      <c r="O178" s="79">
        <v>3387</v>
      </c>
      <c r="P178" s="79">
        <v>1105.32</v>
      </c>
      <c r="Q178" s="81">
        <v>92</v>
      </c>
      <c r="R178" s="80"/>
      <c r="S178" s="79">
        <v>3651</v>
      </c>
      <c r="T178" s="79">
        <v>1130.4000000000001</v>
      </c>
      <c r="U178" s="81">
        <v>92</v>
      </c>
      <c r="V178" s="80"/>
      <c r="W178" s="79">
        <v>4025</v>
      </c>
      <c r="X178" s="79">
        <v>1141.03</v>
      </c>
      <c r="Y178" s="81">
        <v>92</v>
      </c>
      <c r="Z178" s="80"/>
      <c r="AA178" s="79">
        <v>4406</v>
      </c>
      <c r="AB178" s="79">
        <v>1151.93</v>
      </c>
      <c r="AC178" s="81">
        <v>91</v>
      </c>
      <c r="AD178" s="80"/>
      <c r="AE178" s="79">
        <v>4548</v>
      </c>
      <c r="AF178" s="79">
        <v>1144.9000000000001</v>
      </c>
      <c r="AG178" s="81">
        <v>94</v>
      </c>
      <c r="AH178" s="81">
        <v>4</v>
      </c>
      <c r="AI178" s="79">
        <v>4246</v>
      </c>
      <c r="AJ178" s="79">
        <v>1185.3</v>
      </c>
      <c r="AK178" s="81">
        <v>95</v>
      </c>
      <c r="AL178" s="81">
        <v>2</v>
      </c>
      <c r="AM178" s="79">
        <v>3782</v>
      </c>
      <c r="AN178" s="79">
        <v>1238.46</v>
      </c>
      <c r="AO178" s="81">
        <v>96</v>
      </c>
      <c r="AP178" s="80"/>
      <c r="AQ178" s="79">
        <v>3683</v>
      </c>
      <c r="AR178" s="79">
        <v>1249.04</v>
      </c>
      <c r="AS178" s="81">
        <v>96</v>
      </c>
      <c r="AT178" s="80"/>
      <c r="AU178" s="79">
        <v>3231</v>
      </c>
      <c r="AV178" s="79">
        <v>1226.19</v>
      </c>
      <c r="AW178" s="81">
        <v>95</v>
      </c>
      <c r="AX178" s="80"/>
      <c r="AY178" s="79">
        <v>3136</v>
      </c>
      <c r="AZ178" s="79">
        <v>1211.67</v>
      </c>
      <c r="BA178" s="74">
        <v>1117</v>
      </c>
      <c r="BB178" s="74">
        <v>6</v>
      </c>
      <c r="BC178" s="72">
        <v>43916</v>
      </c>
      <c r="BD178" s="72">
        <v>13992.29</v>
      </c>
    </row>
    <row r="179" spans="1:56" ht="15" thickBot="1" x14ac:dyDescent="0.35">
      <c r="A179" s="75" t="s">
        <v>153</v>
      </c>
      <c r="B179" s="75" t="s">
        <v>220</v>
      </c>
      <c r="C179" s="213" t="s">
        <v>834</v>
      </c>
      <c r="D179" s="75" t="s">
        <v>219</v>
      </c>
      <c r="E179" s="78">
        <v>4</v>
      </c>
      <c r="F179" s="77"/>
      <c r="G179" s="76">
        <v>123</v>
      </c>
      <c r="H179" s="76">
        <v>48.35</v>
      </c>
      <c r="I179" s="78">
        <v>4</v>
      </c>
      <c r="J179" s="77"/>
      <c r="K179" s="76">
        <v>127</v>
      </c>
      <c r="L179" s="76">
        <v>48.42</v>
      </c>
      <c r="M179" s="78">
        <v>4</v>
      </c>
      <c r="N179" s="77"/>
      <c r="O179" s="76">
        <v>154</v>
      </c>
      <c r="P179" s="76">
        <v>49.23</v>
      </c>
      <c r="Q179" s="78">
        <v>4</v>
      </c>
      <c r="R179" s="77"/>
      <c r="S179" s="76">
        <v>153</v>
      </c>
      <c r="T179" s="76">
        <v>49.22</v>
      </c>
      <c r="U179" s="78">
        <v>4</v>
      </c>
      <c r="V179" s="77"/>
      <c r="W179" s="76">
        <v>169</v>
      </c>
      <c r="X179" s="76">
        <v>49.7</v>
      </c>
      <c r="Y179" s="78">
        <v>4</v>
      </c>
      <c r="Z179" s="77"/>
      <c r="AA179" s="76">
        <v>200</v>
      </c>
      <c r="AB179" s="76">
        <v>50.63</v>
      </c>
      <c r="AC179" s="78">
        <v>4</v>
      </c>
      <c r="AD179" s="77"/>
      <c r="AE179" s="76">
        <v>194</v>
      </c>
      <c r="AF179" s="76">
        <v>50.46</v>
      </c>
      <c r="AG179" s="78">
        <v>4</v>
      </c>
      <c r="AH179" s="77"/>
      <c r="AI179" s="76">
        <v>177</v>
      </c>
      <c r="AJ179" s="76">
        <v>50.29</v>
      </c>
      <c r="AK179" s="78">
        <v>4</v>
      </c>
      <c r="AL179" s="77"/>
      <c r="AM179" s="76">
        <v>159</v>
      </c>
      <c r="AN179" s="76">
        <v>52.31</v>
      </c>
      <c r="AO179" s="78">
        <v>4</v>
      </c>
      <c r="AP179" s="77"/>
      <c r="AQ179" s="76">
        <v>153</v>
      </c>
      <c r="AR179" s="76">
        <v>52.26</v>
      </c>
      <c r="AS179" s="78">
        <v>4</v>
      </c>
      <c r="AT179" s="77"/>
      <c r="AU179" s="76">
        <v>131</v>
      </c>
      <c r="AV179" s="76">
        <v>51.19</v>
      </c>
      <c r="AW179" s="78">
        <v>4</v>
      </c>
      <c r="AX179" s="77"/>
      <c r="AY179" s="76">
        <v>131</v>
      </c>
      <c r="AZ179" s="76">
        <v>51.19</v>
      </c>
      <c r="BA179" s="74">
        <v>48</v>
      </c>
      <c r="BB179" s="73"/>
      <c r="BC179" s="72">
        <v>1871</v>
      </c>
      <c r="BD179" s="72">
        <v>603.25</v>
      </c>
    </row>
    <row r="180" spans="1:56" ht="15" thickBot="1" x14ac:dyDescent="0.35">
      <c r="A180" s="75" t="s">
        <v>153</v>
      </c>
      <c r="B180" s="75" t="s">
        <v>218</v>
      </c>
      <c r="C180" s="213" t="s">
        <v>836</v>
      </c>
      <c r="D180" s="75" t="s">
        <v>217</v>
      </c>
      <c r="E180" s="81">
        <v>4</v>
      </c>
      <c r="F180" s="80"/>
      <c r="G180" s="79">
        <v>248</v>
      </c>
      <c r="H180" s="79">
        <v>86.8</v>
      </c>
      <c r="I180" s="81">
        <v>4</v>
      </c>
      <c r="J180" s="80"/>
      <c r="K180" s="79">
        <v>270</v>
      </c>
      <c r="L180" s="79">
        <v>87.34</v>
      </c>
      <c r="M180" s="81">
        <v>4</v>
      </c>
      <c r="N180" s="80"/>
      <c r="O180" s="79">
        <v>295</v>
      </c>
      <c r="P180" s="79">
        <v>88.1</v>
      </c>
      <c r="Q180" s="81">
        <v>4</v>
      </c>
      <c r="R180" s="80"/>
      <c r="S180" s="79">
        <v>314</v>
      </c>
      <c r="T180" s="79">
        <v>88.67</v>
      </c>
      <c r="U180" s="81">
        <v>4</v>
      </c>
      <c r="V180" s="80"/>
      <c r="W180" s="79">
        <v>352</v>
      </c>
      <c r="X180" s="79">
        <v>89.82</v>
      </c>
      <c r="Y180" s="81">
        <v>4</v>
      </c>
      <c r="Z180" s="80"/>
      <c r="AA180" s="79">
        <v>389</v>
      </c>
      <c r="AB180" s="79">
        <v>90.93</v>
      </c>
      <c r="AC180" s="81">
        <v>4</v>
      </c>
      <c r="AD180" s="80"/>
      <c r="AE180" s="79">
        <v>426</v>
      </c>
      <c r="AF180" s="79">
        <v>92.04</v>
      </c>
      <c r="AG180" s="81">
        <v>4</v>
      </c>
      <c r="AH180" s="80"/>
      <c r="AI180" s="79">
        <v>363</v>
      </c>
      <c r="AJ180" s="79">
        <v>90.15</v>
      </c>
      <c r="AK180" s="81">
        <v>4</v>
      </c>
      <c r="AL180" s="80"/>
      <c r="AM180" s="79">
        <v>330</v>
      </c>
      <c r="AN180" s="79">
        <v>93.32</v>
      </c>
      <c r="AO180" s="81">
        <v>4</v>
      </c>
      <c r="AP180" s="80"/>
      <c r="AQ180" s="79">
        <v>340</v>
      </c>
      <c r="AR180" s="79">
        <v>95.16</v>
      </c>
      <c r="AS180" s="81">
        <v>4</v>
      </c>
      <c r="AT180" s="80"/>
      <c r="AU180" s="79">
        <v>277</v>
      </c>
      <c r="AV180" s="79">
        <v>91.99</v>
      </c>
      <c r="AW180" s="81">
        <v>4</v>
      </c>
      <c r="AX180" s="80"/>
      <c r="AY180" s="79">
        <v>262</v>
      </c>
      <c r="AZ180" s="79">
        <v>91.63</v>
      </c>
      <c r="BA180" s="74">
        <v>48</v>
      </c>
      <c r="BB180" s="73"/>
      <c r="BC180" s="72">
        <v>3866</v>
      </c>
      <c r="BD180" s="72">
        <v>1085.95</v>
      </c>
    </row>
    <row r="181" spans="1:56" ht="15" thickBot="1" x14ac:dyDescent="0.35">
      <c r="A181" s="75" t="s">
        <v>153</v>
      </c>
      <c r="B181" s="75" t="s">
        <v>216</v>
      </c>
      <c r="C181" s="213" t="s">
        <v>836</v>
      </c>
      <c r="D181" s="75" t="s">
        <v>215</v>
      </c>
      <c r="E181" s="78">
        <v>9</v>
      </c>
      <c r="F181" s="77"/>
      <c r="G181" s="76">
        <v>588</v>
      </c>
      <c r="H181" s="76">
        <v>196.05</v>
      </c>
      <c r="I181" s="78">
        <v>9</v>
      </c>
      <c r="J181" s="77"/>
      <c r="K181" s="76">
        <v>605</v>
      </c>
      <c r="L181" s="76">
        <v>196.44</v>
      </c>
      <c r="M181" s="78">
        <v>9</v>
      </c>
      <c r="N181" s="77"/>
      <c r="O181" s="76">
        <v>724</v>
      </c>
      <c r="P181" s="76">
        <v>200.04</v>
      </c>
      <c r="Q181" s="78">
        <v>9</v>
      </c>
      <c r="R181" s="77"/>
      <c r="S181" s="76">
        <v>745</v>
      </c>
      <c r="T181" s="76">
        <v>200.67</v>
      </c>
      <c r="U181" s="78">
        <v>11</v>
      </c>
      <c r="V181" s="77"/>
      <c r="W181" s="76">
        <v>824</v>
      </c>
      <c r="X181" s="76">
        <v>210.98</v>
      </c>
      <c r="Y181" s="78">
        <v>9</v>
      </c>
      <c r="Z181" s="77"/>
      <c r="AA181" s="76">
        <v>886</v>
      </c>
      <c r="AB181" s="76">
        <v>191.72</v>
      </c>
      <c r="AC181" s="78">
        <v>9</v>
      </c>
      <c r="AD181" s="77"/>
      <c r="AE181" s="76">
        <v>880</v>
      </c>
      <c r="AF181" s="76">
        <v>204.72</v>
      </c>
      <c r="AG181" s="78">
        <v>9</v>
      </c>
      <c r="AH181" s="77"/>
      <c r="AI181" s="76">
        <v>777</v>
      </c>
      <c r="AJ181" s="76">
        <v>205.39</v>
      </c>
      <c r="AK181" s="78">
        <v>7</v>
      </c>
      <c r="AL181" s="77"/>
      <c r="AM181" s="76">
        <v>810</v>
      </c>
      <c r="AN181" s="76">
        <v>220</v>
      </c>
      <c r="AO181" s="78">
        <v>9</v>
      </c>
      <c r="AP181" s="77"/>
      <c r="AQ181" s="76">
        <v>682</v>
      </c>
      <c r="AR181" s="76">
        <v>209.89</v>
      </c>
      <c r="AS181" s="78">
        <v>9</v>
      </c>
      <c r="AT181" s="77"/>
      <c r="AU181" s="76">
        <v>599</v>
      </c>
      <c r="AV181" s="76">
        <v>206.38</v>
      </c>
      <c r="AW181" s="78">
        <v>9</v>
      </c>
      <c r="AX181" s="77"/>
      <c r="AY181" s="76">
        <v>619</v>
      </c>
      <c r="AZ181" s="76">
        <v>206.88</v>
      </c>
      <c r="BA181" s="74">
        <v>108</v>
      </c>
      <c r="BB181" s="73"/>
      <c r="BC181" s="72">
        <v>8739</v>
      </c>
      <c r="BD181" s="72">
        <v>2449.16</v>
      </c>
    </row>
    <row r="182" spans="1:56" ht="15" thickBot="1" x14ac:dyDescent="0.35">
      <c r="A182" s="75" t="s">
        <v>153</v>
      </c>
      <c r="B182" s="75" t="s">
        <v>214</v>
      </c>
      <c r="C182" s="213" t="s">
        <v>836</v>
      </c>
      <c r="D182" s="75" t="s">
        <v>213</v>
      </c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1">
        <v>1</v>
      </c>
      <c r="AP182" s="80"/>
      <c r="AQ182" s="79">
        <v>82</v>
      </c>
      <c r="AR182" s="79">
        <v>23.53</v>
      </c>
      <c r="AS182" s="81">
        <v>1</v>
      </c>
      <c r="AT182" s="80"/>
      <c r="AU182" s="79">
        <v>66</v>
      </c>
      <c r="AV182" s="79">
        <v>22.92</v>
      </c>
      <c r="AW182" s="81">
        <v>1</v>
      </c>
      <c r="AX182" s="80"/>
      <c r="AY182" s="79">
        <v>66</v>
      </c>
      <c r="AZ182" s="79">
        <v>22.92</v>
      </c>
      <c r="BA182" s="74">
        <v>3</v>
      </c>
      <c r="BB182" s="73"/>
      <c r="BC182" s="72">
        <v>214</v>
      </c>
      <c r="BD182" s="72">
        <v>69.37</v>
      </c>
    </row>
    <row r="183" spans="1:56" ht="15" thickBot="1" x14ac:dyDescent="0.35">
      <c r="A183" s="75" t="s">
        <v>153</v>
      </c>
      <c r="B183" s="75" t="s">
        <v>212</v>
      </c>
      <c r="C183" s="213" t="s">
        <v>836</v>
      </c>
      <c r="D183" s="75" t="s">
        <v>211</v>
      </c>
      <c r="E183" s="78">
        <v>5</v>
      </c>
      <c r="F183" s="77"/>
      <c r="G183" s="76">
        <v>308</v>
      </c>
      <c r="H183" s="76">
        <v>107.88</v>
      </c>
      <c r="I183" s="78">
        <v>5</v>
      </c>
      <c r="J183" s="77"/>
      <c r="K183" s="76">
        <v>359</v>
      </c>
      <c r="L183" s="76">
        <v>109.28</v>
      </c>
      <c r="M183" s="78">
        <v>5</v>
      </c>
      <c r="N183" s="77"/>
      <c r="O183" s="76">
        <v>388</v>
      </c>
      <c r="P183" s="76">
        <v>110.11</v>
      </c>
      <c r="Q183" s="78">
        <v>5</v>
      </c>
      <c r="R183" s="77"/>
      <c r="S183" s="76">
        <v>403</v>
      </c>
      <c r="T183" s="76">
        <v>110.53</v>
      </c>
      <c r="U183" s="78">
        <v>5</v>
      </c>
      <c r="V183" s="77"/>
      <c r="W183" s="76">
        <v>468</v>
      </c>
      <c r="X183" s="76">
        <v>112.4</v>
      </c>
      <c r="Y183" s="78">
        <v>5</v>
      </c>
      <c r="Z183" s="77"/>
      <c r="AA183" s="76">
        <v>482</v>
      </c>
      <c r="AB183" s="76">
        <v>112.8</v>
      </c>
      <c r="AC183" s="78">
        <v>5</v>
      </c>
      <c r="AD183" s="77"/>
      <c r="AE183" s="76">
        <v>540</v>
      </c>
      <c r="AF183" s="76">
        <v>114.45</v>
      </c>
      <c r="AG183" s="78">
        <v>5</v>
      </c>
      <c r="AH183" s="77"/>
      <c r="AI183" s="76">
        <v>430</v>
      </c>
      <c r="AJ183" s="76">
        <v>113.02</v>
      </c>
      <c r="AK183" s="78">
        <v>5</v>
      </c>
      <c r="AL183" s="77"/>
      <c r="AM183" s="76">
        <v>374</v>
      </c>
      <c r="AN183" s="76">
        <v>117.05</v>
      </c>
      <c r="AO183" s="78">
        <v>5</v>
      </c>
      <c r="AP183" s="77"/>
      <c r="AQ183" s="76">
        <v>387</v>
      </c>
      <c r="AR183" s="76">
        <v>116.43</v>
      </c>
      <c r="AS183" s="78">
        <v>5</v>
      </c>
      <c r="AT183" s="77"/>
      <c r="AU183" s="76">
        <v>338</v>
      </c>
      <c r="AV183" s="76">
        <v>114.28</v>
      </c>
      <c r="AW183" s="78">
        <v>5</v>
      </c>
      <c r="AX183" s="77"/>
      <c r="AY183" s="76">
        <v>341</v>
      </c>
      <c r="AZ183" s="76">
        <v>114.35</v>
      </c>
      <c r="BA183" s="74">
        <v>60</v>
      </c>
      <c r="BB183" s="73"/>
      <c r="BC183" s="72">
        <v>4818</v>
      </c>
      <c r="BD183" s="72">
        <v>1352.5799999999997</v>
      </c>
    </row>
    <row r="184" spans="1:56" ht="15" thickBot="1" x14ac:dyDescent="0.35">
      <c r="A184" s="75" t="s">
        <v>153</v>
      </c>
      <c r="B184" s="75" t="s">
        <v>210</v>
      </c>
      <c r="C184" s="213" t="s">
        <v>837</v>
      </c>
      <c r="D184" s="75" t="s">
        <v>209</v>
      </c>
      <c r="E184" s="81">
        <v>43</v>
      </c>
      <c r="F184" s="80"/>
      <c r="G184" s="79">
        <v>2247</v>
      </c>
      <c r="H184" s="79">
        <v>411.08</v>
      </c>
      <c r="I184" s="81">
        <v>43</v>
      </c>
      <c r="J184" s="80"/>
      <c r="K184" s="79">
        <v>2642</v>
      </c>
      <c r="L184" s="79">
        <v>411.08</v>
      </c>
      <c r="M184" s="81">
        <v>43</v>
      </c>
      <c r="N184" s="80"/>
      <c r="O184" s="79">
        <v>2836</v>
      </c>
      <c r="P184" s="79">
        <v>411.08</v>
      </c>
      <c r="Q184" s="81">
        <v>43</v>
      </c>
      <c r="R184" s="80"/>
      <c r="S184" s="79">
        <v>3154</v>
      </c>
      <c r="T184" s="79">
        <v>411.08</v>
      </c>
      <c r="U184" s="81">
        <v>43</v>
      </c>
      <c r="V184" s="80"/>
      <c r="W184" s="79">
        <v>3215</v>
      </c>
      <c r="X184" s="79">
        <v>411.08</v>
      </c>
      <c r="Y184" s="81">
        <v>43</v>
      </c>
      <c r="Z184" s="80"/>
      <c r="AA184" s="79">
        <v>3515</v>
      </c>
      <c r="AB184" s="79">
        <v>411.08</v>
      </c>
      <c r="AC184" s="81">
        <v>43</v>
      </c>
      <c r="AD184" s="80"/>
      <c r="AE184" s="79">
        <v>4005</v>
      </c>
      <c r="AF184" s="79">
        <v>411.08</v>
      </c>
      <c r="AG184" s="81">
        <v>43</v>
      </c>
      <c r="AH184" s="80"/>
      <c r="AI184" s="79">
        <v>3186</v>
      </c>
      <c r="AJ184" s="79">
        <v>411.08</v>
      </c>
      <c r="AK184" s="81">
        <v>43</v>
      </c>
      <c r="AL184" s="80"/>
      <c r="AM184" s="79">
        <v>2855</v>
      </c>
      <c r="AN184" s="79">
        <v>411.08</v>
      </c>
      <c r="AO184" s="81">
        <v>43</v>
      </c>
      <c r="AP184" s="80"/>
      <c r="AQ184" s="79">
        <v>3003</v>
      </c>
      <c r="AR184" s="79">
        <v>445.05</v>
      </c>
      <c r="AS184" s="81">
        <v>43</v>
      </c>
      <c r="AT184" s="80"/>
      <c r="AU184" s="79">
        <v>2444</v>
      </c>
      <c r="AV184" s="79">
        <v>445.05</v>
      </c>
      <c r="AW184" s="81">
        <v>43</v>
      </c>
      <c r="AX184" s="80"/>
      <c r="AY184" s="79">
        <v>2427</v>
      </c>
      <c r="AZ184" s="79">
        <v>445.05</v>
      </c>
      <c r="BA184" s="74">
        <v>516</v>
      </c>
      <c r="BB184" s="73"/>
      <c r="BC184" s="72">
        <v>35529</v>
      </c>
      <c r="BD184" s="72">
        <v>5034.87</v>
      </c>
    </row>
    <row r="185" spans="1:56" ht="15" thickBot="1" x14ac:dyDescent="0.35">
      <c r="A185" s="75" t="s">
        <v>153</v>
      </c>
      <c r="B185" s="75" t="s">
        <v>208</v>
      </c>
      <c r="C185" s="213" t="s">
        <v>838</v>
      </c>
      <c r="D185" s="75" t="s">
        <v>207</v>
      </c>
      <c r="E185" s="78">
        <v>7</v>
      </c>
      <c r="F185" s="77"/>
      <c r="G185" s="76">
        <v>368</v>
      </c>
      <c r="H185" s="76">
        <v>83.09</v>
      </c>
      <c r="I185" s="78">
        <v>7</v>
      </c>
      <c r="J185" s="77"/>
      <c r="K185" s="76">
        <v>438</v>
      </c>
      <c r="L185" s="76">
        <v>83.09</v>
      </c>
      <c r="M185" s="78">
        <v>7</v>
      </c>
      <c r="N185" s="77"/>
      <c r="O185" s="76">
        <v>471</v>
      </c>
      <c r="P185" s="76">
        <v>83.09</v>
      </c>
      <c r="Q185" s="78">
        <v>7</v>
      </c>
      <c r="R185" s="77"/>
      <c r="S185" s="76">
        <v>489</v>
      </c>
      <c r="T185" s="76">
        <v>83.09</v>
      </c>
      <c r="U185" s="78">
        <v>7</v>
      </c>
      <c r="V185" s="77"/>
      <c r="W185" s="76">
        <v>566</v>
      </c>
      <c r="X185" s="76">
        <v>83.09</v>
      </c>
      <c r="Y185" s="78">
        <v>7</v>
      </c>
      <c r="Z185" s="77"/>
      <c r="AA185" s="76">
        <v>577</v>
      </c>
      <c r="AB185" s="76">
        <v>83.09</v>
      </c>
      <c r="AC185" s="78">
        <v>7</v>
      </c>
      <c r="AD185" s="77"/>
      <c r="AE185" s="76">
        <v>650</v>
      </c>
      <c r="AF185" s="76">
        <v>83.09</v>
      </c>
      <c r="AG185" s="78">
        <v>7</v>
      </c>
      <c r="AH185" s="77"/>
      <c r="AI185" s="76">
        <v>508</v>
      </c>
      <c r="AJ185" s="76">
        <v>83.09</v>
      </c>
      <c r="AK185" s="78">
        <v>7</v>
      </c>
      <c r="AL185" s="77"/>
      <c r="AM185" s="76">
        <v>459</v>
      </c>
      <c r="AN185" s="76">
        <v>89.95</v>
      </c>
      <c r="AO185" s="78">
        <v>7</v>
      </c>
      <c r="AP185" s="77"/>
      <c r="AQ185" s="76">
        <v>450</v>
      </c>
      <c r="AR185" s="76">
        <v>89.95</v>
      </c>
      <c r="AS185" s="78">
        <v>7</v>
      </c>
      <c r="AT185" s="77"/>
      <c r="AU185" s="76">
        <v>432</v>
      </c>
      <c r="AV185" s="76">
        <v>89.95</v>
      </c>
      <c r="AW185" s="78">
        <v>7</v>
      </c>
      <c r="AX185" s="77"/>
      <c r="AY185" s="76">
        <v>377</v>
      </c>
      <c r="AZ185" s="76">
        <v>89.95</v>
      </c>
      <c r="BA185" s="74">
        <v>84</v>
      </c>
      <c r="BB185" s="73"/>
      <c r="BC185" s="72">
        <v>5785</v>
      </c>
      <c r="BD185" s="72">
        <v>1024.5200000000002</v>
      </c>
    </row>
    <row r="186" spans="1:56" ht="15" thickBot="1" x14ac:dyDescent="0.35">
      <c r="A186" s="75" t="s">
        <v>153</v>
      </c>
      <c r="B186" s="75" t="s">
        <v>206</v>
      </c>
      <c r="C186" s="213" t="s">
        <v>839</v>
      </c>
      <c r="D186" s="75" t="s">
        <v>205</v>
      </c>
      <c r="E186" s="81">
        <v>336</v>
      </c>
      <c r="F186" s="80"/>
      <c r="G186" s="79">
        <v>7574</v>
      </c>
      <c r="H186" s="79">
        <v>2909.76</v>
      </c>
      <c r="I186" s="81">
        <v>336</v>
      </c>
      <c r="J186" s="80"/>
      <c r="K186" s="79">
        <v>7539</v>
      </c>
      <c r="L186" s="79">
        <v>2909.76</v>
      </c>
      <c r="M186" s="81">
        <v>336</v>
      </c>
      <c r="N186" s="80"/>
      <c r="O186" s="79">
        <v>7811</v>
      </c>
      <c r="P186" s="79">
        <v>2909.76</v>
      </c>
      <c r="Q186" s="81">
        <v>336</v>
      </c>
      <c r="R186" s="80"/>
      <c r="S186" s="79">
        <v>9513</v>
      </c>
      <c r="T186" s="79">
        <v>2909.76</v>
      </c>
      <c r="U186" s="81">
        <v>336</v>
      </c>
      <c r="V186" s="80"/>
      <c r="W186" s="79">
        <v>9316</v>
      </c>
      <c r="X186" s="79">
        <v>2909.76</v>
      </c>
      <c r="Y186" s="81">
        <v>336</v>
      </c>
      <c r="Z186" s="80"/>
      <c r="AA186" s="79">
        <v>10100</v>
      </c>
      <c r="AB186" s="79">
        <v>2909.76</v>
      </c>
      <c r="AC186" s="81">
        <v>336</v>
      </c>
      <c r="AD186" s="80"/>
      <c r="AE186" s="79">
        <v>11026</v>
      </c>
      <c r="AF186" s="79">
        <v>2909.76</v>
      </c>
      <c r="AG186" s="81">
        <v>336</v>
      </c>
      <c r="AH186" s="80"/>
      <c r="AI186" s="79">
        <v>12541</v>
      </c>
      <c r="AJ186" s="79">
        <v>2909.76</v>
      </c>
      <c r="AK186" s="81">
        <v>336</v>
      </c>
      <c r="AL186" s="80"/>
      <c r="AM186" s="79">
        <v>9947</v>
      </c>
      <c r="AN186" s="79">
        <v>2909.76</v>
      </c>
      <c r="AO186" s="81">
        <v>336</v>
      </c>
      <c r="AP186" s="80"/>
      <c r="AQ186" s="79">
        <v>8928</v>
      </c>
      <c r="AR186" s="79">
        <v>3151.68</v>
      </c>
      <c r="AS186" s="81">
        <v>336</v>
      </c>
      <c r="AT186" s="80"/>
      <c r="AU186" s="79">
        <v>9376</v>
      </c>
      <c r="AV186" s="79">
        <v>3151.68</v>
      </c>
      <c r="AW186" s="81">
        <v>336</v>
      </c>
      <c r="AX186" s="80"/>
      <c r="AY186" s="79">
        <v>7630</v>
      </c>
      <c r="AZ186" s="79">
        <v>3151.68</v>
      </c>
      <c r="BA186" s="74">
        <v>4032</v>
      </c>
      <c r="BB186" s="73"/>
      <c r="BC186" s="72">
        <v>111301</v>
      </c>
      <c r="BD186" s="72">
        <v>35642.880000000005</v>
      </c>
    </row>
    <row r="187" spans="1:56" ht="15" thickBot="1" x14ac:dyDescent="0.35">
      <c r="A187" s="75" t="s">
        <v>153</v>
      </c>
      <c r="B187" s="75" t="s">
        <v>204</v>
      </c>
      <c r="C187" s="213" t="s">
        <v>840</v>
      </c>
      <c r="D187" s="75" t="s">
        <v>203</v>
      </c>
      <c r="E187" s="78">
        <v>1975</v>
      </c>
      <c r="F187" s="77"/>
      <c r="G187" s="76">
        <v>60477</v>
      </c>
      <c r="H187" s="76">
        <v>18051.5</v>
      </c>
      <c r="I187" s="78">
        <v>1977</v>
      </c>
      <c r="J187" s="77"/>
      <c r="K187" s="76">
        <v>66746</v>
      </c>
      <c r="L187" s="76">
        <v>18069.78</v>
      </c>
      <c r="M187" s="78">
        <v>1976</v>
      </c>
      <c r="N187" s="77"/>
      <c r="O187" s="76">
        <v>75954</v>
      </c>
      <c r="P187" s="76">
        <v>18060.64</v>
      </c>
      <c r="Q187" s="78">
        <v>1976</v>
      </c>
      <c r="R187" s="77"/>
      <c r="S187" s="76">
        <v>78311</v>
      </c>
      <c r="T187" s="76">
        <v>18060.64</v>
      </c>
      <c r="U187" s="78">
        <v>1976</v>
      </c>
      <c r="V187" s="77"/>
      <c r="W187" s="76">
        <v>86098</v>
      </c>
      <c r="X187" s="76">
        <v>18060.64</v>
      </c>
      <c r="Y187" s="78">
        <v>1976</v>
      </c>
      <c r="Z187" s="78">
        <v>57</v>
      </c>
      <c r="AA187" s="76">
        <v>97212</v>
      </c>
      <c r="AB187" s="76">
        <v>18054.93</v>
      </c>
      <c r="AC187" s="78">
        <v>1975</v>
      </c>
      <c r="AD187" s="77"/>
      <c r="AE187" s="76">
        <v>97303</v>
      </c>
      <c r="AF187" s="76">
        <v>18051.5</v>
      </c>
      <c r="AG187" s="78">
        <v>1975</v>
      </c>
      <c r="AH187" s="77"/>
      <c r="AI187" s="76">
        <v>82944</v>
      </c>
      <c r="AJ187" s="76">
        <v>18051.5</v>
      </c>
      <c r="AK187" s="78">
        <v>1975</v>
      </c>
      <c r="AL187" s="77"/>
      <c r="AM187" s="76">
        <v>76870</v>
      </c>
      <c r="AN187" s="76">
        <v>19233.3</v>
      </c>
      <c r="AO187" s="78">
        <v>1938</v>
      </c>
      <c r="AP187" s="78">
        <v>0</v>
      </c>
      <c r="AQ187" s="76">
        <v>72935</v>
      </c>
      <c r="AR187" s="76">
        <v>19214.13</v>
      </c>
      <c r="AS187" s="78">
        <v>1973</v>
      </c>
      <c r="AT187" s="77"/>
      <c r="AU187" s="76">
        <v>64988</v>
      </c>
      <c r="AV187" s="76">
        <v>19532.7</v>
      </c>
      <c r="AW187" s="78">
        <v>1973</v>
      </c>
      <c r="AX187" s="78">
        <v>2</v>
      </c>
      <c r="AY187" s="76">
        <v>62844</v>
      </c>
      <c r="AZ187" s="76">
        <v>19534.02</v>
      </c>
      <c r="BA187" s="74">
        <v>23665</v>
      </c>
      <c r="BB187" s="74">
        <v>59</v>
      </c>
      <c r="BC187" s="72">
        <v>922682</v>
      </c>
      <c r="BD187" s="72">
        <v>221975.28</v>
      </c>
    </row>
    <row r="188" spans="1:56" ht="15" thickBot="1" x14ac:dyDescent="0.35">
      <c r="A188" s="75" t="s">
        <v>153</v>
      </c>
      <c r="B188" s="75" t="s">
        <v>202</v>
      </c>
      <c r="C188" s="213" t="s">
        <v>841</v>
      </c>
      <c r="D188" s="75" t="s">
        <v>201</v>
      </c>
      <c r="E188" s="81">
        <v>193</v>
      </c>
      <c r="F188" s="80"/>
      <c r="G188" s="79">
        <v>12278</v>
      </c>
      <c r="H188" s="79">
        <v>2750.25</v>
      </c>
      <c r="I188" s="81">
        <v>193</v>
      </c>
      <c r="J188" s="81">
        <v>10</v>
      </c>
      <c r="K188" s="79">
        <v>13198</v>
      </c>
      <c r="L188" s="79">
        <v>2741.06</v>
      </c>
      <c r="M188" s="81">
        <v>192</v>
      </c>
      <c r="N188" s="80"/>
      <c r="O188" s="79">
        <v>15253</v>
      </c>
      <c r="P188" s="79">
        <v>2736</v>
      </c>
      <c r="Q188" s="81">
        <v>192</v>
      </c>
      <c r="R188" s="80"/>
      <c r="S188" s="79">
        <v>15536</v>
      </c>
      <c r="T188" s="79">
        <v>2736</v>
      </c>
      <c r="U188" s="81">
        <v>192</v>
      </c>
      <c r="V188" s="80"/>
      <c r="W188" s="79">
        <v>17143</v>
      </c>
      <c r="X188" s="79">
        <v>2736</v>
      </c>
      <c r="Y188" s="81">
        <v>192</v>
      </c>
      <c r="Z188" s="80"/>
      <c r="AA188" s="79">
        <v>19318</v>
      </c>
      <c r="AB188" s="79">
        <v>2736</v>
      </c>
      <c r="AC188" s="81">
        <v>193</v>
      </c>
      <c r="AD188" s="80"/>
      <c r="AE188" s="79">
        <v>19762</v>
      </c>
      <c r="AF188" s="79">
        <v>2740.28</v>
      </c>
      <c r="AG188" s="81">
        <v>192</v>
      </c>
      <c r="AH188" s="80"/>
      <c r="AI188" s="79">
        <v>16879</v>
      </c>
      <c r="AJ188" s="79">
        <v>2736</v>
      </c>
      <c r="AK188" s="81">
        <v>192</v>
      </c>
      <c r="AL188" s="80"/>
      <c r="AM188" s="79">
        <v>15658</v>
      </c>
      <c r="AN188" s="79">
        <v>2901.2</v>
      </c>
      <c r="AO188" s="81">
        <v>191</v>
      </c>
      <c r="AP188" s="80"/>
      <c r="AQ188" s="79">
        <v>14826</v>
      </c>
      <c r="AR188" s="79">
        <v>2947.13</v>
      </c>
      <c r="AS188" s="81">
        <v>191</v>
      </c>
      <c r="AT188" s="80"/>
      <c r="AU188" s="79">
        <v>13093</v>
      </c>
      <c r="AV188" s="79">
        <v>2947.13</v>
      </c>
      <c r="AW188" s="81">
        <v>191</v>
      </c>
      <c r="AX188" s="80"/>
      <c r="AY188" s="79">
        <v>12813</v>
      </c>
      <c r="AZ188" s="79">
        <v>2947.13</v>
      </c>
      <c r="BA188" s="74">
        <v>2304</v>
      </c>
      <c r="BB188" s="74">
        <v>10</v>
      </c>
      <c r="BC188" s="72">
        <v>185757</v>
      </c>
      <c r="BD188" s="72">
        <v>33654.18</v>
      </c>
    </row>
    <row r="189" spans="1:56" ht="15" thickBot="1" x14ac:dyDescent="0.35">
      <c r="A189" s="75" t="s">
        <v>153</v>
      </c>
      <c r="B189" s="75" t="s">
        <v>200</v>
      </c>
      <c r="C189" s="213" t="s">
        <v>842</v>
      </c>
      <c r="D189" s="75" t="s">
        <v>199</v>
      </c>
      <c r="E189" s="78">
        <v>51</v>
      </c>
      <c r="F189" s="77"/>
      <c r="G189" s="76">
        <v>6721</v>
      </c>
      <c r="H189" s="76">
        <v>1164.8399999999999</v>
      </c>
      <c r="I189" s="78">
        <v>51</v>
      </c>
      <c r="J189" s="77"/>
      <c r="K189" s="76">
        <v>6711</v>
      </c>
      <c r="L189" s="76">
        <v>1164.8399999999999</v>
      </c>
      <c r="M189" s="78">
        <v>51</v>
      </c>
      <c r="N189" s="77"/>
      <c r="O189" s="76">
        <v>7121</v>
      </c>
      <c r="P189" s="76">
        <v>1164.8399999999999</v>
      </c>
      <c r="Q189" s="78">
        <v>51</v>
      </c>
      <c r="R189" s="77"/>
      <c r="S189" s="76">
        <v>8413</v>
      </c>
      <c r="T189" s="76">
        <v>1164.8399999999999</v>
      </c>
      <c r="U189" s="78">
        <v>51</v>
      </c>
      <c r="V189" s="77"/>
      <c r="W189" s="76">
        <v>8360</v>
      </c>
      <c r="X189" s="76">
        <v>1164.8399999999999</v>
      </c>
      <c r="Y189" s="78">
        <v>51</v>
      </c>
      <c r="Z189" s="77"/>
      <c r="AA189" s="76">
        <v>9172</v>
      </c>
      <c r="AB189" s="76">
        <v>1164.8399999999999</v>
      </c>
      <c r="AC189" s="78">
        <v>51</v>
      </c>
      <c r="AD189" s="77"/>
      <c r="AE189" s="76">
        <v>9819</v>
      </c>
      <c r="AF189" s="76">
        <v>1164.8399999999999</v>
      </c>
      <c r="AG189" s="78">
        <v>51</v>
      </c>
      <c r="AH189" s="77"/>
      <c r="AI189" s="76">
        <v>10846</v>
      </c>
      <c r="AJ189" s="76">
        <v>1164.8399999999999</v>
      </c>
      <c r="AK189" s="78">
        <v>51</v>
      </c>
      <c r="AL189" s="77"/>
      <c r="AM189" s="76">
        <v>8796</v>
      </c>
      <c r="AN189" s="76">
        <v>1176.18</v>
      </c>
      <c r="AO189" s="78">
        <v>51</v>
      </c>
      <c r="AP189" s="77"/>
      <c r="AQ189" s="76">
        <v>7890</v>
      </c>
      <c r="AR189" s="76">
        <v>1261.23</v>
      </c>
      <c r="AS189" s="78">
        <v>51</v>
      </c>
      <c r="AT189" s="77"/>
      <c r="AU189" s="76">
        <v>8130</v>
      </c>
      <c r="AV189" s="76">
        <v>1261.23</v>
      </c>
      <c r="AW189" s="78">
        <v>51</v>
      </c>
      <c r="AX189" s="77"/>
      <c r="AY189" s="76">
        <v>6804</v>
      </c>
      <c r="AZ189" s="76">
        <v>1261.23</v>
      </c>
      <c r="BA189" s="74">
        <v>612</v>
      </c>
      <c r="BB189" s="73"/>
      <c r="BC189" s="72">
        <v>98783</v>
      </c>
      <c r="BD189" s="72">
        <v>14278.589999999998</v>
      </c>
    </row>
    <row r="190" spans="1:56" ht="15" thickBot="1" x14ac:dyDescent="0.35">
      <c r="A190" s="75" t="s">
        <v>153</v>
      </c>
      <c r="B190" s="75" t="s">
        <v>198</v>
      </c>
      <c r="C190" s="213" t="s">
        <v>843</v>
      </c>
      <c r="D190" s="75" t="s">
        <v>197</v>
      </c>
      <c r="E190" s="81">
        <v>9</v>
      </c>
      <c r="F190" s="80"/>
      <c r="G190" s="79">
        <v>203</v>
      </c>
      <c r="H190" s="79">
        <v>104.4</v>
      </c>
      <c r="I190" s="81">
        <v>9</v>
      </c>
      <c r="J190" s="80"/>
      <c r="K190" s="79">
        <v>202</v>
      </c>
      <c r="L190" s="79">
        <v>104.4</v>
      </c>
      <c r="M190" s="81">
        <v>9</v>
      </c>
      <c r="N190" s="80"/>
      <c r="O190" s="79">
        <v>209</v>
      </c>
      <c r="P190" s="79">
        <v>104.4</v>
      </c>
      <c r="Q190" s="81">
        <v>9</v>
      </c>
      <c r="R190" s="80"/>
      <c r="S190" s="79">
        <v>255</v>
      </c>
      <c r="T190" s="79">
        <v>104.4</v>
      </c>
      <c r="U190" s="81">
        <v>9</v>
      </c>
      <c r="V190" s="80"/>
      <c r="W190" s="79">
        <v>249</v>
      </c>
      <c r="X190" s="79">
        <v>104.4</v>
      </c>
      <c r="Y190" s="81">
        <v>9</v>
      </c>
      <c r="Z190" s="80"/>
      <c r="AA190" s="79">
        <v>271</v>
      </c>
      <c r="AB190" s="79">
        <v>104.4</v>
      </c>
      <c r="AC190" s="81">
        <v>9</v>
      </c>
      <c r="AD190" s="80"/>
      <c r="AE190" s="79">
        <v>295</v>
      </c>
      <c r="AF190" s="79">
        <v>104.4</v>
      </c>
      <c r="AG190" s="81">
        <v>9</v>
      </c>
      <c r="AH190" s="80"/>
      <c r="AI190" s="79">
        <v>336</v>
      </c>
      <c r="AJ190" s="79">
        <v>104.4</v>
      </c>
      <c r="AK190" s="81">
        <v>9</v>
      </c>
      <c r="AL190" s="80"/>
      <c r="AM190" s="79">
        <v>266</v>
      </c>
      <c r="AN190" s="79">
        <v>104.4</v>
      </c>
      <c r="AO190" s="81">
        <v>9</v>
      </c>
      <c r="AP190" s="80"/>
      <c r="AQ190" s="79">
        <v>239</v>
      </c>
      <c r="AR190" s="79">
        <v>113.04</v>
      </c>
      <c r="AS190" s="81">
        <v>9</v>
      </c>
      <c r="AT190" s="80"/>
      <c r="AU190" s="79">
        <v>251</v>
      </c>
      <c r="AV190" s="79">
        <v>113.04</v>
      </c>
      <c r="AW190" s="81">
        <v>9</v>
      </c>
      <c r="AX190" s="80"/>
      <c r="AY190" s="79">
        <v>204</v>
      </c>
      <c r="AZ190" s="79">
        <v>113.04</v>
      </c>
      <c r="BA190" s="74">
        <v>108</v>
      </c>
      <c r="BB190" s="73"/>
      <c r="BC190" s="72">
        <v>2980</v>
      </c>
      <c r="BD190" s="72">
        <v>1278.7199999999998</v>
      </c>
    </row>
    <row r="191" spans="1:56" ht="15" thickBot="1" x14ac:dyDescent="0.35">
      <c r="A191" s="75" t="s">
        <v>153</v>
      </c>
      <c r="B191" s="75" t="s">
        <v>196</v>
      </c>
      <c r="C191" s="213" t="s">
        <v>844</v>
      </c>
      <c r="D191" s="75" t="s">
        <v>195</v>
      </c>
      <c r="E191" s="78">
        <v>69</v>
      </c>
      <c r="F191" s="77"/>
      <c r="G191" s="76">
        <v>2061</v>
      </c>
      <c r="H191" s="76">
        <v>848.7</v>
      </c>
      <c r="I191" s="78">
        <v>69</v>
      </c>
      <c r="J191" s="77"/>
      <c r="K191" s="76">
        <v>2397</v>
      </c>
      <c r="L191" s="76">
        <v>848.7</v>
      </c>
      <c r="M191" s="78">
        <v>69</v>
      </c>
      <c r="N191" s="77"/>
      <c r="O191" s="76">
        <v>2727</v>
      </c>
      <c r="P191" s="76">
        <v>848.7</v>
      </c>
      <c r="Q191" s="78">
        <v>69</v>
      </c>
      <c r="R191" s="77"/>
      <c r="S191" s="76">
        <v>2784</v>
      </c>
      <c r="T191" s="76">
        <v>848.7</v>
      </c>
      <c r="U191" s="78">
        <v>69</v>
      </c>
      <c r="V191" s="77"/>
      <c r="W191" s="76">
        <v>3335</v>
      </c>
      <c r="X191" s="76">
        <v>848.7</v>
      </c>
      <c r="Y191" s="78">
        <v>69</v>
      </c>
      <c r="Z191" s="77"/>
      <c r="AA191" s="76">
        <v>3294</v>
      </c>
      <c r="AB191" s="76">
        <v>848.7</v>
      </c>
      <c r="AC191" s="78">
        <v>69</v>
      </c>
      <c r="AD191" s="77"/>
      <c r="AE191" s="76">
        <v>3199</v>
      </c>
      <c r="AF191" s="76">
        <v>848.7</v>
      </c>
      <c r="AG191" s="78">
        <v>69</v>
      </c>
      <c r="AH191" s="77"/>
      <c r="AI191" s="76">
        <v>2962</v>
      </c>
      <c r="AJ191" s="76">
        <v>848.7</v>
      </c>
      <c r="AK191" s="78">
        <v>69</v>
      </c>
      <c r="AL191" s="77"/>
      <c r="AM191" s="76">
        <v>2689</v>
      </c>
      <c r="AN191" s="76">
        <v>918.06</v>
      </c>
      <c r="AO191" s="78">
        <v>67</v>
      </c>
      <c r="AP191" s="77"/>
      <c r="AQ191" s="76">
        <v>2342</v>
      </c>
      <c r="AR191" s="76">
        <v>892.44</v>
      </c>
      <c r="AS191" s="78">
        <v>67</v>
      </c>
      <c r="AT191" s="77"/>
      <c r="AU191" s="76">
        <v>2080</v>
      </c>
      <c r="AV191" s="76">
        <v>892.44</v>
      </c>
      <c r="AW191" s="78">
        <v>67</v>
      </c>
      <c r="AX191" s="77"/>
      <c r="AY191" s="76">
        <v>2206</v>
      </c>
      <c r="AZ191" s="76">
        <v>892.44</v>
      </c>
      <c r="BA191" s="74">
        <v>822</v>
      </c>
      <c r="BB191" s="73"/>
      <c r="BC191" s="72">
        <v>32076</v>
      </c>
      <c r="BD191" s="72">
        <v>10384.980000000001</v>
      </c>
    </row>
    <row r="192" spans="1:56" ht="15" thickBot="1" x14ac:dyDescent="0.35">
      <c r="A192" s="75" t="s">
        <v>153</v>
      </c>
      <c r="B192" s="75" t="s">
        <v>194</v>
      </c>
      <c r="C192" s="213" t="s">
        <v>845</v>
      </c>
      <c r="D192" s="75" t="s">
        <v>193</v>
      </c>
      <c r="E192" s="81">
        <v>225</v>
      </c>
      <c r="F192" s="80"/>
      <c r="G192" s="79">
        <v>14473</v>
      </c>
      <c r="H192" s="79">
        <v>3917.25</v>
      </c>
      <c r="I192" s="81">
        <v>225</v>
      </c>
      <c r="J192" s="80"/>
      <c r="K192" s="79">
        <v>15464</v>
      </c>
      <c r="L192" s="79">
        <v>3917.25</v>
      </c>
      <c r="M192" s="81">
        <v>225</v>
      </c>
      <c r="N192" s="80"/>
      <c r="O192" s="79">
        <v>16949</v>
      </c>
      <c r="P192" s="79">
        <v>3917.25</v>
      </c>
      <c r="Q192" s="81">
        <v>225</v>
      </c>
      <c r="R192" s="80"/>
      <c r="S192" s="79">
        <v>18733</v>
      </c>
      <c r="T192" s="79">
        <v>3917.25</v>
      </c>
      <c r="U192" s="81">
        <v>225</v>
      </c>
      <c r="V192" s="80"/>
      <c r="W192" s="79">
        <v>19422</v>
      </c>
      <c r="X192" s="79">
        <v>3917.25</v>
      </c>
      <c r="Y192" s="81">
        <v>225</v>
      </c>
      <c r="Z192" s="80"/>
      <c r="AA192" s="79">
        <v>21977</v>
      </c>
      <c r="AB192" s="79">
        <v>3917.25</v>
      </c>
      <c r="AC192" s="81">
        <v>225</v>
      </c>
      <c r="AD192" s="80"/>
      <c r="AE192" s="79">
        <v>22009</v>
      </c>
      <c r="AF192" s="79">
        <v>3917.25</v>
      </c>
      <c r="AG192" s="81">
        <v>225</v>
      </c>
      <c r="AH192" s="80"/>
      <c r="AI192" s="79">
        <v>21394</v>
      </c>
      <c r="AJ192" s="79">
        <v>3917.25</v>
      </c>
      <c r="AK192" s="81">
        <v>225</v>
      </c>
      <c r="AL192" s="80"/>
      <c r="AM192" s="79">
        <v>18583</v>
      </c>
      <c r="AN192" s="79">
        <v>4103.01</v>
      </c>
      <c r="AO192" s="81">
        <v>225</v>
      </c>
      <c r="AP192" s="80"/>
      <c r="AQ192" s="79">
        <v>17399</v>
      </c>
      <c r="AR192" s="79">
        <v>4241.25</v>
      </c>
      <c r="AS192" s="81">
        <v>225</v>
      </c>
      <c r="AT192" s="80"/>
      <c r="AU192" s="79">
        <v>16426</v>
      </c>
      <c r="AV192" s="79">
        <v>4241.25</v>
      </c>
      <c r="AW192" s="81">
        <v>225</v>
      </c>
      <c r="AX192" s="80"/>
      <c r="AY192" s="79">
        <v>14807</v>
      </c>
      <c r="AZ192" s="79">
        <v>4241.25</v>
      </c>
      <c r="BA192" s="74">
        <v>2700</v>
      </c>
      <c r="BB192" s="73"/>
      <c r="BC192" s="72">
        <v>217636</v>
      </c>
      <c r="BD192" s="72">
        <v>48164.76</v>
      </c>
    </row>
    <row r="193" spans="1:56" ht="15" thickBot="1" x14ac:dyDescent="0.35">
      <c r="A193" s="75" t="s">
        <v>153</v>
      </c>
      <c r="B193" s="75" t="s">
        <v>192</v>
      </c>
      <c r="C193" s="213" t="s">
        <v>846</v>
      </c>
      <c r="D193" s="75" t="s">
        <v>191</v>
      </c>
      <c r="E193" s="78">
        <v>9</v>
      </c>
      <c r="F193" s="77"/>
      <c r="G193" s="76">
        <v>1176</v>
      </c>
      <c r="H193" s="76">
        <v>220.14</v>
      </c>
      <c r="I193" s="78">
        <v>9</v>
      </c>
      <c r="J193" s="77"/>
      <c r="K193" s="76">
        <v>1195</v>
      </c>
      <c r="L193" s="76">
        <v>220.14</v>
      </c>
      <c r="M193" s="78">
        <v>9</v>
      </c>
      <c r="N193" s="77"/>
      <c r="O193" s="76">
        <v>1245</v>
      </c>
      <c r="P193" s="76">
        <v>220.14</v>
      </c>
      <c r="Q193" s="78">
        <v>9</v>
      </c>
      <c r="R193" s="77"/>
      <c r="S193" s="76">
        <v>1487</v>
      </c>
      <c r="T193" s="76">
        <v>220.14</v>
      </c>
      <c r="U193" s="78">
        <v>9</v>
      </c>
      <c r="V193" s="77"/>
      <c r="W193" s="76">
        <v>1486</v>
      </c>
      <c r="X193" s="76">
        <v>220.14</v>
      </c>
      <c r="Y193" s="78">
        <v>9</v>
      </c>
      <c r="Z193" s="77"/>
      <c r="AA193" s="76">
        <v>1598</v>
      </c>
      <c r="AB193" s="76">
        <v>220.14</v>
      </c>
      <c r="AC193" s="78">
        <v>9</v>
      </c>
      <c r="AD193" s="77"/>
      <c r="AE193" s="76">
        <v>1751</v>
      </c>
      <c r="AF193" s="76">
        <v>220.14</v>
      </c>
      <c r="AG193" s="78">
        <v>9</v>
      </c>
      <c r="AH193" s="77"/>
      <c r="AI193" s="76">
        <v>1915</v>
      </c>
      <c r="AJ193" s="76">
        <v>220.14</v>
      </c>
      <c r="AK193" s="78">
        <v>9</v>
      </c>
      <c r="AL193" s="77"/>
      <c r="AM193" s="76">
        <v>1538</v>
      </c>
      <c r="AN193" s="76">
        <v>222.17</v>
      </c>
      <c r="AO193" s="78">
        <v>9</v>
      </c>
      <c r="AP193" s="77"/>
      <c r="AQ193" s="76">
        <v>1392</v>
      </c>
      <c r="AR193" s="76">
        <v>238.41</v>
      </c>
      <c r="AS193" s="78">
        <v>9</v>
      </c>
      <c r="AT193" s="77"/>
      <c r="AU193" s="76">
        <v>1449</v>
      </c>
      <c r="AV193" s="76">
        <v>238.41</v>
      </c>
      <c r="AW193" s="78">
        <v>9</v>
      </c>
      <c r="AX193" s="77"/>
      <c r="AY193" s="76">
        <v>1187</v>
      </c>
      <c r="AZ193" s="76">
        <v>238.41</v>
      </c>
      <c r="BA193" s="74">
        <v>108</v>
      </c>
      <c r="BB193" s="73"/>
      <c r="BC193" s="72">
        <v>17419</v>
      </c>
      <c r="BD193" s="72">
        <v>2698.5199999999991</v>
      </c>
    </row>
    <row r="194" spans="1:56" ht="15" thickBot="1" x14ac:dyDescent="0.35">
      <c r="A194" s="75" t="s">
        <v>153</v>
      </c>
      <c r="B194" s="75" t="s">
        <v>190</v>
      </c>
      <c r="C194" s="213" t="s">
        <v>847</v>
      </c>
      <c r="D194" s="75" t="s">
        <v>189</v>
      </c>
      <c r="E194" s="81">
        <v>174</v>
      </c>
      <c r="F194" s="80"/>
      <c r="G194" s="79">
        <v>5290</v>
      </c>
      <c r="H194" s="79">
        <v>2893.44</v>
      </c>
      <c r="I194" s="81">
        <v>174</v>
      </c>
      <c r="J194" s="80"/>
      <c r="K194" s="79">
        <v>5711</v>
      </c>
      <c r="L194" s="79">
        <v>2895.93</v>
      </c>
      <c r="M194" s="81">
        <v>175</v>
      </c>
      <c r="N194" s="80"/>
      <c r="O194" s="79">
        <v>6666</v>
      </c>
      <c r="P194" s="79">
        <v>2938.26</v>
      </c>
      <c r="Q194" s="81">
        <v>171</v>
      </c>
      <c r="R194" s="81">
        <v>0</v>
      </c>
      <c r="S194" s="79">
        <v>6665</v>
      </c>
      <c r="T194" s="79">
        <v>2879.49</v>
      </c>
      <c r="U194" s="81">
        <v>176</v>
      </c>
      <c r="V194" s="81">
        <v>0</v>
      </c>
      <c r="W194" s="79">
        <v>7434</v>
      </c>
      <c r="X194" s="79">
        <v>2936.94</v>
      </c>
      <c r="Y194" s="81">
        <v>173</v>
      </c>
      <c r="Z194" s="81">
        <v>2</v>
      </c>
      <c r="AA194" s="79">
        <v>8308</v>
      </c>
      <c r="AB194" s="79">
        <v>2951.18</v>
      </c>
      <c r="AC194" s="81">
        <v>172</v>
      </c>
      <c r="AD194" s="81">
        <v>0</v>
      </c>
      <c r="AE194" s="79">
        <v>8637</v>
      </c>
      <c r="AF194" s="79">
        <v>2959.73</v>
      </c>
      <c r="AG194" s="81">
        <v>174</v>
      </c>
      <c r="AH194" s="81">
        <v>0</v>
      </c>
      <c r="AI194" s="79">
        <v>7482</v>
      </c>
      <c r="AJ194" s="79">
        <v>2964.19</v>
      </c>
      <c r="AK194" s="81">
        <v>175</v>
      </c>
      <c r="AL194" s="81">
        <v>0</v>
      </c>
      <c r="AM194" s="79">
        <v>6664</v>
      </c>
      <c r="AN194" s="79">
        <v>3061.95</v>
      </c>
      <c r="AO194" s="81">
        <v>171</v>
      </c>
      <c r="AP194" s="80"/>
      <c r="AQ194" s="79">
        <v>6564</v>
      </c>
      <c r="AR194" s="79">
        <v>3070.22</v>
      </c>
      <c r="AS194" s="81">
        <v>172</v>
      </c>
      <c r="AT194" s="81">
        <v>0</v>
      </c>
      <c r="AU194" s="79">
        <v>5880</v>
      </c>
      <c r="AV194" s="79">
        <v>3128.48</v>
      </c>
      <c r="AW194" s="81">
        <v>169</v>
      </c>
      <c r="AX194" s="80"/>
      <c r="AY194" s="79">
        <v>5542</v>
      </c>
      <c r="AZ194" s="79">
        <v>2991.16</v>
      </c>
      <c r="BA194" s="74">
        <v>2076</v>
      </c>
      <c r="BB194" s="74">
        <v>2</v>
      </c>
      <c r="BC194" s="72">
        <v>80843</v>
      </c>
      <c r="BD194" s="72">
        <v>35670.97</v>
      </c>
    </row>
    <row r="195" spans="1:56" ht="15" thickBot="1" x14ac:dyDescent="0.35">
      <c r="A195" s="75" t="s">
        <v>153</v>
      </c>
      <c r="B195" s="75" t="s">
        <v>188</v>
      </c>
      <c r="C195" s="213" t="s">
        <v>847</v>
      </c>
      <c r="D195" s="75" t="s">
        <v>187</v>
      </c>
      <c r="E195" s="78">
        <v>29</v>
      </c>
      <c r="F195" s="77"/>
      <c r="G195" s="76">
        <v>865</v>
      </c>
      <c r="H195" s="76">
        <v>481.43</v>
      </c>
      <c r="I195" s="78">
        <v>29</v>
      </c>
      <c r="J195" s="77"/>
      <c r="K195" s="76">
        <v>929</v>
      </c>
      <c r="L195" s="76">
        <v>483.08</v>
      </c>
      <c r="M195" s="78">
        <v>29</v>
      </c>
      <c r="N195" s="77"/>
      <c r="O195" s="76">
        <v>1098</v>
      </c>
      <c r="P195" s="76">
        <v>488.24</v>
      </c>
      <c r="Q195" s="78">
        <v>29</v>
      </c>
      <c r="R195" s="78">
        <v>1</v>
      </c>
      <c r="S195" s="76">
        <v>1139</v>
      </c>
      <c r="T195" s="76">
        <v>494.74</v>
      </c>
      <c r="U195" s="78">
        <v>30</v>
      </c>
      <c r="V195" s="77"/>
      <c r="W195" s="76">
        <v>1259</v>
      </c>
      <c r="X195" s="76">
        <v>508.77</v>
      </c>
      <c r="Y195" s="78">
        <v>30</v>
      </c>
      <c r="Z195" s="77"/>
      <c r="AA195" s="76">
        <v>1459</v>
      </c>
      <c r="AB195" s="76">
        <v>514.9</v>
      </c>
      <c r="AC195" s="78">
        <v>30</v>
      </c>
      <c r="AD195" s="77"/>
      <c r="AE195" s="76">
        <v>1497</v>
      </c>
      <c r="AF195" s="76">
        <v>516.03</v>
      </c>
      <c r="AG195" s="78">
        <v>30</v>
      </c>
      <c r="AH195" s="77"/>
      <c r="AI195" s="76">
        <v>1313</v>
      </c>
      <c r="AJ195" s="76">
        <v>513.70000000000005</v>
      </c>
      <c r="AK195" s="78">
        <v>30</v>
      </c>
      <c r="AL195" s="77"/>
      <c r="AM195" s="76">
        <v>1186</v>
      </c>
      <c r="AN195" s="76">
        <v>536.79</v>
      </c>
      <c r="AO195" s="78">
        <v>30</v>
      </c>
      <c r="AP195" s="77"/>
      <c r="AQ195" s="76">
        <v>1138</v>
      </c>
      <c r="AR195" s="76">
        <v>538.47</v>
      </c>
      <c r="AS195" s="78">
        <v>30</v>
      </c>
      <c r="AT195" s="77"/>
      <c r="AU195" s="76">
        <v>1001</v>
      </c>
      <c r="AV195" s="76">
        <v>530.80999999999995</v>
      </c>
      <c r="AW195" s="78">
        <v>30</v>
      </c>
      <c r="AX195" s="77"/>
      <c r="AY195" s="76">
        <v>995</v>
      </c>
      <c r="AZ195" s="76">
        <v>530.72</v>
      </c>
      <c r="BA195" s="74">
        <v>356</v>
      </c>
      <c r="BB195" s="74">
        <v>1</v>
      </c>
      <c r="BC195" s="72">
        <v>13879</v>
      </c>
      <c r="BD195" s="72">
        <v>6137.6800000000012</v>
      </c>
    </row>
    <row r="196" spans="1:56" ht="15" thickBot="1" x14ac:dyDescent="0.35">
      <c r="A196" s="75" t="s">
        <v>153</v>
      </c>
      <c r="B196" s="75" t="s">
        <v>186</v>
      </c>
      <c r="C196" s="213" t="s">
        <v>847</v>
      </c>
      <c r="D196" s="75" t="s">
        <v>185</v>
      </c>
      <c r="E196" s="78">
        <v>37</v>
      </c>
      <c r="F196" s="77"/>
      <c r="G196" s="76">
        <v>1117</v>
      </c>
      <c r="H196" s="76">
        <v>612.54999999999995</v>
      </c>
      <c r="I196" s="78">
        <v>37</v>
      </c>
      <c r="J196" s="77"/>
      <c r="K196" s="76">
        <v>1210</v>
      </c>
      <c r="L196" s="76">
        <v>614.78</v>
      </c>
      <c r="M196" s="78">
        <v>37</v>
      </c>
      <c r="N196" s="77"/>
      <c r="O196" s="76">
        <v>1364</v>
      </c>
      <c r="P196" s="76">
        <v>619.21</v>
      </c>
      <c r="Q196" s="78">
        <v>37</v>
      </c>
      <c r="R196" s="77"/>
      <c r="S196" s="76">
        <v>1431</v>
      </c>
      <c r="T196" s="76">
        <v>621.15</v>
      </c>
      <c r="U196" s="78">
        <v>37</v>
      </c>
      <c r="V196" s="77"/>
      <c r="W196" s="76">
        <v>1568</v>
      </c>
      <c r="X196" s="76">
        <v>625.07000000000005</v>
      </c>
      <c r="Y196" s="78">
        <v>37</v>
      </c>
      <c r="Z196" s="77"/>
      <c r="AA196" s="76">
        <v>1758</v>
      </c>
      <c r="AB196" s="76">
        <v>630.54</v>
      </c>
      <c r="AC196" s="78">
        <v>37</v>
      </c>
      <c r="AD196" s="77"/>
      <c r="AE196" s="76">
        <v>1839</v>
      </c>
      <c r="AF196" s="76">
        <v>632.84</v>
      </c>
      <c r="AG196" s="78">
        <v>37</v>
      </c>
      <c r="AH196" s="77"/>
      <c r="AI196" s="76">
        <v>1650</v>
      </c>
      <c r="AJ196" s="76">
        <v>630.39</v>
      </c>
      <c r="AK196" s="78">
        <v>37</v>
      </c>
      <c r="AL196" s="77"/>
      <c r="AM196" s="76">
        <v>1455</v>
      </c>
      <c r="AN196" s="76">
        <v>657.3</v>
      </c>
      <c r="AO196" s="78">
        <v>37</v>
      </c>
      <c r="AP196" s="77"/>
      <c r="AQ196" s="76">
        <v>1425</v>
      </c>
      <c r="AR196" s="76">
        <v>662.09</v>
      </c>
      <c r="AS196" s="78">
        <v>38</v>
      </c>
      <c r="AT196" s="77"/>
      <c r="AU196" s="76">
        <v>1286</v>
      </c>
      <c r="AV196" s="76">
        <v>670.75</v>
      </c>
      <c r="AW196" s="78">
        <v>38</v>
      </c>
      <c r="AX196" s="77"/>
      <c r="AY196" s="76">
        <v>1231</v>
      </c>
      <c r="AZ196" s="76">
        <v>669.2</v>
      </c>
      <c r="BA196" s="74">
        <v>446</v>
      </c>
      <c r="BB196" s="73"/>
      <c r="BC196" s="72">
        <v>17334</v>
      </c>
      <c r="BD196" s="72">
        <v>7645.8700000000008</v>
      </c>
    </row>
    <row r="197" spans="1:56" ht="15" thickBot="1" x14ac:dyDescent="0.35">
      <c r="A197" s="75" t="s">
        <v>153</v>
      </c>
      <c r="B197" s="75" t="s">
        <v>184</v>
      </c>
      <c r="C197" s="213" t="s">
        <v>848</v>
      </c>
      <c r="D197" s="75" t="s">
        <v>183</v>
      </c>
      <c r="E197" s="81">
        <v>159</v>
      </c>
      <c r="F197" s="80"/>
      <c r="G197" s="79">
        <v>9911</v>
      </c>
      <c r="H197" s="79">
        <v>3720.01</v>
      </c>
      <c r="I197" s="81">
        <v>160</v>
      </c>
      <c r="J197" s="81">
        <v>0</v>
      </c>
      <c r="K197" s="79">
        <v>10733</v>
      </c>
      <c r="L197" s="79">
        <v>3751.22</v>
      </c>
      <c r="M197" s="81">
        <v>159</v>
      </c>
      <c r="N197" s="80"/>
      <c r="O197" s="79">
        <v>12749</v>
      </c>
      <c r="P197" s="79">
        <v>3823.79</v>
      </c>
      <c r="Q197" s="81">
        <v>160</v>
      </c>
      <c r="R197" s="80"/>
      <c r="S197" s="79">
        <v>12910</v>
      </c>
      <c r="T197" s="79">
        <v>3838.4</v>
      </c>
      <c r="U197" s="81">
        <v>160</v>
      </c>
      <c r="V197" s="81">
        <v>1</v>
      </c>
      <c r="W197" s="79">
        <v>14216</v>
      </c>
      <c r="X197" s="79">
        <v>3887.64</v>
      </c>
      <c r="Y197" s="81">
        <v>162</v>
      </c>
      <c r="Z197" s="80"/>
      <c r="AA197" s="79">
        <v>15986</v>
      </c>
      <c r="AB197" s="79">
        <v>3963.93</v>
      </c>
      <c r="AC197" s="81">
        <v>160</v>
      </c>
      <c r="AD197" s="80"/>
      <c r="AE197" s="79">
        <v>16747</v>
      </c>
      <c r="AF197" s="79">
        <v>3981.6</v>
      </c>
      <c r="AG197" s="81">
        <v>168</v>
      </c>
      <c r="AH197" s="81">
        <v>4</v>
      </c>
      <c r="AI197" s="79">
        <v>14842</v>
      </c>
      <c r="AJ197" s="79">
        <v>4112.28</v>
      </c>
      <c r="AK197" s="81">
        <v>169</v>
      </c>
      <c r="AL197" s="80"/>
      <c r="AM197" s="79">
        <v>13442</v>
      </c>
      <c r="AN197" s="79">
        <v>4319.01</v>
      </c>
      <c r="AO197" s="81">
        <v>171</v>
      </c>
      <c r="AP197" s="81">
        <v>2</v>
      </c>
      <c r="AQ197" s="79">
        <v>13271</v>
      </c>
      <c r="AR197" s="79">
        <v>4307.9399999999996</v>
      </c>
      <c r="AS197" s="81">
        <v>176</v>
      </c>
      <c r="AT197" s="81">
        <v>0</v>
      </c>
      <c r="AU197" s="79">
        <v>11805</v>
      </c>
      <c r="AV197" s="79">
        <v>4316.32</v>
      </c>
      <c r="AW197" s="81">
        <v>171</v>
      </c>
      <c r="AX197" s="81">
        <v>0</v>
      </c>
      <c r="AY197" s="79">
        <v>11490</v>
      </c>
      <c r="AZ197" s="79">
        <v>4236.76</v>
      </c>
      <c r="BA197" s="74">
        <v>1975</v>
      </c>
      <c r="BB197" s="74">
        <v>7</v>
      </c>
      <c r="BC197" s="72">
        <v>158102</v>
      </c>
      <c r="BD197" s="72">
        <v>48258.9</v>
      </c>
    </row>
    <row r="198" spans="1:56" ht="15" thickBot="1" x14ac:dyDescent="0.35">
      <c r="A198" s="75" t="s">
        <v>153</v>
      </c>
      <c r="B198" s="75" t="s">
        <v>182</v>
      </c>
      <c r="C198" s="213" t="s">
        <v>848</v>
      </c>
      <c r="D198" s="75" t="s">
        <v>181</v>
      </c>
      <c r="E198" s="78">
        <v>150</v>
      </c>
      <c r="F198" s="77"/>
      <c r="G198" s="76">
        <v>9443</v>
      </c>
      <c r="H198" s="76">
        <v>3531.04</v>
      </c>
      <c r="I198" s="78">
        <v>150</v>
      </c>
      <c r="J198" s="77"/>
      <c r="K198" s="76">
        <v>10081</v>
      </c>
      <c r="L198" s="76">
        <v>3547.49</v>
      </c>
      <c r="M198" s="78">
        <v>150</v>
      </c>
      <c r="N198" s="77"/>
      <c r="O198" s="76">
        <v>11749</v>
      </c>
      <c r="P198" s="76">
        <v>3587.75</v>
      </c>
      <c r="Q198" s="78">
        <v>151</v>
      </c>
      <c r="R198" s="77"/>
      <c r="S198" s="76">
        <v>12096</v>
      </c>
      <c r="T198" s="76">
        <v>3598.23</v>
      </c>
      <c r="U198" s="78">
        <v>146</v>
      </c>
      <c r="V198" s="77"/>
      <c r="W198" s="76">
        <v>12772</v>
      </c>
      <c r="X198" s="76">
        <v>3528.4</v>
      </c>
      <c r="Y198" s="78">
        <v>152</v>
      </c>
      <c r="Z198" s="77"/>
      <c r="AA198" s="76">
        <v>15026</v>
      </c>
      <c r="AB198" s="76">
        <v>3729.41</v>
      </c>
      <c r="AC198" s="78">
        <v>146</v>
      </c>
      <c r="AD198" s="77"/>
      <c r="AE198" s="76">
        <v>15209</v>
      </c>
      <c r="AF198" s="76">
        <v>3618.32</v>
      </c>
      <c r="AG198" s="78">
        <v>146</v>
      </c>
      <c r="AH198" s="77"/>
      <c r="AI198" s="76">
        <v>13131</v>
      </c>
      <c r="AJ198" s="76">
        <v>3583</v>
      </c>
      <c r="AK198" s="78">
        <v>158</v>
      </c>
      <c r="AL198" s="77"/>
      <c r="AM198" s="76">
        <v>12792</v>
      </c>
      <c r="AN198" s="76">
        <v>4022.56</v>
      </c>
      <c r="AO198" s="78">
        <v>150</v>
      </c>
      <c r="AP198" s="77"/>
      <c r="AQ198" s="76">
        <v>11896</v>
      </c>
      <c r="AR198" s="76">
        <v>3821.21</v>
      </c>
      <c r="AS198" s="78">
        <v>151</v>
      </c>
      <c r="AT198" s="77"/>
      <c r="AU198" s="76">
        <v>10276</v>
      </c>
      <c r="AV198" s="76">
        <v>3752.12</v>
      </c>
      <c r="AW198" s="78">
        <v>151</v>
      </c>
      <c r="AX198" s="77"/>
      <c r="AY198" s="76">
        <v>10082</v>
      </c>
      <c r="AZ198" s="76">
        <v>3714.35</v>
      </c>
      <c r="BA198" s="74">
        <v>1801</v>
      </c>
      <c r="BB198" s="73"/>
      <c r="BC198" s="72">
        <v>144553</v>
      </c>
      <c r="BD198" s="72">
        <v>44033.880000000005</v>
      </c>
    </row>
    <row r="199" spans="1:56" ht="15" thickBot="1" x14ac:dyDescent="0.35">
      <c r="A199" s="75" t="s">
        <v>153</v>
      </c>
      <c r="B199" s="75" t="s">
        <v>180</v>
      </c>
      <c r="C199" s="213" t="s">
        <v>835</v>
      </c>
      <c r="D199" s="75" t="s">
        <v>179</v>
      </c>
      <c r="E199" s="78">
        <v>79</v>
      </c>
      <c r="F199" s="77"/>
      <c r="G199" s="76">
        <v>4976</v>
      </c>
      <c r="H199" s="76">
        <v>1847.45</v>
      </c>
      <c r="I199" s="78">
        <v>81</v>
      </c>
      <c r="J199" s="77"/>
      <c r="K199" s="76">
        <v>5236</v>
      </c>
      <c r="L199" s="76">
        <v>1857.45</v>
      </c>
      <c r="M199" s="78">
        <v>79</v>
      </c>
      <c r="N199" s="77"/>
      <c r="O199" s="76">
        <v>6058</v>
      </c>
      <c r="P199" s="76">
        <v>1876.67</v>
      </c>
      <c r="Q199" s="78">
        <v>81</v>
      </c>
      <c r="R199" s="77"/>
      <c r="S199" s="76">
        <v>6417</v>
      </c>
      <c r="T199" s="76">
        <v>1895.56</v>
      </c>
      <c r="U199" s="78">
        <v>78</v>
      </c>
      <c r="V199" s="77"/>
      <c r="W199" s="76">
        <v>6798</v>
      </c>
      <c r="X199" s="76">
        <v>1876.31</v>
      </c>
      <c r="Y199" s="78">
        <v>81</v>
      </c>
      <c r="Z199" s="77"/>
      <c r="AA199" s="76">
        <v>8042</v>
      </c>
      <c r="AB199" s="76">
        <v>1976.67</v>
      </c>
      <c r="AC199" s="78">
        <v>80</v>
      </c>
      <c r="AD199" s="77"/>
      <c r="AE199" s="76">
        <v>8130</v>
      </c>
      <c r="AF199" s="76">
        <v>1957.53</v>
      </c>
      <c r="AG199" s="78">
        <v>79</v>
      </c>
      <c r="AH199" s="77"/>
      <c r="AI199" s="76">
        <v>7347</v>
      </c>
      <c r="AJ199" s="76">
        <v>1927.61</v>
      </c>
      <c r="AK199" s="78">
        <v>82</v>
      </c>
      <c r="AL199" s="77"/>
      <c r="AM199" s="76">
        <v>6672</v>
      </c>
      <c r="AN199" s="76">
        <v>2064.21</v>
      </c>
      <c r="AO199" s="78">
        <v>82</v>
      </c>
      <c r="AP199" s="77"/>
      <c r="AQ199" s="76">
        <v>6462</v>
      </c>
      <c r="AR199" s="76">
        <v>2064.88</v>
      </c>
      <c r="AS199" s="78">
        <v>82</v>
      </c>
      <c r="AT199" s="77"/>
      <c r="AU199" s="76">
        <v>5661</v>
      </c>
      <c r="AV199" s="76">
        <v>2032.57</v>
      </c>
      <c r="AW199" s="78">
        <v>82</v>
      </c>
      <c r="AX199" s="77"/>
      <c r="AY199" s="76">
        <v>5577</v>
      </c>
      <c r="AZ199" s="76">
        <v>2029.93</v>
      </c>
      <c r="BA199" s="74">
        <v>966</v>
      </c>
      <c r="BB199" s="73"/>
      <c r="BC199" s="72">
        <v>77376</v>
      </c>
      <c r="BD199" s="72">
        <v>23406.84</v>
      </c>
    </row>
    <row r="200" spans="1:56" ht="15" thickBot="1" x14ac:dyDescent="0.35">
      <c r="A200" s="75" t="s">
        <v>153</v>
      </c>
      <c r="B200" s="75" t="s">
        <v>178</v>
      </c>
      <c r="C200" s="213" t="s">
        <v>849</v>
      </c>
      <c r="D200" s="75" t="s">
        <v>177</v>
      </c>
      <c r="E200" s="81">
        <v>135</v>
      </c>
      <c r="F200" s="80"/>
      <c r="G200" s="79">
        <v>16521</v>
      </c>
      <c r="H200" s="79">
        <v>4896.12</v>
      </c>
      <c r="I200" s="81">
        <v>135</v>
      </c>
      <c r="J200" s="80"/>
      <c r="K200" s="79">
        <v>17926</v>
      </c>
      <c r="L200" s="79">
        <v>4934.47</v>
      </c>
      <c r="M200" s="81">
        <v>135</v>
      </c>
      <c r="N200" s="80"/>
      <c r="O200" s="79">
        <v>20745</v>
      </c>
      <c r="P200" s="79">
        <v>5020.05</v>
      </c>
      <c r="Q200" s="81">
        <v>137</v>
      </c>
      <c r="R200" s="80"/>
      <c r="S200" s="79">
        <v>21141</v>
      </c>
      <c r="T200" s="79">
        <v>5049.28</v>
      </c>
      <c r="U200" s="81">
        <v>119</v>
      </c>
      <c r="V200" s="80"/>
      <c r="W200" s="79">
        <v>20089</v>
      </c>
      <c r="X200" s="79">
        <v>4386.0200000000004</v>
      </c>
      <c r="Y200" s="81">
        <v>152</v>
      </c>
      <c r="Z200" s="80"/>
      <c r="AA200" s="79">
        <v>29158</v>
      </c>
      <c r="AB200" s="79">
        <v>5827.32</v>
      </c>
      <c r="AC200" s="81">
        <v>116</v>
      </c>
      <c r="AD200" s="80"/>
      <c r="AE200" s="79">
        <v>22912</v>
      </c>
      <c r="AF200" s="79">
        <v>4390.53</v>
      </c>
      <c r="AG200" s="81">
        <v>137</v>
      </c>
      <c r="AH200" s="81">
        <v>1</v>
      </c>
      <c r="AI200" s="79">
        <v>24183</v>
      </c>
      <c r="AJ200" s="79">
        <v>5182.3999999999996</v>
      </c>
      <c r="AK200" s="81">
        <v>150</v>
      </c>
      <c r="AL200" s="80"/>
      <c r="AM200" s="79">
        <v>23688</v>
      </c>
      <c r="AN200" s="79">
        <v>5902.65</v>
      </c>
      <c r="AO200" s="81">
        <v>132</v>
      </c>
      <c r="AP200" s="81">
        <v>8</v>
      </c>
      <c r="AQ200" s="79">
        <v>20148</v>
      </c>
      <c r="AR200" s="79">
        <v>5196.3999999999996</v>
      </c>
      <c r="AS200" s="81">
        <v>134</v>
      </c>
      <c r="AT200" s="80"/>
      <c r="AU200" s="79">
        <v>17876</v>
      </c>
      <c r="AV200" s="79">
        <v>5128.13</v>
      </c>
      <c r="AW200" s="81">
        <v>134</v>
      </c>
      <c r="AX200" s="80"/>
      <c r="AY200" s="79">
        <v>17618</v>
      </c>
      <c r="AZ200" s="79">
        <v>5121.82</v>
      </c>
      <c r="BA200" s="74">
        <v>1616</v>
      </c>
      <c r="BB200" s="74">
        <v>9</v>
      </c>
      <c r="BC200" s="72">
        <v>252005</v>
      </c>
      <c r="BD200" s="72">
        <v>61035.19</v>
      </c>
    </row>
    <row r="201" spans="1:56" ht="15" thickBot="1" x14ac:dyDescent="0.35">
      <c r="A201" s="75" t="s">
        <v>153</v>
      </c>
      <c r="B201" s="75" t="s">
        <v>176</v>
      </c>
      <c r="C201" s="213" t="s">
        <v>849</v>
      </c>
      <c r="D201" s="75" t="s">
        <v>175</v>
      </c>
      <c r="E201" s="78">
        <v>317</v>
      </c>
      <c r="F201" s="77"/>
      <c r="G201" s="76">
        <v>38974</v>
      </c>
      <c r="H201" s="76">
        <v>11508.44</v>
      </c>
      <c r="I201" s="78">
        <v>317</v>
      </c>
      <c r="J201" s="77"/>
      <c r="K201" s="76">
        <v>41557</v>
      </c>
      <c r="L201" s="76">
        <v>11575.96</v>
      </c>
      <c r="M201" s="78">
        <v>315</v>
      </c>
      <c r="N201" s="78">
        <v>1</v>
      </c>
      <c r="O201" s="76">
        <v>48432</v>
      </c>
      <c r="P201" s="76">
        <v>11688.31</v>
      </c>
      <c r="Q201" s="78">
        <v>316</v>
      </c>
      <c r="R201" s="78">
        <v>5</v>
      </c>
      <c r="S201" s="76">
        <v>49461</v>
      </c>
      <c r="T201" s="76">
        <v>11774.96</v>
      </c>
      <c r="U201" s="78">
        <v>315</v>
      </c>
      <c r="V201" s="77"/>
      <c r="W201" s="76">
        <v>53844</v>
      </c>
      <c r="X201" s="76">
        <v>11816.32</v>
      </c>
      <c r="Y201" s="78">
        <v>320</v>
      </c>
      <c r="Z201" s="77"/>
      <c r="AA201" s="76">
        <v>61701</v>
      </c>
      <c r="AB201" s="76">
        <v>12212.49</v>
      </c>
      <c r="AC201" s="78">
        <v>315</v>
      </c>
      <c r="AD201" s="77"/>
      <c r="AE201" s="76">
        <v>63044</v>
      </c>
      <c r="AF201" s="76">
        <v>12103.77</v>
      </c>
      <c r="AG201" s="78">
        <v>315</v>
      </c>
      <c r="AH201" s="78">
        <v>0</v>
      </c>
      <c r="AI201" s="76">
        <v>54459</v>
      </c>
      <c r="AJ201" s="76">
        <v>11911.99</v>
      </c>
      <c r="AK201" s="78">
        <v>316</v>
      </c>
      <c r="AL201" s="77"/>
      <c r="AM201" s="76">
        <v>49577</v>
      </c>
      <c r="AN201" s="76">
        <v>12498.45</v>
      </c>
      <c r="AO201" s="78">
        <v>313</v>
      </c>
      <c r="AP201" s="78">
        <v>3</v>
      </c>
      <c r="AQ201" s="76">
        <v>47959</v>
      </c>
      <c r="AR201" s="76">
        <v>12335.38</v>
      </c>
      <c r="AS201" s="78">
        <v>315</v>
      </c>
      <c r="AT201" s="78">
        <v>6</v>
      </c>
      <c r="AU201" s="76">
        <v>41838</v>
      </c>
      <c r="AV201" s="76">
        <v>12062.04</v>
      </c>
      <c r="AW201" s="78">
        <v>315</v>
      </c>
      <c r="AX201" s="77"/>
      <c r="AY201" s="76">
        <v>41416</v>
      </c>
      <c r="AZ201" s="76">
        <v>12016.6</v>
      </c>
      <c r="BA201" s="74">
        <v>3789</v>
      </c>
      <c r="BB201" s="74">
        <v>15</v>
      </c>
      <c r="BC201" s="72">
        <v>592262</v>
      </c>
      <c r="BD201" s="72">
        <v>143504.71000000002</v>
      </c>
    </row>
    <row r="202" spans="1:56" ht="15" thickBot="1" x14ac:dyDescent="0.35">
      <c r="A202" s="75" t="s">
        <v>153</v>
      </c>
      <c r="B202" s="75" t="s">
        <v>174</v>
      </c>
      <c r="C202" s="213" t="s">
        <v>849</v>
      </c>
      <c r="D202" s="75" t="s">
        <v>173</v>
      </c>
      <c r="E202" s="78">
        <v>2</v>
      </c>
      <c r="F202" s="77"/>
      <c r="G202" s="76">
        <v>257</v>
      </c>
      <c r="H202" s="76">
        <v>72.88</v>
      </c>
      <c r="I202" s="78">
        <v>2</v>
      </c>
      <c r="J202" s="77"/>
      <c r="K202" s="76">
        <v>254</v>
      </c>
      <c r="L202" s="76">
        <v>72.7</v>
      </c>
      <c r="M202" s="78">
        <v>2</v>
      </c>
      <c r="N202" s="77"/>
      <c r="O202" s="76">
        <v>299</v>
      </c>
      <c r="P202" s="76">
        <v>74.05</v>
      </c>
      <c r="Q202" s="78">
        <v>2</v>
      </c>
      <c r="R202" s="77"/>
      <c r="S202" s="76">
        <v>321</v>
      </c>
      <c r="T202" s="76">
        <v>74.72</v>
      </c>
      <c r="U202" s="78">
        <v>20</v>
      </c>
      <c r="V202" s="77"/>
      <c r="W202" s="76">
        <v>1915</v>
      </c>
      <c r="X202" s="76">
        <v>434.97</v>
      </c>
      <c r="Y202" s="78">
        <v>11</v>
      </c>
      <c r="Z202" s="77"/>
      <c r="AA202" s="76">
        <v>2193</v>
      </c>
      <c r="AB202" s="76">
        <v>423.84</v>
      </c>
      <c r="AC202" s="78">
        <v>11</v>
      </c>
      <c r="AD202" s="77"/>
      <c r="AE202" s="76">
        <v>2169</v>
      </c>
      <c r="AF202" s="76">
        <v>423.11</v>
      </c>
      <c r="AG202" s="78">
        <v>11</v>
      </c>
      <c r="AH202" s="77"/>
      <c r="AI202" s="76">
        <v>2027</v>
      </c>
      <c r="AJ202" s="76">
        <v>419.27</v>
      </c>
      <c r="AK202" s="78">
        <v>11</v>
      </c>
      <c r="AL202" s="77"/>
      <c r="AM202" s="76">
        <v>1748</v>
      </c>
      <c r="AN202" s="76">
        <v>432.12</v>
      </c>
      <c r="AO202" s="78">
        <v>11</v>
      </c>
      <c r="AP202" s="77"/>
      <c r="AQ202" s="76">
        <v>1714</v>
      </c>
      <c r="AR202" s="76">
        <v>434.2</v>
      </c>
      <c r="AS202" s="78">
        <v>11</v>
      </c>
      <c r="AT202" s="77"/>
      <c r="AU202" s="76">
        <v>1417</v>
      </c>
      <c r="AV202" s="76">
        <v>403.12</v>
      </c>
      <c r="AW202" s="78">
        <v>10</v>
      </c>
      <c r="AX202" s="77"/>
      <c r="AY202" s="76">
        <v>1342</v>
      </c>
      <c r="AZ202" s="76">
        <v>382.61</v>
      </c>
      <c r="BA202" s="74">
        <v>104</v>
      </c>
      <c r="BB202" s="73"/>
      <c r="BC202" s="72">
        <v>15656</v>
      </c>
      <c r="BD202" s="72">
        <v>3647.5899999999997</v>
      </c>
    </row>
    <row r="203" spans="1:56" ht="15" thickBot="1" x14ac:dyDescent="0.35">
      <c r="A203" s="75" t="s">
        <v>153</v>
      </c>
      <c r="B203" s="75" t="s">
        <v>172</v>
      </c>
      <c r="C203" s="213" t="s">
        <v>849</v>
      </c>
      <c r="D203" s="75" t="s">
        <v>171</v>
      </c>
      <c r="E203" s="81">
        <v>235</v>
      </c>
      <c r="F203" s="81">
        <v>4</v>
      </c>
      <c r="G203" s="79">
        <v>29337</v>
      </c>
      <c r="H203" s="79">
        <v>8553.59</v>
      </c>
      <c r="I203" s="81">
        <v>237</v>
      </c>
      <c r="J203" s="80"/>
      <c r="K203" s="79">
        <v>30674</v>
      </c>
      <c r="L203" s="79">
        <v>8585.58</v>
      </c>
      <c r="M203" s="81">
        <v>233</v>
      </c>
      <c r="N203" s="80"/>
      <c r="O203" s="79">
        <v>34971</v>
      </c>
      <c r="P203" s="79">
        <v>8578.4500000000007</v>
      </c>
      <c r="Q203" s="81">
        <v>234</v>
      </c>
      <c r="R203" s="80"/>
      <c r="S203" s="79">
        <v>37286</v>
      </c>
      <c r="T203" s="79">
        <v>8654.42</v>
      </c>
      <c r="U203" s="81">
        <v>228</v>
      </c>
      <c r="V203" s="80"/>
      <c r="W203" s="79">
        <v>39597</v>
      </c>
      <c r="X203" s="79">
        <v>8548.2900000000009</v>
      </c>
      <c r="Y203" s="81">
        <v>235</v>
      </c>
      <c r="Z203" s="81">
        <v>4</v>
      </c>
      <c r="AA203" s="79">
        <v>45764</v>
      </c>
      <c r="AB203" s="79">
        <v>8993.08</v>
      </c>
      <c r="AC203" s="81">
        <v>236</v>
      </c>
      <c r="AD203" s="80"/>
      <c r="AE203" s="79">
        <v>46848</v>
      </c>
      <c r="AF203" s="79">
        <v>9015.98</v>
      </c>
      <c r="AG203" s="81">
        <v>238</v>
      </c>
      <c r="AH203" s="80"/>
      <c r="AI203" s="79">
        <v>42079</v>
      </c>
      <c r="AJ203" s="79">
        <v>9039.23</v>
      </c>
      <c r="AK203" s="81">
        <v>244</v>
      </c>
      <c r="AL203" s="80"/>
      <c r="AM203" s="79">
        <v>38771</v>
      </c>
      <c r="AN203" s="79">
        <v>9531.77</v>
      </c>
      <c r="AO203" s="81">
        <v>230</v>
      </c>
      <c r="AP203" s="80"/>
      <c r="AQ203" s="79">
        <v>35437</v>
      </c>
      <c r="AR203" s="79">
        <v>8976.5300000000007</v>
      </c>
      <c r="AS203" s="81">
        <v>248</v>
      </c>
      <c r="AT203" s="80"/>
      <c r="AU203" s="79">
        <v>32590</v>
      </c>
      <c r="AV203" s="79">
        <v>9369.1200000000008</v>
      </c>
      <c r="AW203" s="81">
        <v>240</v>
      </c>
      <c r="AX203" s="80"/>
      <c r="AY203" s="79">
        <v>31029</v>
      </c>
      <c r="AZ203" s="79">
        <v>9013.66</v>
      </c>
      <c r="BA203" s="74">
        <v>2838</v>
      </c>
      <c r="BB203" s="74">
        <v>8</v>
      </c>
      <c r="BC203" s="72">
        <v>444383</v>
      </c>
      <c r="BD203" s="72">
        <v>106859.7</v>
      </c>
    </row>
    <row r="204" spans="1:56" ht="15" thickBot="1" x14ac:dyDescent="0.35">
      <c r="A204" s="75" t="s">
        <v>153</v>
      </c>
      <c r="B204" s="75" t="s">
        <v>170</v>
      </c>
      <c r="C204" s="213" t="s">
        <v>849</v>
      </c>
      <c r="D204" s="75" t="s">
        <v>169</v>
      </c>
      <c r="E204" s="78">
        <v>1</v>
      </c>
      <c r="F204" s="77"/>
      <c r="G204" s="76">
        <v>117</v>
      </c>
      <c r="H204" s="76">
        <v>36.11</v>
      </c>
      <c r="I204" s="78">
        <v>1</v>
      </c>
      <c r="J204" s="77"/>
      <c r="K204" s="76">
        <v>134</v>
      </c>
      <c r="L204" s="76">
        <v>36.56</v>
      </c>
      <c r="M204" s="78">
        <v>1</v>
      </c>
      <c r="N204" s="77"/>
      <c r="O204" s="76">
        <v>138</v>
      </c>
      <c r="P204" s="76">
        <v>36.68</v>
      </c>
      <c r="Q204" s="78">
        <v>1</v>
      </c>
      <c r="R204" s="77"/>
      <c r="S204" s="76">
        <v>153</v>
      </c>
      <c r="T204" s="76">
        <v>37.130000000000003</v>
      </c>
      <c r="U204" s="78">
        <v>1</v>
      </c>
      <c r="V204" s="77"/>
      <c r="W204" s="76">
        <v>174</v>
      </c>
      <c r="X204" s="76">
        <v>37.76</v>
      </c>
      <c r="Y204" s="78">
        <v>1</v>
      </c>
      <c r="Z204" s="77"/>
      <c r="AA204" s="76">
        <v>188</v>
      </c>
      <c r="AB204" s="76">
        <v>38.19</v>
      </c>
      <c r="AC204" s="78">
        <v>1</v>
      </c>
      <c r="AD204" s="77"/>
      <c r="AE204" s="76">
        <v>207</v>
      </c>
      <c r="AF204" s="76">
        <v>38.76</v>
      </c>
      <c r="AG204" s="78">
        <v>1</v>
      </c>
      <c r="AH204" s="77"/>
      <c r="AI204" s="76">
        <v>178</v>
      </c>
      <c r="AJ204" s="76">
        <v>37.89</v>
      </c>
      <c r="AK204" s="78">
        <v>1</v>
      </c>
      <c r="AL204" s="77"/>
      <c r="AM204" s="76">
        <v>161</v>
      </c>
      <c r="AN204" s="76">
        <v>38.909999999999997</v>
      </c>
      <c r="AO204" s="78">
        <v>1</v>
      </c>
      <c r="AP204" s="77"/>
      <c r="AQ204" s="76">
        <v>166</v>
      </c>
      <c r="AR204" s="76">
        <v>39.880000000000003</v>
      </c>
      <c r="AS204" s="78">
        <v>1</v>
      </c>
      <c r="AT204" s="77"/>
      <c r="AU204" s="76">
        <v>136</v>
      </c>
      <c r="AV204" s="76">
        <v>38.31</v>
      </c>
      <c r="AW204" s="78">
        <v>1</v>
      </c>
      <c r="AX204" s="77"/>
      <c r="AY204" s="76">
        <v>128</v>
      </c>
      <c r="AZ204" s="76">
        <v>38.11</v>
      </c>
      <c r="BA204" s="74">
        <v>12</v>
      </c>
      <c r="BB204" s="73"/>
      <c r="BC204" s="72">
        <v>1880</v>
      </c>
      <c r="BD204" s="72">
        <v>454.29</v>
      </c>
    </row>
    <row r="205" spans="1:56" ht="15" thickBot="1" x14ac:dyDescent="0.35">
      <c r="A205" s="75" t="s">
        <v>153</v>
      </c>
      <c r="B205" s="75" t="s">
        <v>168</v>
      </c>
      <c r="C205" s="213" t="s">
        <v>850</v>
      </c>
      <c r="D205" s="75" t="s">
        <v>167</v>
      </c>
      <c r="E205" s="81">
        <v>0</v>
      </c>
      <c r="F205" s="80"/>
      <c r="G205" s="80"/>
      <c r="H205" s="79">
        <v>15108.57</v>
      </c>
      <c r="I205" s="81">
        <v>0</v>
      </c>
      <c r="J205" s="80"/>
      <c r="K205" s="80"/>
      <c r="L205" s="79">
        <v>15108.57</v>
      </c>
      <c r="M205" s="81">
        <v>0</v>
      </c>
      <c r="N205" s="80"/>
      <c r="O205" s="80"/>
      <c r="P205" s="79">
        <v>15108.57</v>
      </c>
      <c r="Q205" s="81">
        <v>0</v>
      </c>
      <c r="R205" s="80"/>
      <c r="S205" s="80"/>
      <c r="T205" s="79">
        <v>15108.57</v>
      </c>
      <c r="U205" s="81">
        <v>0</v>
      </c>
      <c r="V205" s="80"/>
      <c r="W205" s="80"/>
      <c r="X205" s="79">
        <v>2710.61</v>
      </c>
      <c r="Y205" s="81">
        <v>0</v>
      </c>
      <c r="Z205" s="80"/>
      <c r="AA205" s="80"/>
      <c r="AB205" s="79">
        <v>15108.57</v>
      </c>
      <c r="AC205" s="81">
        <v>0</v>
      </c>
      <c r="AD205" s="80"/>
      <c r="AE205" s="80"/>
      <c r="AF205" s="79">
        <v>12506.44</v>
      </c>
      <c r="AG205" s="81">
        <v>0</v>
      </c>
      <c r="AH205" s="80"/>
      <c r="AI205" s="80"/>
      <c r="AJ205" s="79">
        <v>17702.310000000001</v>
      </c>
      <c r="AK205" s="81">
        <v>0</v>
      </c>
      <c r="AL205" s="80"/>
      <c r="AM205" s="80"/>
      <c r="AN205" s="79">
        <v>27037.46</v>
      </c>
      <c r="AO205" s="81">
        <v>0</v>
      </c>
      <c r="AP205" s="80"/>
      <c r="AQ205" s="80"/>
      <c r="AR205" s="79">
        <v>2650.37</v>
      </c>
      <c r="AS205" s="81">
        <v>0</v>
      </c>
      <c r="AT205" s="80"/>
      <c r="AU205" s="80"/>
      <c r="AV205" s="79">
        <v>26895.27</v>
      </c>
      <c r="AW205" s="81">
        <v>0</v>
      </c>
      <c r="AX205" s="80"/>
      <c r="AY205" s="80"/>
      <c r="AZ205" s="79">
        <v>14772.82</v>
      </c>
      <c r="BA205" s="74">
        <v>0</v>
      </c>
      <c r="BB205" s="73"/>
      <c r="BC205" s="73"/>
      <c r="BD205" s="72">
        <v>179818.12999999998</v>
      </c>
    </row>
    <row r="206" spans="1:56" ht="15" thickBot="1" x14ac:dyDescent="0.35">
      <c r="A206" s="75" t="s">
        <v>153</v>
      </c>
      <c r="B206" s="75" t="s">
        <v>166</v>
      </c>
      <c r="C206" s="213" t="s">
        <v>851</v>
      </c>
      <c r="D206" s="75" t="s">
        <v>165</v>
      </c>
      <c r="E206" s="78">
        <v>0</v>
      </c>
      <c r="F206" s="77"/>
      <c r="G206" s="77"/>
      <c r="H206" s="76">
        <v>1325.51</v>
      </c>
      <c r="I206" s="78">
        <v>0</v>
      </c>
      <c r="J206" s="77"/>
      <c r="K206" s="77"/>
      <c r="L206" s="76">
        <v>1324.6</v>
      </c>
      <c r="M206" s="78">
        <v>0</v>
      </c>
      <c r="N206" s="77"/>
      <c r="O206" s="77"/>
      <c r="P206" s="76">
        <v>1324.82</v>
      </c>
      <c r="Q206" s="78">
        <v>0</v>
      </c>
      <c r="R206" s="77"/>
      <c r="S206" s="77"/>
      <c r="T206" s="76">
        <v>1330.8</v>
      </c>
      <c r="U206" s="78">
        <v>0</v>
      </c>
      <c r="V206" s="77"/>
      <c r="W206" s="77"/>
      <c r="X206" s="76">
        <v>1323.91</v>
      </c>
      <c r="Y206" s="78">
        <v>0</v>
      </c>
      <c r="Z206" s="77"/>
      <c r="AA206" s="77"/>
      <c r="AB206" s="76">
        <v>1330.05</v>
      </c>
      <c r="AC206" s="78">
        <v>0</v>
      </c>
      <c r="AD206" s="77"/>
      <c r="AE206" s="77"/>
      <c r="AF206" s="76">
        <v>1338.28</v>
      </c>
      <c r="AG206" s="78">
        <v>0</v>
      </c>
      <c r="AH206" s="77"/>
      <c r="AI206" s="77"/>
      <c r="AJ206" s="76">
        <v>1345.55</v>
      </c>
      <c r="AK206" s="78">
        <v>0</v>
      </c>
      <c r="AL206" s="77"/>
      <c r="AM206" s="77"/>
      <c r="AN206" s="76">
        <v>1407.2</v>
      </c>
      <c r="AO206" s="78">
        <v>0</v>
      </c>
      <c r="AP206" s="77"/>
      <c r="AQ206" s="77"/>
      <c r="AR206" s="76">
        <v>1303.27</v>
      </c>
      <c r="AS206" s="78">
        <v>0</v>
      </c>
      <c r="AT206" s="77"/>
      <c r="AU206" s="77"/>
      <c r="AV206" s="76">
        <v>1363.75</v>
      </c>
      <c r="AW206" s="78">
        <v>0</v>
      </c>
      <c r="AX206" s="77"/>
      <c r="AY206" s="77"/>
      <c r="AZ206" s="76">
        <v>1325.32</v>
      </c>
      <c r="BA206" s="74">
        <v>0</v>
      </c>
      <c r="BB206" s="73"/>
      <c r="BC206" s="73"/>
      <c r="BD206" s="72">
        <v>16043.06</v>
      </c>
    </row>
    <row r="207" spans="1:56" ht="15" thickBot="1" x14ac:dyDescent="0.35">
      <c r="A207" s="75" t="s">
        <v>153</v>
      </c>
      <c r="B207" s="267" t="s">
        <v>164</v>
      </c>
      <c r="C207" s="268"/>
      <c r="D207" s="269"/>
      <c r="E207" s="74">
        <f>SUM(E168:E206)</f>
        <v>9381</v>
      </c>
      <c r="F207" s="74">
        <f t="shared" ref="F207:BD207" si="6">SUM(F168:F206)</f>
        <v>8</v>
      </c>
      <c r="G207" s="74">
        <f t="shared" si="6"/>
        <v>426291</v>
      </c>
      <c r="H207" s="74">
        <f t="shared" si="6"/>
        <v>147698.36999999997</v>
      </c>
      <c r="I207" s="74">
        <f t="shared" si="6"/>
        <v>9404</v>
      </c>
      <c r="J207" s="74">
        <f t="shared" si="6"/>
        <v>29</v>
      </c>
      <c r="K207" s="74">
        <f t="shared" si="6"/>
        <v>457276</v>
      </c>
      <c r="L207" s="74">
        <f t="shared" si="6"/>
        <v>148463.78999999998</v>
      </c>
      <c r="M207" s="74">
        <f t="shared" si="6"/>
        <v>9346</v>
      </c>
      <c r="N207" s="74">
        <f t="shared" si="6"/>
        <v>14</v>
      </c>
      <c r="O207" s="74">
        <f t="shared" si="6"/>
        <v>524737</v>
      </c>
      <c r="P207" s="74">
        <f t="shared" si="6"/>
        <v>149363.54</v>
      </c>
      <c r="Q207" s="74">
        <f t="shared" si="6"/>
        <v>9395</v>
      </c>
      <c r="R207" s="74">
        <f t="shared" si="6"/>
        <v>16</v>
      </c>
      <c r="S207" s="74">
        <f t="shared" si="6"/>
        <v>546093</v>
      </c>
      <c r="T207" s="74">
        <f t="shared" si="6"/>
        <v>150293.19</v>
      </c>
      <c r="U207" s="74">
        <f t="shared" si="6"/>
        <v>9403</v>
      </c>
      <c r="V207" s="74">
        <f t="shared" si="6"/>
        <v>26</v>
      </c>
      <c r="W207" s="74">
        <f t="shared" si="6"/>
        <v>592387</v>
      </c>
      <c r="X207" s="74">
        <f t="shared" si="6"/>
        <v>138606.19</v>
      </c>
      <c r="Y207" s="74">
        <f t="shared" si="6"/>
        <v>9443</v>
      </c>
      <c r="Z207" s="74">
        <f t="shared" si="6"/>
        <v>81</v>
      </c>
      <c r="AA207" s="74">
        <f t="shared" si="6"/>
        <v>677910</v>
      </c>
      <c r="AB207" s="74">
        <f t="shared" si="6"/>
        <v>154716.01999999996</v>
      </c>
      <c r="AC207" s="74">
        <f t="shared" si="6"/>
        <v>9395</v>
      </c>
      <c r="AD207" s="74">
        <f t="shared" si="6"/>
        <v>15</v>
      </c>
      <c r="AE207" s="74">
        <f t="shared" si="6"/>
        <v>689303</v>
      </c>
      <c r="AF207" s="74">
        <f t="shared" si="6"/>
        <v>150907.84999999998</v>
      </c>
      <c r="AG207" s="74">
        <f t="shared" si="6"/>
        <v>9389</v>
      </c>
      <c r="AH207" s="74">
        <f t="shared" si="6"/>
        <v>24</v>
      </c>
      <c r="AI207" s="74">
        <f t="shared" si="6"/>
        <v>603727</v>
      </c>
      <c r="AJ207" s="74">
        <f t="shared" si="6"/>
        <v>155226.88</v>
      </c>
      <c r="AK207" s="74">
        <f t="shared" si="6"/>
        <v>9490</v>
      </c>
      <c r="AL207" s="74">
        <f t="shared" si="6"/>
        <v>15</v>
      </c>
      <c r="AM207" s="74">
        <f t="shared" si="6"/>
        <v>551994</v>
      </c>
      <c r="AN207" s="74">
        <f t="shared" si="6"/>
        <v>172419.98999999996</v>
      </c>
      <c r="AO207" s="74">
        <f t="shared" si="6"/>
        <v>9379</v>
      </c>
      <c r="AP207" s="74">
        <f t="shared" si="6"/>
        <v>23</v>
      </c>
      <c r="AQ207" s="74">
        <f t="shared" si="6"/>
        <v>526888</v>
      </c>
      <c r="AR207" s="74">
        <f t="shared" si="6"/>
        <v>146150.96</v>
      </c>
      <c r="AS207" s="74">
        <f t="shared" si="6"/>
        <v>9467</v>
      </c>
      <c r="AT207" s="74">
        <f t="shared" si="6"/>
        <v>16</v>
      </c>
      <c r="AU207" s="74">
        <f t="shared" si="6"/>
        <v>467222</v>
      </c>
      <c r="AV207" s="74">
        <f t="shared" si="6"/>
        <v>169334.03999999998</v>
      </c>
      <c r="AW207" s="74">
        <f t="shared" si="6"/>
        <v>9440</v>
      </c>
      <c r="AX207" s="74">
        <f t="shared" si="6"/>
        <v>13</v>
      </c>
      <c r="AY207" s="74">
        <f t="shared" si="6"/>
        <v>451659</v>
      </c>
      <c r="AZ207" s="74">
        <f t="shared" si="6"/>
        <v>156284.95000000001</v>
      </c>
      <c r="BA207" s="74">
        <f t="shared" si="6"/>
        <v>112932</v>
      </c>
      <c r="BB207" s="74">
        <f t="shared" si="6"/>
        <v>280</v>
      </c>
      <c r="BC207" s="74">
        <f t="shared" si="6"/>
        <v>6515487</v>
      </c>
      <c r="BD207" s="74">
        <f t="shared" si="6"/>
        <v>1839465.7699999998</v>
      </c>
    </row>
    <row r="208" spans="1:56" ht="15" thickBot="1" x14ac:dyDescent="0.35">
      <c r="A208" s="267" t="s">
        <v>163</v>
      </c>
      <c r="B208" s="268"/>
      <c r="C208" s="268"/>
      <c r="D208" s="269"/>
      <c r="E208" s="74">
        <f>+E91+E167+E207</f>
        <v>271746</v>
      </c>
      <c r="F208" s="74">
        <f>+F91+F167+F207</f>
        <v>37746</v>
      </c>
      <c r="G208" s="74">
        <f t="shared" ref="G208:BD208" si="7">+G91+G167+G207</f>
        <v>15277216</v>
      </c>
      <c r="H208" s="74">
        <f t="shared" si="7"/>
        <v>4638065.79</v>
      </c>
      <c r="I208" s="74">
        <f t="shared" si="7"/>
        <v>267313</v>
      </c>
      <c r="J208" s="74">
        <f t="shared" si="7"/>
        <v>56353</v>
      </c>
      <c r="K208" s="74">
        <f t="shared" si="7"/>
        <v>15902335</v>
      </c>
      <c r="L208" s="74">
        <f t="shared" si="7"/>
        <v>4535642.0200000014</v>
      </c>
      <c r="M208" s="74">
        <f t="shared" si="7"/>
        <v>269979</v>
      </c>
      <c r="N208" s="74">
        <f t="shared" si="7"/>
        <v>36581</v>
      </c>
      <c r="O208" s="74">
        <f t="shared" si="7"/>
        <v>18853871</v>
      </c>
      <c r="P208" s="74">
        <f t="shared" si="7"/>
        <v>4661394.0599999987</v>
      </c>
      <c r="Q208" s="74">
        <f t="shared" si="7"/>
        <v>270942</v>
      </c>
      <c r="R208" s="74">
        <f t="shared" si="7"/>
        <v>15381</v>
      </c>
      <c r="S208" s="74">
        <f t="shared" si="7"/>
        <v>19438061</v>
      </c>
      <c r="T208" s="74">
        <f t="shared" si="7"/>
        <v>4656766.54</v>
      </c>
      <c r="U208" s="74">
        <f t="shared" si="7"/>
        <v>255812</v>
      </c>
      <c r="V208" s="74">
        <f t="shared" si="7"/>
        <v>14694</v>
      </c>
      <c r="W208" s="74">
        <f t="shared" si="7"/>
        <v>20175876</v>
      </c>
      <c r="X208" s="74">
        <f t="shared" si="7"/>
        <v>4400232.5599999996</v>
      </c>
      <c r="Y208" s="74">
        <f t="shared" si="7"/>
        <v>273521</v>
      </c>
      <c r="Z208" s="74">
        <f t="shared" si="7"/>
        <v>40427</v>
      </c>
      <c r="AA208" s="74">
        <f t="shared" si="7"/>
        <v>24490240</v>
      </c>
      <c r="AB208" s="74">
        <f t="shared" si="7"/>
        <v>4632392.2499999991</v>
      </c>
      <c r="AC208" s="74">
        <f t="shared" si="7"/>
        <v>274818</v>
      </c>
      <c r="AD208" s="74">
        <f t="shared" si="7"/>
        <v>49136</v>
      </c>
      <c r="AE208" s="74">
        <f t="shared" si="7"/>
        <v>24322484</v>
      </c>
      <c r="AF208" s="74">
        <f t="shared" si="7"/>
        <v>4731592.9499999993</v>
      </c>
      <c r="AG208" s="74">
        <f t="shared" si="7"/>
        <v>271143</v>
      </c>
      <c r="AH208" s="74">
        <f t="shared" si="7"/>
        <v>15193</v>
      </c>
      <c r="AI208" s="74">
        <f t="shared" si="7"/>
        <v>21997755</v>
      </c>
      <c r="AJ208" s="74">
        <f t="shared" si="7"/>
        <v>4843506.5599999996</v>
      </c>
      <c r="AK208" s="74">
        <f t="shared" si="7"/>
        <v>272771</v>
      </c>
      <c r="AL208" s="74">
        <f t="shared" si="7"/>
        <v>24482</v>
      </c>
      <c r="AM208" s="74">
        <f t="shared" si="7"/>
        <v>19676408</v>
      </c>
      <c r="AN208" s="74">
        <f t="shared" si="7"/>
        <v>4952525.7100000009</v>
      </c>
      <c r="AO208" s="74">
        <f t="shared" si="7"/>
        <v>270598</v>
      </c>
      <c r="AP208" s="74">
        <f t="shared" si="7"/>
        <v>40514</v>
      </c>
      <c r="AQ208" s="74">
        <f t="shared" si="7"/>
        <v>18714515</v>
      </c>
      <c r="AR208" s="74">
        <f t="shared" si="7"/>
        <v>4739792.1500000004</v>
      </c>
      <c r="AS208" s="74">
        <f t="shared" si="7"/>
        <v>270847</v>
      </c>
      <c r="AT208" s="74">
        <f t="shared" si="7"/>
        <v>21486</v>
      </c>
      <c r="AU208" s="74">
        <f t="shared" si="7"/>
        <v>16460308</v>
      </c>
      <c r="AV208" s="74">
        <f t="shared" si="7"/>
        <v>4690100.7399999993</v>
      </c>
      <c r="AW208" s="74">
        <f t="shared" si="7"/>
        <v>270340</v>
      </c>
      <c r="AX208" s="74">
        <f t="shared" si="7"/>
        <v>33157</v>
      </c>
      <c r="AY208" s="74">
        <f t="shared" si="7"/>
        <v>16178906</v>
      </c>
      <c r="AZ208" s="74">
        <f t="shared" si="7"/>
        <v>4695159.7300000014</v>
      </c>
      <c r="BA208" s="74">
        <f t="shared" si="7"/>
        <v>3239830</v>
      </c>
      <c r="BB208" s="74">
        <f t="shared" si="7"/>
        <v>385150</v>
      </c>
      <c r="BC208" s="74">
        <f t="shared" si="7"/>
        <v>231487975</v>
      </c>
      <c r="BD208" s="74">
        <f t="shared" si="7"/>
        <v>56177171.060000002</v>
      </c>
    </row>
    <row r="209" spans="1:61" s="103" customFormat="1" x14ac:dyDescent="0.3">
      <c r="A209" s="100"/>
      <c r="B209" s="100"/>
      <c r="C209" s="100"/>
      <c r="D209" s="100"/>
      <c r="E209" s="101"/>
      <c r="F209" s="101"/>
      <c r="G209" s="102"/>
      <c r="H209" s="102"/>
      <c r="I209" s="101"/>
      <c r="J209" s="101"/>
      <c r="K209" s="102"/>
      <c r="L209" s="102"/>
      <c r="M209" s="101"/>
      <c r="N209" s="101"/>
      <c r="O209" s="102"/>
      <c r="P209" s="102"/>
      <c r="Q209" s="101"/>
      <c r="R209" s="101"/>
      <c r="S209" s="102"/>
      <c r="T209" s="102"/>
      <c r="U209" s="101"/>
      <c r="V209" s="101"/>
      <c r="W209" s="102"/>
      <c r="X209" s="102"/>
      <c r="Y209" s="101"/>
      <c r="Z209" s="101"/>
      <c r="AA209" s="102"/>
      <c r="AB209" s="102"/>
      <c r="AC209" s="101"/>
      <c r="AD209" s="101"/>
      <c r="AE209" s="102"/>
      <c r="AF209" s="102"/>
      <c r="AG209" s="101"/>
      <c r="AH209" s="101"/>
      <c r="AI209" s="102"/>
      <c r="AJ209" s="102"/>
      <c r="AK209" s="101"/>
      <c r="AL209" s="101"/>
      <c r="AM209" s="102"/>
      <c r="AN209" s="102"/>
      <c r="AO209" s="101"/>
      <c r="AP209" s="101"/>
      <c r="AQ209" s="102"/>
      <c r="AR209" s="102"/>
      <c r="AS209" s="101"/>
      <c r="AT209" s="101"/>
      <c r="AU209" s="102"/>
      <c r="AV209" s="102"/>
      <c r="AW209" s="101"/>
      <c r="AX209" s="101"/>
      <c r="AY209" s="102"/>
      <c r="AZ209" s="102"/>
      <c r="BA209" s="101"/>
      <c r="BB209" s="101"/>
      <c r="BC209" s="102"/>
      <c r="BD209" s="102"/>
      <c r="BF209" t="s">
        <v>758</v>
      </c>
      <c r="BG209"/>
    </row>
    <row r="210" spans="1:61" s="103" customFormat="1" x14ac:dyDescent="0.3">
      <c r="A210" s="100"/>
      <c r="B210" s="100"/>
      <c r="C210" s="100"/>
      <c r="D210" s="100"/>
      <c r="E210" s="101"/>
      <c r="F210" s="101"/>
      <c r="G210" s="102"/>
      <c r="H210" s="102"/>
      <c r="I210" s="101"/>
      <c r="J210" s="101"/>
      <c r="K210" s="102"/>
      <c r="L210" s="102"/>
      <c r="M210" s="101"/>
      <c r="N210" s="101"/>
      <c r="O210" s="102"/>
      <c r="P210" s="102"/>
      <c r="Q210" s="101"/>
      <c r="R210" s="101"/>
      <c r="S210" s="102"/>
      <c r="T210" s="102"/>
      <c r="U210" s="101"/>
      <c r="V210" s="101"/>
      <c r="W210" s="102"/>
      <c r="X210" s="102"/>
      <c r="Y210" s="101"/>
      <c r="Z210" s="101"/>
      <c r="AA210" s="102"/>
      <c r="AB210" s="102"/>
      <c r="AC210" s="101"/>
      <c r="AD210" s="101"/>
      <c r="AE210" s="102"/>
      <c r="AF210" s="102"/>
      <c r="AG210" s="101"/>
      <c r="AH210" s="101"/>
      <c r="AI210" s="102"/>
      <c r="AJ210" s="102"/>
      <c r="AK210" s="101"/>
      <c r="AL210" s="101"/>
      <c r="AM210" s="102"/>
      <c r="AN210" s="102"/>
      <c r="AO210" s="101"/>
      <c r="AP210" s="101"/>
      <c r="AQ210" s="102"/>
      <c r="AR210" s="102"/>
      <c r="AS210" s="101"/>
      <c r="AT210" s="101"/>
      <c r="AU210" s="102"/>
      <c r="AV210" s="102"/>
      <c r="AW210" s="101"/>
      <c r="AX210" s="101"/>
      <c r="AY210" s="102"/>
      <c r="AZ210" s="102"/>
      <c r="BA210" s="101"/>
      <c r="BB210" s="177" t="s">
        <v>816</v>
      </c>
      <c r="BC210" s="178">
        <f>SUBTOTAL(9,BC18:BC206)</f>
        <v>456460463</v>
      </c>
      <c r="BD210" s="102"/>
      <c r="BF210" s="133">
        <f>+BC208/AW208</f>
        <v>856.28458607679215</v>
      </c>
      <c r="BG210" t="s">
        <v>754</v>
      </c>
    </row>
    <row r="211" spans="1:61" s="103" customFormat="1" x14ac:dyDescent="0.3">
      <c r="A211" s="100"/>
      <c r="B211" s="100"/>
      <c r="C211" s="100"/>
      <c r="D211" s="100"/>
      <c r="E211" s="101"/>
      <c r="F211" s="101"/>
      <c r="G211" s="102"/>
      <c r="H211" s="102"/>
      <c r="I211" s="101"/>
      <c r="J211" s="101"/>
      <c r="K211" s="102"/>
      <c r="L211" s="102"/>
      <c r="M211" s="101"/>
      <c r="N211" s="101"/>
      <c r="O211" s="102"/>
      <c r="P211" s="102"/>
      <c r="Q211" s="101"/>
      <c r="R211" s="101"/>
      <c r="S211" s="102"/>
      <c r="T211" s="102"/>
      <c r="U211" s="101"/>
      <c r="V211" s="101"/>
      <c r="W211" s="102"/>
      <c r="X211" s="102"/>
      <c r="Y211" s="101"/>
      <c r="Z211" s="101"/>
      <c r="AA211" s="102"/>
      <c r="AB211" s="102"/>
      <c r="AC211" s="101"/>
      <c r="AD211" s="101"/>
      <c r="AE211" s="102"/>
      <c r="AF211" s="102"/>
      <c r="AG211" s="101"/>
      <c r="AH211" s="101"/>
      <c r="AI211" s="102"/>
      <c r="AJ211" s="102"/>
      <c r="AK211" s="101"/>
      <c r="AL211" s="101"/>
      <c r="AM211" s="102"/>
      <c r="AN211" s="102"/>
      <c r="AO211" s="101"/>
      <c r="AP211" s="101"/>
      <c r="AQ211" s="102"/>
      <c r="AR211" s="102"/>
      <c r="AS211" s="101"/>
      <c r="AT211" s="101"/>
      <c r="AU211" s="102"/>
      <c r="AV211" s="102"/>
      <c r="AW211" s="101"/>
      <c r="AX211" s="101"/>
      <c r="AY211" s="102"/>
      <c r="AZ211" s="102"/>
      <c r="BA211" s="101"/>
      <c r="BB211" s="101"/>
      <c r="BC211" s="102"/>
      <c r="BD211" s="102"/>
      <c r="BF211" s="133">
        <v>4000</v>
      </c>
      <c r="BG211" s="103" t="s">
        <v>759</v>
      </c>
    </row>
    <row r="212" spans="1:61" ht="16.2" x14ac:dyDescent="0.45">
      <c r="AZ212" t="s">
        <v>564</v>
      </c>
      <c r="BA212" s="96" t="s">
        <v>569</v>
      </c>
      <c r="BB212" s="96" t="s">
        <v>568</v>
      </c>
      <c r="BC212" s="96" t="s">
        <v>570</v>
      </c>
      <c r="BF212" s="89">
        <f>+BF211*0.2898</f>
        <v>1159.2</v>
      </c>
      <c r="BG212" t="s">
        <v>755</v>
      </c>
    </row>
    <row r="213" spans="1:61" x14ac:dyDescent="0.3">
      <c r="AZ213" t="s">
        <v>560</v>
      </c>
      <c r="BA213" s="92">
        <v>7.3279999999999998E-2</v>
      </c>
      <c r="BB213" s="91">
        <f>+BC91</f>
        <v>123163431</v>
      </c>
      <c r="BC213" s="90">
        <f>+BA213*BB213</f>
        <v>9025416.2236799989</v>
      </c>
      <c r="BF213" s="89">
        <f>+BF211*0.06</f>
        <v>240</v>
      </c>
      <c r="BG213" t="s">
        <v>756</v>
      </c>
    </row>
    <row r="214" spans="1:61" x14ac:dyDescent="0.3">
      <c r="AZ214" t="s">
        <v>561</v>
      </c>
      <c r="BA214" s="92">
        <v>6.9339999999999999E-2</v>
      </c>
      <c r="BB214" s="91">
        <f>+BC167</f>
        <v>101809057</v>
      </c>
      <c r="BC214" s="90">
        <f>+BA214*BB214</f>
        <v>7059440.0123800002</v>
      </c>
      <c r="BF214" s="89">
        <f>+BF211*1.18</f>
        <v>4720</v>
      </c>
      <c r="BG214" t="s">
        <v>757</v>
      </c>
    </row>
    <row r="215" spans="1:61" x14ac:dyDescent="0.3">
      <c r="AZ215" t="s">
        <v>562</v>
      </c>
      <c r="BA215" s="92">
        <v>7.3279999999999998E-2</v>
      </c>
      <c r="BB215" s="91">
        <f>+BC207</f>
        <v>6515487</v>
      </c>
      <c r="BC215" s="90">
        <f>+BA215*BB215</f>
        <v>477454.88735999999</v>
      </c>
    </row>
    <row r="216" spans="1:61" x14ac:dyDescent="0.3">
      <c r="AZ216" t="s">
        <v>564</v>
      </c>
      <c r="BB216" s="183">
        <f>SUM(BB213:BB215)</f>
        <v>231487975</v>
      </c>
      <c r="BC216" s="93">
        <f>SUM(BC213:BC215)</f>
        <v>16562311.123419998</v>
      </c>
    </row>
    <row r="217" spans="1:61" x14ac:dyDescent="0.3">
      <c r="AZ217" t="s">
        <v>563</v>
      </c>
      <c r="BF217" t="s">
        <v>831</v>
      </c>
      <c r="BI217" s="90">
        <f>(+BD208/AW208)/12</f>
        <v>17.316826668886094</v>
      </c>
    </row>
    <row r="218" spans="1:61" x14ac:dyDescent="0.3">
      <c r="BF218" t="s">
        <v>1076</v>
      </c>
      <c r="BI218" s="221">
        <f>AVERAGE('Rate Code Detail'!R2:R184)</f>
        <v>21.026775956284155</v>
      </c>
    </row>
    <row r="220" spans="1:61" x14ac:dyDescent="0.3">
      <c r="AY220" t="s">
        <v>788</v>
      </c>
      <c r="AZ220" t="s">
        <v>814</v>
      </c>
      <c r="BB220" s="118">
        <f>+BB225</f>
        <v>32979327</v>
      </c>
    </row>
    <row r="221" spans="1:61" x14ac:dyDescent="0.3">
      <c r="AZ221" t="s">
        <v>619</v>
      </c>
      <c r="BB221" s="118">
        <v>497864</v>
      </c>
    </row>
    <row r="222" spans="1:61" x14ac:dyDescent="0.3">
      <c r="AZ222" t="s">
        <v>815</v>
      </c>
      <c r="BB222" s="118">
        <f>+BB226</f>
        <v>8989877</v>
      </c>
    </row>
    <row r="223" spans="1:61" x14ac:dyDescent="0.3">
      <c r="BB223" s="179">
        <f>SUBTOTAL(9,BB220:BB222)</f>
        <v>42467068</v>
      </c>
    </row>
    <row r="225" spans="51:54" x14ac:dyDescent="0.3">
      <c r="AY225" t="s">
        <v>789</v>
      </c>
      <c r="AZ225" t="s">
        <v>814</v>
      </c>
      <c r="BB225" s="118">
        <f>32937071+42256</f>
        <v>32979327</v>
      </c>
    </row>
    <row r="226" spans="51:54" x14ac:dyDescent="0.3">
      <c r="AZ226" t="s">
        <v>815</v>
      </c>
      <c r="BB226" s="118">
        <v>8989877</v>
      </c>
    </row>
    <row r="227" spans="51:54" x14ac:dyDescent="0.3">
      <c r="BB227" s="179">
        <f>SUBTOTAL(9,BB225:BB226)</f>
        <v>41969204</v>
      </c>
    </row>
    <row r="228" spans="51:54" x14ac:dyDescent="0.3">
      <c r="BB228" s="118"/>
    </row>
    <row r="229" spans="51:54" x14ac:dyDescent="0.3">
      <c r="AY229" t="s">
        <v>790</v>
      </c>
      <c r="AZ229" t="s">
        <v>817</v>
      </c>
      <c r="BB229" s="118">
        <v>23657736</v>
      </c>
    </row>
    <row r="230" spans="51:54" x14ac:dyDescent="0.3">
      <c r="AZ230" t="s">
        <v>619</v>
      </c>
      <c r="BB230" s="118">
        <f>+BB221</f>
        <v>497864</v>
      </c>
    </row>
    <row r="231" spans="51:54" x14ac:dyDescent="0.3">
      <c r="AZ231" t="s">
        <v>806</v>
      </c>
      <c r="BB231" s="118">
        <v>12691369</v>
      </c>
    </row>
    <row r="232" spans="51:54" x14ac:dyDescent="0.3">
      <c r="AZ232" t="s">
        <v>807</v>
      </c>
      <c r="BB232" s="118">
        <f>+BB222</f>
        <v>8989877</v>
      </c>
    </row>
    <row r="233" spans="51:54" x14ac:dyDescent="0.3">
      <c r="AZ233" t="s">
        <v>618</v>
      </c>
      <c r="BB233" s="118">
        <f>+BB220</f>
        <v>32979327</v>
      </c>
    </row>
    <row r="234" spans="51:54" x14ac:dyDescent="0.3">
      <c r="BB234" s="179">
        <f>SUBTOTAL(9,BB229:BB233)</f>
        <v>78816173</v>
      </c>
    </row>
    <row r="235" spans="51:54" x14ac:dyDescent="0.3">
      <c r="BB235" s="118"/>
    </row>
    <row r="236" spans="51:54" x14ac:dyDescent="0.3">
      <c r="BB236" s="118"/>
    </row>
  </sheetData>
  <autoFilter ref="A18:BD217"/>
  <mergeCells count="6">
    <mergeCell ref="A208:D208"/>
    <mergeCell ref="A9:B9"/>
    <mergeCell ref="A16:B17"/>
    <mergeCell ref="B91:D91"/>
    <mergeCell ref="B167:D167"/>
    <mergeCell ref="B207:D207"/>
  </mergeCells>
  <pageMargins left="0.7" right="0.7" top="0.75" bottom="0.75" header="0.3" footer="0.3"/>
  <pageSetup scale="54" orientation="portrait" r:id="rId1"/>
  <headerFooter>
    <oddHeader>&amp;R&amp;"times,Bold"&amp;12Attachment to Response to LFUCG-2 Question No. 4 - Att  7
&amp;P of &amp;N
Malloy</oddHeader>
  </headerFooter>
  <rowBreaks count="1" manualBreakCount="1">
    <brk id="208" max="16383" man="1"/>
  </rowBreaks>
  <colBreaks count="1" manualBreakCount="1">
    <brk id="5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8"/>
  <sheetViews>
    <sheetView zoomScaleNormal="100" workbookViewId="0">
      <selection activeCell="C38" sqref="C38"/>
    </sheetView>
  </sheetViews>
  <sheetFormatPr defaultRowHeight="14.4" x14ac:dyDescent="0.3"/>
  <cols>
    <col min="1" max="1" width="18.33203125" bestFit="1" customWidth="1"/>
    <col min="2" max="2" width="7.33203125" customWidth="1"/>
    <col min="3" max="4" width="20.5546875" customWidth="1"/>
    <col min="5" max="8" width="20.5546875" bestFit="1" customWidth="1"/>
    <col min="9" max="9" width="20.5546875" customWidth="1"/>
    <col min="10" max="13" width="11.33203125" customWidth="1"/>
    <col min="14" max="14" width="16.109375" customWidth="1"/>
    <col min="15" max="15" width="13.88671875" customWidth="1"/>
    <col min="16" max="16" width="32" customWidth="1"/>
    <col min="17" max="17" width="8.44140625" customWidth="1"/>
    <col min="18" max="18" width="10.6640625" customWidth="1"/>
    <col min="19" max="19" width="9.109375" customWidth="1"/>
    <col min="20" max="20" width="7.5546875" customWidth="1"/>
    <col min="21" max="21" width="12.88671875" customWidth="1"/>
    <col min="22" max="22" width="11.5546875" customWidth="1"/>
    <col min="23" max="23" width="8.88671875" customWidth="1"/>
    <col min="24" max="24" width="9" customWidth="1"/>
    <col min="25" max="25" width="22.33203125" customWidth="1"/>
    <col min="26" max="26" width="9.6640625" customWidth="1"/>
    <col min="27" max="27" width="25.6640625" customWidth="1"/>
    <col min="28" max="28" width="14.5546875" customWidth="1"/>
    <col min="29" max="29" width="9.5546875" customWidth="1"/>
    <col min="30" max="30" width="17.88671875" customWidth="1"/>
    <col min="31" max="31" width="16.109375" customWidth="1"/>
    <col min="32" max="32" width="22.44140625" customWidth="1"/>
    <col min="33" max="33" width="11.109375" customWidth="1"/>
    <col min="34" max="34" width="19.109375" customWidth="1"/>
    <col min="35" max="35" width="10.6640625" customWidth="1"/>
    <col min="36" max="36" width="12.88671875" customWidth="1"/>
    <col min="37" max="37" width="11.5546875" customWidth="1"/>
    <col min="38" max="38" width="8.88671875" customWidth="1"/>
    <col min="39" max="39" width="19.33203125" customWidth="1"/>
    <col min="40" max="40" width="14.33203125" customWidth="1"/>
    <col min="41" max="41" width="10.6640625" customWidth="1"/>
    <col min="42" max="42" width="17.5546875" customWidth="1"/>
    <col min="43" max="43" width="14.6640625" customWidth="1"/>
    <col min="44" max="44" width="15.88671875" customWidth="1"/>
    <col min="45" max="46" width="34.44140625" customWidth="1"/>
    <col min="47" max="47" width="9.88671875" customWidth="1"/>
    <col min="48" max="48" width="11.33203125" customWidth="1"/>
    <col min="49" max="49" width="20.5546875" bestFit="1" customWidth="1"/>
    <col min="50" max="50" width="14.33203125" bestFit="1" customWidth="1"/>
    <col min="51" max="51" width="18" bestFit="1" customWidth="1"/>
    <col min="52" max="52" width="20.5546875" bestFit="1" customWidth="1"/>
    <col min="53" max="53" width="14.33203125" bestFit="1" customWidth="1"/>
    <col min="54" max="54" width="16.5546875" bestFit="1" customWidth="1"/>
    <col min="55" max="55" width="20.5546875" bestFit="1" customWidth="1"/>
    <col min="56" max="56" width="14.33203125" bestFit="1" customWidth="1"/>
    <col min="57" max="57" width="13.88671875" bestFit="1" customWidth="1"/>
    <col min="58" max="58" width="12.6640625" bestFit="1" customWidth="1"/>
    <col min="59" max="59" width="14.5546875" bestFit="1" customWidth="1"/>
    <col min="60" max="60" width="20.5546875" bestFit="1" customWidth="1"/>
    <col min="61" max="61" width="14" bestFit="1" customWidth="1"/>
    <col min="62" max="62" width="24.109375" bestFit="1" customWidth="1"/>
    <col min="63" max="63" width="27.33203125" bestFit="1" customWidth="1"/>
    <col min="64" max="64" width="35.6640625" bestFit="1" customWidth="1"/>
    <col min="65" max="65" width="38.88671875" bestFit="1" customWidth="1"/>
    <col min="66" max="66" width="33.33203125" bestFit="1" customWidth="1"/>
    <col min="67" max="67" width="36.44140625" bestFit="1" customWidth="1"/>
    <col min="68" max="68" width="36.33203125" bestFit="1" customWidth="1"/>
    <col min="69" max="69" width="39.44140625" bestFit="1" customWidth="1"/>
    <col min="70" max="70" width="36.33203125" bestFit="1" customWidth="1"/>
    <col min="71" max="71" width="39.44140625" bestFit="1" customWidth="1"/>
    <col min="72" max="72" width="20.5546875" bestFit="1" customWidth="1"/>
    <col min="73" max="73" width="14.6640625" bestFit="1" customWidth="1"/>
    <col min="74" max="74" width="11.33203125" bestFit="1" customWidth="1"/>
  </cols>
  <sheetData>
    <row r="1" spans="1:10" x14ac:dyDescent="0.3">
      <c r="A1" t="s">
        <v>676</v>
      </c>
    </row>
    <row r="2" spans="1:10" x14ac:dyDescent="0.3">
      <c r="A2" t="s">
        <v>675</v>
      </c>
    </row>
    <row r="3" spans="1:10" x14ac:dyDescent="0.3">
      <c r="A3" t="s">
        <v>674</v>
      </c>
    </row>
    <row r="4" spans="1:10" x14ac:dyDescent="0.3">
      <c r="A4" s="116" t="s">
        <v>659</v>
      </c>
      <c r="C4" s="116" t="s">
        <v>586</v>
      </c>
    </row>
    <row r="5" spans="1:10" x14ac:dyDescent="0.3">
      <c r="A5" s="116" t="s">
        <v>158</v>
      </c>
      <c r="B5" s="116" t="s">
        <v>584</v>
      </c>
      <c r="C5" t="s">
        <v>645</v>
      </c>
      <c r="D5" t="s">
        <v>656</v>
      </c>
      <c r="E5" t="s">
        <v>619</v>
      </c>
      <c r="F5" t="s">
        <v>618</v>
      </c>
      <c r="G5" t="s">
        <v>608</v>
      </c>
      <c r="H5" t="s">
        <v>639</v>
      </c>
      <c r="I5" t="s">
        <v>1031</v>
      </c>
      <c r="J5" t="s">
        <v>657</v>
      </c>
    </row>
    <row r="6" spans="1:10" x14ac:dyDescent="0.3">
      <c r="A6" t="s">
        <v>13</v>
      </c>
      <c r="B6" t="s">
        <v>575</v>
      </c>
      <c r="C6" s="117"/>
      <c r="D6" s="117">
        <v>30</v>
      </c>
      <c r="E6" s="117"/>
      <c r="F6" s="117"/>
      <c r="G6" s="117">
        <v>6</v>
      </c>
      <c r="H6" s="117"/>
      <c r="I6" s="117">
        <v>3</v>
      </c>
      <c r="J6" s="117">
        <v>39</v>
      </c>
    </row>
    <row r="7" spans="1:10" x14ac:dyDescent="0.3">
      <c r="B7" t="s">
        <v>576</v>
      </c>
      <c r="C7" s="117"/>
      <c r="D7" s="117">
        <v>10</v>
      </c>
      <c r="E7" s="117">
        <v>5</v>
      </c>
      <c r="F7" s="117">
        <v>7</v>
      </c>
      <c r="G7" s="117">
        <v>4</v>
      </c>
      <c r="H7" s="117"/>
      <c r="I7" s="117">
        <v>2</v>
      </c>
      <c r="J7" s="117">
        <v>28</v>
      </c>
    </row>
    <row r="8" spans="1:10" x14ac:dyDescent="0.3">
      <c r="A8" t="s">
        <v>665</v>
      </c>
      <c r="C8" s="117"/>
      <c r="D8" s="117">
        <v>40</v>
      </c>
      <c r="E8" s="117">
        <v>5</v>
      </c>
      <c r="F8" s="117">
        <v>7</v>
      </c>
      <c r="G8" s="117">
        <v>10</v>
      </c>
      <c r="H8" s="117"/>
      <c r="I8" s="117">
        <v>5</v>
      </c>
      <c r="J8" s="117">
        <v>67</v>
      </c>
    </row>
    <row r="9" spans="1:10" x14ac:dyDescent="0.3">
      <c r="A9" t="s">
        <v>652</v>
      </c>
      <c r="B9" t="s">
        <v>625</v>
      </c>
      <c r="C9" s="117"/>
      <c r="D9" s="117">
        <v>18</v>
      </c>
      <c r="E9" s="117"/>
      <c r="F9" s="117">
        <v>1</v>
      </c>
      <c r="G9" s="117"/>
      <c r="H9" s="117"/>
      <c r="I9" s="117"/>
      <c r="J9" s="117">
        <v>19</v>
      </c>
    </row>
    <row r="10" spans="1:10" x14ac:dyDescent="0.3">
      <c r="A10" t="s">
        <v>667</v>
      </c>
      <c r="C10" s="117"/>
      <c r="D10" s="117">
        <v>18</v>
      </c>
      <c r="E10" s="117"/>
      <c r="F10" s="117">
        <v>1</v>
      </c>
      <c r="G10" s="117"/>
      <c r="H10" s="117"/>
      <c r="I10" s="117"/>
      <c r="J10" s="117">
        <v>19</v>
      </c>
    </row>
    <row r="11" spans="1:10" x14ac:dyDescent="0.3">
      <c r="A11" t="s">
        <v>630</v>
      </c>
      <c r="B11" t="s">
        <v>575</v>
      </c>
      <c r="C11" s="117"/>
      <c r="D11" s="117">
        <v>28</v>
      </c>
      <c r="E11" s="117"/>
      <c r="F11" s="117"/>
      <c r="G11" s="117">
        <v>6</v>
      </c>
      <c r="H11" s="117"/>
      <c r="I11" s="117">
        <v>3</v>
      </c>
      <c r="J11" s="117">
        <v>37</v>
      </c>
    </row>
    <row r="12" spans="1:10" x14ac:dyDescent="0.3">
      <c r="B12" t="s">
        <v>576</v>
      </c>
      <c r="C12" s="117">
        <v>2</v>
      </c>
      <c r="D12" s="117">
        <v>18</v>
      </c>
      <c r="E12" s="117">
        <v>2</v>
      </c>
      <c r="F12" s="117">
        <v>13</v>
      </c>
      <c r="G12" s="117">
        <v>3</v>
      </c>
      <c r="H12" s="117">
        <v>4</v>
      </c>
      <c r="I12" s="117">
        <v>1</v>
      </c>
      <c r="J12" s="117">
        <v>43</v>
      </c>
    </row>
    <row r="13" spans="1:10" x14ac:dyDescent="0.3">
      <c r="A13" t="s">
        <v>668</v>
      </c>
      <c r="C13" s="117">
        <v>2</v>
      </c>
      <c r="D13" s="117">
        <v>46</v>
      </c>
      <c r="E13" s="117">
        <v>2</v>
      </c>
      <c r="F13" s="117">
        <v>13</v>
      </c>
      <c r="G13" s="117">
        <v>9</v>
      </c>
      <c r="H13" s="117">
        <v>4</v>
      </c>
      <c r="I13" s="117">
        <v>4</v>
      </c>
      <c r="J13" s="117">
        <v>80</v>
      </c>
    </row>
    <row r="14" spans="1:10" x14ac:dyDescent="0.3">
      <c r="A14" t="s">
        <v>153</v>
      </c>
      <c r="B14" t="s">
        <v>625</v>
      </c>
      <c r="C14" s="117"/>
      <c r="D14" s="117">
        <v>6</v>
      </c>
      <c r="E14" s="117"/>
      <c r="F14" s="117">
        <v>1</v>
      </c>
      <c r="G14" s="117"/>
      <c r="H14" s="117"/>
      <c r="I14" s="117"/>
      <c r="J14" s="117">
        <v>7</v>
      </c>
    </row>
    <row r="15" spans="1:10" x14ac:dyDescent="0.3">
      <c r="A15" t="s">
        <v>669</v>
      </c>
      <c r="C15" s="117"/>
      <c r="D15" s="117">
        <v>6</v>
      </c>
      <c r="E15" s="117"/>
      <c r="F15" s="117">
        <v>1</v>
      </c>
      <c r="G15" s="117"/>
      <c r="H15" s="117"/>
      <c r="I15" s="117"/>
      <c r="J15" s="117">
        <v>7</v>
      </c>
    </row>
    <row r="16" spans="1:10" x14ac:dyDescent="0.3">
      <c r="A16" t="s">
        <v>658</v>
      </c>
      <c r="B16" t="s">
        <v>625</v>
      </c>
      <c r="C16" s="117"/>
      <c r="D16" s="117">
        <v>8</v>
      </c>
      <c r="E16" s="117"/>
      <c r="F16" s="117">
        <v>2</v>
      </c>
      <c r="G16" s="117"/>
      <c r="H16" s="117"/>
      <c r="I16" s="117"/>
      <c r="J16" s="117">
        <v>10</v>
      </c>
    </row>
    <row r="17" spans="1:10" x14ac:dyDescent="0.3">
      <c r="A17" t="s">
        <v>670</v>
      </c>
      <c r="C17" s="117"/>
      <c r="D17" s="117">
        <v>8</v>
      </c>
      <c r="E17" s="117"/>
      <c r="F17" s="117">
        <v>2</v>
      </c>
      <c r="G17" s="117"/>
      <c r="H17" s="117"/>
      <c r="I17" s="117"/>
      <c r="J17" s="117">
        <v>10</v>
      </c>
    </row>
    <row r="18" spans="1:10" x14ac:dyDescent="0.3">
      <c r="A18" t="s">
        <v>657</v>
      </c>
      <c r="C18" s="117">
        <v>2</v>
      </c>
      <c r="D18" s="117">
        <v>118</v>
      </c>
      <c r="E18" s="117">
        <v>7</v>
      </c>
      <c r="F18" s="117">
        <v>24</v>
      </c>
      <c r="G18" s="117">
        <v>19</v>
      </c>
      <c r="H18" s="117">
        <v>4</v>
      </c>
      <c r="I18" s="117">
        <v>9</v>
      </c>
      <c r="J18" s="117">
        <v>183</v>
      </c>
    </row>
  </sheetData>
  <pageMargins left="0.7" right="0.7" top="0.75" bottom="0.75" header="0.3" footer="0.3"/>
  <pageSetup scale="76" orientation="portrait" r:id="rId2"/>
  <headerFooter>
    <oddHeader>&amp;R&amp;"times,Bold"&amp;12Attachment to Response to LFUCG-2 Question No. 4 - Att  7
&amp;P of &amp;N
Malloy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213"/>
  <sheetViews>
    <sheetView zoomScaleNormal="100" workbookViewId="0">
      <selection activeCell="C38" sqref="C38"/>
    </sheetView>
  </sheetViews>
  <sheetFormatPr defaultRowHeight="14.4" x14ac:dyDescent="0.3"/>
  <cols>
    <col min="1" max="1" width="18.33203125" bestFit="1" customWidth="1"/>
    <col min="2" max="2" width="10.33203125" bestFit="1" customWidth="1"/>
    <col min="3" max="3" width="17.88671875" bestFit="1" customWidth="1"/>
    <col min="4" max="4" width="36.33203125" bestFit="1" customWidth="1"/>
    <col min="5" max="5" width="17.6640625" bestFit="1" customWidth="1"/>
    <col min="6" max="6" width="19.5546875" customWidth="1"/>
    <col min="7" max="9" width="22.109375" style="89" customWidth="1"/>
    <col min="10" max="12" width="22.109375" style="89" bestFit="1" customWidth="1"/>
    <col min="13" max="13" width="22.109375" style="89" customWidth="1"/>
    <col min="14" max="14" width="12.6640625" customWidth="1"/>
    <col min="15" max="18" width="20.5546875" customWidth="1"/>
    <col min="19" max="19" width="23.33203125" customWidth="1"/>
    <col min="20" max="20" width="22" customWidth="1"/>
    <col min="21" max="21" width="12.88671875" customWidth="1"/>
    <col min="22" max="22" width="11.5546875" customWidth="1"/>
    <col min="23" max="23" width="8.88671875" customWidth="1"/>
    <col min="24" max="24" width="9" customWidth="1"/>
    <col min="25" max="25" width="22.33203125" customWidth="1"/>
    <col min="26" max="26" width="9.6640625" customWidth="1"/>
    <col min="27" max="27" width="25.6640625" customWidth="1"/>
    <col min="28" max="28" width="14.5546875" customWidth="1"/>
    <col min="29" max="29" width="9.5546875" customWidth="1"/>
    <col min="30" max="30" width="17.88671875" customWidth="1"/>
    <col min="31" max="31" width="16.109375" customWidth="1"/>
    <col min="32" max="32" width="22.44140625" customWidth="1"/>
    <col min="33" max="33" width="11.109375" customWidth="1"/>
    <col min="34" max="34" width="19.109375" customWidth="1"/>
    <col min="35" max="35" width="10.6640625" customWidth="1"/>
    <col min="36" max="36" width="12.88671875" customWidth="1"/>
    <col min="37" max="37" width="11.5546875" customWidth="1"/>
    <col min="38" max="38" width="8.88671875" customWidth="1"/>
    <col min="39" max="39" width="19.33203125" customWidth="1"/>
    <col min="40" max="40" width="14.33203125" customWidth="1"/>
    <col min="41" max="41" width="10.6640625" customWidth="1"/>
    <col min="42" max="42" width="17.5546875" customWidth="1"/>
    <col min="43" max="43" width="14.6640625" customWidth="1"/>
    <col min="44" max="44" width="15.88671875" customWidth="1"/>
    <col min="45" max="46" width="34.44140625" customWidth="1"/>
    <col min="47" max="47" width="9.88671875" customWidth="1"/>
    <col min="48" max="48" width="11.33203125" customWidth="1"/>
    <col min="49" max="49" width="20.5546875" bestFit="1" customWidth="1"/>
    <col min="50" max="50" width="14.33203125" bestFit="1" customWidth="1"/>
    <col min="51" max="51" width="18" bestFit="1" customWidth="1"/>
    <col min="52" max="52" width="20.5546875" bestFit="1" customWidth="1"/>
    <col min="53" max="53" width="14.33203125" bestFit="1" customWidth="1"/>
    <col min="54" max="54" width="16.5546875" bestFit="1" customWidth="1"/>
    <col min="55" max="55" width="20.5546875" bestFit="1" customWidth="1"/>
    <col min="56" max="56" width="14.33203125" bestFit="1" customWidth="1"/>
    <col min="57" max="57" width="13.88671875" bestFit="1" customWidth="1"/>
    <col min="58" max="58" width="12.6640625" bestFit="1" customWidth="1"/>
    <col min="59" max="59" width="14.5546875" bestFit="1" customWidth="1"/>
    <col min="60" max="60" width="20.5546875" bestFit="1" customWidth="1"/>
    <col min="61" max="61" width="14" bestFit="1" customWidth="1"/>
    <col min="62" max="62" width="24.109375" bestFit="1" customWidth="1"/>
    <col min="63" max="63" width="27.33203125" bestFit="1" customWidth="1"/>
    <col min="64" max="64" width="35.6640625" bestFit="1" customWidth="1"/>
    <col min="65" max="65" width="38.88671875" bestFit="1" customWidth="1"/>
    <col min="66" max="66" width="33.33203125" bestFit="1" customWidth="1"/>
    <col min="67" max="67" width="36.44140625" bestFit="1" customWidth="1"/>
    <col min="68" max="68" width="36.33203125" bestFit="1" customWidth="1"/>
    <col min="69" max="69" width="39.44140625" bestFit="1" customWidth="1"/>
    <col min="70" max="70" width="36.33203125" bestFit="1" customWidth="1"/>
    <col min="71" max="71" width="39.44140625" bestFit="1" customWidth="1"/>
    <col min="72" max="72" width="20.5546875" bestFit="1" customWidth="1"/>
    <col min="73" max="73" width="14.6640625" bestFit="1" customWidth="1"/>
    <col min="74" max="74" width="11.33203125" bestFit="1" customWidth="1"/>
  </cols>
  <sheetData>
    <row r="1" spans="1:14" x14ac:dyDescent="0.3">
      <c r="A1" t="s">
        <v>672</v>
      </c>
    </row>
    <row r="2" spans="1:14" x14ac:dyDescent="0.3">
      <c r="A2" t="s">
        <v>673</v>
      </c>
    </row>
    <row r="3" spans="1:14" x14ac:dyDescent="0.3">
      <c r="A3" t="s">
        <v>674</v>
      </c>
    </row>
    <row r="4" spans="1:14" x14ac:dyDescent="0.3">
      <c r="A4" s="116" t="s">
        <v>671</v>
      </c>
      <c r="G4" s="116" t="s">
        <v>586</v>
      </c>
      <c r="H4"/>
      <c r="I4"/>
      <c r="J4"/>
      <c r="K4"/>
      <c r="L4"/>
      <c r="M4"/>
    </row>
    <row r="5" spans="1:14" x14ac:dyDescent="0.3">
      <c r="A5" s="116" t="s">
        <v>158</v>
      </c>
      <c r="B5" s="116" t="s">
        <v>584</v>
      </c>
      <c r="C5" s="116" t="s">
        <v>585</v>
      </c>
      <c r="D5" s="116" t="s">
        <v>593</v>
      </c>
      <c r="E5" s="116" t="s">
        <v>595</v>
      </c>
      <c r="F5" s="116" t="s">
        <v>594</v>
      </c>
      <c r="G5" s="118" t="s">
        <v>645</v>
      </c>
      <c r="H5" s="118" t="s">
        <v>656</v>
      </c>
      <c r="I5" s="118" t="s">
        <v>619</v>
      </c>
      <c r="J5" s="118" t="s">
        <v>618</v>
      </c>
      <c r="K5" s="118" t="s">
        <v>608</v>
      </c>
      <c r="L5" s="118" t="s">
        <v>639</v>
      </c>
      <c r="M5" s="118" t="s">
        <v>1031</v>
      </c>
      <c r="N5" s="118" t="s">
        <v>657</v>
      </c>
    </row>
    <row r="6" spans="1:14" x14ac:dyDescent="0.3">
      <c r="A6" t="s">
        <v>13</v>
      </c>
      <c r="B6" t="s">
        <v>575</v>
      </c>
      <c r="C6" t="s">
        <v>602</v>
      </c>
      <c r="D6" t="s">
        <v>583</v>
      </c>
      <c r="E6">
        <v>5800</v>
      </c>
      <c r="F6" t="s">
        <v>582</v>
      </c>
      <c r="G6" s="118"/>
      <c r="H6" s="118">
        <v>8845</v>
      </c>
      <c r="I6" s="118"/>
      <c r="J6" s="118"/>
      <c r="K6" s="118"/>
      <c r="L6" s="118"/>
      <c r="M6" s="118"/>
      <c r="N6" s="118">
        <v>8845</v>
      </c>
    </row>
    <row r="7" spans="1:14" x14ac:dyDescent="0.3">
      <c r="F7" t="s">
        <v>603</v>
      </c>
      <c r="G7" s="118"/>
      <c r="H7" s="118">
        <v>9004</v>
      </c>
      <c r="I7" s="118"/>
      <c r="J7" s="118"/>
      <c r="K7" s="118"/>
      <c r="L7" s="118"/>
      <c r="M7" s="118"/>
      <c r="N7" s="118">
        <v>9004</v>
      </c>
    </row>
    <row r="8" spans="1:14" x14ac:dyDescent="0.3">
      <c r="E8">
        <v>9500</v>
      </c>
      <c r="F8" t="s">
        <v>582</v>
      </c>
      <c r="G8" s="118"/>
      <c r="H8" s="118">
        <v>21295</v>
      </c>
      <c r="I8" s="118"/>
      <c r="J8" s="118"/>
      <c r="K8" s="118"/>
      <c r="L8" s="118"/>
      <c r="M8" s="118"/>
      <c r="N8" s="118">
        <v>21295</v>
      </c>
    </row>
    <row r="9" spans="1:14" x14ac:dyDescent="0.3">
      <c r="F9" t="s">
        <v>603</v>
      </c>
      <c r="G9" s="118"/>
      <c r="H9" s="118">
        <v>3460</v>
      </c>
      <c r="I9" s="118"/>
      <c r="J9" s="118"/>
      <c r="K9" s="118"/>
      <c r="L9" s="118"/>
      <c r="M9" s="118"/>
      <c r="N9" s="118">
        <v>3460</v>
      </c>
    </row>
    <row r="10" spans="1:14" x14ac:dyDescent="0.3">
      <c r="E10">
        <v>22000</v>
      </c>
      <c r="F10" t="s">
        <v>582</v>
      </c>
      <c r="G10" s="118"/>
      <c r="H10" s="118">
        <v>7781</v>
      </c>
      <c r="I10" s="118"/>
      <c r="J10" s="118"/>
      <c r="K10" s="118"/>
      <c r="L10" s="118"/>
      <c r="M10" s="118"/>
      <c r="N10" s="118">
        <v>7781</v>
      </c>
    </row>
    <row r="11" spans="1:14" x14ac:dyDescent="0.3">
      <c r="F11" t="s">
        <v>603</v>
      </c>
      <c r="G11" s="118"/>
      <c r="H11" s="118">
        <v>5228</v>
      </c>
      <c r="I11" s="118"/>
      <c r="J11" s="118"/>
      <c r="K11" s="118"/>
      <c r="L11" s="118"/>
      <c r="M11" s="118"/>
      <c r="N11" s="118">
        <v>5228</v>
      </c>
    </row>
    <row r="12" spans="1:14" x14ac:dyDescent="0.3">
      <c r="E12">
        <v>50000</v>
      </c>
      <c r="F12" t="s">
        <v>582</v>
      </c>
      <c r="G12" s="118"/>
      <c r="H12" s="118">
        <v>2752</v>
      </c>
      <c r="I12" s="118"/>
      <c r="J12" s="118"/>
      <c r="K12" s="118"/>
      <c r="L12" s="118"/>
      <c r="M12" s="118"/>
      <c r="N12" s="118">
        <v>2752</v>
      </c>
    </row>
    <row r="13" spans="1:14" x14ac:dyDescent="0.3">
      <c r="F13" t="s">
        <v>603</v>
      </c>
      <c r="G13" s="118"/>
      <c r="H13" s="118">
        <v>530</v>
      </c>
      <c r="I13" s="118"/>
      <c r="J13" s="118"/>
      <c r="K13" s="118"/>
      <c r="L13" s="118"/>
      <c r="M13" s="118"/>
      <c r="N13" s="118">
        <v>530</v>
      </c>
    </row>
    <row r="14" spans="1:14" x14ac:dyDescent="0.3">
      <c r="D14" t="s">
        <v>606</v>
      </c>
      <c r="E14">
        <v>9500</v>
      </c>
      <c r="F14" t="s">
        <v>582</v>
      </c>
      <c r="G14" s="118"/>
      <c r="H14" s="118">
        <v>10927</v>
      </c>
      <c r="I14" s="118"/>
      <c r="J14" s="118"/>
      <c r="K14" s="118"/>
      <c r="L14" s="118"/>
      <c r="M14" s="118"/>
      <c r="N14" s="118">
        <v>10927</v>
      </c>
    </row>
    <row r="15" spans="1:14" x14ac:dyDescent="0.3">
      <c r="E15">
        <v>12000</v>
      </c>
      <c r="F15" t="s">
        <v>582</v>
      </c>
      <c r="G15" s="118"/>
      <c r="H15" s="118"/>
      <c r="I15" s="118"/>
      <c r="J15" s="118"/>
      <c r="K15" s="118">
        <v>706</v>
      </c>
      <c r="L15" s="118"/>
      <c r="M15" s="118"/>
      <c r="N15" s="118">
        <v>706</v>
      </c>
    </row>
    <row r="16" spans="1:14" x14ac:dyDescent="0.3">
      <c r="E16">
        <v>22000</v>
      </c>
      <c r="F16" t="s">
        <v>582</v>
      </c>
      <c r="G16" s="118"/>
      <c r="H16" s="118">
        <v>6677</v>
      </c>
      <c r="I16" s="118"/>
      <c r="J16" s="118"/>
      <c r="K16" s="118"/>
      <c r="L16" s="118"/>
      <c r="M16" s="118"/>
      <c r="N16" s="118">
        <v>6677</v>
      </c>
    </row>
    <row r="17" spans="3:14" x14ac:dyDescent="0.3">
      <c r="E17">
        <v>32000</v>
      </c>
      <c r="F17" t="s">
        <v>582</v>
      </c>
      <c r="G17" s="118"/>
      <c r="H17" s="118"/>
      <c r="I17" s="118"/>
      <c r="J17" s="118"/>
      <c r="K17" s="118">
        <v>5388</v>
      </c>
      <c r="L17" s="118"/>
      <c r="M17" s="118"/>
      <c r="N17" s="118">
        <v>5388</v>
      </c>
    </row>
    <row r="18" spans="3:14" x14ac:dyDescent="0.3">
      <c r="E18">
        <v>50000</v>
      </c>
      <c r="F18" t="s">
        <v>582</v>
      </c>
      <c r="G18" s="118"/>
      <c r="H18" s="118">
        <v>8578</v>
      </c>
      <c r="I18" s="118"/>
      <c r="J18" s="118"/>
      <c r="K18" s="118"/>
      <c r="L18" s="118"/>
      <c r="M18" s="118"/>
      <c r="N18" s="118">
        <v>8578</v>
      </c>
    </row>
    <row r="19" spans="3:14" x14ac:dyDescent="0.3">
      <c r="E19">
        <v>107800</v>
      </c>
      <c r="F19" t="s">
        <v>582</v>
      </c>
      <c r="G19" s="118"/>
      <c r="H19" s="118"/>
      <c r="I19" s="118"/>
      <c r="J19" s="118"/>
      <c r="K19" s="118"/>
      <c r="L19" s="118"/>
      <c r="M19" s="118">
        <v>1033</v>
      </c>
      <c r="N19" s="118">
        <v>1033</v>
      </c>
    </row>
    <row r="20" spans="3:14" x14ac:dyDescent="0.3">
      <c r="D20" t="s">
        <v>607</v>
      </c>
      <c r="E20">
        <v>9500</v>
      </c>
      <c r="F20" t="s">
        <v>582</v>
      </c>
      <c r="G20" s="118"/>
      <c r="H20" s="118">
        <v>36751</v>
      </c>
      <c r="I20" s="118"/>
      <c r="J20" s="118"/>
      <c r="K20" s="118"/>
      <c r="L20" s="118"/>
      <c r="M20" s="118"/>
      <c r="N20" s="118">
        <v>36751</v>
      </c>
    </row>
    <row r="21" spans="3:14" x14ac:dyDescent="0.3">
      <c r="C21" t="s">
        <v>661</v>
      </c>
      <c r="G21" s="118"/>
      <c r="H21" s="118">
        <v>121828</v>
      </c>
      <c r="I21" s="118"/>
      <c r="J21" s="118"/>
      <c r="K21" s="118">
        <v>6094</v>
      </c>
      <c r="L21" s="118"/>
      <c r="M21" s="118">
        <v>1033</v>
      </c>
      <c r="N21" s="118">
        <v>128955</v>
      </c>
    </row>
    <row r="22" spans="3:14" x14ac:dyDescent="0.3">
      <c r="C22" t="s">
        <v>609</v>
      </c>
      <c r="D22" t="s">
        <v>612</v>
      </c>
      <c r="E22">
        <v>5800</v>
      </c>
      <c r="F22" t="s">
        <v>611</v>
      </c>
      <c r="G22" s="118"/>
      <c r="H22" s="118">
        <v>52</v>
      </c>
      <c r="I22" s="118"/>
      <c r="J22" s="118"/>
      <c r="K22" s="118"/>
      <c r="L22" s="118"/>
      <c r="M22" s="118"/>
      <c r="N22" s="118">
        <v>52</v>
      </c>
    </row>
    <row r="23" spans="3:14" x14ac:dyDescent="0.3">
      <c r="F23" t="s">
        <v>613</v>
      </c>
      <c r="G23" s="118"/>
      <c r="H23" s="118">
        <v>148</v>
      </c>
      <c r="I23" s="118"/>
      <c r="J23" s="118"/>
      <c r="K23" s="118"/>
      <c r="L23" s="118"/>
      <c r="M23" s="118"/>
      <c r="N23" s="118">
        <v>148</v>
      </c>
    </row>
    <row r="24" spans="3:14" x14ac:dyDescent="0.3">
      <c r="E24">
        <v>9500</v>
      </c>
      <c r="F24" t="s">
        <v>611</v>
      </c>
      <c r="G24" s="118"/>
      <c r="H24" s="118">
        <v>512</v>
      </c>
      <c r="I24" s="118"/>
      <c r="J24" s="118"/>
      <c r="K24" s="118"/>
      <c r="L24" s="118"/>
      <c r="M24" s="118"/>
      <c r="N24" s="118">
        <v>512</v>
      </c>
    </row>
    <row r="25" spans="3:14" x14ac:dyDescent="0.3">
      <c r="F25" t="s">
        <v>613</v>
      </c>
      <c r="G25" s="118"/>
      <c r="H25" s="118">
        <v>1260</v>
      </c>
      <c r="I25" s="118"/>
      <c r="J25" s="118"/>
      <c r="K25" s="118"/>
      <c r="L25" s="118"/>
      <c r="M25" s="118"/>
      <c r="N25" s="118">
        <v>1260</v>
      </c>
    </row>
    <row r="26" spans="3:14" x14ac:dyDescent="0.3">
      <c r="D26" t="s">
        <v>610</v>
      </c>
      <c r="E26">
        <v>5800</v>
      </c>
      <c r="F26" t="s">
        <v>611</v>
      </c>
      <c r="G26" s="118"/>
      <c r="H26" s="118">
        <v>1407</v>
      </c>
      <c r="I26" s="118"/>
      <c r="J26" s="118"/>
      <c r="K26" s="118"/>
      <c r="L26" s="118"/>
      <c r="M26" s="118"/>
      <c r="N26" s="118">
        <v>1407</v>
      </c>
    </row>
    <row r="27" spans="3:14" x14ac:dyDescent="0.3">
      <c r="E27">
        <v>9500</v>
      </c>
      <c r="F27" t="s">
        <v>611</v>
      </c>
      <c r="G27" s="118"/>
      <c r="H27" s="118">
        <v>4100</v>
      </c>
      <c r="I27" s="118"/>
      <c r="J27" s="118"/>
      <c r="K27" s="118"/>
      <c r="L27" s="118"/>
      <c r="M27" s="118"/>
      <c r="N27" s="118">
        <v>4100</v>
      </c>
    </row>
    <row r="28" spans="3:14" x14ac:dyDescent="0.3">
      <c r="D28" t="s">
        <v>615</v>
      </c>
      <c r="E28">
        <v>5800</v>
      </c>
      <c r="F28" t="s">
        <v>611</v>
      </c>
      <c r="G28" s="118"/>
      <c r="H28" s="118">
        <v>4709</v>
      </c>
      <c r="I28" s="118"/>
      <c r="J28" s="118"/>
      <c r="K28" s="118"/>
      <c r="L28" s="118"/>
      <c r="M28" s="118"/>
      <c r="N28" s="118">
        <v>4709</v>
      </c>
    </row>
    <row r="29" spans="3:14" x14ac:dyDescent="0.3">
      <c r="F29" t="s">
        <v>582</v>
      </c>
      <c r="G29" s="118"/>
      <c r="H29" s="118">
        <v>2</v>
      </c>
      <c r="I29" s="118"/>
      <c r="J29" s="118"/>
      <c r="K29" s="118"/>
      <c r="L29" s="118"/>
      <c r="M29" s="118"/>
      <c r="N29" s="118">
        <v>2</v>
      </c>
    </row>
    <row r="30" spans="3:14" x14ac:dyDescent="0.3">
      <c r="E30">
        <v>9500</v>
      </c>
      <c r="F30" t="s">
        <v>611</v>
      </c>
      <c r="G30" s="118"/>
      <c r="H30" s="118">
        <v>1046</v>
      </c>
      <c r="I30" s="118"/>
      <c r="J30" s="118"/>
      <c r="K30" s="118"/>
      <c r="L30" s="118"/>
      <c r="M30" s="118"/>
      <c r="N30" s="118">
        <v>1046</v>
      </c>
    </row>
    <row r="31" spans="3:14" x14ac:dyDescent="0.3">
      <c r="F31" t="s">
        <v>582</v>
      </c>
      <c r="G31" s="118"/>
      <c r="H31" s="118">
        <v>14</v>
      </c>
      <c r="I31" s="118"/>
      <c r="J31" s="118"/>
      <c r="K31" s="118"/>
      <c r="L31" s="118"/>
      <c r="M31" s="118"/>
      <c r="N31" s="118">
        <v>14</v>
      </c>
    </row>
    <row r="32" spans="3:14" x14ac:dyDescent="0.3">
      <c r="E32">
        <v>12000</v>
      </c>
      <c r="F32" t="s">
        <v>611</v>
      </c>
      <c r="G32" s="118"/>
      <c r="H32" s="118"/>
      <c r="I32" s="118"/>
      <c r="J32" s="118"/>
      <c r="K32" s="118">
        <v>182</v>
      </c>
      <c r="L32" s="118"/>
      <c r="M32" s="118"/>
      <c r="N32" s="118">
        <v>182</v>
      </c>
    </row>
    <row r="33" spans="2:14" x14ac:dyDescent="0.3">
      <c r="F33" t="s">
        <v>582</v>
      </c>
      <c r="G33" s="118"/>
      <c r="H33" s="118"/>
      <c r="I33" s="118"/>
      <c r="J33" s="118"/>
      <c r="K33" s="118">
        <v>59</v>
      </c>
      <c r="L33" s="118"/>
      <c r="M33" s="118"/>
      <c r="N33" s="118">
        <v>59</v>
      </c>
    </row>
    <row r="34" spans="2:14" x14ac:dyDescent="0.3">
      <c r="E34">
        <v>22000</v>
      </c>
      <c r="F34" t="s">
        <v>611</v>
      </c>
      <c r="G34" s="118"/>
      <c r="H34" s="118">
        <v>1463</v>
      </c>
      <c r="I34" s="118"/>
      <c r="J34" s="118"/>
      <c r="K34" s="118"/>
      <c r="L34" s="118"/>
      <c r="M34" s="118"/>
      <c r="N34" s="118">
        <v>1463</v>
      </c>
    </row>
    <row r="35" spans="2:14" x14ac:dyDescent="0.3">
      <c r="F35" t="s">
        <v>582</v>
      </c>
      <c r="G35" s="118"/>
      <c r="H35" s="118">
        <v>30</v>
      </c>
      <c r="I35" s="118"/>
      <c r="J35" s="118"/>
      <c r="K35" s="118"/>
      <c r="L35" s="118"/>
      <c r="M35" s="118"/>
      <c r="N35" s="118">
        <v>30</v>
      </c>
    </row>
    <row r="36" spans="2:14" x14ac:dyDescent="0.3">
      <c r="E36">
        <v>32000</v>
      </c>
      <c r="F36" t="s">
        <v>611</v>
      </c>
      <c r="G36" s="118"/>
      <c r="H36" s="118"/>
      <c r="I36" s="118"/>
      <c r="J36" s="118"/>
      <c r="K36" s="118">
        <v>669</v>
      </c>
      <c r="L36" s="118"/>
      <c r="M36" s="118"/>
      <c r="N36" s="118">
        <v>669</v>
      </c>
    </row>
    <row r="37" spans="2:14" x14ac:dyDescent="0.3">
      <c r="F37" t="s">
        <v>582</v>
      </c>
      <c r="G37" s="118"/>
      <c r="H37" s="118"/>
      <c r="I37" s="118"/>
      <c r="J37" s="118"/>
      <c r="K37" s="118">
        <v>312</v>
      </c>
      <c r="L37" s="118"/>
      <c r="M37" s="118"/>
      <c r="N37" s="118">
        <v>312</v>
      </c>
    </row>
    <row r="38" spans="2:14" x14ac:dyDescent="0.3">
      <c r="E38">
        <v>50000</v>
      </c>
      <c r="F38" t="s">
        <v>611</v>
      </c>
      <c r="G38" s="118"/>
      <c r="H38" s="118">
        <v>945</v>
      </c>
      <c r="I38" s="118"/>
      <c r="J38" s="118"/>
      <c r="K38" s="118"/>
      <c r="L38" s="118"/>
      <c r="M38" s="118"/>
      <c r="N38" s="118">
        <v>945</v>
      </c>
    </row>
    <row r="39" spans="2:14" x14ac:dyDescent="0.3">
      <c r="F39" t="s">
        <v>582</v>
      </c>
      <c r="G39" s="118"/>
      <c r="H39" s="118">
        <v>35</v>
      </c>
      <c r="I39" s="118"/>
      <c r="J39" s="118"/>
      <c r="K39" s="118"/>
      <c r="L39" s="118"/>
      <c r="M39" s="118"/>
      <c r="N39" s="118">
        <v>35</v>
      </c>
    </row>
    <row r="40" spans="2:14" x14ac:dyDescent="0.3">
      <c r="E40">
        <v>107800</v>
      </c>
      <c r="F40" t="s">
        <v>611</v>
      </c>
      <c r="G40" s="118"/>
      <c r="H40" s="118"/>
      <c r="I40" s="118"/>
      <c r="J40" s="118"/>
      <c r="K40" s="118"/>
      <c r="L40" s="118"/>
      <c r="M40" s="118">
        <v>140</v>
      </c>
      <c r="N40" s="118">
        <v>140</v>
      </c>
    </row>
    <row r="41" spans="2:14" x14ac:dyDescent="0.3">
      <c r="F41" t="s">
        <v>582</v>
      </c>
      <c r="G41" s="118"/>
      <c r="H41" s="118"/>
      <c r="I41" s="118"/>
      <c r="J41" s="118"/>
      <c r="K41" s="118"/>
      <c r="L41" s="118"/>
      <c r="M41" s="118">
        <v>43</v>
      </c>
      <c r="N41" s="118">
        <v>43</v>
      </c>
    </row>
    <row r="42" spans="2:14" x14ac:dyDescent="0.3">
      <c r="D42" t="s">
        <v>616</v>
      </c>
      <c r="E42">
        <v>4000</v>
      </c>
      <c r="F42" t="s">
        <v>611</v>
      </c>
      <c r="G42" s="118"/>
      <c r="H42" s="118">
        <v>0</v>
      </c>
      <c r="I42" s="118"/>
      <c r="J42" s="118"/>
      <c r="K42" s="118"/>
      <c r="L42" s="118"/>
      <c r="M42" s="118"/>
      <c r="N42" s="118">
        <v>0</v>
      </c>
    </row>
    <row r="43" spans="2:14" x14ac:dyDescent="0.3">
      <c r="E43">
        <v>9500</v>
      </c>
      <c r="F43" t="s">
        <v>611</v>
      </c>
      <c r="G43" s="118"/>
      <c r="H43" s="118">
        <v>0</v>
      </c>
      <c r="I43" s="118"/>
      <c r="J43" s="118"/>
      <c r="K43" s="118"/>
      <c r="L43" s="118"/>
      <c r="M43" s="118"/>
      <c r="N43" s="118">
        <v>0</v>
      </c>
    </row>
    <row r="44" spans="2:14" x14ac:dyDescent="0.3">
      <c r="D44" t="s">
        <v>614</v>
      </c>
      <c r="E44">
        <v>5800</v>
      </c>
      <c r="F44" t="s">
        <v>613</v>
      </c>
      <c r="G44" s="118"/>
      <c r="H44" s="118">
        <v>21</v>
      </c>
      <c r="I44" s="118"/>
      <c r="J44" s="118"/>
      <c r="K44" s="118"/>
      <c r="L44" s="118"/>
      <c r="M44" s="118"/>
      <c r="N44" s="118">
        <v>21</v>
      </c>
    </row>
    <row r="45" spans="2:14" x14ac:dyDescent="0.3">
      <c r="E45">
        <v>9500</v>
      </c>
      <c r="F45" t="s">
        <v>613</v>
      </c>
      <c r="G45" s="118"/>
      <c r="H45" s="118">
        <v>10</v>
      </c>
      <c r="I45" s="118"/>
      <c r="J45" s="118"/>
      <c r="K45" s="118"/>
      <c r="L45" s="118"/>
      <c r="M45" s="118"/>
      <c r="N45" s="118">
        <v>10</v>
      </c>
    </row>
    <row r="46" spans="2:14" x14ac:dyDescent="0.3">
      <c r="C46" t="s">
        <v>662</v>
      </c>
      <c r="G46" s="118"/>
      <c r="H46" s="118">
        <v>15754</v>
      </c>
      <c r="I46" s="118"/>
      <c r="J46" s="118"/>
      <c r="K46" s="118">
        <v>1222</v>
      </c>
      <c r="L46" s="118"/>
      <c r="M46" s="118">
        <v>183</v>
      </c>
      <c r="N46" s="118">
        <v>17159</v>
      </c>
    </row>
    <row r="47" spans="2:14" x14ac:dyDescent="0.3">
      <c r="B47" t="s">
        <v>663</v>
      </c>
      <c r="G47" s="118"/>
      <c r="H47" s="118">
        <v>137582</v>
      </c>
      <c r="I47" s="118"/>
      <c r="J47" s="118"/>
      <c r="K47" s="118">
        <v>7316</v>
      </c>
      <c r="L47" s="118"/>
      <c r="M47" s="118">
        <v>1216</v>
      </c>
      <c r="N47" s="118">
        <v>146114</v>
      </c>
    </row>
    <row r="48" spans="2:14" x14ac:dyDescent="0.3">
      <c r="B48" t="s">
        <v>576</v>
      </c>
      <c r="C48" t="s">
        <v>602</v>
      </c>
      <c r="D48" t="s">
        <v>583</v>
      </c>
      <c r="E48">
        <v>4000</v>
      </c>
      <c r="F48" t="s">
        <v>617</v>
      </c>
      <c r="G48" s="118"/>
      <c r="H48" s="118">
        <v>3625</v>
      </c>
      <c r="I48" s="118"/>
      <c r="J48" s="118"/>
      <c r="K48" s="118"/>
      <c r="L48" s="118"/>
      <c r="M48" s="118"/>
      <c r="N48" s="118">
        <v>3625</v>
      </c>
    </row>
    <row r="49" spans="4:14" x14ac:dyDescent="0.3">
      <c r="F49" t="s">
        <v>582</v>
      </c>
      <c r="G49" s="118"/>
      <c r="H49" s="118">
        <v>7280</v>
      </c>
      <c r="I49" s="118"/>
      <c r="J49" s="118"/>
      <c r="K49" s="118"/>
      <c r="L49" s="118"/>
      <c r="M49" s="118"/>
      <c r="N49" s="118">
        <v>7280</v>
      </c>
    </row>
    <row r="50" spans="4:14" x14ac:dyDescent="0.3">
      <c r="E50">
        <v>7000</v>
      </c>
      <c r="F50" t="s">
        <v>617</v>
      </c>
      <c r="G50" s="118"/>
      <c r="H50" s="118"/>
      <c r="I50" s="118"/>
      <c r="J50" s="118">
        <v>138</v>
      </c>
      <c r="K50" s="118"/>
      <c r="L50" s="118"/>
      <c r="M50" s="118"/>
      <c r="N50" s="118">
        <v>138</v>
      </c>
    </row>
    <row r="51" spans="4:14" x14ac:dyDescent="0.3">
      <c r="F51" t="s">
        <v>582</v>
      </c>
      <c r="G51" s="118"/>
      <c r="H51" s="118"/>
      <c r="I51" s="118"/>
      <c r="J51" s="118">
        <v>1097</v>
      </c>
      <c r="K51" s="118"/>
      <c r="L51" s="118"/>
      <c r="M51" s="118"/>
      <c r="N51" s="118">
        <v>1097</v>
      </c>
    </row>
    <row r="52" spans="4:14" x14ac:dyDescent="0.3">
      <c r="E52">
        <v>10000</v>
      </c>
      <c r="F52" t="s">
        <v>617</v>
      </c>
      <c r="G52" s="118"/>
      <c r="H52" s="118"/>
      <c r="I52" s="118"/>
      <c r="J52" s="118">
        <v>443</v>
      </c>
      <c r="K52" s="118"/>
      <c r="L52" s="118"/>
      <c r="M52" s="118"/>
      <c r="N52" s="118">
        <v>443</v>
      </c>
    </row>
    <row r="53" spans="4:14" x14ac:dyDescent="0.3">
      <c r="F53" t="s">
        <v>582</v>
      </c>
      <c r="G53" s="118"/>
      <c r="H53" s="118"/>
      <c r="I53" s="118"/>
      <c r="J53" s="118">
        <v>692</v>
      </c>
      <c r="K53" s="118"/>
      <c r="L53" s="118"/>
      <c r="M53" s="118"/>
      <c r="N53" s="118">
        <v>692</v>
      </c>
    </row>
    <row r="54" spans="4:14" x14ac:dyDescent="0.3">
      <c r="E54">
        <v>20000</v>
      </c>
      <c r="F54" t="s">
        <v>617</v>
      </c>
      <c r="G54" s="118"/>
      <c r="H54" s="118"/>
      <c r="I54" s="118"/>
      <c r="J54" s="118">
        <v>1425</v>
      </c>
      <c r="K54" s="118"/>
      <c r="L54" s="118"/>
      <c r="M54" s="118"/>
      <c r="N54" s="118">
        <v>1425</v>
      </c>
    </row>
    <row r="55" spans="4:14" x14ac:dyDescent="0.3">
      <c r="F55" t="s">
        <v>582</v>
      </c>
      <c r="G55" s="118"/>
      <c r="H55" s="118"/>
      <c r="I55" s="118"/>
      <c r="J55" s="118">
        <v>1509</v>
      </c>
      <c r="K55" s="118"/>
      <c r="L55" s="118"/>
      <c r="M55" s="118"/>
      <c r="N55" s="118">
        <v>1509</v>
      </c>
    </row>
    <row r="56" spans="4:14" x14ac:dyDescent="0.3">
      <c r="E56">
        <v>50000</v>
      </c>
      <c r="F56" t="s">
        <v>582</v>
      </c>
      <c r="G56" s="118"/>
      <c r="H56" s="118">
        <v>139</v>
      </c>
      <c r="I56" s="118"/>
      <c r="J56" s="118"/>
      <c r="K56" s="118"/>
      <c r="L56" s="118"/>
      <c r="M56" s="118"/>
      <c r="N56" s="118">
        <v>139</v>
      </c>
    </row>
    <row r="57" spans="4:14" x14ac:dyDescent="0.3">
      <c r="D57" t="s">
        <v>606</v>
      </c>
      <c r="E57">
        <v>12000</v>
      </c>
      <c r="F57" t="s">
        <v>617</v>
      </c>
      <c r="G57" s="118"/>
      <c r="H57" s="118"/>
      <c r="I57" s="118"/>
      <c r="J57" s="118"/>
      <c r="K57" s="118">
        <v>151</v>
      </c>
      <c r="L57" s="118"/>
      <c r="M57" s="118"/>
      <c r="N57" s="118">
        <v>151</v>
      </c>
    </row>
    <row r="58" spans="4:14" x14ac:dyDescent="0.3">
      <c r="E58">
        <v>32000</v>
      </c>
      <c r="F58" t="s">
        <v>617</v>
      </c>
      <c r="G58" s="118"/>
      <c r="H58" s="118"/>
      <c r="I58" s="118"/>
      <c r="J58" s="118"/>
      <c r="K58" s="118">
        <v>1024</v>
      </c>
      <c r="L58" s="118"/>
      <c r="M58" s="118"/>
      <c r="N58" s="118">
        <v>1024</v>
      </c>
    </row>
    <row r="59" spans="4:14" x14ac:dyDescent="0.3">
      <c r="E59">
        <v>107800</v>
      </c>
      <c r="F59" t="s">
        <v>617</v>
      </c>
      <c r="G59" s="118"/>
      <c r="H59" s="118"/>
      <c r="I59" s="118"/>
      <c r="J59" s="118"/>
      <c r="K59" s="118"/>
      <c r="L59" s="118"/>
      <c r="M59" s="118">
        <v>216</v>
      </c>
      <c r="N59" s="118">
        <v>216</v>
      </c>
    </row>
    <row r="60" spans="4:14" x14ac:dyDescent="0.3">
      <c r="D60" t="s">
        <v>607</v>
      </c>
      <c r="E60">
        <v>5800</v>
      </c>
      <c r="F60" t="s">
        <v>582</v>
      </c>
      <c r="G60" s="118"/>
      <c r="H60" s="118">
        <v>163</v>
      </c>
      <c r="I60" s="118"/>
      <c r="J60" s="118"/>
      <c r="K60" s="118"/>
      <c r="L60" s="118"/>
      <c r="M60" s="118"/>
      <c r="N60" s="118">
        <v>163</v>
      </c>
    </row>
    <row r="61" spans="4:14" x14ac:dyDescent="0.3">
      <c r="E61">
        <v>7000</v>
      </c>
      <c r="F61" t="s">
        <v>582</v>
      </c>
      <c r="G61" s="118"/>
      <c r="H61" s="118"/>
      <c r="I61" s="118"/>
      <c r="J61" s="118">
        <v>6625</v>
      </c>
      <c r="K61" s="118"/>
      <c r="L61" s="118"/>
      <c r="M61" s="118"/>
      <c r="N61" s="118">
        <v>6625</v>
      </c>
    </row>
    <row r="62" spans="4:14" x14ac:dyDescent="0.3">
      <c r="D62" t="s">
        <v>620</v>
      </c>
      <c r="E62">
        <v>1000</v>
      </c>
      <c r="F62" t="s">
        <v>582</v>
      </c>
      <c r="G62" s="118"/>
      <c r="H62" s="118"/>
      <c r="I62" s="118">
        <v>5</v>
      </c>
      <c r="J62" s="118"/>
      <c r="K62" s="118"/>
      <c r="L62" s="118"/>
      <c r="M62" s="118"/>
      <c r="N62" s="118">
        <v>5</v>
      </c>
    </row>
    <row r="63" spans="4:14" x14ac:dyDescent="0.3">
      <c r="E63">
        <v>2500</v>
      </c>
      <c r="F63" t="s">
        <v>582</v>
      </c>
      <c r="G63" s="118"/>
      <c r="H63" s="118"/>
      <c r="I63" s="118">
        <v>578</v>
      </c>
      <c r="J63" s="118"/>
      <c r="K63" s="118"/>
      <c r="L63" s="118"/>
      <c r="M63" s="118"/>
      <c r="N63" s="118">
        <v>578</v>
      </c>
    </row>
    <row r="64" spans="4:14" x14ac:dyDescent="0.3">
      <c r="E64">
        <v>4000</v>
      </c>
      <c r="F64" t="s">
        <v>617</v>
      </c>
      <c r="G64" s="118"/>
      <c r="H64" s="118"/>
      <c r="I64" s="118">
        <v>0</v>
      </c>
      <c r="J64" s="118"/>
      <c r="K64" s="118"/>
      <c r="L64" s="118"/>
      <c r="M64" s="118"/>
      <c r="N64" s="118">
        <v>0</v>
      </c>
    </row>
    <row r="65" spans="1:14" x14ac:dyDescent="0.3">
      <c r="F65" t="s">
        <v>582</v>
      </c>
      <c r="G65" s="118"/>
      <c r="H65" s="118"/>
      <c r="I65" s="118">
        <v>29</v>
      </c>
      <c r="J65" s="118"/>
      <c r="K65" s="118"/>
      <c r="L65" s="118"/>
      <c r="M65" s="118"/>
      <c r="N65" s="118">
        <v>29</v>
      </c>
    </row>
    <row r="66" spans="1:14" x14ac:dyDescent="0.3">
      <c r="E66">
        <v>6000</v>
      </c>
      <c r="F66" t="s">
        <v>582</v>
      </c>
      <c r="G66" s="118"/>
      <c r="H66" s="118"/>
      <c r="I66" s="118">
        <v>2</v>
      </c>
      <c r="J66" s="118"/>
      <c r="K66" s="118"/>
      <c r="L66" s="118"/>
      <c r="M66" s="118"/>
      <c r="N66" s="118">
        <v>2</v>
      </c>
    </row>
    <row r="67" spans="1:14" x14ac:dyDescent="0.3">
      <c r="C67" t="s">
        <v>661</v>
      </c>
      <c r="G67" s="118"/>
      <c r="H67" s="118">
        <v>11207</v>
      </c>
      <c r="I67" s="118">
        <v>614</v>
      </c>
      <c r="J67" s="118">
        <v>11929</v>
      </c>
      <c r="K67" s="118">
        <v>1175</v>
      </c>
      <c r="L67" s="118"/>
      <c r="M67" s="118">
        <v>216</v>
      </c>
      <c r="N67" s="118">
        <v>25141</v>
      </c>
    </row>
    <row r="68" spans="1:14" x14ac:dyDescent="0.3">
      <c r="C68" t="s">
        <v>609</v>
      </c>
      <c r="D68" t="s">
        <v>612</v>
      </c>
      <c r="E68">
        <v>4000</v>
      </c>
      <c r="F68" t="s">
        <v>611</v>
      </c>
      <c r="G68" s="118"/>
      <c r="H68" s="118">
        <v>2</v>
      </c>
      <c r="I68" s="118"/>
      <c r="J68" s="118"/>
      <c r="K68" s="118"/>
      <c r="L68" s="118"/>
      <c r="M68" s="118"/>
      <c r="N68" s="118">
        <v>2</v>
      </c>
    </row>
    <row r="69" spans="1:14" x14ac:dyDescent="0.3">
      <c r="F69" t="s">
        <v>613</v>
      </c>
      <c r="G69" s="118"/>
      <c r="H69" s="118">
        <v>240</v>
      </c>
      <c r="I69" s="118"/>
      <c r="J69" s="118"/>
      <c r="K69" s="118"/>
      <c r="L69" s="118"/>
      <c r="M69" s="118"/>
      <c r="N69" s="118">
        <v>240</v>
      </c>
    </row>
    <row r="70" spans="1:14" x14ac:dyDescent="0.3">
      <c r="D70" t="s">
        <v>621</v>
      </c>
      <c r="E70">
        <v>5800</v>
      </c>
      <c r="F70" t="s">
        <v>611</v>
      </c>
      <c r="G70" s="118"/>
      <c r="H70" s="118">
        <v>29</v>
      </c>
      <c r="I70" s="118"/>
      <c r="J70" s="118"/>
      <c r="K70" s="118"/>
      <c r="L70" s="118"/>
      <c r="M70" s="118"/>
      <c r="N70" s="118">
        <v>29</v>
      </c>
    </row>
    <row r="71" spans="1:14" x14ac:dyDescent="0.3">
      <c r="E71">
        <v>9500</v>
      </c>
      <c r="F71" t="s">
        <v>611</v>
      </c>
      <c r="G71" s="118"/>
      <c r="H71" s="118">
        <v>98</v>
      </c>
      <c r="I71" s="118"/>
      <c r="J71" s="118"/>
      <c r="K71" s="118"/>
      <c r="L71" s="118"/>
      <c r="M71" s="118"/>
      <c r="N71" s="118">
        <v>98</v>
      </c>
    </row>
    <row r="72" spans="1:14" x14ac:dyDescent="0.3">
      <c r="D72" t="s">
        <v>610</v>
      </c>
      <c r="E72">
        <v>4000</v>
      </c>
      <c r="F72" t="s">
        <v>611</v>
      </c>
      <c r="G72" s="118"/>
      <c r="H72" s="118">
        <v>856</v>
      </c>
      <c r="I72" s="118"/>
      <c r="J72" s="118"/>
      <c r="K72" s="118"/>
      <c r="L72" s="118"/>
      <c r="M72" s="118"/>
      <c r="N72" s="118">
        <v>856</v>
      </c>
    </row>
    <row r="73" spans="1:14" x14ac:dyDescent="0.3">
      <c r="D73" t="s">
        <v>606</v>
      </c>
      <c r="E73">
        <v>12000</v>
      </c>
      <c r="F73" t="s">
        <v>611</v>
      </c>
      <c r="G73" s="118"/>
      <c r="H73" s="118"/>
      <c r="I73" s="118"/>
      <c r="J73" s="118"/>
      <c r="K73" s="118">
        <v>23</v>
      </c>
      <c r="L73" s="118"/>
      <c r="M73" s="118"/>
      <c r="N73" s="118">
        <v>23</v>
      </c>
    </row>
    <row r="74" spans="1:14" x14ac:dyDescent="0.3">
      <c r="E74">
        <v>32000</v>
      </c>
      <c r="F74" t="s">
        <v>611</v>
      </c>
      <c r="G74" s="118"/>
      <c r="H74" s="118"/>
      <c r="I74" s="118"/>
      <c r="J74" s="118"/>
      <c r="K74" s="118">
        <v>290</v>
      </c>
      <c r="L74" s="118"/>
      <c r="M74" s="118"/>
      <c r="N74" s="118">
        <v>290</v>
      </c>
    </row>
    <row r="75" spans="1:14" x14ac:dyDescent="0.3">
      <c r="E75">
        <v>107800</v>
      </c>
      <c r="F75" t="s">
        <v>611</v>
      </c>
      <c r="G75" s="118"/>
      <c r="H75" s="118"/>
      <c r="I75" s="118"/>
      <c r="J75" s="118"/>
      <c r="K75" s="118"/>
      <c r="L75" s="118"/>
      <c r="M75" s="118">
        <v>58</v>
      </c>
      <c r="N75" s="118">
        <v>58</v>
      </c>
    </row>
    <row r="76" spans="1:14" x14ac:dyDescent="0.3">
      <c r="D76" t="s">
        <v>622</v>
      </c>
      <c r="E76">
        <v>16000</v>
      </c>
      <c r="F76" t="s">
        <v>611</v>
      </c>
      <c r="G76" s="118"/>
      <c r="H76" s="118">
        <v>4</v>
      </c>
      <c r="I76" s="118"/>
      <c r="J76" s="118"/>
      <c r="K76" s="118"/>
      <c r="L76" s="118"/>
      <c r="M76" s="118"/>
      <c r="N76" s="118">
        <v>4</v>
      </c>
    </row>
    <row r="77" spans="1:14" x14ac:dyDescent="0.3">
      <c r="C77" t="s">
        <v>662</v>
      </c>
      <c r="G77" s="118"/>
      <c r="H77" s="118">
        <v>1229</v>
      </c>
      <c r="I77" s="118"/>
      <c r="J77" s="118"/>
      <c r="K77" s="118">
        <v>313</v>
      </c>
      <c r="L77" s="118"/>
      <c r="M77" s="118">
        <v>58</v>
      </c>
      <c r="N77" s="118">
        <v>1600</v>
      </c>
    </row>
    <row r="78" spans="1:14" x14ac:dyDescent="0.3">
      <c r="B78" t="s">
        <v>664</v>
      </c>
      <c r="G78" s="118"/>
      <c r="H78" s="118">
        <v>12436</v>
      </c>
      <c r="I78" s="118">
        <v>614</v>
      </c>
      <c r="J78" s="118">
        <v>11929</v>
      </c>
      <c r="K78" s="118">
        <v>1488</v>
      </c>
      <c r="L78" s="118"/>
      <c r="M78" s="118">
        <v>274</v>
      </c>
      <c r="N78" s="118">
        <v>26741</v>
      </c>
    </row>
    <row r="79" spans="1:14" x14ac:dyDescent="0.3">
      <c r="A79" t="s">
        <v>665</v>
      </c>
      <c r="G79" s="118"/>
      <c r="H79" s="118">
        <v>150018</v>
      </c>
      <c r="I79" s="118">
        <v>614</v>
      </c>
      <c r="J79" s="118">
        <v>11929</v>
      </c>
      <c r="K79" s="118">
        <v>8804</v>
      </c>
      <c r="L79" s="118"/>
      <c r="M79" s="118">
        <v>1490</v>
      </c>
      <c r="N79" s="118">
        <v>172855</v>
      </c>
    </row>
    <row r="80" spans="1:14" x14ac:dyDescent="0.3">
      <c r="A80" t="s">
        <v>652</v>
      </c>
      <c r="B80" t="s">
        <v>625</v>
      </c>
      <c r="C80" t="s">
        <v>602</v>
      </c>
      <c r="D80" t="s">
        <v>606</v>
      </c>
      <c r="E80">
        <v>9500</v>
      </c>
      <c r="F80" t="s">
        <v>660</v>
      </c>
      <c r="G80" s="118"/>
      <c r="H80" s="118">
        <v>0</v>
      </c>
      <c r="I80" s="118"/>
      <c r="J80" s="118"/>
      <c r="K80" s="118"/>
      <c r="L80" s="118"/>
      <c r="M80" s="118"/>
      <c r="N80" s="118">
        <v>0</v>
      </c>
    </row>
    <row r="81" spans="3:14" x14ac:dyDescent="0.3">
      <c r="D81" t="s">
        <v>607</v>
      </c>
      <c r="E81">
        <v>5800</v>
      </c>
      <c r="F81" t="s">
        <v>1028</v>
      </c>
      <c r="G81" s="118"/>
      <c r="H81" s="118">
        <v>0</v>
      </c>
      <c r="I81" s="118"/>
      <c r="J81" s="118"/>
      <c r="K81" s="118"/>
      <c r="L81" s="118"/>
      <c r="M81" s="118"/>
      <c r="N81" s="118">
        <v>0</v>
      </c>
    </row>
    <row r="82" spans="3:14" x14ac:dyDescent="0.3">
      <c r="E82">
        <v>7000</v>
      </c>
      <c r="F82" t="s">
        <v>1028</v>
      </c>
      <c r="G82" s="118"/>
      <c r="H82" s="118"/>
      <c r="I82" s="118"/>
      <c r="J82" s="118">
        <v>0</v>
      </c>
      <c r="K82" s="118"/>
      <c r="L82" s="118"/>
      <c r="M82" s="118"/>
      <c r="N82" s="118">
        <v>0</v>
      </c>
    </row>
    <row r="83" spans="3:14" x14ac:dyDescent="0.3">
      <c r="E83">
        <v>9500</v>
      </c>
      <c r="F83" t="s">
        <v>1028</v>
      </c>
      <c r="G83" s="118"/>
      <c r="H83" s="118">
        <v>0</v>
      </c>
      <c r="I83" s="118"/>
      <c r="J83" s="118"/>
      <c r="K83" s="118"/>
      <c r="L83" s="118"/>
      <c r="M83" s="118"/>
      <c r="N83" s="118">
        <v>0</v>
      </c>
    </row>
    <row r="84" spans="3:14" x14ac:dyDescent="0.3">
      <c r="C84" t="s">
        <v>661</v>
      </c>
      <c r="G84" s="118"/>
      <c r="H84" s="118">
        <v>0</v>
      </c>
      <c r="I84" s="118"/>
      <c r="J84" s="118">
        <v>0</v>
      </c>
      <c r="K84" s="118"/>
      <c r="L84" s="118"/>
      <c r="M84" s="118"/>
      <c r="N84" s="118">
        <v>0</v>
      </c>
    </row>
    <row r="85" spans="3:14" x14ac:dyDescent="0.3">
      <c r="C85" t="s">
        <v>609</v>
      </c>
      <c r="D85" t="s">
        <v>653</v>
      </c>
      <c r="E85">
        <v>4000</v>
      </c>
      <c r="F85" t="s">
        <v>660</v>
      </c>
      <c r="G85" s="118"/>
      <c r="H85" s="118">
        <v>0</v>
      </c>
      <c r="I85" s="118"/>
      <c r="J85" s="118"/>
      <c r="K85" s="118"/>
      <c r="L85" s="118"/>
      <c r="M85" s="118"/>
      <c r="N85" s="118">
        <v>0</v>
      </c>
    </row>
    <row r="86" spans="3:14" x14ac:dyDescent="0.3">
      <c r="E86">
        <v>5800</v>
      </c>
      <c r="F86" t="s">
        <v>660</v>
      </c>
      <c r="G86" s="118"/>
      <c r="H86" s="118">
        <v>0</v>
      </c>
      <c r="I86" s="118"/>
      <c r="J86" s="118"/>
      <c r="K86" s="118"/>
      <c r="L86" s="118"/>
      <c r="M86" s="118"/>
      <c r="N86" s="118">
        <v>0</v>
      </c>
    </row>
    <row r="87" spans="3:14" x14ac:dyDescent="0.3">
      <c r="E87">
        <v>9500</v>
      </c>
      <c r="F87" t="s">
        <v>660</v>
      </c>
      <c r="G87" s="118"/>
      <c r="H87" s="118">
        <v>0</v>
      </c>
      <c r="I87" s="118"/>
      <c r="J87" s="118"/>
      <c r="K87" s="118"/>
      <c r="L87" s="118"/>
      <c r="M87" s="118"/>
      <c r="N87" s="118">
        <v>0</v>
      </c>
    </row>
    <row r="88" spans="3:14" x14ac:dyDescent="0.3">
      <c r="D88" t="s">
        <v>654</v>
      </c>
      <c r="E88">
        <v>4000</v>
      </c>
      <c r="F88" t="s">
        <v>660</v>
      </c>
      <c r="G88" s="118"/>
      <c r="H88" s="118">
        <v>0</v>
      </c>
      <c r="I88" s="118"/>
      <c r="J88" s="118"/>
      <c r="K88" s="118"/>
      <c r="L88" s="118"/>
      <c r="M88" s="118"/>
      <c r="N88" s="118">
        <v>0</v>
      </c>
    </row>
    <row r="89" spans="3:14" x14ac:dyDescent="0.3">
      <c r="E89">
        <v>5800</v>
      </c>
      <c r="F89" t="s">
        <v>660</v>
      </c>
      <c r="G89" s="118"/>
      <c r="H89" s="118">
        <v>0</v>
      </c>
      <c r="I89" s="118"/>
      <c r="J89" s="118"/>
      <c r="K89" s="118"/>
      <c r="L89" s="118"/>
      <c r="M89" s="118"/>
      <c r="N89" s="118">
        <v>0</v>
      </c>
    </row>
    <row r="90" spans="3:14" x14ac:dyDescent="0.3">
      <c r="E90">
        <v>9500</v>
      </c>
      <c r="F90" t="s">
        <v>660</v>
      </c>
      <c r="G90" s="118"/>
      <c r="H90" s="118">
        <v>0</v>
      </c>
      <c r="I90" s="118"/>
      <c r="J90" s="118"/>
      <c r="K90" s="118"/>
      <c r="L90" s="118"/>
      <c r="M90" s="118"/>
      <c r="N90" s="118">
        <v>0</v>
      </c>
    </row>
    <row r="91" spans="3:14" x14ac:dyDescent="0.3">
      <c r="D91" t="s">
        <v>621</v>
      </c>
      <c r="E91">
        <v>5800</v>
      </c>
      <c r="F91" t="s">
        <v>660</v>
      </c>
      <c r="G91" s="118"/>
      <c r="H91" s="118">
        <v>0</v>
      </c>
      <c r="I91" s="118"/>
      <c r="J91" s="118"/>
      <c r="K91" s="118"/>
      <c r="L91" s="118"/>
      <c r="M91" s="118"/>
      <c r="N91" s="118">
        <v>0</v>
      </c>
    </row>
    <row r="92" spans="3:14" x14ac:dyDescent="0.3">
      <c r="E92">
        <v>9500</v>
      </c>
      <c r="F92" t="s">
        <v>660</v>
      </c>
      <c r="G92" s="118"/>
      <c r="H92" s="118">
        <v>0</v>
      </c>
      <c r="I92" s="118"/>
      <c r="J92" s="118"/>
      <c r="K92" s="118"/>
      <c r="L92" s="118"/>
      <c r="M92" s="118"/>
      <c r="N92" s="118">
        <v>0</v>
      </c>
    </row>
    <row r="93" spans="3:14" x14ac:dyDescent="0.3">
      <c r="D93" t="s">
        <v>610</v>
      </c>
      <c r="E93">
        <v>4000</v>
      </c>
      <c r="F93" t="s">
        <v>660</v>
      </c>
      <c r="G93" s="118"/>
      <c r="H93" s="118">
        <v>0</v>
      </c>
      <c r="I93" s="118"/>
      <c r="J93" s="118"/>
      <c r="K93" s="118"/>
      <c r="L93" s="118"/>
      <c r="M93" s="118"/>
      <c r="N93" s="118">
        <v>0</v>
      </c>
    </row>
    <row r="94" spans="3:14" x14ac:dyDescent="0.3">
      <c r="E94">
        <v>5800</v>
      </c>
      <c r="F94" t="s">
        <v>660</v>
      </c>
      <c r="G94" s="118"/>
      <c r="H94" s="118">
        <v>0</v>
      </c>
      <c r="I94" s="118"/>
      <c r="J94" s="118"/>
      <c r="K94" s="118"/>
      <c r="L94" s="118"/>
      <c r="M94" s="118"/>
      <c r="N94" s="118">
        <v>0</v>
      </c>
    </row>
    <row r="95" spans="3:14" x14ac:dyDescent="0.3">
      <c r="E95">
        <v>9500</v>
      </c>
      <c r="F95" t="s">
        <v>660</v>
      </c>
      <c r="G95" s="118"/>
      <c r="H95" s="118">
        <v>0</v>
      </c>
      <c r="I95" s="118"/>
      <c r="J95" s="118"/>
      <c r="K95" s="118"/>
      <c r="L95" s="118"/>
      <c r="M95" s="118"/>
      <c r="N95" s="118">
        <v>0</v>
      </c>
    </row>
    <row r="96" spans="3:14" x14ac:dyDescent="0.3">
      <c r="D96" t="s">
        <v>615</v>
      </c>
      <c r="E96">
        <v>5800</v>
      </c>
      <c r="F96" t="s">
        <v>660</v>
      </c>
      <c r="G96" s="118"/>
      <c r="H96" s="118">
        <v>0</v>
      </c>
      <c r="I96" s="118"/>
      <c r="J96" s="118"/>
      <c r="K96" s="118"/>
      <c r="L96" s="118"/>
      <c r="M96" s="118"/>
      <c r="N96" s="118">
        <v>0</v>
      </c>
    </row>
    <row r="97" spans="1:14" x14ac:dyDescent="0.3">
      <c r="E97">
        <v>9500</v>
      </c>
      <c r="F97" t="s">
        <v>660</v>
      </c>
      <c r="G97" s="118"/>
      <c r="H97" s="118">
        <v>0</v>
      </c>
      <c r="I97" s="118"/>
      <c r="J97" s="118"/>
      <c r="K97" s="118"/>
      <c r="L97" s="118"/>
      <c r="M97" s="118"/>
      <c r="N97" s="118">
        <v>0</v>
      </c>
    </row>
    <row r="98" spans="1:14" x14ac:dyDescent="0.3">
      <c r="D98" t="s">
        <v>655</v>
      </c>
      <c r="E98">
        <v>5800</v>
      </c>
      <c r="F98" t="s">
        <v>660</v>
      </c>
      <c r="G98" s="118"/>
      <c r="H98" s="118">
        <v>0</v>
      </c>
      <c r="I98" s="118"/>
      <c r="J98" s="118"/>
      <c r="K98" s="118"/>
      <c r="L98" s="118"/>
      <c r="M98" s="118"/>
      <c r="N98" s="118">
        <v>0</v>
      </c>
    </row>
    <row r="99" spans="1:14" x14ac:dyDescent="0.3">
      <c r="E99">
        <v>9500</v>
      </c>
      <c r="F99" t="s">
        <v>660</v>
      </c>
      <c r="G99" s="118"/>
      <c r="H99" s="118">
        <v>0</v>
      </c>
      <c r="I99" s="118"/>
      <c r="J99" s="118"/>
      <c r="K99" s="118"/>
      <c r="L99" s="118"/>
      <c r="M99" s="118"/>
      <c r="N99" s="118">
        <v>0</v>
      </c>
    </row>
    <row r="100" spans="1:14" x14ac:dyDescent="0.3">
      <c r="C100" t="s">
        <v>662</v>
      </c>
      <c r="G100" s="118"/>
      <c r="H100" s="118">
        <v>0</v>
      </c>
      <c r="I100" s="118"/>
      <c r="J100" s="118"/>
      <c r="K100" s="118"/>
      <c r="L100" s="118"/>
      <c r="M100" s="118"/>
      <c r="N100" s="118">
        <v>0</v>
      </c>
    </row>
    <row r="101" spans="1:14" x14ac:dyDescent="0.3">
      <c r="B101" t="s">
        <v>666</v>
      </c>
      <c r="G101" s="118"/>
      <c r="H101" s="118">
        <v>0</v>
      </c>
      <c r="I101" s="118"/>
      <c r="J101" s="118">
        <v>0</v>
      </c>
      <c r="K101" s="118"/>
      <c r="L101" s="118"/>
      <c r="M101" s="118"/>
      <c r="N101" s="118">
        <v>0</v>
      </c>
    </row>
    <row r="102" spans="1:14" x14ac:dyDescent="0.3">
      <c r="A102" t="s">
        <v>667</v>
      </c>
      <c r="G102" s="118"/>
      <c r="H102" s="118">
        <v>0</v>
      </c>
      <c r="I102" s="118"/>
      <c r="J102" s="118">
        <v>0</v>
      </c>
      <c r="K102" s="118"/>
      <c r="L102" s="118"/>
      <c r="M102" s="118"/>
      <c r="N102" s="118">
        <v>0</v>
      </c>
    </row>
    <row r="103" spans="1:14" x14ac:dyDescent="0.3">
      <c r="A103" t="s">
        <v>630</v>
      </c>
      <c r="B103" t="s">
        <v>575</v>
      </c>
      <c r="C103" t="s">
        <v>602</v>
      </c>
      <c r="D103" t="s">
        <v>583</v>
      </c>
      <c r="E103">
        <v>16000</v>
      </c>
      <c r="F103" t="s">
        <v>582</v>
      </c>
      <c r="G103" s="118"/>
      <c r="H103" s="118">
        <v>6755</v>
      </c>
      <c r="I103" s="118"/>
      <c r="J103" s="118"/>
      <c r="K103" s="118"/>
      <c r="L103" s="118"/>
      <c r="M103" s="118"/>
      <c r="N103" s="118">
        <v>6755</v>
      </c>
    </row>
    <row r="104" spans="1:14" x14ac:dyDescent="0.3">
      <c r="E104">
        <v>28500</v>
      </c>
      <c r="F104" t="s">
        <v>582</v>
      </c>
      <c r="G104" s="118"/>
      <c r="H104" s="118">
        <v>9849</v>
      </c>
      <c r="I104" s="118"/>
      <c r="J104" s="118"/>
      <c r="K104" s="118"/>
      <c r="L104" s="118"/>
      <c r="M104" s="118"/>
      <c r="N104" s="118">
        <v>9849</v>
      </c>
    </row>
    <row r="105" spans="1:14" x14ac:dyDescent="0.3">
      <c r="E105">
        <v>50000</v>
      </c>
      <c r="F105" t="s">
        <v>582</v>
      </c>
      <c r="G105" s="118"/>
      <c r="H105" s="118">
        <v>5733</v>
      </c>
      <c r="I105" s="118"/>
      <c r="J105" s="118"/>
      <c r="K105" s="118"/>
      <c r="L105" s="118"/>
      <c r="M105" s="118"/>
      <c r="N105" s="118">
        <v>5733</v>
      </c>
    </row>
    <row r="106" spans="1:14" x14ac:dyDescent="0.3">
      <c r="D106" t="s">
        <v>606</v>
      </c>
      <c r="E106">
        <v>12000</v>
      </c>
      <c r="F106" t="s">
        <v>582</v>
      </c>
      <c r="G106" s="118"/>
      <c r="H106" s="118"/>
      <c r="I106" s="118"/>
      <c r="J106" s="118"/>
      <c r="K106" s="118">
        <v>33</v>
      </c>
      <c r="L106" s="118"/>
      <c r="M106" s="118"/>
      <c r="N106" s="118">
        <v>33</v>
      </c>
    </row>
    <row r="107" spans="1:14" x14ac:dyDescent="0.3">
      <c r="E107">
        <v>16000</v>
      </c>
      <c r="F107" t="s">
        <v>582</v>
      </c>
      <c r="G107" s="118"/>
      <c r="H107" s="118">
        <v>416</v>
      </c>
      <c r="I107" s="118"/>
      <c r="J107" s="118"/>
      <c r="K107" s="118"/>
      <c r="L107" s="118"/>
      <c r="M107" s="118"/>
      <c r="N107" s="118">
        <v>416</v>
      </c>
    </row>
    <row r="108" spans="1:14" x14ac:dyDescent="0.3">
      <c r="E108">
        <v>32000</v>
      </c>
      <c r="F108" t="s">
        <v>582</v>
      </c>
      <c r="G108" s="118"/>
      <c r="H108" s="118"/>
      <c r="I108" s="118"/>
      <c r="J108" s="118"/>
      <c r="K108" s="118">
        <v>589</v>
      </c>
      <c r="L108" s="118"/>
      <c r="M108" s="118"/>
      <c r="N108" s="118">
        <v>589</v>
      </c>
    </row>
    <row r="109" spans="1:14" x14ac:dyDescent="0.3">
      <c r="E109">
        <v>50000</v>
      </c>
      <c r="F109" t="s">
        <v>582</v>
      </c>
      <c r="G109" s="118"/>
      <c r="H109" s="118">
        <v>13210</v>
      </c>
      <c r="I109" s="118"/>
      <c r="J109" s="118"/>
      <c r="K109" s="118"/>
      <c r="L109" s="118"/>
      <c r="M109" s="118"/>
      <c r="N109" s="118">
        <v>13210</v>
      </c>
    </row>
    <row r="110" spans="1:14" x14ac:dyDescent="0.3">
      <c r="E110">
        <v>107800</v>
      </c>
      <c r="F110" t="s">
        <v>582</v>
      </c>
      <c r="G110" s="118"/>
      <c r="H110" s="118"/>
      <c r="I110" s="118"/>
      <c r="J110" s="118"/>
      <c r="K110" s="118"/>
      <c r="L110" s="118"/>
      <c r="M110" s="118">
        <v>551</v>
      </c>
      <c r="N110" s="118">
        <v>551</v>
      </c>
    </row>
    <row r="111" spans="1:14" x14ac:dyDescent="0.3">
      <c r="D111" t="s">
        <v>607</v>
      </c>
      <c r="E111">
        <v>9500</v>
      </c>
      <c r="F111" t="s">
        <v>582</v>
      </c>
      <c r="G111" s="118"/>
      <c r="H111" s="118">
        <v>3512</v>
      </c>
      <c r="I111" s="118"/>
      <c r="J111" s="118"/>
      <c r="K111" s="118"/>
      <c r="L111" s="118"/>
      <c r="M111" s="118"/>
      <c r="N111" s="118">
        <v>3512</v>
      </c>
    </row>
    <row r="112" spans="1:14" x14ac:dyDescent="0.3">
      <c r="C112" t="s">
        <v>661</v>
      </c>
      <c r="G112" s="118"/>
      <c r="H112" s="118">
        <v>39475</v>
      </c>
      <c r="I112" s="118"/>
      <c r="J112" s="118"/>
      <c r="K112" s="118">
        <v>622</v>
      </c>
      <c r="L112" s="118"/>
      <c r="M112" s="118">
        <v>551</v>
      </c>
      <c r="N112" s="118">
        <v>40648</v>
      </c>
    </row>
    <row r="113" spans="3:14" x14ac:dyDescent="0.3">
      <c r="C113" t="s">
        <v>609</v>
      </c>
      <c r="D113" t="s">
        <v>612</v>
      </c>
      <c r="E113">
        <v>5800</v>
      </c>
      <c r="F113" t="s">
        <v>611</v>
      </c>
      <c r="G113" s="118"/>
      <c r="H113" s="118">
        <v>47</v>
      </c>
      <c r="I113" s="118"/>
      <c r="J113" s="118"/>
      <c r="K113" s="118"/>
      <c r="L113" s="118"/>
      <c r="M113" s="118"/>
      <c r="N113" s="118">
        <v>47</v>
      </c>
    </row>
    <row r="114" spans="3:14" x14ac:dyDescent="0.3">
      <c r="E114">
        <v>9500</v>
      </c>
      <c r="F114" t="s">
        <v>611</v>
      </c>
      <c r="G114" s="118"/>
      <c r="H114" s="118">
        <v>1968</v>
      </c>
      <c r="I114" s="118"/>
      <c r="J114" s="118"/>
      <c r="K114" s="118"/>
      <c r="L114" s="118"/>
      <c r="M114" s="118"/>
      <c r="N114" s="118">
        <v>1968</v>
      </c>
    </row>
    <row r="115" spans="3:14" x14ac:dyDescent="0.3">
      <c r="E115">
        <v>16000</v>
      </c>
      <c r="F115" t="s">
        <v>611</v>
      </c>
      <c r="G115" s="118"/>
      <c r="H115" s="118">
        <v>0</v>
      </c>
      <c r="I115" s="118"/>
      <c r="J115" s="118"/>
      <c r="K115" s="118"/>
      <c r="L115" s="118"/>
      <c r="M115" s="118"/>
      <c r="N115" s="118">
        <v>0</v>
      </c>
    </row>
    <row r="116" spans="3:14" x14ac:dyDescent="0.3">
      <c r="D116" t="s">
        <v>583</v>
      </c>
      <c r="E116">
        <v>16000</v>
      </c>
      <c r="F116" t="s">
        <v>611</v>
      </c>
      <c r="G116" s="118"/>
      <c r="H116" s="118">
        <v>23</v>
      </c>
      <c r="I116" s="118"/>
      <c r="J116" s="118"/>
      <c r="K116" s="118"/>
      <c r="L116" s="118"/>
      <c r="M116" s="118"/>
      <c r="N116" s="118">
        <v>23</v>
      </c>
    </row>
    <row r="117" spans="3:14" x14ac:dyDescent="0.3">
      <c r="E117">
        <v>28500</v>
      </c>
      <c r="F117" t="s">
        <v>611</v>
      </c>
      <c r="G117" s="118"/>
      <c r="H117" s="118">
        <v>544</v>
      </c>
      <c r="I117" s="118"/>
      <c r="J117" s="118"/>
      <c r="K117" s="118"/>
      <c r="L117" s="118"/>
      <c r="M117" s="118"/>
      <c r="N117" s="118">
        <v>544</v>
      </c>
    </row>
    <row r="118" spans="3:14" x14ac:dyDescent="0.3">
      <c r="E118">
        <v>50000</v>
      </c>
      <c r="F118" t="s">
        <v>611</v>
      </c>
      <c r="G118" s="118"/>
      <c r="H118" s="118">
        <v>32</v>
      </c>
      <c r="I118" s="118"/>
      <c r="J118" s="118"/>
      <c r="K118" s="118"/>
      <c r="L118" s="118"/>
      <c r="M118" s="118"/>
      <c r="N118" s="118">
        <v>32</v>
      </c>
    </row>
    <row r="119" spans="3:14" x14ac:dyDescent="0.3">
      <c r="D119" t="s">
        <v>632</v>
      </c>
      <c r="E119">
        <v>5800</v>
      </c>
      <c r="F119" t="s">
        <v>611</v>
      </c>
      <c r="G119" s="118"/>
      <c r="H119" s="118">
        <v>239</v>
      </c>
      <c r="I119" s="118"/>
      <c r="J119" s="118"/>
      <c r="K119" s="118"/>
      <c r="L119" s="118"/>
      <c r="M119" s="118"/>
      <c r="N119" s="118">
        <v>239</v>
      </c>
    </row>
    <row r="120" spans="3:14" x14ac:dyDescent="0.3">
      <c r="E120">
        <v>9500</v>
      </c>
      <c r="F120" t="s">
        <v>611</v>
      </c>
      <c r="G120" s="118"/>
      <c r="H120" s="118">
        <v>2530</v>
      </c>
      <c r="I120" s="118"/>
      <c r="J120" s="118"/>
      <c r="K120" s="118"/>
      <c r="L120" s="118"/>
      <c r="M120" s="118"/>
      <c r="N120" s="118">
        <v>2530</v>
      </c>
    </row>
    <row r="121" spans="3:14" x14ac:dyDescent="0.3">
      <c r="E121">
        <v>16000</v>
      </c>
      <c r="F121" t="s">
        <v>611</v>
      </c>
      <c r="G121" s="118"/>
      <c r="H121" s="118">
        <v>0</v>
      </c>
      <c r="I121" s="118"/>
      <c r="J121" s="118"/>
      <c r="K121" s="118"/>
      <c r="L121" s="118"/>
      <c r="M121" s="118"/>
      <c r="N121" s="118">
        <v>0</v>
      </c>
    </row>
    <row r="122" spans="3:14" x14ac:dyDescent="0.3">
      <c r="D122" t="s">
        <v>615</v>
      </c>
      <c r="E122">
        <v>12000</v>
      </c>
      <c r="F122" t="s">
        <v>611</v>
      </c>
      <c r="G122" s="118"/>
      <c r="H122" s="118"/>
      <c r="I122" s="118"/>
      <c r="J122" s="118"/>
      <c r="K122" s="118">
        <v>20</v>
      </c>
      <c r="L122" s="118"/>
      <c r="M122" s="118"/>
      <c r="N122" s="118">
        <v>20</v>
      </c>
    </row>
    <row r="123" spans="3:14" x14ac:dyDescent="0.3">
      <c r="F123" t="s">
        <v>582</v>
      </c>
      <c r="G123" s="118"/>
      <c r="H123" s="118"/>
      <c r="I123" s="118"/>
      <c r="J123" s="118"/>
      <c r="K123" s="118">
        <v>0</v>
      </c>
      <c r="L123" s="118"/>
      <c r="M123" s="118"/>
      <c r="N123" s="118">
        <v>0</v>
      </c>
    </row>
    <row r="124" spans="3:14" x14ac:dyDescent="0.3">
      <c r="E124">
        <v>16000</v>
      </c>
      <c r="F124" t="s">
        <v>611</v>
      </c>
      <c r="G124" s="118"/>
      <c r="H124" s="118">
        <v>61</v>
      </c>
      <c r="I124" s="118"/>
      <c r="J124" s="118"/>
      <c r="K124" s="118"/>
      <c r="L124" s="118"/>
      <c r="M124" s="118"/>
      <c r="N124" s="118">
        <v>61</v>
      </c>
    </row>
    <row r="125" spans="3:14" x14ac:dyDescent="0.3">
      <c r="F125" t="s">
        <v>582</v>
      </c>
      <c r="G125" s="118"/>
      <c r="H125" s="118">
        <v>0</v>
      </c>
      <c r="I125" s="118"/>
      <c r="J125" s="118"/>
      <c r="K125" s="118"/>
      <c r="L125" s="118"/>
      <c r="M125" s="118"/>
      <c r="N125" s="118">
        <v>0</v>
      </c>
    </row>
    <row r="126" spans="3:14" x14ac:dyDescent="0.3">
      <c r="E126">
        <v>28500</v>
      </c>
      <c r="F126" t="s">
        <v>611</v>
      </c>
      <c r="G126" s="118"/>
      <c r="H126" s="118">
        <v>208</v>
      </c>
      <c r="I126" s="118"/>
      <c r="J126" s="118"/>
      <c r="K126" s="118"/>
      <c r="L126" s="118"/>
      <c r="M126" s="118"/>
      <c r="N126" s="118">
        <v>208</v>
      </c>
    </row>
    <row r="127" spans="3:14" x14ac:dyDescent="0.3">
      <c r="F127" t="s">
        <v>582</v>
      </c>
      <c r="G127" s="118"/>
      <c r="H127" s="118">
        <v>10</v>
      </c>
      <c r="I127" s="118"/>
      <c r="J127" s="118"/>
      <c r="K127" s="118"/>
      <c r="L127" s="118"/>
      <c r="M127" s="118"/>
      <c r="N127" s="118">
        <v>10</v>
      </c>
    </row>
    <row r="128" spans="3:14" x14ac:dyDescent="0.3">
      <c r="E128">
        <v>32000</v>
      </c>
      <c r="F128" t="s">
        <v>611</v>
      </c>
      <c r="G128" s="118"/>
      <c r="H128" s="118"/>
      <c r="I128" s="118"/>
      <c r="J128" s="118"/>
      <c r="K128" s="118">
        <v>100</v>
      </c>
      <c r="L128" s="118"/>
      <c r="M128" s="118"/>
      <c r="N128" s="118">
        <v>100</v>
      </c>
    </row>
    <row r="129" spans="2:14" x14ac:dyDescent="0.3">
      <c r="F129" t="s">
        <v>582</v>
      </c>
      <c r="G129" s="118"/>
      <c r="H129" s="118"/>
      <c r="I129" s="118"/>
      <c r="J129" s="118"/>
      <c r="K129" s="118">
        <v>6</v>
      </c>
      <c r="L129" s="118"/>
      <c r="M129" s="118"/>
      <c r="N129" s="118">
        <v>6</v>
      </c>
    </row>
    <row r="130" spans="2:14" x14ac:dyDescent="0.3">
      <c r="E130">
        <v>50000</v>
      </c>
      <c r="F130" t="s">
        <v>611</v>
      </c>
      <c r="G130" s="118"/>
      <c r="H130" s="118">
        <v>439</v>
      </c>
      <c r="I130" s="118"/>
      <c r="J130" s="118"/>
      <c r="K130" s="118"/>
      <c r="L130" s="118"/>
      <c r="M130" s="118"/>
      <c r="N130" s="118">
        <v>439</v>
      </c>
    </row>
    <row r="131" spans="2:14" x14ac:dyDescent="0.3">
      <c r="F131" t="s">
        <v>582</v>
      </c>
      <c r="G131" s="118"/>
      <c r="H131" s="118">
        <v>40</v>
      </c>
      <c r="I131" s="118"/>
      <c r="J131" s="118"/>
      <c r="K131" s="118"/>
      <c r="L131" s="118"/>
      <c r="M131" s="118"/>
      <c r="N131" s="118">
        <v>40</v>
      </c>
    </row>
    <row r="132" spans="2:14" x14ac:dyDescent="0.3">
      <c r="E132">
        <v>107800</v>
      </c>
      <c r="F132" t="s">
        <v>611</v>
      </c>
      <c r="G132" s="118"/>
      <c r="H132" s="118"/>
      <c r="I132" s="118"/>
      <c r="J132" s="118"/>
      <c r="K132" s="118"/>
      <c r="L132" s="118"/>
      <c r="M132" s="118">
        <v>23</v>
      </c>
      <c r="N132" s="118">
        <v>23</v>
      </c>
    </row>
    <row r="133" spans="2:14" x14ac:dyDescent="0.3">
      <c r="F133" t="s">
        <v>582</v>
      </c>
      <c r="G133" s="118"/>
      <c r="H133" s="118"/>
      <c r="I133" s="118"/>
      <c r="J133" s="118"/>
      <c r="K133" s="118"/>
      <c r="L133" s="118"/>
      <c r="M133" s="118">
        <v>4</v>
      </c>
      <c r="N133" s="118">
        <v>4</v>
      </c>
    </row>
    <row r="134" spans="2:14" x14ac:dyDescent="0.3">
      <c r="D134" t="s">
        <v>616</v>
      </c>
      <c r="E134">
        <v>4000</v>
      </c>
      <c r="F134" t="s">
        <v>611</v>
      </c>
      <c r="G134" s="118"/>
      <c r="H134" s="118">
        <v>49</v>
      </c>
      <c r="I134" s="118"/>
      <c r="J134" s="118"/>
      <c r="K134" s="118"/>
      <c r="L134" s="118"/>
      <c r="M134" s="118"/>
      <c r="N134" s="118">
        <v>49</v>
      </c>
    </row>
    <row r="135" spans="2:14" x14ac:dyDescent="0.3">
      <c r="E135">
        <v>9500</v>
      </c>
      <c r="F135" t="s">
        <v>611</v>
      </c>
      <c r="G135" s="118"/>
      <c r="H135" s="118">
        <v>8</v>
      </c>
      <c r="I135" s="118"/>
      <c r="J135" s="118"/>
      <c r="K135" s="118"/>
      <c r="L135" s="118"/>
      <c r="M135" s="118"/>
      <c r="N135" s="118">
        <v>8</v>
      </c>
    </row>
    <row r="136" spans="2:14" x14ac:dyDescent="0.3">
      <c r="D136" t="s">
        <v>633</v>
      </c>
      <c r="E136">
        <v>5800</v>
      </c>
      <c r="F136" t="s">
        <v>613</v>
      </c>
      <c r="G136" s="118"/>
      <c r="H136" s="118">
        <v>53</v>
      </c>
      <c r="I136" s="118"/>
      <c r="J136" s="118"/>
      <c r="K136" s="118"/>
      <c r="L136" s="118"/>
      <c r="M136" s="118"/>
      <c r="N136" s="118">
        <v>53</v>
      </c>
    </row>
    <row r="137" spans="2:14" x14ac:dyDescent="0.3">
      <c r="E137">
        <v>9500</v>
      </c>
      <c r="F137" t="s">
        <v>613</v>
      </c>
      <c r="G137" s="118"/>
      <c r="H137" s="118">
        <v>214</v>
      </c>
      <c r="I137" s="118"/>
      <c r="J137" s="118"/>
      <c r="K137" s="118"/>
      <c r="L137" s="118"/>
      <c r="M137" s="118"/>
      <c r="N137" s="118">
        <v>214</v>
      </c>
    </row>
    <row r="138" spans="2:14" x14ac:dyDescent="0.3">
      <c r="D138" t="s">
        <v>614</v>
      </c>
      <c r="E138">
        <v>5800</v>
      </c>
      <c r="F138" t="s">
        <v>613</v>
      </c>
      <c r="G138" s="118"/>
      <c r="H138" s="118">
        <v>51</v>
      </c>
      <c r="I138" s="118"/>
      <c r="J138" s="118"/>
      <c r="K138" s="118"/>
      <c r="L138" s="118"/>
      <c r="M138" s="118"/>
      <c r="N138" s="118">
        <v>51</v>
      </c>
    </row>
    <row r="139" spans="2:14" x14ac:dyDescent="0.3">
      <c r="E139">
        <v>9500</v>
      </c>
      <c r="F139" t="s">
        <v>613</v>
      </c>
      <c r="G139" s="118"/>
      <c r="H139" s="118">
        <v>873</v>
      </c>
      <c r="I139" s="118"/>
      <c r="J139" s="118"/>
      <c r="K139" s="118"/>
      <c r="L139" s="118"/>
      <c r="M139" s="118"/>
      <c r="N139" s="118">
        <v>873</v>
      </c>
    </row>
    <row r="140" spans="2:14" x14ac:dyDescent="0.3">
      <c r="D140" t="s">
        <v>634</v>
      </c>
      <c r="E140" t="s">
        <v>645</v>
      </c>
      <c r="F140" t="s">
        <v>639</v>
      </c>
      <c r="G140" s="118"/>
      <c r="H140" s="118">
        <v>0</v>
      </c>
      <c r="I140" s="118"/>
      <c r="J140" s="118"/>
      <c r="K140" s="118"/>
      <c r="L140" s="118"/>
      <c r="M140" s="118"/>
      <c r="N140" s="118">
        <v>0</v>
      </c>
    </row>
    <row r="141" spans="2:14" x14ac:dyDescent="0.3">
      <c r="C141" t="s">
        <v>662</v>
      </c>
      <c r="G141" s="118"/>
      <c r="H141" s="118">
        <v>7389</v>
      </c>
      <c r="I141" s="118"/>
      <c r="J141" s="118"/>
      <c r="K141" s="118">
        <v>126</v>
      </c>
      <c r="L141" s="118"/>
      <c r="M141" s="118">
        <v>27</v>
      </c>
      <c r="N141" s="118">
        <v>7542</v>
      </c>
    </row>
    <row r="142" spans="2:14" x14ac:dyDescent="0.3">
      <c r="B142" t="s">
        <v>663</v>
      </c>
      <c r="G142" s="118"/>
      <c r="H142" s="118">
        <v>46864</v>
      </c>
      <c r="I142" s="118"/>
      <c r="J142" s="118"/>
      <c r="K142" s="118">
        <v>748</v>
      </c>
      <c r="L142" s="118"/>
      <c r="M142" s="118">
        <v>578</v>
      </c>
      <c r="N142" s="118">
        <v>48190</v>
      </c>
    </row>
    <row r="143" spans="2:14" x14ac:dyDescent="0.3">
      <c r="B143" t="s">
        <v>576</v>
      </c>
      <c r="C143" t="s">
        <v>602</v>
      </c>
      <c r="D143" t="s">
        <v>583</v>
      </c>
      <c r="E143">
        <v>13000</v>
      </c>
      <c r="F143" t="s">
        <v>582</v>
      </c>
      <c r="G143" s="118"/>
      <c r="H143" s="118"/>
      <c r="I143" s="118"/>
      <c r="J143" s="118">
        <v>3481</v>
      </c>
      <c r="K143" s="118"/>
      <c r="L143" s="118"/>
      <c r="M143" s="118"/>
      <c r="N143" s="118">
        <v>3481</v>
      </c>
    </row>
    <row r="144" spans="2:14" x14ac:dyDescent="0.3">
      <c r="E144">
        <v>25000</v>
      </c>
      <c r="F144" t="s">
        <v>582</v>
      </c>
      <c r="G144" s="118"/>
      <c r="H144" s="118"/>
      <c r="I144" s="118"/>
      <c r="J144" s="118">
        <v>3492</v>
      </c>
      <c r="K144" s="118"/>
      <c r="L144" s="118"/>
      <c r="M144" s="118"/>
      <c r="N144" s="118">
        <v>3492</v>
      </c>
    </row>
    <row r="145" spans="3:14" x14ac:dyDescent="0.3">
      <c r="E145">
        <v>60000</v>
      </c>
      <c r="F145" t="s">
        <v>582</v>
      </c>
      <c r="G145" s="118"/>
      <c r="H145" s="118"/>
      <c r="I145" s="118"/>
      <c r="J145" s="118">
        <v>41</v>
      </c>
      <c r="K145" s="118"/>
      <c r="L145" s="118"/>
      <c r="M145" s="118"/>
      <c r="N145" s="118">
        <v>41</v>
      </c>
    </row>
    <row r="146" spans="3:14" x14ac:dyDescent="0.3">
      <c r="D146" t="s">
        <v>636</v>
      </c>
      <c r="E146">
        <v>8000</v>
      </c>
      <c r="F146" t="s">
        <v>582</v>
      </c>
      <c r="G146" s="118"/>
      <c r="H146" s="118"/>
      <c r="I146" s="118"/>
      <c r="J146" s="118">
        <v>3786</v>
      </c>
      <c r="K146" s="118"/>
      <c r="L146" s="118"/>
      <c r="M146" s="118"/>
      <c r="N146" s="118">
        <v>3786</v>
      </c>
    </row>
    <row r="147" spans="3:14" x14ac:dyDescent="0.3">
      <c r="D147" t="s">
        <v>606</v>
      </c>
      <c r="E147">
        <v>12000</v>
      </c>
      <c r="F147" t="s">
        <v>637</v>
      </c>
      <c r="G147" s="118"/>
      <c r="H147" s="118"/>
      <c r="I147" s="118"/>
      <c r="J147" s="118"/>
      <c r="K147" s="118">
        <v>8</v>
      </c>
      <c r="L147" s="118"/>
      <c r="M147" s="118"/>
      <c r="N147" s="118">
        <v>8</v>
      </c>
    </row>
    <row r="148" spans="3:14" x14ac:dyDescent="0.3">
      <c r="E148">
        <v>25000</v>
      </c>
      <c r="F148" t="s">
        <v>582</v>
      </c>
      <c r="G148" s="118"/>
      <c r="H148" s="118"/>
      <c r="I148" s="118"/>
      <c r="J148" s="118">
        <v>728</v>
      </c>
      <c r="K148" s="118"/>
      <c r="L148" s="118"/>
      <c r="M148" s="118"/>
      <c r="N148" s="118">
        <v>728</v>
      </c>
    </row>
    <row r="149" spans="3:14" x14ac:dyDescent="0.3">
      <c r="E149">
        <v>32000</v>
      </c>
      <c r="F149" t="s">
        <v>638</v>
      </c>
      <c r="G149" s="118"/>
      <c r="H149" s="118"/>
      <c r="I149" s="118"/>
      <c r="J149" s="118"/>
      <c r="K149" s="118">
        <v>2</v>
      </c>
      <c r="L149" s="118"/>
      <c r="M149" s="118"/>
      <c r="N149" s="118">
        <v>2</v>
      </c>
    </row>
    <row r="150" spans="3:14" x14ac:dyDescent="0.3">
      <c r="F150" t="s">
        <v>637</v>
      </c>
      <c r="G150" s="118"/>
      <c r="H150" s="118"/>
      <c r="I150" s="118"/>
      <c r="J150" s="118"/>
      <c r="K150" s="118">
        <v>54</v>
      </c>
      <c r="L150" s="118"/>
      <c r="M150" s="118"/>
      <c r="N150" s="118">
        <v>54</v>
      </c>
    </row>
    <row r="151" spans="3:14" x14ac:dyDescent="0.3">
      <c r="E151">
        <v>60000</v>
      </c>
      <c r="F151" t="s">
        <v>582</v>
      </c>
      <c r="G151" s="118"/>
      <c r="H151" s="118"/>
      <c r="I151" s="118"/>
      <c r="J151" s="118">
        <v>324</v>
      </c>
      <c r="K151" s="118"/>
      <c r="L151" s="118"/>
      <c r="M151" s="118"/>
      <c r="N151" s="118">
        <v>324</v>
      </c>
    </row>
    <row r="152" spans="3:14" x14ac:dyDescent="0.3">
      <c r="E152">
        <v>107800</v>
      </c>
      <c r="F152" t="s">
        <v>637</v>
      </c>
      <c r="G152" s="118"/>
      <c r="H152" s="118"/>
      <c r="I152" s="118"/>
      <c r="J152" s="118"/>
      <c r="K152" s="118"/>
      <c r="L152" s="118"/>
      <c r="M152" s="118">
        <v>63</v>
      </c>
      <c r="N152" s="118">
        <v>63</v>
      </c>
    </row>
    <row r="153" spans="3:14" x14ac:dyDescent="0.3">
      <c r="D153" t="s">
        <v>607</v>
      </c>
      <c r="E153">
        <v>4000</v>
      </c>
      <c r="F153" t="s">
        <v>582</v>
      </c>
      <c r="G153" s="118"/>
      <c r="H153" s="118"/>
      <c r="I153" s="118"/>
      <c r="J153" s="118">
        <v>74</v>
      </c>
      <c r="K153" s="118"/>
      <c r="L153" s="118"/>
      <c r="M153" s="118"/>
      <c r="N153" s="118">
        <v>74</v>
      </c>
    </row>
    <row r="154" spans="3:14" x14ac:dyDescent="0.3">
      <c r="D154" t="s">
        <v>640</v>
      </c>
      <c r="E154" t="s">
        <v>639</v>
      </c>
      <c r="F154" t="s">
        <v>639</v>
      </c>
      <c r="G154" s="118"/>
      <c r="H154" s="118"/>
      <c r="I154" s="118"/>
      <c r="J154" s="118"/>
      <c r="K154" s="118"/>
      <c r="L154" s="118">
        <v>0</v>
      </c>
      <c r="M154" s="118"/>
      <c r="N154" s="118">
        <v>0</v>
      </c>
    </row>
    <row r="155" spans="3:14" x14ac:dyDescent="0.3">
      <c r="D155" t="s">
        <v>641</v>
      </c>
      <c r="E155" t="s">
        <v>639</v>
      </c>
      <c r="F155" t="s">
        <v>639</v>
      </c>
      <c r="G155" s="118"/>
      <c r="H155" s="118"/>
      <c r="I155" s="118"/>
      <c r="J155" s="118"/>
      <c r="K155" s="118"/>
      <c r="L155" s="118">
        <v>0</v>
      </c>
      <c r="M155" s="118"/>
      <c r="N155" s="118">
        <v>0</v>
      </c>
    </row>
    <row r="156" spans="3:14" x14ac:dyDescent="0.3">
      <c r="C156" t="s">
        <v>661</v>
      </c>
      <c r="G156" s="118"/>
      <c r="H156" s="118"/>
      <c r="I156" s="118"/>
      <c r="J156" s="118">
        <v>11926</v>
      </c>
      <c r="K156" s="118">
        <v>64</v>
      </c>
      <c r="L156" s="118">
        <v>0</v>
      </c>
      <c r="M156" s="118">
        <v>63</v>
      </c>
      <c r="N156" s="118">
        <v>12053</v>
      </c>
    </row>
    <row r="157" spans="3:14" x14ac:dyDescent="0.3">
      <c r="C157" t="s">
        <v>609</v>
      </c>
      <c r="D157" t="s">
        <v>649</v>
      </c>
      <c r="E157" t="s">
        <v>639</v>
      </c>
      <c r="F157" t="s">
        <v>639</v>
      </c>
      <c r="G157" s="118"/>
      <c r="H157" s="118"/>
      <c r="I157" s="118"/>
      <c r="J157" s="118"/>
      <c r="K157" s="118"/>
      <c r="L157" s="118">
        <v>0</v>
      </c>
      <c r="M157" s="118"/>
      <c r="N157" s="118">
        <v>0</v>
      </c>
    </row>
    <row r="158" spans="3:14" x14ac:dyDescent="0.3">
      <c r="D158" t="s">
        <v>648</v>
      </c>
      <c r="E158" t="s">
        <v>639</v>
      </c>
      <c r="F158" t="s">
        <v>639</v>
      </c>
      <c r="G158" s="118"/>
      <c r="H158" s="118"/>
      <c r="I158" s="118"/>
      <c r="J158" s="118"/>
      <c r="K158" s="118"/>
      <c r="L158" s="118">
        <v>0</v>
      </c>
      <c r="M158" s="118"/>
      <c r="N158" s="118">
        <v>0</v>
      </c>
    </row>
    <row r="159" spans="3:14" x14ac:dyDescent="0.3">
      <c r="D159" t="s">
        <v>644</v>
      </c>
      <c r="E159">
        <v>9500</v>
      </c>
      <c r="F159" t="s">
        <v>611</v>
      </c>
      <c r="G159" s="118"/>
      <c r="H159" s="118">
        <v>48</v>
      </c>
      <c r="I159" s="118"/>
      <c r="J159" s="118"/>
      <c r="K159" s="118"/>
      <c r="L159" s="118"/>
      <c r="M159" s="118"/>
      <c r="N159" s="118">
        <v>48</v>
      </c>
    </row>
    <row r="160" spans="3:14" x14ac:dyDescent="0.3">
      <c r="E160">
        <v>16000</v>
      </c>
      <c r="F160" t="s">
        <v>611</v>
      </c>
      <c r="G160" s="118"/>
      <c r="H160" s="118">
        <v>119</v>
      </c>
      <c r="I160" s="118"/>
      <c r="J160" s="118"/>
      <c r="K160" s="118"/>
      <c r="L160" s="118"/>
      <c r="M160" s="118"/>
      <c r="N160" s="118">
        <v>119</v>
      </c>
    </row>
    <row r="161" spans="4:14" x14ac:dyDescent="0.3">
      <c r="D161" t="s">
        <v>621</v>
      </c>
      <c r="E161">
        <v>4000</v>
      </c>
      <c r="F161" t="s">
        <v>611</v>
      </c>
      <c r="G161" s="118"/>
      <c r="H161" s="118"/>
      <c r="I161" s="118"/>
      <c r="J161" s="118">
        <v>73</v>
      </c>
      <c r="K161" s="118"/>
      <c r="L161" s="118"/>
      <c r="M161" s="118"/>
      <c r="N161" s="118">
        <v>73</v>
      </c>
    </row>
    <row r="162" spans="4:14" x14ac:dyDescent="0.3">
      <c r="E162">
        <v>8000</v>
      </c>
      <c r="F162" t="s">
        <v>611</v>
      </c>
      <c r="G162" s="118"/>
      <c r="H162" s="118"/>
      <c r="I162" s="118"/>
      <c r="J162" s="118">
        <v>1375</v>
      </c>
      <c r="K162" s="118"/>
      <c r="L162" s="118"/>
      <c r="M162" s="118"/>
      <c r="N162" s="118">
        <v>1375</v>
      </c>
    </row>
    <row r="163" spans="4:14" x14ac:dyDescent="0.3">
      <c r="D163" t="s">
        <v>643</v>
      </c>
      <c r="E163">
        <v>5800</v>
      </c>
      <c r="F163" t="s">
        <v>611</v>
      </c>
      <c r="G163" s="118"/>
      <c r="H163" s="118">
        <v>1347</v>
      </c>
      <c r="I163" s="118"/>
      <c r="J163" s="118"/>
      <c r="K163" s="118"/>
      <c r="L163" s="118"/>
      <c r="M163" s="118"/>
      <c r="N163" s="118">
        <v>1347</v>
      </c>
    </row>
    <row r="164" spans="4:14" x14ac:dyDescent="0.3">
      <c r="E164">
        <v>9500</v>
      </c>
      <c r="F164" t="s">
        <v>611</v>
      </c>
      <c r="G164" s="118"/>
      <c r="H164" s="118">
        <v>17147</v>
      </c>
      <c r="I164" s="118"/>
      <c r="J164" s="118"/>
      <c r="K164" s="118"/>
      <c r="L164" s="118"/>
      <c r="M164" s="118"/>
      <c r="N164" s="118">
        <v>17147</v>
      </c>
    </row>
    <row r="165" spans="4:14" x14ac:dyDescent="0.3">
      <c r="E165">
        <v>16000</v>
      </c>
      <c r="F165" t="s">
        <v>611</v>
      </c>
      <c r="G165" s="118"/>
      <c r="H165" s="118">
        <v>2327</v>
      </c>
      <c r="I165" s="118"/>
      <c r="J165" s="118"/>
      <c r="K165" s="118"/>
      <c r="L165" s="118"/>
      <c r="M165" s="118"/>
      <c r="N165" s="118">
        <v>2327</v>
      </c>
    </row>
    <row r="166" spans="4:14" x14ac:dyDescent="0.3">
      <c r="D166" t="s">
        <v>650</v>
      </c>
      <c r="E166">
        <v>25000</v>
      </c>
      <c r="F166" t="s">
        <v>582</v>
      </c>
      <c r="G166" s="118"/>
      <c r="H166" s="118"/>
      <c r="I166" s="118"/>
      <c r="J166" s="118">
        <v>0</v>
      </c>
      <c r="K166" s="118"/>
      <c r="L166" s="118"/>
      <c r="M166" s="118"/>
      <c r="N166" s="118">
        <v>0</v>
      </c>
    </row>
    <row r="167" spans="4:14" x14ac:dyDescent="0.3">
      <c r="D167" t="s">
        <v>583</v>
      </c>
      <c r="E167">
        <v>8000</v>
      </c>
      <c r="F167" t="s">
        <v>611</v>
      </c>
      <c r="G167" s="118"/>
      <c r="H167" s="118"/>
      <c r="I167" s="118"/>
      <c r="J167" s="118">
        <v>50</v>
      </c>
      <c r="K167" s="118"/>
      <c r="L167" s="118"/>
      <c r="M167" s="118"/>
      <c r="N167" s="118">
        <v>50</v>
      </c>
    </row>
    <row r="168" spans="4:14" x14ac:dyDescent="0.3">
      <c r="E168">
        <v>13000</v>
      </c>
      <c r="F168" t="s">
        <v>611</v>
      </c>
      <c r="G168" s="118"/>
      <c r="H168" s="118"/>
      <c r="I168" s="118"/>
      <c r="J168" s="118">
        <v>479</v>
      </c>
      <c r="K168" s="118"/>
      <c r="L168" s="118"/>
      <c r="M168" s="118"/>
      <c r="N168" s="118">
        <v>479</v>
      </c>
    </row>
    <row r="169" spans="4:14" x14ac:dyDescent="0.3">
      <c r="E169">
        <v>25000</v>
      </c>
      <c r="F169" t="s">
        <v>611</v>
      </c>
      <c r="G169" s="118"/>
      <c r="H169" s="118"/>
      <c r="I169" s="118"/>
      <c r="J169" s="118">
        <v>476</v>
      </c>
      <c r="K169" s="118"/>
      <c r="L169" s="118"/>
      <c r="M169" s="118"/>
      <c r="N169" s="118">
        <v>476</v>
      </c>
    </row>
    <row r="170" spans="4:14" x14ac:dyDescent="0.3">
      <c r="D170" t="s">
        <v>642</v>
      </c>
      <c r="E170">
        <v>16000</v>
      </c>
      <c r="F170" t="s">
        <v>611</v>
      </c>
      <c r="G170" s="118"/>
      <c r="H170" s="118">
        <v>521</v>
      </c>
      <c r="I170" s="118"/>
      <c r="J170" s="118"/>
      <c r="K170" s="118"/>
      <c r="L170" s="118"/>
      <c r="M170" s="118"/>
      <c r="N170" s="118">
        <v>521</v>
      </c>
    </row>
    <row r="171" spans="4:14" x14ac:dyDescent="0.3">
      <c r="E171">
        <v>28500</v>
      </c>
      <c r="F171" t="s">
        <v>611</v>
      </c>
      <c r="G171" s="118"/>
      <c r="H171" s="118">
        <v>2080</v>
      </c>
      <c r="I171" s="118"/>
      <c r="J171" s="118"/>
      <c r="K171" s="118"/>
      <c r="L171" s="118"/>
      <c r="M171" s="118"/>
      <c r="N171" s="118">
        <v>2080</v>
      </c>
    </row>
    <row r="172" spans="4:14" x14ac:dyDescent="0.3">
      <c r="E172">
        <v>50000</v>
      </c>
      <c r="F172" t="s">
        <v>611</v>
      </c>
      <c r="G172" s="118"/>
      <c r="H172" s="118">
        <v>2320</v>
      </c>
      <c r="I172" s="118"/>
      <c r="J172" s="118"/>
      <c r="K172" s="118"/>
      <c r="L172" s="118"/>
      <c r="M172" s="118"/>
      <c r="N172" s="118">
        <v>2320</v>
      </c>
    </row>
    <row r="173" spans="4:14" x14ac:dyDescent="0.3">
      <c r="D173" t="s">
        <v>615</v>
      </c>
      <c r="E173">
        <v>120000</v>
      </c>
      <c r="F173" t="s">
        <v>611</v>
      </c>
      <c r="G173" s="118"/>
      <c r="H173" s="118">
        <v>17</v>
      </c>
      <c r="I173" s="118"/>
      <c r="J173" s="118"/>
      <c r="K173" s="118"/>
      <c r="L173" s="118"/>
      <c r="M173" s="118"/>
      <c r="N173" s="118">
        <v>17</v>
      </c>
    </row>
    <row r="174" spans="4:14" x14ac:dyDescent="0.3">
      <c r="F174" t="s">
        <v>582</v>
      </c>
      <c r="G174" s="118"/>
      <c r="H174" s="118">
        <v>11</v>
      </c>
      <c r="I174" s="118"/>
      <c r="J174" s="118"/>
      <c r="K174" s="118"/>
      <c r="L174" s="118"/>
      <c r="M174" s="118"/>
      <c r="N174" s="118">
        <v>11</v>
      </c>
    </row>
    <row r="175" spans="4:14" x14ac:dyDescent="0.3">
      <c r="D175" t="s">
        <v>651</v>
      </c>
      <c r="E175">
        <v>1500</v>
      </c>
      <c r="F175" t="s">
        <v>611</v>
      </c>
      <c r="G175" s="118"/>
      <c r="H175" s="118"/>
      <c r="I175" s="118">
        <v>17</v>
      </c>
      <c r="J175" s="118"/>
      <c r="K175" s="118"/>
      <c r="L175" s="118"/>
      <c r="M175" s="118"/>
      <c r="N175" s="118">
        <v>17</v>
      </c>
    </row>
    <row r="176" spans="4:14" x14ac:dyDescent="0.3">
      <c r="E176">
        <v>6000</v>
      </c>
      <c r="F176" t="s">
        <v>611</v>
      </c>
      <c r="G176" s="118"/>
      <c r="H176" s="118"/>
      <c r="I176" s="118">
        <v>39</v>
      </c>
      <c r="J176" s="118"/>
      <c r="K176" s="118"/>
      <c r="L176" s="118"/>
      <c r="M176" s="118"/>
      <c r="N176" s="118">
        <v>39</v>
      </c>
    </row>
    <row r="177" spans="1:14" x14ac:dyDescent="0.3">
      <c r="D177" t="s">
        <v>633</v>
      </c>
      <c r="E177">
        <v>5800</v>
      </c>
      <c r="F177" t="s">
        <v>611</v>
      </c>
      <c r="G177" s="118"/>
      <c r="H177" s="118">
        <v>34</v>
      </c>
      <c r="I177" s="118"/>
      <c r="J177" s="118"/>
      <c r="K177" s="118"/>
      <c r="L177" s="118"/>
      <c r="M177" s="118"/>
      <c r="N177" s="118">
        <v>34</v>
      </c>
    </row>
    <row r="178" spans="1:14" x14ac:dyDescent="0.3">
      <c r="F178" t="s">
        <v>582</v>
      </c>
      <c r="G178" s="118"/>
      <c r="H178" s="118">
        <v>106</v>
      </c>
      <c r="I178" s="118"/>
      <c r="J178" s="118"/>
      <c r="K178" s="118"/>
      <c r="L178" s="118"/>
      <c r="M178" s="118"/>
      <c r="N178" s="118">
        <v>106</v>
      </c>
    </row>
    <row r="179" spans="1:14" x14ac:dyDescent="0.3">
      <c r="E179">
        <v>9500</v>
      </c>
      <c r="F179" t="s">
        <v>611</v>
      </c>
      <c r="G179" s="118"/>
      <c r="H179" s="118">
        <v>277</v>
      </c>
      <c r="I179" s="118"/>
      <c r="J179" s="118"/>
      <c r="K179" s="118"/>
      <c r="L179" s="118"/>
      <c r="M179" s="118"/>
      <c r="N179" s="118">
        <v>277</v>
      </c>
    </row>
    <row r="180" spans="1:14" x14ac:dyDescent="0.3">
      <c r="F180" t="s">
        <v>582</v>
      </c>
      <c r="G180" s="118"/>
      <c r="H180" s="118">
        <v>82</v>
      </c>
      <c r="I180" s="118"/>
      <c r="J180" s="118"/>
      <c r="K180" s="118"/>
      <c r="L180" s="118"/>
      <c r="M180" s="118"/>
      <c r="N180" s="118">
        <v>82</v>
      </c>
    </row>
    <row r="181" spans="1:14" x14ac:dyDescent="0.3">
      <c r="D181" t="s">
        <v>614</v>
      </c>
      <c r="E181">
        <v>5800</v>
      </c>
      <c r="F181" t="s">
        <v>611</v>
      </c>
      <c r="G181" s="118"/>
      <c r="H181" s="118">
        <v>13</v>
      </c>
      <c r="I181" s="118"/>
      <c r="J181" s="118"/>
      <c r="K181" s="118"/>
      <c r="L181" s="118"/>
      <c r="M181" s="118"/>
      <c r="N181" s="118">
        <v>13</v>
      </c>
    </row>
    <row r="182" spans="1:14" x14ac:dyDescent="0.3">
      <c r="F182" t="s">
        <v>582</v>
      </c>
      <c r="G182" s="118"/>
      <c r="H182" s="118">
        <v>46</v>
      </c>
      <c r="I182" s="118"/>
      <c r="J182" s="118"/>
      <c r="K182" s="118"/>
      <c r="L182" s="118"/>
      <c r="M182" s="118"/>
      <c r="N182" s="118">
        <v>46</v>
      </c>
    </row>
    <row r="183" spans="1:14" x14ac:dyDescent="0.3">
      <c r="E183">
        <v>9500</v>
      </c>
      <c r="F183" t="s">
        <v>611</v>
      </c>
      <c r="G183" s="118"/>
      <c r="H183" s="118">
        <v>10</v>
      </c>
      <c r="I183" s="118"/>
      <c r="J183" s="118"/>
      <c r="K183" s="118"/>
      <c r="L183" s="118"/>
      <c r="M183" s="118"/>
      <c r="N183" s="118">
        <v>10</v>
      </c>
    </row>
    <row r="184" spans="1:14" x14ac:dyDescent="0.3">
      <c r="F184" t="s">
        <v>582</v>
      </c>
      <c r="G184" s="118"/>
      <c r="H184" s="118">
        <v>245</v>
      </c>
      <c r="I184" s="118"/>
      <c r="J184" s="118"/>
      <c r="K184" s="118"/>
      <c r="L184" s="118"/>
      <c r="M184" s="118"/>
      <c r="N184" s="118">
        <v>245</v>
      </c>
    </row>
    <row r="185" spans="1:14" x14ac:dyDescent="0.3">
      <c r="D185" t="s">
        <v>647</v>
      </c>
      <c r="E185" t="s">
        <v>645</v>
      </c>
      <c r="F185" t="s">
        <v>639</v>
      </c>
      <c r="G185" s="118">
        <v>0</v>
      </c>
      <c r="H185" s="118"/>
      <c r="I185" s="118"/>
      <c r="J185" s="118"/>
      <c r="K185" s="118"/>
      <c r="L185" s="118"/>
      <c r="M185" s="118"/>
      <c r="N185" s="118">
        <v>0</v>
      </c>
    </row>
    <row r="186" spans="1:14" x14ac:dyDescent="0.3">
      <c r="D186" t="s">
        <v>646</v>
      </c>
      <c r="E186" t="s">
        <v>645</v>
      </c>
      <c r="F186" t="s">
        <v>639</v>
      </c>
      <c r="G186" s="118">
        <v>0</v>
      </c>
      <c r="H186" s="118"/>
      <c r="I186" s="118"/>
      <c r="J186" s="118"/>
      <c r="K186" s="118"/>
      <c r="L186" s="118"/>
      <c r="M186" s="118"/>
      <c r="N186" s="118">
        <v>0</v>
      </c>
    </row>
    <row r="187" spans="1:14" x14ac:dyDescent="0.3">
      <c r="C187" t="s">
        <v>662</v>
      </c>
      <c r="G187" s="118">
        <v>0</v>
      </c>
      <c r="H187" s="118">
        <v>26750</v>
      </c>
      <c r="I187" s="118">
        <v>56</v>
      </c>
      <c r="J187" s="118">
        <v>2453</v>
      </c>
      <c r="K187" s="118"/>
      <c r="L187" s="118">
        <v>0</v>
      </c>
      <c r="M187" s="118"/>
      <c r="N187" s="118">
        <v>29259</v>
      </c>
    </row>
    <row r="188" spans="1:14" x14ac:dyDescent="0.3">
      <c r="B188" t="s">
        <v>664</v>
      </c>
      <c r="G188" s="118">
        <v>0</v>
      </c>
      <c r="H188" s="118">
        <v>26750</v>
      </c>
      <c r="I188" s="118">
        <v>56</v>
      </c>
      <c r="J188" s="118">
        <v>14379</v>
      </c>
      <c r="K188" s="118">
        <v>64</v>
      </c>
      <c r="L188" s="118">
        <v>0</v>
      </c>
      <c r="M188" s="118">
        <v>63</v>
      </c>
      <c r="N188" s="118">
        <v>41312</v>
      </c>
    </row>
    <row r="189" spans="1:14" x14ac:dyDescent="0.3">
      <c r="A189" t="s">
        <v>668</v>
      </c>
      <c r="G189" s="118">
        <v>0</v>
      </c>
      <c r="H189" s="118">
        <v>73614</v>
      </c>
      <c r="I189" s="118">
        <v>56</v>
      </c>
      <c r="J189" s="118">
        <v>14379</v>
      </c>
      <c r="K189" s="118">
        <v>812</v>
      </c>
      <c r="L189" s="118">
        <v>0</v>
      </c>
      <c r="M189" s="118">
        <v>641</v>
      </c>
      <c r="N189" s="118">
        <v>89502</v>
      </c>
    </row>
    <row r="190" spans="1:14" x14ac:dyDescent="0.3">
      <c r="A190" t="s">
        <v>153</v>
      </c>
      <c r="B190" t="s">
        <v>625</v>
      </c>
      <c r="C190" t="s">
        <v>602</v>
      </c>
      <c r="D190" t="s">
        <v>583</v>
      </c>
      <c r="E190">
        <v>22000</v>
      </c>
      <c r="F190" t="s">
        <v>582</v>
      </c>
      <c r="G190" s="118"/>
      <c r="H190" s="118">
        <v>4</v>
      </c>
      <c r="I190" s="118"/>
      <c r="J190" s="118"/>
      <c r="K190" s="118"/>
      <c r="L190" s="118"/>
      <c r="M190" s="118"/>
      <c r="N190" s="118">
        <v>4</v>
      </c>
    </row>
    <row r="191" spans="1:14" x14ac:dyDescent="0.3">
      <c r="E191">
        <v>50000</v>
      </c>
      <c r="F191" t="s">
        <v>582</v>
      </c>
      <c r="G191" s="118"/>
      <c r="H191" s="118">
        <v>1</v>
      </c>
      <c r="I191" s="118"/>
      <c r="J191" s="118"/>
      <c r="K191" s="118"/>
      <c r="L191" s="118"/>
      <c r="M191" s="118"/>
      <c r="N191" s="118">
        <v>1</v>
      </c>
    </row>
    <row r="192" spans="1:14" x14ac:dyDescent="0.3">
      <c r="D192" t="s">
        <v>606</v>
      </c>
      <c r="E192">
        <v>9500</v>
      </c>
      <c r="F192" t="s">
        <v>582</v>
      </c>
      <c r="G192" s="118"/>
      <c r="H192" s="118">
        <v>174</v>
      </c>
      <c r="I192" s="118"/>
      <c r="J192" s="118"/>
      <c r="K192" s="118"/>
      <c r="L192" s="118"/>
      <c r="M192" s="118"/>
      <c r="N192" s="118">
        <v>174</v>
      </c>
    </row>
    <row r="193" spans="1:14" x14ac:dyDescent="0.3">
      <c r="E193">
        <v>22000</v>
      </c>
      <c r="F193" t="s">
        <v>582</v>
      </c>
      <c r="G193" s="118"/>
      <c r="H193" s="118">
        <v>159</v>
      </c>
      <c r="I193" s="118"/>
      <c r="J193" s="118"/>
      <c r="K193" s="118"/>
      <c r="L193" s="118"/>
      <c r="M193" s="118"/>
      <c r="N193" s="118">
        <v>159</v>
      </c>
    </row>
    <row r="194" spans="1:14" x14ac:dyDescent="0.3">
      <c r="E194">
        <v>50000</v>
      </c>
      <c r="F194" t="s">
        <v>582</v>
      </c>
      <c r="G194" s="118"/>
      <c r="H194" s="118">
        <v>135</v>
      </c>
      <c r="I194" s="118"/>
      <c r="J194" s="118"/>
      <c r="K194" s="118"/>
      <c r="L194" s="118"/>
      <c r="M194" s="118"/>
      <c r="N194" s="118">
        <v>135</v>
      </c>
    </row>
    <row r="195" spans="1:14" x14ac:dyDescent="0.3">
      <c r="D195" t="s">
        <v>607</v>
      </c>
      <c r="E195">
        <v>7000</v>
      </c>
      <c r="F195" t="s">
        <v>582</v>
      </c>
      <c r="G195" s="118"/>
      <c r="H195" s="118"/>
      <c r="I195" s="118"/>
      <c r="J195" s="118">
        <v>1622</v>
      </c>
      <c r="K195" s="118"/>
      <c r="L195" s="118"/>
      <c r="M195" s="118"/>
      <c r="N195" s="118">
        <v>1622</v>
      </c>
    </row>
    <row r="196" spans="1:14" x14ac:dyDescent="0.3">
      <c r="D196" t="s">
        <v>628</v>
      </c>
      <c r="E196">
        <v>9500</v>
      </c>
      <c r="F196" t="s">
        <v>582</v>
      </c>
      <c r="G196" s="118"/>
      <c r="H196" s="118">
        <v>2903</v>
      </c>
      <c r="I196" s="118"/>
      <c r="J196" s="118"/>
      <c r="K196" s="118"/>
      <c r="L196" s="118"/>
      <c r="M196" s="118"/>
      <c r="N196" s="118">
        <v>2903</v>
      </c>
    </row>
    <row r="197" spans="1:14" x14ac:dyDescent="0.3">
      <c r="C197" t="s">
        <v>661</v>
      </c>
      <c r="G197" s="118"/>
      <c r="H197" s="118">
        <v>3376</v>
      </c>
      <c r="I197" s="118"/>
      <c r="J197" s="118">
        <v>1622</v>
      </c>
      <c r="K197" s="118"/>
      <c r="L197" s="118"/>
      <c r="M197" s="118"/>
      <c r="N197" s="118">
        <v>4998</v>
      </c>
    </row>
    <row r="198" spans="1:14" x14ac:dyDescent="0.3">
      <c r="B198" t="s">
        <v>666</v>
      </c>
      <c r="G198" s="118"/>
      <c r="H198" s="118">
        <v>3376</v>
      </c>
      <c r="I198" s="118"/>
      <c r="J198" s="118">
        <v>1622</v>
      </c>
      <c r="K198" s="118"/>
      <c r="L198" s="118"/>
      <c r="M198" s="118"/>
      <c r="N198" s="118">
        <v>4998</v>
      </c>
    </row>
    <row r="199" spans="1:14" x14ac:dyDescent="0.3">
      <c r="A199" t="s">
        <v>669</v>
      </c>
      <c r="G199" s="118"/>
      <c r="H199" s="118">
        <v>3376</v>
      </c>
      <c r="I199" s="118"/>
      <c r="J199" s="118">
        <v>1622</v>
      </c>
      <c r="K199" s="118"/>
      <c r="L199" s="118"/>
      <c r="M199" s="118"/>
      <c r="N199" s="118">
        <v>4998</v>
      </c>
    </row>
    <row r="200" spans="1:14" x14ac:dyDescent="0.3">
      <c r="A200" t="s">
        <v>658</v>
      </c>
      <c r="B200" t="s">
        <v>625</v>
      </c>
      <c r="C200" t="s">
        <v>602</v>
      </c>
      <c r="D200" t="s">
        <v>603</v>
      </c>
      <c r="E200">
        <v>5800</v>
      </c>
      <c r="F200" t="s">
        <v>603</v>
      </c>
      <c r="G200" s="118"/>
      <c r="H200" s="118">
        <v>0</v>
      </c>
      <c r="I200" s="118"/>
      <c r="J200" s="118"/>
      <c r="K200" s="118"/>
      <c r="L200" s="118"/>
      <c r="M200" s="118"/>
      <c r="N200" s="118">
        <v>0</v>
      </c>
    </row>
    <row r="201" spans="1:14" x14ac:dyDescent="0.3">
      <c r="E201">
        <v>7000</v>
      </c>
      <c r="F201" t="s">
        <v>603</v>
      </c>
      <c r="G201" s="118"/>
      <c r="H201" s="118"/>
      <c r="I201" s="118"/>
      <c r="J201" s="118">
        <v>0</v>
      </c>
      <c r="K201" s="118"/>
      <c r="L201" s="118"/>
      <c r="M201" s="118"/>
      <c r="N201" s="118">
        <v>0</v>
      </c>
    </row>
    <row r="202" spans="1:14" x14ac:dyDescent="0.3">
      <c r="E202">
        <v>9500</v>
      </c>
      <c r="F202" t="s">
        <v>603</v>
      </c>
      <c r="G202" s="118"/>
      <c r="H202" s="118">
        <v>0</v>
      </c>
      <c r="I202" s="118"/>
      <c r="J202" s="118"/>
      <c r="K202" s="118"/>
      <c r="L202" s="118"/>
      <c r="M202" s="118"/>
      <c r="N202" s="118">
        <v>0</v>
      </c>
    </row>
    <row r="203" spans="1:14" x14ac:dyDescent="0.3">
      <c r="E203">
        <v>22000</v>
      </c>
      <c r="F203" t="s">
        <v>603</v>
      </c>
      <c r="G203" s="118"/>
      <c r="H203" s="118">
        <v>0</v>
      </c>
      <c r="I203" s="118"/>
      <c r="J203" s="118"/>
      <c r="K203" s="118"/>
      <c r="L203" s="118"/>
      <c r="M203" s="118"/>
      <c r="N203" s="118">
        <v>0</v>
      </c>
    </row>
    <row r="204" spans="1:14" x14ac:dyDescent="0.3">
      <c r="E204">
        <v>50000</v>
      </c>
      <c r="F204" t="s">
        <v>603</v>
      </c>
      <c r="G204" s="118"/>
      <c r="H204" s="118">
        <v>0</v>
      </c>
      <c r="I204" s="118"/>
      <c r="J204" s="118"/>
      <c r="K204" s="118"/>
      <c r="L204" s="118"/>
      <c r="M204" s="118"/>
      <c r="N204" s="118">
        <v>0</v>
      </c>
    </row>
    <row r="205" spans="1:14" x14ac:dyDescent="0.3">
      <c r="D205" t="s">
        <v>629</v>
      </c>
      <c r="E205">
        <v>5800</v>
      </c>
      <c r="F205" t="s">
        <v>629</v>
      </c>
      <c r="G205" s="118"/>
      <c r="H205" s="118">
        <v>0</v>
      </c>
      <c r="I205" s="118"/>
      <c r="J205" s="118"/>
      <c r="K205" s="118"/>
      <c r="L205" s="118"/>
      <c r="M205" s="118"/>
      <c r="N205" s="118">
        <v>0</v>
      </c>
    </row>
    <row r="206" spans="1:14" x14ac:dyDescent="0.3">
      <c r="E206">
        <v>7000</v>
      </c>
      <c r="F206" t="s">
        <v>629</v>
      </c>
      <c r="G206" s="118"/>
      <c r="H206" s="118"/>
      <c r="I206" s="118"/>
      <c r="J206" s="118">
        <v>0</v>
      </c>
      <c r="K206" s="118"/>
      <c r="L206" s="118"/>
      <c r="M206" s="118"/>
      <c r="N206" s="118">
        <v>0</v>
      </c>
    </row>
    <row r="207" spans="1:14" x14ac:dyDescent="0.3">
      <c r="E207">
        <v>9500</v>
      </c>
      <c r="F207" t="s">
        <v>629</v>
      </c>
      <c r="G207" s="118"/>
      <c r="H207" s="118">
        <v>0</v>
      </c>
      <c r="I207" s="118"/>
      <c r="J207" s="118"/>
      <c r="K207" s="118"/>
      <c r="L207" s="118"/>
      <c r="M207" s="118"/>
      <c r="N207" s="118">
        <v>0</v>
      </c>
    </row>
    <row r="208" spans="1:14" x14ac:dyDescent="0.3">
      <c r="E208">
        <v>22000</v>
      </c>
      <c r="F208" t="s">
        <v>629</v>
      </c>
      <c r="G208" s="118"/>
      <c r="H208" s="118">
        <v>0</v>
      </c>
      <c r="I208" s="118"/>
      <c r="J208" s="118"/>
      <c r="K208" s="118"/>
      <c r="L208" s="118"/>
      <c r="M208" s="118"/>
      <c r="N208" s="118">
        <v>0</v>
      </c>
    </row>
    <row r="209" spans="1:14" x14ac:dyDescent="0.3">
      <c r="E209">
        <v>50000</v>
      </c>
      <c r="F209" t="s">
        <v>629</v>
      </c>
      <c r="G209" s="118"/>
      <c r="H209" s="118">
        <v>0</v>
      </c>
      <c r="I209" s="118"/>
      <c r="J209" s="118"/>
      <c r="K209" s="118"/>
      <c r="L209" s="118"/>
      <c r="M209" s="118"/>
      <c r="N209" s="118">
        <v>0</v>
      </c>
    </row>
    <row r="210" spans="1:14" x14ac:dyDescent="0.3">
      <c r="C210" t="s">
        <v>661</v>
      </c>
      <c r="G210" s="118"/>
      <c r="H210" s="118">
        <v>0</v>
      </c>
      <c r="I210" s="118"/>
      <c r="J210" s="118">
        <v>0</v>
      </c>
      <c r="K210" s="118"/>
      <c r="L210" s="118"/>
      <c r="M210" s="118"/>
      <c r="N210" s="118">
        <v>0</v>
      </c>
    </row>
    <row r="211" spans="1:14" x14ac:dyDescent="0.3">
      <c r="B211" t="s">
        <v>666</v>
      </c>
      <c r="G211" s="118"/>
      <c r="H211" s="118">
        <v>0</v>
      </c>
      <c r="I211" s="118"/>
      <c r="J211" s="118">
        <v>0</v>
      </c>
      <c r="K211" s="118"/>
      <c r="L211" s="118"/>
      <c r="M211" s="118"/>
      <c r="N211" s="118">
        <v>0</v>
      </c>
    </row>
    <row r="212" spans="1:14" x14ac:dyDescent="0.3">
      <c r="A212" t="s">
        <v>670</v>
      </c>
      <c r="G212" s="118"/>
      <c r="H212" s="118">
        <v>0</v>
      </c>
      <c r="I212" s="118"/>
      <c r="J212" s="118">
        <v>0</v>
      </c>
      <c r="K212" s="118"/>
      <c r="L212" s="118"/>
      <c r="M212" s="118"/>
      <c r="N212" s="118">
        <v>0</v>
      </c>
    </row>
    <row r="213" spans="1:14" x14ac:dyDescent="0.3">
      <c r="A213" t="s">
        <v>657</v>
      </c>
      <c r="G213" s="118">
        <v>0</v>
      </c>
      <c r="H213" s="118">
        <v>227008</v>
      </c>
      <c r="I213" s="118">
        <v>670</v>
      </c>
      <c r="J213" s="118">
        <v>27930</v>
      </c>
      <c r="K213" s="118">
        <v>9616</v>
      </c>
      <c r="L213" s="118">
        <v>0</v>
      </c>
      <c r="M213" s="118">
        <v>2131</v>
      </c>
      <c r="N213" s="118">
        <v>267355</v>
      </c>
    </row>
  </sheetData>
  <pageMargins left="0.7" right="0.7" top="0.75" bottom="0.75" header="0.3" footer="0.3"/>
  <pageSetup scale="76" orientation="portrait" r:id="rId2"/>
  <headerFooter>
    <oddHeader>&amp;R&amp;"times,Bold"&amp;12Attachment to Response to LFUCG-2 Question No. 4 - Att  7
&amp;P of &amp;N
Malloy</oddHeader>
  </headerFooter>
  <rowBreaks count="1" manualBreakCount="1">
    <brk id="143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C300"/>
  <sheetViews>
    <sheetView view="pageBreakPreview" zoomScale="60" zoomScaleNormal="100" workbookViewId="0">
      <pane ySplit="1" topLeftCell="A2" activePane="bottomLeft" state="frozen"/>
      <selection activeCell="C38" sqref="C38"/>
      <selection pane="bottomLeft" activeCell="C38" sqref="C38"/>
    </sheetView>
  </sheetViews>
  <sheetFormatPr defaultRowHeight="14.4" x14ac:dyDescent="0.3"/>
  <cols>
    <col min="3" max="3" width="13.109375" bestFit="1" customWidth="1"/>
    <col min="4" max="4" width="20.5546875" bestFit="1" customWidth="1"/>
    <col min="5" max="5" width="42.109375" bestFit="1" customWidth="1"/>
    <col min="6" max="6" width="35.88671875" bestFit="1" customWidth="1"/>
    <col min="7" max="8" width="19.6640625" customWidth="1"/>
    <col min="9" max="9" width="10" bestFit="1" customWidth="1"/>
    <col min="10" max="10" width="10" customWidth="1"/>
    <col min="11" max="11" width="22.33203125" bestFit="1" customWidth="1"/>
    <col min="12" max="12" width="22.33203125" customWidth="1"/>
    <col min="13" max="13" width="19.5546875" bestFit="1" customWidth="1"/>
    <col min="14" max="14" width="15.44140625" bestFit="1" customWidth="1"/>
    <col min="15" max="16" width="15.44140625" customWidth="1"/>
    <col min="17" max="17" width="12" bestFit="1" customWidth="1"/>
    <col min="18" max="18" width="16.5546875" bestFit="1" customWidth="1"/>
    <col min="19" max="20" width="16.5546875" customWidth="1"/>
    <col min="21" max="21" width="77.88671875" bestFit="1" customWidth="1"/>
    <col min="22" max="22" width="21" bestFit="1" customWidth="1"/>
    <col min="23" max="23" width="20.5546875" bestFit="1" customWidth="1"/>
    <col min="24" max="24" width="24.33203125" style="90" bestFit="1" customWidth="1"/>
    <col min="25" max="25" width="16.33203125" style="90" bestFit="1" customWidth="1"/>
    <col min="26" max="26" width="16.33203125" bestFit="1" customWidth="1"/>
  </cols>
  <sheetData>
    <row r="1" spans="1:29" ht="16.2" x14ac:dyDescent="0.45">
      <c r="A1" s="96" t="s">
        <v>158</v>
      </c>
      <c r="B1" s="96" t="s">
        <v>584</v>
      </c>
      <c r="C1" s="96" t="s">
        <v>585</v>
      </c>
      <c r="D1" s="96" t="s">
        <v>586</v>
      </c>
      <c r="E1" s="96" t="s">
        <v>587</v>
      </c>
      <c r="F1" s="96" t="s">
        <v>588</v>
      </c>
      <c r="G1" s="96" t="s">
        <v>589</v>
      </c>
      <c r="H1" s="96" t="s">
        <v>590</v>
      </c>
      <c r="I1" s="96" t="s">
        <v>591</v>
      </c>
      <c r="J1" s="96" t="s">
        <v>592</v>
      </c>
      <c r="K1" s="96" t="s">
        <v>593</v>
      </c>
      <c r="L1" s="96" t="s">
        <v>742</v>
      </c>
      <c r="M1" s="96" t="s">
        <v>594</v>
      </c>
      <c r="N1" s="96" t="s">
        <v>595</v>
      </c>
      <c r="O1" s="96" t="s">
        <v>685</v>
      </c>
      <c r="P1" s="96" t="s">
        <v>596</v>
      </c>
      <c r="Q1" s="96" t="s">
        <v>597</v>
      </c>
      <c r="R1" s="96" t="s">
        <v>598</v>
      </c>
      <c r="S1" s="96" t="s">
        <v>599</v>
      </c>
      <c r="T1" s="96" t="s">
        <v>570</v>
      </c>
      <c r="U1" s="96" t="s">
        <v>600</v>
      </c>
      <c r="V1" s="96" t="s">
        <v>601</v>
      </c>
      <c r="W1" s="207" t="s">
        <v>1002</v>
      </c>
      <c r="X1" s="222" t="s">
        <v>1001</v>
      </c>
      <c r="Y1" s="222" t="s">
        <v>1026</v>
      </c>
      <c r="Z1" s="211" t="s">
        <v>1027</v>
      </c>
      <c r="AA1" s="211" t="s">
        <v>1032</v>
      </c>
      <c r="AB1" s="211" t="s">
        <v>1033</v>
      </c>
      <c r="AC1" s="211" t="s">
        <v>1034</v>
      </c>
    </row>
    <row r="2" spans="1:29" x14ac:dyDescent="0.3">
      <c r="A2" t="s">
        <v>153</v>
      </c>
      <c r="B2" t="s">
        <v>625</v>
      </c>
      <c r="C2" t="s">
        <v>602</v>
      </c>
      <c r="D2" t="s">
        <v>656</v>
      </c>
      <c r="E2" t="str">
        <f t="shared" ref="E2:E36" si="0">IF(V2="PO-R","Group 4 - Pole only or Restricted Class",IF(N2&lt;=12000,"Group 1 - &lt; 12,000 Lumens",IF(N2&gt;=107000,"Group 3 - &gt; 100,000 Lumens","Group 2 - Between 12,000 and 100,000 Lumens")))</f>
        <v>Group 1 - &lt; 12,000 Lumens</v>
      </c>
      <c r="F2" t="str">
        <f t="shared" ref="F2:F37" si="1">IF(M2="Fixture Only","Without Pole","With Pole")</f>
        <v>Without Pole</v>
      </c>
      <c r="I2">
        <v>428</v>
      </c>
      <c r="J2" t="str">
        <f t="shared" ref="J2:J33" si="2">CONCATENATE(A2,I2)</f>
        <v>ODP428</v>
      </c>
      <c r="K2" t="s">
        <v>628</v>
      </c>
      <c r="L2" t="s">
        <v>1021</v>
      </c>
      <c r="M2" t="s">
        <v>582</v>
      </c>
      <c r="N2" s="109">
        <v>9500</v>
      </c>
      <c r="O2" s="109">
        <v>100</v>
      </c>
      <c r="P2" s="109"/>
      <c r="Q2" s="97">
        <v>0.11700000000000001</v>
      </c>
      <c r="R2" s="90">
        <v>11.15</v>
      </c>
      <c r="S2" s="110">
        <v>2903</v>
      </c>
      <c r="T2" s="111">
        <v>32163.64</v>
      </c>
      <c r="W2">
        <f>IFERROR(VLOOKUP(J2,'Pivot-RC'!$A$4:$B$170,2,FALSE),"")</f>
        <v>3352</v>
      </c>
      <c r="X2" s="89">
        <f>IFERROR((+W2*R2*60),"")</f>
        <v>2242488</v>
      </c>
      <c r="Y2" s="90">
        <f>IFERROR((VLOOKUP(CONCATENATE(C2,N2),'LED Costs-Lumen -slide 22'!$N$6:$O$42,2,FALSE)*W2),"")</f>
        <v>2381428.4000000004</v>
      </c>
      <c r="Z2" s="111">
        <f>IFERROR((VLOOKUP(CONCATENATE(C2,O2),'LED Costs-Watt -slide 22'!$N$6:$O$36,2,FALSE)*W2),"")</f>
        <v>2381428.4000000004</v>
      </c>
    </row>
    <row r="3" spans="1:29" x14ac:dyDescent="0.3">
      <c r="A3" t="s">
        <v>630</v>
      </c>
      <c r="B3" t="s">
        <v>576</v>
      </c>
      <c r="C3" t="s">
        <v>602</v>
      </c>
      <c r="D3" t="s">
        <v>639</v>
      </c>
      <c r="E3" t="str">
        <f t="shared" si="0"/>
        <v>Group 4 - Pole only or Restricted Class</v>
      </c>
      <c r="F3" t="str">
        <f t="shared" si="1"/>
        <v>With Pole</v>
      </c>
      <c r="I3">
        <v>900</v>
      </c>
      <c r="J3" t="str">
        <f t="shared" si="2"/>
        <v>LGE900</v>
      </c>
      <c r="K3" t="s">
        <v>641</v>
      </c>
      <c r="L3" t="s">
        <v>743</v>
      </c>
      <c r="M3" s="115" t="s">
        <v>639</v>
      </c>
      <c r="N3" t="s">
        <v>639</v>
      </c>
      <c r="O3" s="109">
        <v>0</v>
      </c>
      <c r="P3" s="109"/>
      <c r="Q3" s="97"/>
      <c r="R3" s="90">
        <v>2.06</v>
      </c>
      <c r="S3" s="110" t="s">
        <v>748</v>
      </c>
      <c r="T3" s="111" t="s">
        <v>748</v>
      </c>
      <c r="V3" t="s">
        <v>624</v>
      </c>
      <c r="W3" t="str">
        <f>IFERROR(VLOOKUP(J3,'Pivot-RC'!$A$4:$B$170,2,FALSE),"")</f>
        <v/>
      </c>
      <c r="X3" s="90" t="str">
        <f t="shared" ref="X3:X66" si="3">IFERROR((+W3*R3*60),"")</f>
        <v/>
      </c>
      <c r="Y3" s="111" t="str">
        <f>IFERROR((VLOOKUP(CONCATENATE(C3,N3),'LED Costs-Lumen -slide 22'!$N$6:$O$42,2,FALSE)*W3),"")</f>
        <v/>
      </c>
      <c r="Z3" s="111" t="str">
        <f>IFERROR((VLOOKUP(CONCATENATE(C3,O3),'LED Costs-Watt -slide 22'!$N$6:$O$36,2,FALSE)*W3),"")</f>
        <v/>
      </c>
      <c r="AC3">
        <v>3</v>
      </c>
    </row>
    <row r="4" spans="1:29" x14ac:dyDescent="0.3">
      <c r="A4" t="s">
        <v>630</v>
      </c>
      <c r="B4" t="s">
        <v>576</v>
      </c>
      <c r="C4" t="s">
        <v>602</v>
      </c>
      <c r="D4" t="s">
        <v>639</v>
      </c>
      <c r="E4" t="str">
        <f t="shared" si="0"/>
        <v>Group 4 - Pole only or Restricted Class</v>
      </c>
      <c r="F4" t="str">
        <f t="shared" si="1"/>
        <v>With Pole</v>
      </c>
      <c r="I4">
        <v>958</v>
      </c>
      <c r="J4" t="str">
        <f t="shared" si="2"/>
        <v>LGE958</v>
      </c>
      <c r="K4" t="s">
        <v>640</v>
      </c>
      <c r="L4" t="s">
        <v>743</v>
      </c>
      <c r="M4" s="115" t="s">
        <v>639</v>
      </c>
      <c r="N4" t="s">
        <v>639</v>
      </c>
      <c r="O4" s="109">
        <v>0</v>
      </c>
      <c r="P4" s="109"/>
      <c r="Q4" s="97"/>
      <c r="R4" s="90">
        <v>11.32</v>
      </c>
      <c r="S4" s="110" t="s">
        <v>748</v>
      </c>
      <c r="T4" s="111" t="s">
        <v>748</v>
      </c>
      <c r="V4" t="s">
        <v>624</v>
      </c>
      <c r="W4" t="str">
        <f>IFERROR(VLOOKUP(J4,'Pivot-RC'!$A$4:$B$170,2,FALSE),"")</f>
        <v/>
      </c>
      <c r="X4" s="90" t="str">
        <f t="shared" si="3"/>
        <v/>
      </c>
      <c r="Y4" s="90" t="str">
        <f>IFERROR((VLOOKUP(CONCATENATE(C4,N4),'LED Costs-Lumen -slide 22'!$N$6:$O$42,2,FALSE)*W4),"")</f>
        <v/>
      </c>
      <c r="Z4" s="111" t="str">
        <f>IFERROR((VLOOKUP(CONCATENATE(C4,O4),'LED Costs-Watt -slide 22'!$N$6:$O$36,2,FALSE)*W4),"")</f>
        <v/>
      </c>
      <c r="AC4">
        <v>3</v>
      </c>
    </row>
    <row r="5" spans="1:29" x14ac:dyDescent="0.3">
      <c r="A5" t="s">
        <v>630</v>
      </c>
      <c r="B5" t="s">
        <v>576</v>
      </c>
      <c r="C5" t="s">
        <v>609</v>
      </c>
      <c r="D5" t="s">
        <v>645</v>
      </c>
      <c r="E5" t="str">
        <f t="shared" si="0"/>
        <v>Group 4 - Pole only or Restricted Class</v>
      </c>
      <c r="F5" t="str">
        <f t="shared" si="1"/>
        <v>With Pole</v>
      </c>
      <c r="I5">
        <v>950</v>
      </c>
      <c r="J5" t="str">
        <f t="shared" si="2"/>
        <v>LGE950</v>
      </c>
      <c r="K5" t="s">
        <v>646</v>
      </c>
      <c r="L5" t="s">
        <v>743</v>
      </c>
      <c r="M5" s="115" t="s">
        <v>639</v>
      </c>
      <c r="N5" t="s">
        <v>645</v>
      </c>
      <c r="O5" s="109">
        <v>0</v>
      </c>
      <c r="P5" s="109"/>
      <c r="Q5" s="97"/>
      <c r="R5" s="90">
        <v>3.47</v>
      </c>
      <c r="S5" s="110" t="s">
        <v>748</v>
      </c>
      <c r="T5" s="111" t="s">
        <v>748</v>
      </c>
      <c r="V5" t="s">
        <v>624</v>
      </c>
      <c r="W5" t="str">
        <f>IFERROR(VLOOKUP(J5,'Pivot-RC'!$A$4:$B$170,2,FALSE),"")</f>
        <v/>
      </c>
      <c r="X5" s="90" t="str">
        <f t="shared" si="3"/>
        <v/>
      </c>
      <c r="Y5" s="90" t="str">
        <f>IFERROR((VLOOKUP(CONCATENATE(C5,N5),'LED Costs-Lumen -slide 22'!$N$6:$O$42,2,FALSE)*W5),"")</f>
        <v/>
      </c>
      <c r="Z5" s="111" t="str">
        <f>IFERROR((VLOOKUP(CONCATENATE(C5,O5),'LED Costs-Watt -slide 22'!$N$6:$O$36,2,FALSE)*W5),"")</f>
        <v/>
      </c>
      <c r="AC5">
        <v>3</v>
      </c>
    </row>
    <row r="6" spans="1:29" x14ac:dyDescent="0.3">
      <c r="A6" t="s">
        <v>630</v>
      </c>
      <c r="B6" t="s">
        <v>576</v>
      </c>
      <c r="C6" t="s">
        <v>609</v>
      </c>
      <c r="D6" t="s">
        <v>645</v>
      </c>
      <c r="E6" t="str">
        <f t="shared" si="0"/>
        <v>Group 4 - Pole only or Restricted Class</v>
      </c>
      <c r="F6" t="str">
        <f t="shared" si="1"/>
        <v>With Pole</v>
      </c>
      <c r="I6">
        <v>951</v>
      </c>
      <c r="J6" t="str">
        <f t="shared" si="2"/>
        <v>LGE951</v>
      </c>
      <c r="K6" t="s">
        <v>647</v>
      </c>
      <c r="L6" t="s">
        <v>743</v>
      </c>
      <c r="M6" s="115" t="s">
        <v>639</v>
      </c>
      <c r="N6" t="s">
        <v>645</v>
      </c>
      <c r="O6" s="109">
        <v>0</v>
      </c>
      <c r="P6" s="109"/>
      <c r="Q6" s="97"/>
      <c r="R6" s="90">
        <v>3.73</v>
      </c>
      <c r="S6" s="110" t="s">
        <v>748</v>
      </c>
      <c r="T6" s="111" t="s">
        <v>748</v>
      </c>
      <c r="V6" t="s">
        <v>624</v>
      </c>
      <c r="W6" t="str">
        <f>IFERROR(VLOOKUP(J6,'Pivot-RC'!$A$4:$B$170,2,FALSE),"")</f>
        <v/>
      </c>
      <c r="X6" s="90" t="str">
        <f t="shared" si="3"/>
        <v/>
      </c>
      <c r="Y6" s="90" t="str">
        <f>IFERROR((VLOOKUP(CONCATENATE(C6,N6),'LED Costs-Lumen -slide 22'!$N$6:$O$42,2,FALSE)*W6),"")</f>
        <v/>
      </c>
      <c r="Z6" s="111" t="str">
        <f>IFERROR((VLOOKUP(CONCATENATE(C6,O6),'LED Costs-Watt -slide 22'!$N$6:$O$36,2,FALSE)*W6),"")</f>
        <v/>
      </c>
      <c r="AC6">
        <v>3</v>
      </c>
    </row>
    <row r="7" spans="1:29" x14ac:dyDescent="0.3">
      <c r="A7" t="s">
        <v>630</v>
      </c>
      <c r="B7" t="s">
        <v>575</v>
      </c>
      <c r="C7" t="s">
        <v>609</v>
      </c>
      <c r="D7" t="s">
        <v>656</v>
      </c>
      <c r="E7" t="str">
        <f t="shared" si="0"/>
        <v>Group 4 - Pole only or Restricted Class</v>
      </c>
      <c r="F7" t="str">
        <f t="shared" si="1"/>
        <v>With Pole</v>
      </c>
      <c r="I7">
        <v>956</v>
      </c>
      <c r="J7" t="str">
        <f t="shared" si="2"/>
        <v>LGE956</v>
      </c>
      <c r="K7" t="s">
        <v>634</v>
      </c>
      <c r="L7" t="s">
        <v>743</v>
      </c>
      <c r="M7" s="115" t="s">
        <v>639</v>
      </c>
      <c r="N7" t="s">
        <v>645</v>
      </c>
      <c r="O7" s="109">
        <v>0</v>
      </c>
      <c r="Q7" s="109"/>
      <c r="R7" s="90">
        <v>3.56</v>
      </c>
      <c r="S7" s="110" t="s">
        <v>748</v>
      </c>
      <c r="T7" s="111" t="s">
        <v>748</v>
      </c>
      <c r="U7" t="s">
        <v>635</v>
      </c>
      <c r="V7" t="s">
        <v>624</v>
      </c>
      <c r="W7" t="str">
        <f>IFERROR(VLOOKUP(J7,'Pivot-RC'!$A$4:$B$170,2,FALSE),"")</f>
        <v/>
      </c>
      <c r="X7" s="90" t="str">
        <f t="shared" si="3"/>
        <v/>
      </c>
      <c r="Y7" s="90" t="str">
        <f>IFERROR((VLOOKUP(CONCATENATE(C7,N7),'LED Costs-Lumen -slide 22'!$N$6:$O$42,2,FALSE)*W7),"")</f>
        <v/>
      </c>
      <c r="Z7" s="111" t="str">
        <f>IFERROR((VLOOKUP(CONCATENATE(C7,O7),'LED Costs-Watt -slide 22'!$N$6:$O$36,2,FALSE)*W7),"")</f>
        <v/>
      </c>
    </row>
    <row r="8" spans="1:29" x14ac:dyDescent="0.3">
      <c r="A8" t="s">
        <v>13</v>
      </c>
      <c r="B8" t="s">
        <v>575</v>
      </c>
      <c r="C8" t="s">
        <v>609</v>
      </c>
      <c r="D8" t="s">
        <v>656</v>
      </c>
      <c r="E8" t="str">
        <f t="shared" si="0"/>
        <v>Group 1 - &lt; 12,000 Lumens</v>
      </c>
      <c r="F8" t="str">
        <f t="shared" si="1"/>
        <v>With Pole</v>
      </c>
      <c r="I8">
        <v>414</v>
      </c>
      <c r="J8" t="str">
        <f t="shared" si="2"/>
        <v>KU414</v>
      </c>
      <c r="K8" t="s">
        <v>614</v>
      </c>
      <c r="L8" t="s">
        <v>743</v>
      </c>
      <c r="M8" t="s">
        <v>613</v>
      </c>
      <c r="N8" s="109">
        <v>5800</v>
      </c>
      <c r="O8" s="109">
        <v>70</v>
      </c>
      <c r="P8" s="109"/>
      <c r="Q8" s="97">
        <v>8.3000000000000004E-2</v>
      </c>
      <c r="R8" s="90">
        <v>33.39</v>
      </c>
      <c r="S8" s="110">
        <v>21</v>
      </c>
      <c r="T8" s="111">
        <v>647.64</v>
      </c>
      <c r="U8" s="90"/>
      <c r="W8">
        <f>IFERROR(VLOOKUP(J8,'Pivot-RC'!$A$4:$B$170,2,FALSE),"")</f>
        <v>21</v>
      </c>
      <c r="X8" s="89">
        <f t="shared" si="3"/>
        <v>42071.4</v>
      </c>
      <c r="Y8" s="90">
        <f>IFERROR((VLOOKUP(CONCATENATE(C8,N8),'LED Costs-Lumen -slide 22'!$N$6:$O$42,2,FALSE)*W8),"")</f>
        <v>25446.855000000003</v>
      </c>
      <c r="Z8" s="111">
        <f>IFERROR((VLOOKUP(CONCATENATE(C8,O8),'LED Costs-Watt -slide 22'!$N$6:$O$36,2,FALSE)*W8),"")</f>
        <v>25446.75</v>
      </c>
    </row>
    <row r="9" spans="1:29" x14ac:dyDescent="0.3">
      <c r="A9" t="s">
        <v>13</v>
      </c>
      <c r="B9" t="s">
        <v>575</v>
      </c>
      <c r="C9" t="s">
        <v>609</v>
      </c>
      <c r="D9" t="s">
        <v>656</v>
      </c>
      <c r="E9" t="str">
        <f t="shared" si="0"/>
        <v>Group 1 - &lt; 12,000 Lumens</v>
      </c>
      <c r="F9" t="str">
        <f t="shared" si="1"/>
        <v>With Pole</v>
      </c>
      <c r="I9">
        <v>415</v>
      </c>
      <c r="J9" t="str">
        <f t="shared" si="2"/>
        <v>KU415</v>
      </c>
      <c r="K9" t="s">
        <v>614</v>
      </c>
      <c r="L9" t="s">
        <v>743</v>
      </c>
      <c r="M9" t="s">
        <v>613</v>
      </c>
      <c r="N9" s="109">
        <v>9500</v>
      </c>
      <c r="O9" s="109">
        <v>70</v>
      </c>
      <c r="P9" s="109"/>
      <c r="Q9" s="97">
        <v>0.11700000000000001</v>
      </c>
      <c r="R9" s="90">
        <v>33.81</v>
      </c>
      <c r="S9" s="110">
        <v>10</v>
      </c>
      <c r="T9" s="111">
        <v>312.2</v>
      </c>
      <c r="U9" s="90"/>
      <c r="W9">
        <f>IFERROR(VLOOKUP(J9,'Pivot-RC'!$A$4:$B$170,2,FALSE),"")</f>
        <v>10</v>
      </c>
      <c r="X9" s="89">
        <f t="shared" si="3"/>
        <v>20286</v>
      </c>
      <c r="Y9" s="90">
        <f>IFERROR((VLOOKUP(CONCATENATE(C9,N9),'LED Costs-Lumen -slide 22'!$N$6:$O$42,2,FALSE)*W9),"")</f>
        <v>5156.9000000000005</v>
      </c>
      <c r="Z9" s="111">
        <f>IFERROR((VLOOKUP(CONCATENATE(C9,O9),'LED Costs-Watt -slide 22'!$N$6:$O$36,2,FALSE)*W9),"")</f>
        <v>12117.5</v>
      </c>
    </row>
    <row r="10" spans="1:29" x14ac:dyDescent="0.3">
      <c r="A10" t="s">
        <v>630</v>
      </c>
      <c r="B10" t="s">
        <v>575</v>
      </c>
      <c r="C10" t="s">
        <v>609</v>
      </c>
      <c r="D10" t="s">
        <v>656</v>
      </c>
      <c r="E10" t="str">
        <f t="shared" si="0"/>
        <v>Group 1 - &lt; 12,000 Lumens</v>
      </c>
      <c r="F10" t="str">
        <f t="shared" si="1"/>
        <v>With Pole</v>
      </c>
      <c r="I10">
        <v>431</v>
      </c>
      <c r="J10" t="str">
        <f t="shared" si="2"/>
        <v>LGE431</v>
      </c>
      <c r="K10" t="s">
        <v>614</v>
      </c>
      <c r="L10" t="s">
        <v>743</v>
      </c>
      <c r="M10" t="s">
        <v>613</v>
      </c>
      <c r="N10" s="109">
        <v>5800</v>
      </c>
      <c r="O10" s="109">
        <v>70</v>
      </c>
      <c r="P10" s="109"/>
      <c r="Q10" s="97">
        <v>8.3000000000000004E-2</v>
      </c>
      <c r="R10" s="90">
        <v>32.950000000000003</v>
      </c>
      <c r="S10" s="110">
        <v>51</v>
      </c>
      <c r="T10" s="111">
        <v>1679.8</v>
      </c>
      <c r="W10">
        <f>IFERROR(VLOOKUP(J10,'Pivot-RC'!$A$4:$B$170,2,FALSE),"")</f>
        <v>51</v>
      </c>
      <c r="X10" s="89">
        <f t="shared" si="3"/>
        <v>100827</v>
      </c>
      <c r="Y10" s="90">
        <f>IFERROR((VLOOKUP(CONCATENATE(C10,N10),'LED Costs-Lumen -slide 22'!$N$6:$O$42,2,FALSE)*W10),"")</f>
        <v>61799.505000000005</v>
      </c>
      <c r="Z10" s="111">
        <f>IFERROR((VLOOKUP(CONCATENATE(C10,O10),'LED Costs-Watt -slide 22'!$N$6:$O$36,2,FALSE)*W10),"")</f>
        <v>61799.25</v>
      </c>
    </row>
    <row r="11" spans="1:29" x14ac:dyDescent="0.3">
      <c r="A11" t="s">
        <v>630</v>
      </c>
      <c r="B11" t="s">
        <v>575</v>
      </c>
      <c r="C11" t="s">
        <v>609</v>
      </c>
      <c r="D11" t="s">
        <v>656</v>
      </c>
      <c r="E11" t="str">
        <f t="shared" si="0"/>
        <v>Group 1 - &lt; 12,000 Lumens</v>
      </c>
      <c r="F11" t="str">
        <f t="shared" si="1"/>
        <v>With Pole</v>
      </c>
      <c r="I11">
        <v>433</v>
      </c>
      <c r="J11" t="str">
        <f t="shared" si="2"/>
        <v>LGE433</v>
      </c>
      <c r="K11" t="s">
        <v>614</v>
      </c>
      <c r="L11" t="s">
        <v>743</v>
      </c>
      <c r="M11" t="s">
        <v>613</v>
      </c>
      <c r="N11" s="109">
        <v>9500</v>
      </c>
      <c r="O11" s="109">
        <v>100</v>
      </c>
      <c r="P11" s="109"/>
      <c r="Q11" s="97">
        <v>0.11700000000000001</v>
      </c>
      <c r="R11" s="90">
        <v>35.01</v>
      </c>
      <c r="S11" s="110">
        <v>873</v>
      </c>
      <c r="T11" s="111">
        <v>30041.32</v>
      </c>
      <c r="W11">
        <f>IFERROR(VLOOKUP(J11,'Pivot-RC'!$A$4:$B$170,2,FALSE),"")</f>
        <v>237</v>
      </c>
      <c r="X11" s="89">
        <f t="shared" si="3"/>
        <v>497842.19999999995</v>
      </c>
      <c r="Y11" s="90">
        <f>IFERROR((VLOOKUP(CONCATENATE(C11,N11),'LED Costs-Lumen -slide 22'!$N$6:$O$42,2,FALSE)*W11),"")</f>
        <v>122218.53000000001</v>
      </c>
      <c r="Z11" s="111">
        <f>IFERROR((VLOOKUP(CONCATENATE(C11,O11),'LED Costs-Watt -slide 22'!$N$6:$O$36,2,FALSE)*W11),"")</f>
        <v>173642.78999999998</v>
      </c>
    </row>
    <row r="12" spans="1:29" x14ac:dyDescent="0.3">
      <c r="A12" t="s">
        <v>630</v>
      </c>
      <c r="B12" t="s">
        <v>576</v>
      </c>
      <c r="C12" t="s">
        <v>609</v>
      </c>
      <c r="D12" t="s">
        <v>656</v>
      </c>
      <c r="E12" t="str">
        <f t="shared" si="0"/>
        <v>Group 1 - &lt; 12,000 Lumens</v>
      </c>
      <c r="F12" t="str">
        <f t="shared" si="1"/>
        <v>Without Pole</v>
      </c>
      <c r="I12">
        <v>280</v>
      </c>
      <c r="J12" t="str">
        <f t="shared" si="2"/>
        <v>LGE280</v>
      </c>
      <c r="K12" t="s">
        <v>614</v>
      </c>
      <c r="L12" t="s">
        <v>743</v>
      </c>
      <c r="M12" t="s">
        <v>582</v>
      </c>
      <c r="N12" s="109">
        <v>5800</v>
      </c>
      <c r="O12" s="109">
        <v>70</v>
      </c>
      <c r="P12" s="109"/>
      <c r="Q12" s="97">
        <v>8.3000000000000004E-2</v>
      </c>
      <c r="R12" s="90">
        <v>19.39</v>
      </c>
      <c r="S12" s="110">
        <v>46</v>
      </c>
      <c r="T12" s="111">
        <v>891.63</v>
      </c>
      <c r="W12">
        <f>IFERROR(VLOOKUP(J12,'Pivot-RC'!$A$4:$B$170,2,FALSE),"")</f>
        <v>46</v>
      </c>
      <c r="X12" s="89">
        <f t="shared" si="3"/>
        <v>53516.4</v>
      </c>
      <c r="Y12" s="90">
        <f>IFERROR((VLOOKUP(CONCATENATE(C12,N12),'LED Costs-Lumen -slide 22'!$N$6:$O$42,2,FALSE)*W12),"")</f>
        <v>55740.73</v>
      </c>
      <c r="Z12" s="111">
        <f>IFERROR((VLOOKUP(CONCATENATE(C12,O12),'LED Costs-Watt -slide 22'!$N$6:$O$36,2,FALSE)*W12),"")</f>
        <v>55740.5</v>
      </c>
      <c r="AC12">
        <v>3</v>
      </c>
    </row>
    <row r="13" spans="1:29" x14ac:dyDescent="0.3">
      <c r="A13" t="s">
        <v>630</v>
      </c>
      <c r="B13" t="s">
        <v>576</v>
      </c>
      <c r="C13" t="s">
        <v>609</v>
      </c>
      <c r="D13" t="s">
        <v>656</v>
      </c>
      <c r="E13" t="str">
        <f t="shared" si="0"/>
        <v>Group 1 - &lt; 12,000 Lumens</v>
      </c>
      <c r="F13" t="str">
        <f t="shared" si="1"/>
        <v>Without Pole</v>
      </c>
      <c r="I13">
        <v>281</v>
      </c>
      <c r="J13" t="str">
        <f t="shared" si="2"/>
        <v>LGE281</v>
      </c>
      <c r="K13" t="s">
        <v>614</v>
      </c>
      <c r="L13" t="s">
        <v>743</v>
      </c>
      <c r="M13" t="s">
        <v>582</v>
      </c>
      <c r="N13" s="109">
        <v>9500</v>
      </c>
      <c r="O13" s="109">
        <v>100</v>
      </c>
      <c r="P13" s="109"/>
      <c r="Q13" s="97">
        <v>0.11700000000000001</v>
      </c>
      <c r="R13" s="90">
        <v>20.36</v>
      </c>
      <c r="S13" s="110">
        <v>245</v>
      </c>
      <c r="T13" s="111">
        <v>4987.18</v>
      </c>
      <c r="W13">
        <f>IFERROR(VLOOKUP(J13,'Pivot-RC'!$A$4:$B$170,2,FALSE),"")</f>
        <v>245</v>
      </c>
      <c r="X13" s="89">
        <f t="shared" si="3"/>
        <v>299292</v>
      </c>
      <c r="Y13" s="90">
        <f>IFERROR((VLOOKUP(CONCATENATE(C13,N13),'LED Costs-Lumen -slide 22'!$N$6:$O$42,2,FALSE)*W13),"")</f>
        <v>126344.05000000002</v>
      </c>
      <c r="Z13" s="111">
        <f>IFERROR((VLOOKUP(CONCATENATE(C13,O13),'LED Costs-Watt -slide 22'!$N$6:$O$36,2,FALSE)*W13),"")</f>
        <v>179504.15</v>
      </c>
      <c r="AC13">
        <v>3</v>
      </c>
    </row>
    <row r="14" spans="1:29" x14ac:dyDescent="0.3">
      <c r="A14" t="s">
        <v>630</v>
      </c>
      <c r="B14" t="s">
        <v>576</v>
      </c>
      <c r="C14" t="s">
        <v>609</v>
      </c>
      <c r="D14" t="s">
        <v>656</v>
      </c>
      <c r="E14" t="str">
        <f t="shared" si="0"/>
        <v>Group 1 - &lt; 12,000 Lumens</v>
      </c>
      <c r="F14" t="str">
        <f t="shared" si="1"/>
        <v>With Pole</v>
      </c>
      <c r="I14">
        <v>430</v>
      </c>
      <c r="J14" t="str">
        <f t="shared" si="2"/>
        <v>LGE430</v>
      </c>
      <c r="K14" t="s">
        <v>614</v>
      </c>
      <c r="L14" t="s">
        <v>743</v>
      </c>
      <c r="M14" t="s">
        <v>611</v>
      </c>
      <c r="N14" s="109">
        <v>5800</v>
      </c>
      <c r="O14" s="109">
        <v>100</v>
      </c>
      <c r="P14" s="109"/>
      <c r="Q14" s="97">
        <v>8.3000000000000004E-2</v>
      </c>
      <c r="R14" s="90">
        <v>32.28</v>
      </c>
      <c r="S14" s="110">
        <v>13</v>
      </c>
      <c r="T14" s="111">
        <v>419.62</v>
      </c>
      <c r="W14">
        <f>IFERROR(VLOOKUP(J14,'Pivot-RC'!$A$4:$B$170,2,FALSE),"")</f>
        <v>13</v>
      </c>
      <c r="X14" s="89">
        <f t="shared" si="3"/>
        <v>25178.399999999998</v>
      </c>
      <c r="Y14" s="90">
        <f>IFERROR((VLOOKUP(CONCATENATE(C14,N14),'LED Costs-Lumen -slide 22'!$N$6:$O$42,2,FALSE)*W14),"")</f>
        <v>15752.815000000002</v>
      </c>
      <c r="Z14" s="111">
        <f>IFERROR((VLOOKUP(CONCATENATE(C14,O14),'LED Costs-Watt -slide 22'!$N$6:$O$36,2,FALSE)*W14),"")</f>
        <v>9524.7099999999991</v>
      </c>
      <c r="AC14">
        <v>3</v>
      </c>
    </row>
    <row r="15" spans="1:29" x14ac:dyDescent="0.3">
      <c r="A15" t="s">
        <v>630</v>
      </c>
      <c r="B15" t="s">
        <v>576</v>
      </c>
      <c r="C15" t="s">
        <v>609</v>
      </c>
      <c r="D15" t="s">
        <v>656</v>
      </c>
      <c r="E15" t="str">
        <f t="shared" si="0"/>
        <v>Group 1 - &lt; 12,000 Lumens</v>
      </c>
      <c r="F15" t="str">
        <f t="shared" si="1"/>
        <v>With Pole</v>
      </c>
      <c r="I15">
        <v>432</v>
      </c>
      <c r="J15" t="str">
        <f t="shared" si="2"/>
        <v>LGE432</v>
      </c>
      <c r="K15" t="s">
        <v>614</v>
      </c>
      <c r="L15" t="s">
        <v>743</v>
      </c>
      <c r="M15" t="s">
        <v>611</v>
      </c>
      <c r="N15" s="109">
        <v>9500</v>
      </c>
      <c r="O15" s="109">
        <v>100</v>
      </c>
      <c r="P15" s="109"/>
      <c r="Q15" s="97">
        <v>0.11700000000000001</v>
      </c>
      <c r="R15" s="90">
        <v>34.35</v>
      </c>
      <c r="S15" s="110">
        <v>10</v>
      </c>
      <c r="T15" s="111">
        <v>343.35</v>
      </c>
      <c r="W15">
        <f>IFERROR(VLOOKUP(J15,'Pivot-RC'!$A$4:$B$170,2,FALSE),"")</f>
        <v>10</v>
      </c>
      <c r="X15" s="89">
        <f t="shared" si="3"/>
        <v>20610</v>
      </c>
      <c r="Y15" s="90">
        <f>IFERROR((VLOOKUP(CONCATENATE(C15,N15),'LED Costs-Lumen -slide 22'!$N$6:$O$42,2,FALSE)*W15),"")</f>
        <v>5156.9000000000005</v>
      </c>
      <c r="Z15" s="111">
        <f>IFERROR((VLOOKUP(CONCATENATE(C15,O15),'LED Costs-Watt -slide 22'!$N$6:$O$36,2,FALSE)*W15),"")</f>
        <v>7326.7</v>
      </c>
      <c r="AC15">
        <v>3</v>
      </c>
    </row>
    <row r="16" spans="1:29" x14ac:dyDescent="0.3">
      <c r="A16" t="s">
        <v>13</v>
      </c>
      <c r="B16" t="s">
        <v>576</v>
      </c>
      <c r="C16" t="s">
        <v>602</v>
      </c>
      <c r="D16" t="s">
        <v>619</v>
      </c>
      <c r="E16" t="str">
        <f t="shared" si="0"/>
        <v>Group 1 - &lt; 12,000 Lumens</v>
      </c>
      <c r="F16" t="str">
        <f t="shared" si="1"/>
        <v>Without Pole</v>
      </c>
      <c r="I16">
        <v>421</v>
      </c>
      <c r="J16" t="str">
        <f t="shared" si="2"/>
        <v>KU421</v>
      </c>
      <c r="K16" t="s">
        <v>620</v>
      </c>
      <c r="L16" t="s">
        <v>743</v>
      </c>
      <c r="M16" t="s">
        <v>582</v>
      </c>
      <c r="N16" s="109">
        <v>1000</v>
      </c>
      <c r="O16" s="109">
        <v>85</v>
      </c>
      <c r="P16" s="109"/>
      <c r="Q16" s="97">
        <v>0.10199999999999999</v>
      </c>
      <c r="R16" s="90">
        <v>3.67</v>
      </c>
      <c r="S16" s="110">
        <v>5</v>
      </c>
      <c r="T16" s="111">
        <v>17.14</v>
      </c>
      <c r="W16">
        <f>IFERROR(VLOOKUP(J16,'Pivot-RC'!$A$4:$B$170,2,FALSE),"")</f>
        <v>1</v>
      </c>
      <c r="X16" s="89">
        <f t="shared" si="3"/>
        <v>220.2</v>
      </c>
      <c r="Y16" s="90">
        <f>IFERROR((VLOOKUP(CONCATENATE(C16,N16),'LED Costs-Lumen -slide 22'!$N$6:$O$42,2,FALSE)*W16),"")</f>
        <v>429.79</v>
      </c>
      <c r="Z16" s="111">
        <f>IFERROR((VLOOKUP(CONCATENATE(C16,O16),'LED Costs-Watt -slide 22'!$N$6:$O$36,2,FALSE)*W16),"")</f>
        <v>710.45</v>
      </c>
      <c r="AA16">
        <v>1</v>
      </c>
      <c r="AC16">
        <v>3</v>
      </c>
    </row>
    <row r="17" spans="1:29" x14ac:dyDescent="0.3">
      <c r="A17" t="s">
        <v>13</v>
      </c>
      <c r="B17" t="s">
        <v>576</v>
      </c>
      <c r="C17" t="s">
        <v>602</v>
      </c>
      <c r="D17" t="s">
        <v>619</v>
      </c>
      <c r="E17" t="str">
        <f t="shared" si="0"/>
        <v>Group 1 - &lt; 12,000 Lumens</v>
      </c>
      <c r="F17" t="str">
        <f t="shared" si="1"/>
        <v>Without Pole</v>
      </c>
      <c r="I17">
        <v>422</v>
      </c>
      <c r="J17" t="str">
        <f t="shared" si="2"/>
        <v>KU422</v>
      </c>
      <c r="K17" t="s">
        <v>620</v>
      </c>
      <c r="L17" t="s">
        <v>743</v>
      </c>
      <c r="M17" t="s">
        <v>582</v>
      </c>
      <c r="N17" s="109">
        <v>2500</v>
      </c>
      <c r="O17" s="109">
        <v>175</v>
      </c>
      <c r="P17" s="109"/>
      <c r="Q17" s="97">
        <v>0.20100000000000001</v>
      </c>
      <c r="R17" s="90">
        <v>4.92</v>
      </c>
      <c r="S17" s="110">
        <v>578</v>
      </c>
      <c r="T17" s="111">
        <v>2714.83</v>
      </c>
      <c r="W17">
        <f>IFERROR(VLOOKUP(J17,'Pivot-RC'!$A$4:$B$170,2,FALSE),"")</f>
        <v>436</v>
      </c>
      <c r="X17" s="89">
        <f t="shared" si="3"/>
        <v>128707.2</v>
      </c>
      <c r="Y17" s="90">
        <f>IFERROR((VLOOKUP(CONCATENATE(C17,N17),'LED Costs-Lumen -slide 22'!$N$6:$O$42,2,FALSE)*W17),"")</f>
        <v>187388.44</v>
      </c>
      <c r="Z17" s="111">
        <f>IFERROR((VLOOKUP(CONCATENATE(C17,O17),'LED Costs-Watt -slide 22'!$N$6:$O$36,2,FALSE)*W17),"")</f>
        <v>455428.16</v>
      </c>
      <c r="AA17">
        <v>1</v>
      </c>
      <c r="AC17">
        <v>3</v>
      </c>
    </row>
    <row r="18" spans="1:29" x14ac:dyDescent="0.3">
      <c r="A18" t="s">
        <v>13</v>
      </c>
      <c r="B18" t="s">
        <v>576</v>
      </c>
      <c r="C18" t="s">
        <v>602</v>
      </c>
      <c r="D18" t="s">
        <v>619</v>
      </c>
      <c r="E18" t="str">
        <f t="shared" si="0"/>
        <v>Group 1 - &lt; 12,000 Lumens</v>
      </c>
      <c r="F18" t="str">
        <f t="shared" si="1"/>
        <v>Without Pole</v>
      </c>
      <c r="I18">
        <v>424</v>
      </c>
      <c r="J18" t="str">
        <f t="shared" si="2"/>
        <v>KU424</v>
      </c>
      <c r="K18" t="s">
        <v>620</v>
      </c>
      <c r="L18" t="s">
        <v>743</v>
      </c>
      <c r="M18" t="s">
        <v>582</v>
      </c>
      <c r="N18" s="109">
        <v>4000</v>
      </c>
      <c r="O18" s="109">
        <v>208</v>
      </c>
      <c r="P18" s="109"/>
      <c r="Q18" s="97">
        <v>0.32700000000000001</v>
      </c>
      <c r="R18" s="90">
        <v>7.34</v>
      </c>
      <c r="S18" s="110">
        <v>29</v>
      </c>
      <c r="T18" s="111">
        <v>201.95</v>
      </c>
      <c r="W18">
        <f>IFERROR(VLOOKUP(J18,'Pivot-RC'!$A$4:$B$170,2,FALSE),"")</f>
        <v>26</v>
      </c>
      <c r="X18" s="89">
        <f t="shared" si="3"/>
        <v>11450.4</v>
      </c>
      <c r="Y18" s="90">
        <f>IFERROR((VLOOKUP(CONCATENATE(C18,N18),'LED Costs-Lumen -slide 22'!$N$6:$O$42,2,FALSE)*W18),"")</f>
        <v>11174.54</v>
      </c>
      <c r="Z18" s="111">
        <f>IFERROR((VLOOKUP(CONCATENATE(C18,O18),'LED Costs-Watt -slide 22'!$N$6:$O$36,2,FALSE)*W18),"")</f>
        <v>27158.559999999998</v>
      </c>
      <c r="AA18">
        <v>1</v>
      </c>
      <c r="AC18">
        <v>3</v>
      </c>
    </row>
    <row r="19" spans="1:29" x14ac:dyDescent="0.3">
      <c r="A19" t="s">
        <v>13</v>
      </c>
      <c r="B19" t="s">
        <v>576</v>
      </c>
      <c r="C19" t="s">
        <v>602</v>
      </c>
      <c r="D19" t="s">
        <v>619</v>
      </c>
      <c r="E19" t="str">
        <f t="shared" si="0"/>
        <v>Group 1 - &lt; 12,000 Lumens</v>
      </c>
      <c r="F19" t="str">
        <f t="shared" si="1"/>
        <v>With Pole</v>
      </c>
      <c r="I19">
        <v>434</v>
      </c>
      <c r="J19" t="str">
        <f t="shared" si="2"/>
        <v>KU434</v>
      </c>
      <c r="K19" t="s">
        <v>620</v>
      </c>
      <c r="L19" t="s">
        <v>743</v>
      </c>
      <c r="M19" t="s">
        <v>617</v>
      </c>
      <c r="N19" s="109">
        <v>4000</v>
      </c>
      <c r="O19" s="109">
        <v>208</v>
      </c>
      <c r="P19" s="109"/>
      <c r="Q19" s="97">
        <v>0.32700000000000001</v>
      </c>
      <c r="R19" s="90">
        <v>8.3800000000000008</v>
      </c>
      <c r="S19" s="110" t="s">
        <v>748</v>
      </c>
      <c r="T19" s="111" t="s">
        <v>748</v>
      </c>
      <c r="W19" t="str">
        <f>IFERROR(VLOOKUP(J19,'Pivot-RC'!$A$4:$B$170,2,FALSE),"")</f>
        <v/>
      </c>
      <c r="X19" s="89" t="str">
        <f t="shared" si="3"/>
        <v/>
      </c>
      <c r="Y19" s="90" t="str">
        <f>IFERROR((VLOOKUP(CONCATENATE(C19,N19),'LED Costs-Lumen -slide 22'!$N$6:$O$42,2,FALSE)*W19),"")</f>
        <v/>
      </c>
      <c r="Z19" s="111" t="str">
        <f>IFERROR((VLOOKUP(CONCATENATE(C19,O19),'LED Costs-Watt -slide 22'!$N$6:$O$36,2,FALSE)*W19),"")</f>
        <v/>
      </c>
      <c r="AA19">
        <v>1</v>
      </c>
      <c r="AC19">
        <v>3</v>
      </c>
    </row>
    <row r="20" spans="1:29" x14ac:dyDescent="0.3">
      <c r="A20" t="s">
        <v>13</v>
      </c>
      <c r="B20" t="s">
        <v>576</v>
      </c>
      <c r="C20" t="s">
        <v>602</v>
      </c>
      <c r="D20" t="s">
        <v>619</v>
      </c>
      <c r="E20" t="str">
        <f t="shared" si="0"/>
        <v>Group 1 - &lt; 12,000 Lumens</v>
      </c>
      <c r="F20" t="str">
        <f t="shared" si="1"/>
        <v>Without Pole</v>
      </c>
      <c r="I20">
        <v>425</v>
      </c>
      <c r="J20" t="str">
        <f t="shared" si="2"/>
        <v>KU425</v>
      </c>
      <c r="K20" t="s">
        <v>620</v>
      </c>
      <c r="L20" t="s">
        <v>743</v>
      </c>
      <c r="M20" t="s">
        <v>582</v>
      </c>
      <c r="N20" s="109">
        <v>6000</v>
      </c>
      <c r="O20" s="109">
        <v>370</v>
      </c>
      <c r="P20" s="109"/>
      <c r="Q20" s="97">
        <v>0.44700000000000001</v>
      </c>
      <c r="R20" s="90">
        <v>9.81</v>
      </c>
      <c r="S20" s="110">
        <v>2</v>
      </c>
      <c r="T20" s="111">
        <v>18.510000000000002</v>
      </c>
      <c r="W20">
        <f>IFERROR(VLOOKUP(J20,'Pivot-RC'!$A$4:$B$170,2,FALSE),"")</f>
        <v>2</v>
      </c>
      <c r="X20" s="89">
        <f t="shared" si="3"/>
        <v>1177.2</v>
      </c>
      <c r="Y20" s="90">
        <f>IFERROR((VLOOKUP(CONCATENATE(C20,N20),'LED Costs-Lumen -slide 22'!$N$6:$O$42,2,FALSE)*W20),"")</f>
        <v>1420.9</v>
      </c>
      <c r="Z20" s="111">
        <f>IFERROR((VLOOKUP(CONCATENATE(C20,O20),'LED Costs-Watt -slide 22'!$N$6:$O$36,2,FALSE)*W20),"")</f>
        <v>2089.12</v>
      </c>
      <c r="AA20">
        <v>1</v>
      </c>
      <c r="AC20">
        <v>3</v>
      </c>
    </row>
    <row r="21" spans="1:29" x14ac:dyDescent="0.3">
      <c r="A21" s="103" t="s">
        <v>658</v>
      </c>
      <c r="B21" t="s">
        <v>625</v>
      </c>
      <c r="C21" s="103" t="s">
        <v>602</v>
      </c>
      <c r="D21" s="103" t="s">
        <v>618</v>
      </c>
      <c r="E21" t="str">
        <f t="shared" si="0"/>
        <v>Group 1 - &lt; 12,000 Lumens</v>
      </c>
      <c r="F21" t="str">
        <f t="shared" si="1"/>
        <v>With Pole</v>
      </c>
      <c r="H21" s="103"/>
      <c r="I21" s="113">
        <v>446</v>
      </c>
      <c r="J21" s="103" t="s">
        <v>837</v>
      </c>
      <c r="K21" s="103" t="s">
        <v>629</v>
      </c>
      <c r="L21" t="s">
        <v>743</v>
      </c>
      <c r="M21" s="103" t="s">
        <v>629</v>
      </c>
      <c r="N21" s="114">
        <v>7000</v>
      </c>
      <c r="O21" s="109">
        <v>175</v>
      </c>
      <c r="P21" s="114"/>
      <c r="Q21" s="97">
        <v>0.20699999999999999</v>
      </c>
      <c r="R21" s="90">
        <v>9.56</v>
      </c>
      <c r="S21" s="110" t="s">
        <v>748</v>
      </c>
      <c r="T21" s="111" t="s">
        <v>748</v>
      </c>
      <c r="W21">
        <f>IFERROR(VLOOKUP(J21,'Pivot-RC'!$A$4:$B$170,2,FALSE),"")</f>
        <v>43</v>
      </c>
      <c r="X21" s="90">
        <f t="shared" si="3"/>
        <v>24664.800000000003</v>
      </c>
      <c r="Y21" s="90">
        <f>IFERROR((VLOOKUP(CONCATENATE(C21,N21),'LED Costs-Lumen -slide 22'!$N$6:$O$42,2,FALSE)*W21),"")</f>
        <v>30549.350000000002</v>
      </c>
      <c r="Z21" s="111">
        <f>IFERROR((VLOOKUP(CONCATENATE(C21,O21),'LED Costs-Watt -slide 22'!$N$6:$O$36,2,FALSE)*W21),"")</f>
        <v>44916.079999999994</v>
      </c>
      <c r="AA21">
        <v>1</v>
      </c>
      <c r="AB21">
        <v>2</v>
      </c>
    </row>
    <row r="22" spans="1:29" x14ac:dyDescent="0.3">
      <c r="A22" s="103" t="s">
        <v>658</v>
      </c>
      <c r="B22" t="s">
        <v>625</v>
      </c>
      <c r="C22" s="103" t="s">
        <v>602</v>
      </c>
      <c r="D22" s="103" t="s">
        <v>656</v>
      </c>
      <c r="E22" t="str">
        <f t="shared" si="0"/>
        <v>Group 1 - &lt; 12,000 Lumens</v>
      </c>
      <c r="F22" t="str">
        <f t="shared" si="1"/>
        <v>With Pole</v>
      </c>
      <c r="H22" s="103"/>
      <c r="I22" s="113">
        <v>462</v>
      </c>
      <c r="J22" s="103" t="s">
        <v>839</v>
      </c>
      <c r="K22" s="103" t="s">
        <v>629</v>
      </c>
      <c r="L22" t="s">
        <v>743</v>
      </c>
      <c r="M22" s="103" t="s">
        <v>629</v>
      </c>
      <c r="N22" s="114">
        <v>5800</v>
      </c>
      <c r="O22" s="109">
        <v>70</v>
      </c>
      <c r="P22" s="114"/>
      <c r="Q22" s="97">
        <v>8.3000000000000004E-2</v>
      </c>
      <c r="R22" s="90">
        <v>8.66</v>
      </c>
      <c r="S22" s="110" t="s">
        <v>748</v>
      </c>
      <c r="T22" s="111" t="s">
        <v>748</v>
      </c>
      <c r="W22">
        <f>IFERROR(VLOOKUP(J22,'Pivot-RC'!$A$4:$B$170,2,FALSE),"")</f>
        <v>336</v>
      </c>
      <c r="X22" s="90">
        <f t="shared" si="3"/>
        <v>174585.60000000001</v>
      </c>
      <c r="Y22" s="90">
        <f>IFERROR((VLOOKUP(CONCATENATE(C22,N22),'LED Costs-Lumen -slide 22'!$N$6:$O$42,2,FALSE)*W22),"")</f>
        <v>144409.44</v>
      </c>
      <c r="Z22" s="111">
        <f>IFERROR((VLOOKUP(CONCATENATE(C22,O22),'LED Costs-Watt -slide 22'!$N$6:$O$36,2,FALSE)*W22),"")</f>
        <v>238711.2</v>
      </c>
    </row>
    <row r="23" spans="1:29" x14ac:dyDescent="0.3">
      <c r="A23" s="103" t="s">
        <v>658</v>
      </c>
      <c r="B23" t="s">
        <v>625</v>
      </c>
      <c r="C23" s="103" t="s">
        <v>602</v>
      </c>
      <c r="D23" s="103" t="s">
        <v>656</v>
      </c>
      <c r="E23" t="str">
        <f t="shared" si="0"/>
        <v>Group 1 - &lt; 12,000 Lumens</v>
      </c>
      <c r="F23" t="str">
        <f t="shared" si="1"/>
        <v>With Pole</v>
      </c>
      <c r="H23" s="103"/>
      <c r="I23" s="113">
        <v>463</v>
      </c>
      <c r="J23" s="103" t="s">
        <v>840</v>
      </c>
      <c r="K23" s="103" t="s">
        <v>629</v>
      </c>
      <c r="L23" t="s">
        <v>743</v>
      </c>
      <c r="M23" s="103" t="s">
        <v>629</v>
      </c>
      <c r="N23" s="114">
        <v>9500</v>
      </c>
      <c r="O23" s="109">
        <v>100</v>
      </c>
      <c r="P23" s="114"/>
      <c r="Q23" s="97">
        <v>0.11700000000000001</v>
      </c>
      <c r="R23" s="90">
        <v>9.14</v>
      </c>
      <c r="S23" s="110" t="s">
        <v>748</v>
      </c>
      <c r="T23" s="111" t="s">
        <v>748</v>
      </c>
      <c r="W23">
        <f>IFERROR(VLOOKUP(J23,'Pivot-RC'!$A$4:$B$170,2,FALSE),"")</f>
        <v>1973</v>
      </c>
      <c r="X23" s="90">
        <f t="shared" si="3"/>
        <v>1081993.2000000002</v>
      </c>
      <c r="Y23" s="90">
        <f>IFERROR((VLOOKUP(CONCATENATE(C23,N23),'LED Costs-Lumen -slide 22'!$N$6:$O$42,2,FALSE)*W23),"")</f>
        <v>1401717.85</v>
      </c>
      <c r="Z23" s="111">
        <f>IFERROR((VLOOKUP(CONCATENATE(C23,O23),'LED Costs-Watt -slide 22'!$N$6:$O$36,2,FALSE)*W23),"")</f>
        <v>1401717.85</v>
      </c>
    </row>
    <row r="24" spans="1:29" x14ac:dyDescent="0.3">
      <c r="A24" s="103" t="s">
        <v>658</v>
      </c>
      <c r="B24" t="s">
        <v>625</v>
      </c>
      <c r="C24" s="103" t="s">
        <v>602</v>
      </c>
      <c r="D24" s="103" t="s">
        <v>656</v>
      </c>
      <c r="E24" t="str">
        <f t="shared" si="0"/>
        <v>Group 2 - Between 12,000 and 100,000 Lumens</v>
      </c>
      <c r="F24" t="str">
        <f t="shared" si="1"/>
        <v>With Pole</v>
      </c>
      <c r="H24" s="103"/>
      <c r="I24" s="113">
        <v>464</v>
      </c>
      <c r="J24" s="103" t="s">
        <v>841</v>
      </c>
      <c r="K24" s="103" t="s">
        <v>629</v>
      </c>
      <c r="L24" t="s">
        <v>743</v>
      </c>
      <c r="M24" s="103" t="s">
        <v>629</v>
      </c>
      <c r="N24" s="114">
        <v>22000</v>
      </c>
      <c r="O24" s="109">
        <v>200</v>
      </c>
      <c r="P24" s="114"/>
      <c r="Q24" s="97">
        <v>0.24199999999999999</v>
      </c>
      <c r="R24" s="90">
        <v>14.25</v>
      </c>
      <c r="S24" s="110" t="s">
        <v>748</v>
      </c>
      <c r="T24" s="111" t="s">
        <v>748</v>
      </c>
      <c r="W24">
        <f>IFERROR(VLOOKUP(J24,'Pivot-RC'!$A$4:$B$170,2,FALSE),"")</f>
        <v>191</v>
      </c>
      <c r="X24" s="90">
        <f t="shared" si="3"/>
        <v>163305</v>
      </c>
      <c r="Y24" s="90">
        <f>IFERROR((VLOOKUP(CONCATENATE(C24,N24),'LED Costs-Lumen -slide 22'!$N$6:$O$42,2,FALSE)*W24),"")</f>
        <v>199510.96</v>
      </c>
      <c r="Z24" s="111">
        <f>IFERROR((VLOOKUP(CONCATENATE(C24,O24),'LED Costs-Watt -slide 22'!$N$6:$O$36,2,FALSE)*W24),"")</f>
        <v>199510.96</v>
      </c>
    </row>
    <row r="25" spans="1:29" x14ac:dyDescent="0.3">
      <c r="A25" s="103" t="s">
        <v>658</v>
      </c>
      <c r="B25" t="s">
        <v>625</v>
      </c>
      <c r="C25" s="103" t="s">
        <v>602</v>
      </c>
      <c r="D25" s="103" t="s">
        <v>656</v>
      </c>
      <c r="E25" t="str">
        <f t="shared" si="0"/>
        <v>Group 2 - Between 12,000 and 100,000 Lumens</v>
      </c>
      <c r="F25" t="str">
        <f t="shared" si="1"/>
        <v>With Pole</v>
      </c>
      <c r="H25" s="103"/>
      <c r="I25" s="113">
        <v>465</v>
      </c>
      <c r="J25" s="103" t="s">
        <v>842</v>
      </c>
      <c r="K25" s="103" t="s">
        <v>629</v>
      </c>
      <c r="L25" t="s">
        <v>743</v>
      </c>
      <c r="M25" s="103" t="s">
        <v>629</v>
      </c>
      <c r="N25" s="114">
        <v>50000</v>
      </c>
      <c r="O25" s="109">
        <v>400</v>
      </c>
      <c r="P25" s="114"/>
      <c r="Q25" s="97">
        <v>0.47099999999999997</v>
      </c>
      <c r="R25" s="90">
        <v>22.84</v>
      </c>
      <c r="S25" s="110" t="s">
        <v>748</v>
      </c>
      <c r="T25" s="111" t="s">
        <v>748</v>
      </c>
      <c r="W25">
        <f>IFERROR(VLOOKUP(J25,'Pivot-RC'!$A$4:$B$170,2,FALSE),"")</f>
        <v>51</v>
      </c>
      <c r="X25" s="90">
        <f t="shared" si="3"/>
        <v>69890.399999999994</v>
      </c>
      <c r="Y25" s="90">
        <f>IFERROR((VLOOKUP(CONCATENATE(C25,N25),'LED Costs-Lumen -slide 22'!$N$6:$O$42,2,FALSE)*W25),"")</f>
        <v>106545.12</v>
      </c>
      <c r="Z25" s="111">
        <f>IFERROR((VLOOKUP(CONCATENATE(C25,O25),'LED Costs-Watt -slide 22'!$N$6:$O$36,2,FALSE)*W25),"")</f>
        <v>106545.12</v>
      </c>
    </row>
    <row r="26" spans="1:29" x14ac:dyDescent="0.3">
      <c r="A26" s="103" t="s">
        <v>658</v>
      </c>
      <c r="B26" t="s">
        <v>625</v>
      </c>
      <c r="C26" s="103" t="s">
        <v>602</v>
      </c>
      <c r="D26" s="103" t="s">
        <v>618</v>
      </c>
      <c r="E26" t="str">
        <f t="shared" si="0"/>
        <v>Group 1 - &lt; 12,000 Lumens</v>
      </c>
      <c r="F26" t="str">
        <f t="shared" si="1"/>
        <v>With Pole</v>
      </c>
      <c r="H26" s="103"/>
      <c r="I26" s="113">
        <v>456</v>
      </c>
      <c r="J26" s="103" t="s">
        <v>838</v>
      </c>
      <c r="K26" s="103" t="s">
        <v>603</v>
      </c>
      <c r="L26" t="s">
        <v>743</v>
      </c>
      <c r="M26" s="103" t="s">
        <v>603</v>
      </c>
      <c r="N26" s="114">
        <v>7000</v>
      </c>
      <c r="O26" s="109">
        <v>175</v>
      </c>
      <c r="P26" s="114"/>
      <c r="Q26" s="97">
        <v>0.20699999999999999</v>
      </c>
      <c r="R26" s="90">
        <v>11.87</v>
      </c>
      <c r="S26" s="110" t="s">
        <v>748</v>
      </c>
      <c r="T26" s="111" t="s">
        <v>748</v>
      </c>
      <c r="W26">
        <f>IFERROR(VLOOKUP(J26,'Pivot-RC'!$A$4:$B$170,2,FALSE),"")</f>
        <v>7</v>
      </c>
      <c r="X26" s="89">
        <f t="shared" si="3"/>
        <v>4985.3999999999996</v>
      </c>
      <c r="Y26" s="90">
        <f>IFERROR((VLOOKUP(CONCATENATE(C26,N26),'LED Costs-Lumen -slide 22'!$N$6:$O$42,2,FALSE)*W26),"")</f>
        <v>4973.1500000000005</v>
      </c>
      <c r="Z26" s="111">
        <f>IFERROR((VLOOKUP(CONCATENATE(C26,O26),'LED Costs-Watt -slide 22'!$N$6:$O$36,2,FALSE)*W26),"")</f>
        <v>7311.92</v>
      </c>
      <c r="AA26">
        <v>1</v>
      </c>
      <c r="AB26">
        <v>2</v>
      </c>
    </row>
    <row r="27" spans="1:29" x14ac:dyDescent="0.3">
      <c r="A27" s="103" t="s">
        <v>658</v>
      </c>
      <c r="B27" t="s">
        <v>625</v>
      </c>
      <c r="C27" s="103" t="s">
        <v>602</v>
      </c>
      <c r="D27" s="103" t="s">
        <v>656</v>
      </c>
      <c r="E27" t="str">
        <f t="shared" si="0"/>
        <v>Group 1 - &lt; 12,000 Lumens</v>
      </c>
      <c r="F27" t="str">
        <f t="shared" si="1"/>
        <v>With Pole</v>
      </c>
      <c r="H27" s="103"/>
      <c r="I27" s="113">
        <v>472</v>
      </c>
      <c r="J27" s="103" t="s">
        <v>843</v>
      </c>
      <c r="K27" s="103" t="s">
        <v>603</v>
      </c>
      <c r="L27" t="s">
        <v>743</v>
      </c>
      <c r="M27" s="103" t="s">
        <v>603</v>
      </c>
      <c r="N27" s="114">
        <v>5800</v>
      </c>
      <c r="O27" s="109">
        <v>70</v>
      </c>
      <c r="P27" s="114"/>
      <c r="Q27" s="97">
        <v>8.3000000000000004E-2</v>
      </c>
      <c r="R27" s="90">
        <v>11.6</v>
      </c>
      <c r="S27" s="110" t="s">
        <v>748</v>
      </c>
      <c r="T27" s="111" t="s">
        <v>748</v>
      </c>
      <c r="W27">
        <f>IFERROR(VLOOKUP(J27,'Pivot-RC'!$A$4:$B$170,2,FALSE),"")</f>
        <v>9</v>
      </c>
      <c r="X27" s="89">
        <f t="shared" si="3"/>
        <v>6263.9999999999991</v>
      </c>
      <c r="Y27" s="90">
        <f>IFERROR((VLOOKUP(CONCATENATE(C27,N27),'LED Costs-Lumen -slide 22'!$N$6:$O$42,2,FALSE)*W27),"")</f>
        <v>3868.11</v>
      </c>
      <c r="Z27" s="111">
        <f>IFERROR((VLOOKUP(CONCATENATE(C27,O27),'LED Costs-Watt -slide 22'!$N$6:$O$36,2,FALSE)*W27),"")</f>
        <v>6394.05</v>
      </c>
    </row>
    <row r="28" spans="1:29" x14ac:dyDescent="0.3">
      <c r="A28" s="103" t="s">
        <v>658</v>
      </c>
      <c r="B28" t="s">
        <v>625</v>
      </c>
      <c r="C28" s="103" t="s">
        <v>602</v>
      </c>
      <c r="D28" s="103" t="s">
        <v>656</v>
      </c>
      <c r="E28" t="str">
        <f t="shared" si="0"/>
        <v>Group 1 - &lt; 12,000 Lumens</v>
      </c>
      <c r="F28" t="str">
        <f t="shared" si="1"/>
        <v>With Pole</v>
      </c>
      <c r="H28" s="103"/>
      <c r="I28" s="113">
        <v>473</v>
      </c>
      <c r="J28" s="103" t="s">
        <v>844</v>
      </c>
      <c r="K28" s="103" t="s">
        <v>603</v>
      </c>
      <c r="L28" t="s">
        <v>743</v>
      </c>
      <c r="M28" s="103" t="s">
        <v>603</v>
      </c>
      <c r="N28" s="114">
        <v>9500</v>
      </c>
      <c r="O28" s="109">
        <v>100</v>
      </c>
      <c r="P28" s="114"/>
      <c r="Q28" s="97">
        <v>0.11700000000000001</v>
      </c>
      <c r="R28" s="90">
        <v>12.3</v>
      </c>
      <c r="S28" s="110" t="s">
        <v>748</v>
      </c>
      <c r="T28" s="111" t="s">
        <v>748</v>
      </c>
      <c r="W28">
        <f>IFERROR(VLOOKUP(J28,'Pivot-RC'!$A$4:$B$170,2,FALSE),"")</f>
        <v>67</v>
      </c>
      <c r="X28" s="89">
        <f t="shared" si="3"/>
        <v>49446</v>
      </c>
      <c r="Y28" s="90">
        <f>IFERROR((VLOOKUP(CONCATENATE(C28,N28),'LED Costs-Lumen -slide 22'!$N$6:$O$42,2,FALSE)*W28),"")</f>
        <v>47600.15</v>
      </c>
      <c r="Z28" s="111">
        <f>IFERROR((VLOOKUP(CONCATENATE(C28,O28),'LED Costs-Watt -slide 22'!$N$6:$O$36,2,FALSE)*W28),"")</f>
        <v>47600.15</v>
      </c>
    </row>
    <row r="29" spans="1:29" x14ac:dyDescent="0.3">
      <c r="A29" s="103" t="s">
        <v>658</v>
      </c>
      <c r="B29" t="s">
        <v>625</v>
      </c>
      <c r="C29" s="103" t="s">
        <v>602</v>
      </c>
      <c r="D29" s="103" t="s">
        <v>656</v>
      </c>
      <c r="E29" t="str">
        <f t="shared" si="0"/>
        <v>Group 2 - Between 12,000 and 100,000 Lumens</v>
      </c>
      <c r="F29" t="str">
        <f t="shared" si="1"/>
        <v>With Pole</v>
      </c>
      <c r="H29" s="103"/>
      <c r="I29" s="113">
        <v>474</v>
      </c>
      <c r="J29" s="103" t="s">
        <v>845</v>
      </c>
      <c r="K29" s="103" t="s">
        <v>603</v>
      </c>
      <c r="L29" t="s">
        <v>743</v>
      </c>
      <c r="M29" s="103" t="s">
        <v>603</v>
      </c>
      <c r="N29" s="114">
        <v>22000</v>
      </c>
      <c r="O29" s="109">
        <v>200</v>
      </c>
      <c r="P29" s="114"/>
      <c r="Q29" s="97">
        <v>0.24199999999999999</v>
      </c>
      <c r="R29" s="90">
        <v>17.41</v>
      </c>
      <c r="S29" s="110" t="s">
        <v>748</v>
      </c>
      <c r="T29" s="111" t="s">
        <v>748</v>
      </c>
      <c r="W29">
        <f>IFERROR(VLOOKUP(J29,'Pivot-RC'!$A$4:$B$170,2,FALSE),"")</f>
        <v>225</v>
      </c>
      <c r="X29" s="89">
        <f t="shared" si="3"/>
        <v>235035</v>
      </c>
      <c r="Y29" s="90">
        <f>IFERROR((VLOOKUP(CONCATENATE(C29,N29),'LED Costs-Lumen -slide 22'!$N$6:$O$42,2,FALSE)*W29),"")</f>
        <v>235026</v>
      </c>
      <c r="Z29" s="111">
        <f>IFERROR((VLOOKUP(CONCATENATE(C29,O29),'LED Costs-Watt -slide 22'!$N$6:$O$36,2,FALSE)*W29),"")</f>
        <v>235026</v>
      </c>
    </row>
    <row r="30" spans="1:29" x14ac:dyDescent="0.3">
      <c r="A30" s="103" t="s">
        <v>658</v>
      </c>
      <c r="B30" t="s">
        <v>625</v>
      </c>
      <c r="C30" s="103" t="s">
        <v>602</v>
      </c>
      <c r="D30" s="103" t="s">
        <v>656</v>
      </c>
      <c r="E30" t="str">
        <f t="shared" si="0"/>
        <v>Group 2 - Between 12,000 and 100,000 Lumens</v>
      </c>
      <c r="F30" t="str">
        <f t="shared" si="1"/>
        <v>With Pole</v>
      </c>
      <c r="H30" s="103"/>
      <c r="I30" s="113">
        <v>475</v>
      </c>
      <c r="J30" s="103" t="s">
        <v>846</v>
      </c>
      <c r="K30" s="103" t="s">
        <v>603</v>
      </c>
      <c r="L30" t="s">
        <v>743</v>
      </c>
      <c r="M30" s="103" t="s">
        <v>603</v>
      </c>
      <c r="N30" s="114">
        <v>50000</v>
      </c>
      <c r="O30" s="109">
        <v>400</v>
      </c>
      <c r="P30" s="114"/>
      <c r="Q30" s="97">
        <v>0.47099999999999997</v>
      </c>
      <c r="R30" s="90">
        <v>24.46</v>
      </c>
      <c r="S30" s="110" t="s">
        <v>748</v>
      </c>
      <c r="T30" s="111" t="s">
        <v>748</v>
      </c>
      <c r="W30">
        <f>IFERROR(VLOOKUP(J30,'Pivot-RC'!$A$4:$B$170,2,FALSE),"")</f>
        <v>9</v>
      </c>
      <c r="X30" s="89">
        <f t="shared" si="3"/>
        <v>13208.400000000001</v>
      </c>
      <c r="Y30" s="90">
        <f>IFERROR((VLOOKUP(CONCATENATE(C30,N30),'LED Costs-Lumen -slide 22'!$N$6:$O$42,2,FALSE)*W30),"")</f>
        <v>18802.079999999998</v>
      </c>
      <c r="Z30" s="111">
        <f>IFERROR((VLOOKUP(CONCATENATE(C30,O30),'LED Costs-Watt -slide 22'!$N$6:$O$36,2,FALSE)*W30),"")</f>
        <v>18802.079999999998</v>
      </c>
    </row>
    <row r="31" spans="1:29" x14ac:dyDescent="0.3">
      <c r="A31" t="s">
        <v>13</v>
      </c>
      <c r="B31" t="s">
        <v>575</v>
      </c>
      <c r="C31" t="s">
        <v>602</v>
      </c>
      <c r="D31" t="s">
        <v>656</v>
      </c>
      <c r="E31" t="str">
        <f t="shared" si="0"/>
        <v>Group 1 - &lt; 12,000 Lumens</v>
      </c>
      <c r="F31" t="str">
        <f t="shared" si="1"/>
        <v>Without Pole</v>
      </c>
      <c r="I31">
        <v>428</v>
      </c>
      <c r="J31" t="str">
        <f t="shared" si="2"/>
        <v>KU428</v>
      </c>
      <c r="K31" t="s">
        <v>607</v>
      </c>
      <c r="L31" t="s">
        <v>1021</v>
      </c>
      <c r="M31" t="s">
        <v>582</v>
      </c>
      <c r="N31" s="109">
        <v>9500</v>
      </c>
      <c r="O31" s="109">
        <v>100</v>
      </c>
      <c r="P31" s="109"/>
      <c r="Q31" s="97">
        <v>0.11700000000000001</v>
      </c>
      <c r="R31" s="90">
        <v>8.49</v>
      </c>
      <c r="S31" s="110">
        <v>36751</v>
      </c>
      <c r="T31" s="111">
        <v>296815.31</v>
      </c>
      <c r="U31" s="90"/>
      <c r="W31">
        <f>IFERROR(VLOOKUP(J31,'Pivot-RC'!$A$4:$B$170,2,FALSE),"")</f>
        <v>36978</v>
      </c>
      <c r="X31" s="89">
        <f t="shared" si="3"/>
        <v>18836593.200000003</v>
      </c>
      <c r="Y31" s="90">
        <f>IFERROR((VLOOKUP(CONCATENATE(C31,N31),'LED Costs-Lumen -slide 22'!$N$6:$O$42,2,FALSE)*W31),"")</f>
        <v>26271020.100000001</v>
      </c>
      <c r="Z31" s="111">
        <f>IFERROR((VLOOKUP(CONCATENATE(C31,O31),'LED Costs-Watt -slide 22'!$N$6:$O$36,2,FALSE)*W31),"")</f>
        <v>26271020.100000001</v>
      </c>
    </row>
    <row r="32" spans="1:29" x14ac:dyDescent="0.3">
      <c r="A32" t="s">
        <v>13</v>
      </c>
      <c r="B32" t="s">
        <v>576</v>
      </c>
      <c r="C32" t="s">
        <v>602</v>
      </c>
      <c r="D32" t="s">
        <v>656</v>
      </c>
      <c r="E32" t="str">
        <f t="shared" si="0"/>
        <v>Group 1 - &lt; 12,000 Lumens</v>
      </c>
      <c r="F32" t="str">
        <f t="shared" si="1"/>
        <v>Without Pole</v>
      </c>
      <c r="I32">
        <v>426</v>
      </c>
      <c r="J32" t="str">
        <f t="shared" si="2"/>
        <v>KU426</v>
      </c>
      <c r="K32" t="s">
        <v>607</v>
      </c>
      <c r="L32" t="s">
        <v>1021</v>
      </c>
      <c r="M32" t="s">
        <v>582</v>
      </c>
      <c r="N32" s="109">
        <v>5800</v>
      </c>
      <c r="O32" s="109">
        <v>100</v>
      </c>
      <c r="P32" s="109"/>
      <c r="Q32" s="97">
        <v>8.3000000000000004E-2</v>
      </c>
      <c r="R32" s="90">
        <v>8.06</v>
      </c>
      <c r="S32" s="110">
        <v>163</v>
      </c>
      <c r="T32" s="111">
        <v>1233.81</v>
      </c>
      <c r="W32">
        <f>IFERROR(VLOOKUP(J32,'Pivot-RC'!$A$4:$B$170,2,FALSE),"")</f>
        <v>155</v>
      </c>
      <c r="X32" s="89">
        <f t="shared" si="3"/>
        <v>74958.000000000015</v>
      </c>
      <c r="Y32" s="90">
        <f>IFERROR((VLOOKUP(CONCATENATE(C32,N32),'LED Costs-Lumen -slide 22'!$N$6:$O$42,2,FALSE)*W32),"")</f>
        <v>66617.45</v>
      </c>
      <c r="Z32" s="111">
        <f>IFERROR((VLOOKUP(CONCATENATE(C32,O32),'LED Costs-Watt -slide 22'!$N$6:$O$36,2,FALSE)*W32),"")</f>
        <v>110119.75</v>
      </c>
      <c r="AC32">
        <v>3</v>
      </c>
    </row>
    <row r="33" spans="1:29" x14ac:dyDescent="0.3">
      <c r="A33" t="s">
        <v>13</v>
      </c>
      <c r="B33" t="s">
        <v>576</v>
      </c>
      <c r="C33" t="s">
        <v>602</v>
      </c>
      <c r="D33" t="s">
        <v>618</v>
      </c>
      <c r="E33" t="str">
        <f t="shared" si="0"/>
        <v>Group 1 - &lt; 12,000 Lumens</v>
      </c>
      <c r="F33" t="str">
        <f t="shared" si="1"/>
        <v>Without Pole</v>
      </c>
      <c r="I33">
        <v>404</v>
      </c>
      <c r="J33" t="str">
        <f t="shared" si="2"/>
        <v>KU404</v>
      </c>
      <c r="K33" t="s">
        <v>607</v>
      </c>
      <c r="L33" t="s">
        <v>1021</v>
      </c>
      <c r="M33" t="s">
        <v>582</v>
      </c>
      <c r="N33" s="109">
        <v>7000</v>
      </c>
      <c r="O33" s="109">
        <v>175</v>
      </c>
      <c r="P33" s="109"/>
      <c r="Q33" s="97">
        <v>0.20699999999999999</v>
      </c>
      <c r="R33" s="90">
        <v>11.45</v>
      </c>
      <c r="S33" s="110">
        <v>6625</v>
      </c>
      <c r="T33" s="111">
        <v>72239.539999999994</v>
      </c>
      <c r="U33" s="90"/>
      <c r="W33">
        <f>IFERROR(VLOOKUP(J33,'Pivot-RC'!$A$4:$B$170,2,FALSE),"")</f>
        <v>6300</v>
      </c>
      <c r="X33" s="89">
        <f t="shared" si="3"/>
        <v>4328100</v>
      </c>
      <c r="Y33" s="90">
        <f>IFERROR((VLOOKUP(CONCATENATE(C33,N33),'LED Costs-Lumen -slide 22'!$N$6:$O$42,2,FALSE)*W33),"")</f>
        <v>4475835</v>
      </c>
      <c r="Z33" s="111">
        <f>IFERROR((VLOOKUP(CONCATENATE(C33,O33),'LED Costs-Watt -slide 22'!$N$6:$O$36,2,FALSE)*W33),"")</f>
        <v>6580728</v>
      </c>
      <c r="AA33">
        <v>1</v>
      </c>
      <c r="AB33">
        <v>2</v>
      </c>
      <c r="AC33">
        <v>3</v>
      </c>
    </row>
    <row r="34" spans="1:29" x14ac:dyDescent="0.3">
      <c r="A34" t="s">
        <v>153</v>
      </c>
      <c r="B34" t="s">
        <v>625</v>
      </c>
      <c r="C34" t="s">
        <v>602</v>
      </c>
      <c r="D34" t="s">
        <v>618</v>
      </c>
      <c r="E34" t="str">
        <f t="shared" si="0"/>
        <v>Group 1 - &lt; 12,000 Lumens</v>
      </c>
      <c r="F34" t="str">
        <f t="shared" si="1"/>
        <v>Without Pole</v>
      </c>
      <c r="I34">
        <v>406</v>
      </c>
      <c r="J34" t="str">
        <f t="shared" ref="J34:J65" si="4">CONCATENATE(A34,I34)</f>
        <v>ODP406</v>
      </c>
      <c r="K34" t="s">
        <v>607</v>
      </c>
      <c r="L34" t="s">
        <v>1021</v>
      </c>
      <c r="M34" t="s">
        <v>582</v>
      </c>
      <c r="N34" s="109">
        <v>7000</v>
      </c>
      <c r="O34" s="109">
        <v>175</v>
      </c>
      <c r="P34" s="109" t="s">
        <v>604</v>
      </c>
      <c r="Q34" s="97">
        <v>0.20699999999999999</v>
      </c>
      <c r="R34" s="90">
        <v>10.7</v>
      </c>
      <c r="S34" s="110">
        <v>1622</v>
      </c>
      <c r="T34" s="111">
        <v>17272.900000000001</v>
      </c>
      <c r="U34" t="s">
        <v>626</v>
      </c>
      <c r="W34">
        <f>IFERROR(VLOOKUP(J34,'Pivot-RC'!$A$4:$B$170,2,FALSE),"")</f>
        <v>1815</v>
      </c>
      <c r="X34" s="89">
        <f t="shared" si="3"/>
        <v>1165230</v>
      </c>
      <c r="Y34" s="90">
        <f>IFERROR((VLOOKUP(CONCATENATE(C34,N34),'LED Costs-Lumen -slide 22'!$N$6:$O$42,2,FALSE)*W34),"")</f>
        <v>1289466.75</v>
      </c>
      <c r="Z34" s="111">
        <f>IFERROR((VLOOKUP(CONCATENATE(C34,O34),'LED Costs-Watt -slide 22'!$N$6:$O$36,2,FALSE)*W34),"")</f>
        <v>1895876.4</v>
      </c>
      <c r="AA34">
        <v>1</v>
      </c>
      <c r="AB34">
        <v>2</v>
      </c>
    </row>
    <row r="35" spans="1:29" x14ac:dyDescent="0.3">
      <c r="A35" t="s">
        <v>630</v>
      </c>
      <c r="B35" t="s">
        <v>575</v>
      </c>
      <c r="C35" t="s">
        <v>602</v>
      </c>
      <c r="D35" t="s">
        <v>656</v>
      </c>
      <c r="E35" t="str">
        <f t="shared" si="0"/>
        <v>Group 1 - &lt; 12,000 Lumens</v>
      </c>
      <c r="F35" t="str">
        <f t="shared" si="1"/>
        <v>Without Pole</v>
      </c>
      <c r="I35">
        <v>457</v>
      </c>
      <c r="J35" t="str">
        <f t="shared" si="4"/>
        <v>LGE457</v>
      </c>
      <c r="K35" t="s">
        <v>607</v>
      </c>
      <c r="L35" t="s">
        <v>1021</v>
      </c>
      <c r="M35" t="s">
        <v>582</v>
      </c>
      <c r="N35" s="109">
        <v>9500</v>
      </c>
      <c r="O35" s="109">
        <v>100</v>
      </c>
      <c r="P35" s="109"/>
      <c r="Q35" s="97">
        <v>0.11700000000000001</v>
      </c>
      <c r="R35" s="90">
        <v>10.87</v>
      </c>
      <c r="S35" s="110">
        <v>3512</v>
      </c>
      <c r="T35" s="111">
        <v>37926.21</v>
      </c>
      <c r="W35">
        <f>IFERROR(VLOOKUP(J35,'Pivot-RC'!$A$4:$B$170,2,FALSE),"")</f>
        <v>3607</v>
      </c>
      <c r="X35" s="89">
        <f t="shared" si="3"/>
        <v>2352485.4</v>
      </c>
      <c r="Y35" s="90">
        <f>IFERROR((VLOOKUP(CONCATENATE(C35,N35),'LED Costs-Lumen -slide 22'!$N$6:$O$42,2,FALSE)*W35),"")</f>
        <v>2562593.1500000004</v>
      </c>
      <c r="Z35" s="111">
        <f>IFERROR((VLOOKUP(CONCATENATE(C35,O35),'LED Costs-Watt -slide 22'!$N$6:$O$36,2,FALSE)*W35),"")</f>
        <v>2562593.1500000004</v>
      </c>
    </row>
    <row r="36" spans="1:29" x14ac:dyDescent="0.3">
      <c r="A36" t="s">
        <v>630</v>
      </c>
      <c r="B36" t="s">
        <v>576</v>
      </c>
      <c r="C36" t="s">
        <v>602</v>
      </c>
      <c r="D36" t="s">
        <v>618</v>
      </c>
      <c r="E36" t="str">
        <f t="shared" si="0"/>
        <v>Group 1 - &lt; 12,000 Lumens</v>
      </c>
      <c r="F36" t="str">
        <f t="shared" si="1"/>
        <v>Without Pole</v>
      </c>
      <c r="I36">
        <v>201</v>
      </c>
      <c r="J36" t="str">
        <f t="shared" si="4"/>
        <v>LGE201</v>
      </c>
      <c r="K36" t="s">
        <v>607</v>
      </c>
      <c r="L36" t="s">
        <v>1021</v>
      </c>
      <c r="M36" t="s">
        <v>582</v>
      </c>
      <c r="N36" s="109">
        <v>4000</v>
      </c>
      <c r="O36" s="109">
        <v>100</v>
      </c>
      <c r="P36" s="109"/>
      <c r="Q36" s="97">
        <v>0.1</v>
      </c>
      <c r="R36" s="90">
        <v>8.15</v>
      </c>
      <c r="S36" s="110">
        <v>74</v>
      </c>
      <c r="T36" s="111">
        <v>598.12</v>
      </c>
      <c r="W36">
        <f>IFERROR(VLOOKUP(J36,'Pivot-RC'!$A$4:$B$170,2,FALSE),"")</f>
        <v>72</v>
      </c>
      <c r="X36" s="89">
        <f t="shared" si="3"/>
        <v>35208.000000000007</v>
      </c>
      <c r="Y36" s="90">
        <f>IFERROR((VLOOKUP(CONCATENATE(C36,N36),'LED Costs-Lumen -slide 22'!$N$6:$O$42,2,FALSE)*W36),"")</f>
        <v>30944.880000000001</v>
      </c>
      <c r="Z36" s="111">
        <f>IFERROR((VLOOKUP(CONCATENATE(C36,O36),'LED Costs-Watt -slide 22'!$N$6:$O$36,2,FALSE)*W36),"")</f>
        <v>51152.4</v>
      </c>
      <c r="AA36">
        <v>1</v>
      </c>
      <c r="AB36">
        <v>2</v>
      </c>
      <c r="AC36">
        <v>3</v>
      </c>
    </row>
    <row r="37" spans="1:29" x14ac:dyDescent="0.3">
      <c r="A37" t="s">
        <v>652</v>
      </c>
      <c r="B37" t="s">
        <v>625</v>
      </c>
      <c r="C37" t="s">
        <v>602</v>
      </c>
      <c r="D37" t="s">
        <v>618</v>
      </c>
      <c r="F37" t="str">
        <f t="shared" si="1"/>
        <v>With Pole</v>
      </c>
      <c r="I37" t="s">
        <v>852</v>
      </c>
      <c r="J37" t="s">
        <v>852</v>
      </c>
      <c r="K37" t="s">
        <v>607</v>
      </c>
      <c r="L37" t="s">
        <v>1021</v>
      </c>
      <c r="M37" s="103" t="s">
        <v>1028</v>
      </c>
      <c r="N37" s="109">
        <v>7000</v>
      </c>
      <c r="O37" s="109">
        <v>175</v>
      </c>
      <c r="P37" s="109"/>
      <c r="Q37" s="97">
        <v>0.20699999999999999</v>
      </c>
      <c r="R37" s="90">
        <v>9.52</v>
      </c>
      <c r="S37" s="110">
        <v>0</v>
      </c>
      <c r="T37" s="111"/>
      <c r="U37" t="s">
        <v>530</v>
      </c>
      <c r="W37">
        <f>IFERROR(VLOOKUP(J37,'Pivot-RC'!$A$4:$B$170,2,FALSE),"")</f>
        <v>1</v>
      </c>
      <c r="X37" s="90">
        <f t="shared" si="3"/>
        <v>571.19999999999993</v>
      </c>
      <c r="Y37" s="90">
        <f>IFERROR((VLOOKUP(CONCATENATE(C37,N37),'LED Costs-Lumen -slide 22'!$N$6:$O$42,2,FALSE)*W37),"")</f>
        <v>710.45</v>
      </c>
      <c r="Z37" s="111">
        <f>IFERROR((VLOOKUP(CONCATENATE(C37,O37),'LED Costs-Watt -slide 22'!$N$6:$O$36,2,FALSE)*W37),"")</f>
        <v>1044.56</v>
      </c>
      <c r="AA37">
        <v>1</v>
      </c>
      <c r="AB37">
        <v>2</v>
      </c>
    </row>
    <row r="38" spans="1:29" x14ac:dyDescent="0.3">
      <c r="A38" t="s">
        <v>652</v>
      </c>
      <c r="B38" t="s">
        <v>625</v>
      </c>
      <c r="C38" t="s">
        <v>602</v>
      </c>
      <c r="D38" t="s">
        <v>656</v>
      </c>
      <c r="I38">
        <v>2</v>
      </c>
      <c r="J38" t="str">
        <f t="shared" si="4"/>
        <v>KU- TENN2</v>
      </c>
      <c r="K38" t="s">
        <v>607</v>
      </c>
      <c r="L38" t="s">
        <v>1021</v>
      </c>
      <c r="M38" s="103" t="s">
        <v>1028</v>
      </c>
      <c r="N38" s="109">
        <v>5800</v>
      </c>
      <c r="O38" s="109">
        <v>70</v>
      </c>
      <c r="P38" s="109"/>
      <c r="Q38" s="97">
        <v>8.3000000000000004E-2</v>
      </c>
      <c r="R38" s="90">
        <v>6.36</v>
      </c>
      <c r="S38" s="110">
        <v>0</v>
      </c>
      <c r="T38" s="111"/>
      <c r="W38" t="str">
        <f>IFERROR(VLOOKUP(J38,'Pivot-RC'!$A$4:$B$170,2,FALSE),"")</f>
        <v/>
      </c>
      <c r="X38" s="90" t="str">
        <f t="shared" si="3"/>
        <v/>
      </c>
      <c r="Y38" s="90" t="str">
        <f>IFERROR((VLOOKUP(CONCATENATE(C38,N38),'LED Costs-Lumen -slide 22'!$N$6:$O$42,2,FALSE)*W38),"")</f>
        <v/>
      </c>
      <c r="Z38" s="111" t="str">
        <f>IFERROR((VLOOKUP(CONCATENATE(C38,O38),'LED Costs-Watt -slide 22'!$N$6:$O$36,2,FALSE)*W38),"")</f>
        <v/>
      </c>
    </row>
    <row r="39" spans="1:29" x14ac:dyDescent="0.3">
      <c r="A39" t="s">
        <v>652</v>
      </c>
      <c r="B39" t="s">
        <v>625</v>
      </c>
      <c r="C39" t="s">
        <v>602</v>
      </c>
      <c r="D39" t="s">
        <v>656</v>
      </c>
      <c r="I39" t="s">
        <v>853</v>
      </c>
      <c r="J39" t="s">
        <v>853</v>
      </c>
      <c r="K39" t="s">
        <v>607</v>
      </c>
      <c r="L39" t="s">
        <v>1021</v>
      </c>
      <c r="M39" s="103" t="s">
        <v>1028</v>
      </c>
      <c r="N39" s="109">
        <v>9500</v>
      </c>
      <c r="O39" s="109">
        <v>100</v>
      </c>
      <c r="P39" s="109"/>
      <c r="Q39" s="97">
        <v>0.11700000000000001</v>
      </c>
      <c r="R39" s="90">
        <v>6.9</v>
      </c>
      <c r="S39" s="110">
        <v>0</v>
      </c>
      <c r="T39" s="111"/>
      <c r="W39">
        <f>IFERROR(VLOOKUP(J39,'Pivot-RC'!$A$4:$B$170,2,FALSE),"")</f>
        <v>2</v>
      </c>
      <c r="X39" s="90">
        <f t="shared" si="3"/>
        <v>828</v>
      </c>
      <c r="Y39" s="90">
        <f>IFERROR((VLOOKUP(CONCATENATE(C39,N39),'LED Costs-Lumen -slide 22'!$N$6:$O$42,2,FALSE)*W39),"")</f>
        <v>1420.9</v>
      </c>
      <c r="Z39" s="111">
        <f>IFERROR((VLOOKUP(CONCATENATE(C39,O39),'LED Costs-Watt -slide 22'!$N$6:$O$36,2,FALSE)*W39),"")</f>
        <v>1420.9</v>
      </c>
    </row>
    <row r="40" spans="1:29" x14ac:dyDescent="0.3">
      <c r="A40" t="s">
        <v>630</v>
      </c>
      <c r="B40" t="s">
        <v>575</v>
      </c>
      <c r="C40" t="s">
        <v>609</v>
      </c>
      <c r="D40" t="s">
        <v>656</v>
      </c>
      <c r="E40" t="str">
        <f t="shared" ref="E40:E72" si="5">IF(V40="PO-R","Group 4 - Pole only or Restricted Class",IF(N40&lt;=12000,"Group 1 - &lt; 12,000 Lumens",IF(N40&gt;=107000,"Group 3 - &gt; 100,000 Lumens","Group 2 - Between 12,000 and 100,000 Lumens")))</f>
        <v>Group 1 - &lt; 12,000 Lumens</v>
      </c>
      <c r="F40" t="str">
        <f t="shared" ref="F40:F72" si="6">IF(M40="Fixture Only","Without Pole","With Pole")</f>
        <v>With Pole</v>
      </c>
      <c r="I40">
        <v>427</v>
      </c>
      <c r="J40" t="str">
        <f t="shared" si="4"/>
        <v>LGE427</v>
      </c>
      <c r="K40" t="s">
        <v>633</v>
      </c>
      <c r="L40" t="s">
        <v>743</v>
      </c>
      <c r="M40" t="s">
        <v>613</v>
      </c>
      <c r="N40" s="109">
        <v>5800</v>
      </c>
      <c r="O40" s="109">
        <v>70</v>
      </c>
      <c r="P40" s="109"/>
      <c r="Q40" s="97">
        <v>8.3000000000000004E-2</v>
      </c>
      <c r="R40" s="90">
        <v>35.22</v>
      </c>
      <c r="S40" s="110">
        <v>53</v>
      </c>
      <c r="T40" s="111">
        <v>1866.03</v>
      </c>
      <c r="W40">
        <f>IFERROR(VLOOKUP(J40,'Pivot-RC'!$A$4:$B$170,2,FALSE),"")</f>
        <v>54</v>
      </c>
      <c r="X40" s="89">
        <f t="shared" si="3"/>
        <v>114112.79999999999</v>
      </c>
      <c r="Y40" s="90">
        <f>IFERROR((VLOOKUP(CONCATENATE(C40,N40),'LED Costs-Lumen -slide 22'!$N$6:$O$42,2,FALSE)*W40),"")</f>
        <v>65434.770000000004</v>
      </c>
      <c r="Z40" s="111">
        <f>IFERROR((VLOOKUP(CONCATENATE(C40,O40),'LED Costs-Watt -slide 22'!$N$6:$O$36,2,FALSE)*W40),"")</f>
        <v>65434.5</v>
      </c>
    </row>
    <row r="41" spans="1:29" x14ac:dyDescent="0.3">
      <c r="A41" t="s">
        <v>630</v>
      </c>
      <c r="B41" t="s">
        <v>575</v>
      </c>
      <c r="C41" t="s">
        <v>609</v>
      </c>
      <c r="D41" t="s">
        <v>656</v>
      </c>
      <c r="E41" t="str">
        <f t="shared" si="5"/>
        <v>Group 1 - &lt; 12,000 Lumens</v>
      </c>
      <c r="F41" t="str">
        <f t="shared" si="6"/>
        <v>With Pole</v>
      </c>
      <c r="I41">
        <v>429</v>
      </c>
      <c r="J41" t="str">
        <f t="shared" si="4"/>
        <v>LGE429</v>
      </c>
      <c r="K41" t="s">
        <v>633</v>
      </c>
      <c r="L41" t="s">
        <v>743</v>
      </c>
      <c r="M41" t="s">
        <v>613</v>
      </c>
      <c r="N41" s="109">
        <v>9500</v>
      </c>
      <c r="O41" s="109">
        <v>100</v>
      </c>
      <c r="P41" s="109"/>
      <c r="Q41" s="97">
        <v>0.11700000000000001</v>
      </c>
      <c r="R41" s="90">
        <v>36.090000000000003</v>
      </c>
      <c r="S41" s="110">
        <v>214</v>
      </c>
      <c r="T41" s="111">
        <v>7721.56</v>
      </c>
      <c r="W41">
        <f>IFERROR(VLOOKUP(J41,'Pivot-RC'!$A$4:$B$170,2,FALSE),"")</f>
        <v>259</v>
      </c>
      <c r="X41" s="89">
        <f t="shared" si="3"/>
        <v>560838.60000000009</v>
      </c>
      <c r="Y41" s="90">
        <f>IFERROR((VLOOKUP(CONCATENATE(C41,N41),'LED Costs-Lumen -slide 22'!$N$6:$O$42,2,FALSE)*W41),"")</f>
        <v>133563.71000000002</v>
      </c>
      <c r="Z41" s="111">
        <f>IFERROR((VLOOKUP(CONCATENATE(C41,O41),'LED Costs-Watt -slide 22'!$N$6:$O$36,2,FALSE)*W41),"")</f>
        <v>189761.53</v>
      </c>
    </row>
    <row r="42" spans="1:29" x14ac:dyDescent="0.3">
      <c r="A42" t="s">
        <v>630</v>
      </c>
      <c r="B42" t="s">
        <v>576</v>
      </c>
      <c r="C42" t="s">
        <v>609</v>
      </c>
      <c r="D42" t="s">
        <v>656</v>
      </c>
      <c r="E42" t="str">
        <f t="shared" si="5"/>
        <v>Group 1 - &lt; 12,000 Lumens</v>
      </c>
      <c r="F42" t="str">
        <f t="shared" si="6"/>
        <v>Without Pole</v>
      </c>
      <c r="I42">
        <v>282</v>
      </c>
      <c r="J42" t="str">
        <f t="shared" si="4"/>
        <v>LGE282</v>
      </c>
      <c r="K42" t="s">
        <v>633</v>
      </c>
      <c r="L42" t="s">
        <v>743</v>
      </c>
      <c r="M42" t="s">
        <v>582</v>
      </c>
      <c r="N42" s="109">
        <v>5800</v>
      </c>
      <c r="O42" s="109">
        <v>70</v>
      </c>
      <c r="P42" s="109"/>
      <c r="Q42" s="97">
        <v>8.3000000000000004E-2</v>
      </c>
      <c r="R42" s="90">
        <v>19.54</v>
      </c>
      <c r="S42" s="110">
        <v>106</v>
      </c>
      <c r="T42" s="111">
        <v>2070.7399999999998</v>
      </c>
      <c r="W42">
        <f>IFERROR(VLOOKUP(J42,'Pivot-RC'!$A$4:$B$170,2,FALSE),"")</f>
        <v>106</v>
      </c>
      <c r="X42" s="89">
        <f t="shared" si="3"/>
        <v>124274.4</v>
      </c>
      <c r="Y42" s="90">
        <f>IFERROR((VLOOKUP(CONCATENATE(C42,N42),'LED Costs-Lumen -slide 22'!$N$6:$O$42,2,FALSE)*W42),"")</f>
        <v>128446.03000000001</v>
      </c>
      <c r="Z42" s="111">
        <f>IFERROR((VLOOKUP(CONCATENATE(C42,O42),'LED Costs-Watt -slide 22'!$N$6:$O$36,2,FALSE)*W42),"")</f>
        <v>128445.5</v>
      </c>
      <c r="AC42">
        <v>3</v>
      </c>
    </row>
    <row r="43" spans="1:29" x14ac:dyDescent="0.3">
      <c r="A43" t="s">
        <v>630</v>
      </c>
      <c r="B43" t="s">
        <v>576</v>
      </c>
      <c r="C43" t="s">
        <v>609</v>
      </c>
      <c r="D43" t="s">
        <v>656</v>
      </c>
      <c r="E43" t="str">
        <f t="shared" si="5"/>
        <v>Group 1 - &lt; 12,000 Lumens</v>
      </c>
      <c r="F43" t="str">
        <f t="shared" si="6"/>
        <v>Without Pole</v>
      </c>
      <c r="I43">
        <v>283</v>
      </c>
      <c r="J43" t="str">
        <f t="shared" si="4"/>
        <v>LGE283</v>
      </c>
      <c r="K43" t="s">
        <v>633</v>
      </c>
      <c r="L43" t="s">
        <v>743</v>
      </c>
      <c r="M43" t="s">
        <v>582</v>
      </c>
      <c r="N43" s="109">
        <v>9500</v>
      </c>
      <c r="O43" s="109">
        <v>100</v>
      </c>
      <c r="P43" s="109"/>
      <c r="Q43" s="97">
        <v>0.11700000000000001</v>
      </c>
      <c r="R43" s="90">
        <v>20.83</v>
      </c>
      <c r="S43" s="110">
        <v>82</v>
      </c>
      <c r="T43" s="111">
        <v>1707.84</v>
      </c>
      <c r="W43">
        <f>IFERROR(VLOOKUP(J43,'Pivot-RC'!$A$4:$B$170,2,FALSE),"")</f>
        <v>99</v>
      </c>
      <c r="X43" s="89">
        <f t="shared" si="3"/>
        <v>123730.19999999998</v>
      </c>
      <c r="Y43" s="90">
        <f>IFERROR((VLOOKUP(CONCATENATE(C43,N43),'LED Costs-Lumen -slide 22'!$N$6:$O$42,2,FALSE)*W43),"")</f>
        <v>51053.310000000005</v>
      </c>
      <c r="Z43" s="111">
        <f>IFERROR((VLOOKUP(CONCATENATE(C43,O43),'LED Costs-Watt -slide 22'!$N$6:$O$36,2,FALSE)*W43),"")</f>
        <v>72534.33</v>
      </c>
      <c r="AC43">
        <v>3</v>
      </c>
    </row>
    <row r="44" spans="1:29" x14ac:dyDescent="0.3">
      <c r="A44" t="s">
        <v>630</v>
      </c>
      <c r="B44" t="s">
        <v>576</v>
      </c>
      <c r="C44" t="s">
        <v>609</v>
      </c>
      <c r="D44" t="s">
        <v>656</v>
      </c>
      <c r="E44" t="str">
        <f t="shared" si="5"/>
        <v>Group 1 - &lt; 12,000 Lumens</v>
      </c>
      <c r="F44" t="str">
        <f t="shared" si="6"/>
        <v>With Pole</v>
      </c>
      <c r="I44">
        <v>426</v>
      </c>
      <c r="J44" t="str">
        <f t="shared" si="4"/>
        <v>LGE426</v>
      </c>
      <c r="K44" t="s">
        <v>633</v>
      </c>
      <c r="L44" t="s">
        <v>743</v>
      </c>
      <c r="M44" t="s">
        <v>611</v>
      </c>
      <c r="N44" s="109">
        <v>5800</v>
      </c>
      <c r="O44" s="109">
        <v>100</v>
      </c>
      <c r="P44" s="109"/>
      <c r="Q44" s="97">
        <v>8.3000000000000004E-2</v>
      </c>
      <c r="R44" s="90">
        <v>33.24</v>
      </c>
      <c r="S44" s="110">
        <v>34</v>
      </c>
      <c r="T44" s="111">
        <v>1129.71</v>
      </c>
      <c r="W44">
        <f>IFERROR(VLOOKUP(J44,'Pivot-RC'!$A$4:$B$170,2,FALSE),"")</f>
        <v>34</v>
      </c>
      <c r="X44" s="89">
        <f t="shared" si="3"/>
        <v>67809.600000000006</v>
      </c>
      <c r="Y44" s="90">
        <f>IFERROR((VLOOKUP(CONCATENATE(C44,N44),'LED Costs-Lumen -slide 22'!$N$6:$O$42,2,FALSE)*W44),"")</f>
        <v>41199.670000000006</v>
      </c>
      <c r="Z44" s="111">
        <f>IFERROR((VLOOKUP(CONCATENATE(C44,O44),'LED Costs-Watt -slide 22'!$N$6:$O$36,2,FALSE)*W44),"")</f>
        <v>24910.78</v>
      </c>
      <c r="AC44">
        <v>3</v>
      </c>
    </row>
    <row r="45" spans="1:29" x14ac:dyDescent="0.3">
      <c r="A45" t="s">
        <v>630</v>
      </c>
      <c r="B45" t="s">
        <v>576</v>
      </c>
      <c r="C45" t="s">
        <v>609</v>
      </c>
      <c r="D45" t="s">
        <v>656</v>
      </c>
      <c r="E45" t="str">
        <f t="shared" si="5"/>
        <v>Group 1 - &lt; 12,000 Lumens</v>
      </c>
      <c r="F45" t="str">
        <f t="shared" si="6"/>
        <v>With Pole</v>
      </c>
      <c r="I45">
        <v>428</v>
      </c>
      <c r="J45" t="str">
        <f t="shared" si="4"/>
        <v>LGE428</v>
      </c>
      <c r="K45" t="s">
        <v>633</v>
      </c>
      <c r="L45" t="s">
        <v>743</v>
      </c>
      <c r="M45" t="s">
        <v>611</v>
      </c>
      <c r="N45" s="109">
        <v>9500</v>
      </c>
      <c r="O45" s="109">
        <v>100</v>
      </c>
      <c r="P45" s="109"/>
      <c r="Q45" s="97">
        <v>0.11700000000000001</v>
      </c>
      <c r="R45" s="90">
        <v>34.11</v>
      </c>
      <c r="S45" s="110">
        <v>277</v>
      </c>
      <c r="T45" s="111">
        <v>9445.1200000000008</v>
      </c>
      <c r="W45">
        <f>IFERROR(VLOOKUP(J45,'Pivot-RC'!$A$4:$B$170,2,FALSE),"")</f>
        <v>299</v>
      </c>
      <c r="X45" s="89">
        <f t="shared" si="3"/>
        <v>611933.39999999991</v>
      </c>
      <c r="Y45" s="90">
        <f>IFERROR((VLOOKUP(CONCATENATE(C45,N45),'LED Costs-Lumen -slide 22'!$N$6:$O$42,2,FALSE)*W45),"")</f>
        <v>154191.31000000003</v>
      </c>
      <c r="Z45" s="111">
        <f>IFERROR((VLOOKUP(CONCATENATE(C45,O45),'LED Costs-Watt -slide 22'!$N$6:$O$36,2,FALSE)*W45),"")</f>
        <v>219068.33</v>
      </c>
      <c r="AC45">
        <v>3</v>
      </c>
    </row>
    <row r="46" spans="1:29" x14ac:dyDescent="0.3">
      <c r="A46" t="s">
        <v>13</v>
      </c>
      <c r="B46" t="s">
        <v>576</v>
      </c>
      <c r="C46" t="s">
        <v>609</v>
      </c>
      <c r="D46" t="s">
        <v>656</v>
      </c>
      <c r="E46" t="str">
        <f t="shared" si="5"/>
        <v>Group 4 - Pole only or Restricted Class</v>
      </c>
      <c r="F46" t="str">
        <f t="shared" si="6"/>
        <v>With Pole</v>
      </c>
      <c r="I46">
        <v>360</v>
      </c>
      <c r="J46" t="str">
        <f t="shared" si="4"/>
        <v>KU360</v>
      </c>
      <c r="K46" t="s">
        <v>622</v>
      </c>
      <c r="L46" t="s">
        <v>743</v>
      </c>
      <c r="M46" t="s">
        <v>611</v>
      </c>
      <c r="N46" s="109">
        <v>16000</v>
      </c>
      <c r="O46" s="109">
        <v>150</v>
      </c>
      <c r="P46" s="109"/>
      <c r="Q46" s="97">
        <v>0.18099999999999999</v>
      </c>
      <c r="R46" s="90">
        <v>59.91</v>
      </c>
      <c r="S46" s="110">
        <v>4</v>
      </c>
      <c r="T46" s="111">
        <v>230.79</v>
      </c>
      <c r="U46" t="s">
        <v>623</v>
      </c>
      <c r="V46" t="s">
        <v>624</v>
      </c>
      <c r="W46">
        <f>IFERROR(VLOOKUP(J46,'Pivot-RC'!$A$4:$B$170,2,FALSE),"")</f>
        <v>4</v>
      </c>
      <c r="X46" s="89">
        <f t="shared" si="3"/>
        <v>14378.4</v>
      </c>
      <c r="Y46" s="90">
        <f>IFERROR((VLOOKUP(CONCATENATE(C46,N46),'LED Costs-Lumen -slide 22'!$N$6:$O$42,2,FALSE)*W46),"")</f>
        <v>2930.68</v>
      </c>
      <c r="Z46" s="111">
        <f>IFERROR((VLOOKUP(CONCATENATE(C46,O46),'LED Costs-Watt -slide 22'!$N$6:$O$36,2,FALSE)*W46),"")</f>
        <v>2930.68</v>
      </c>
      <c r="AC46">
        <v>3</v>
      </c>
    </row>
    <row r="47" spans="1:29" x14ac:dyDescent="0.3">
      <c r="A47" t="s">
        <v>13</v>
      </c>
      <c r="B47" t="s">
        <v>575</v>
      </c>
      <c r="C47" t="s">
        <v>602</v>
      </c>
      <c r="D47" t="s">
        <v>656</v>
      </c>
      <c r="E47" t="str">
        <f t="shared" si="5"/>
        <v>Group 1 - &lt; 12,000 Lumens</v>
      </c>
      <c r="F47" t="str">
        <f t="shared" si="6"/>
        <v>Without Pole</v>
      </c>
      <c r="I47">
        <v>487</v>
      </c>
      <c r="J47" t="str">
        <f t="shared" si="4"/>
        <v>KU487</v>
      </c>
      <c r="K47" t="s">
        <v>606</v>
      </c>
      <c r="L47" t="s">
        <v>743</v>
      </c>
      <c r="M47" t="s">
        <v>582</v>
      </c>
      <c r="N47" s="109">
        <v>9500</v>
      </c>
      <c r="O47" s="109">
        <v>150</v>
      </c>
      <c r="P47" s="109"/>
      <c r="Q47" s="97">
        <v>0.11700000000000001</v>
      </c>
      <c r="R47" s="90">
        <v>9.75</v>
      </c>
      <c r="S47" s="110">
        <v>10927</v>
      </c>
      <c r="T47" s="111">
        <v>101709.2</v>
      </c>
      <c r="U47" s="90"/>
      <c r="W47">
        <f>IFERROR(VLOOKUP(J47,'Pivot-RC'!$A$4:$B$170,2,FALSE),"")</f>
        <v>11173</v>
      </c>
      <c r="X47" s="89">
        <f t="shared" si="3"/>
        <v>6536205</v>
      </c>
      <c r="Y47" s="90">
        <f>IFERROR((VLOOKUP(CONCATENATE(C47,N47),'LED Costs-Lumen -slide 22'!$N$6:$O$42,2,FALSE)*W47),"")</f>
        <v>7937857.8500000006</v>
      </c>
      <c r="Z47" s="111">
        <f>IFERROR((VLOOKUP(CONCATENATE(C47,O47),'LED Costs-Watt -slide 22'!$N$6:$O$36,2,FALSE)*W47),"")</f>
        <v>7937857.8500000006</v>
      </c>
    </row>
    <row r="48" spans="1:29" x14ac:dyDescent="0.3">
      <c r="A48" t="s">
        <v>13</v>
      </c>
      <c r="B48" t="s">
        <v>575</v>
      </c>
      <c r="C48" t="s">
        <v>602</v>
      </c>
      <c r="D48" t="s">
        <v>656</v>
      </c>
      <c r="E48" t="str">
        <f t="shared" si="5"/>
        <v>Group 2 - Between 12,000 and 100,000 Lumens</v>
      </c>
      <c r="F48" t="str">
        <f t="shared" si="6"/>
        <v>Without Pole</v>
      </c>
      <c r="I48">
        <v>488</v>
      </c>
      <c r="J48" t="str">
        <f t="shared" si="4"/>
        <v>KU488</v>
      </c>
      <c r="K48" t="s">
        <v>606</v>
      </c>
      <c r="L48" t="s">
        <v>743</v>
      </c>
      <c r="M48" t="s">
        <v>582</v>
      </c>
      <c r="N48" s="109">
        <v>22000</v>
      </c>
      <c r="O48" s="109">
        <v>200</v>
      </c>
      <c r="P48" s="109" t="s">
        <v>604</v>
      </c>
      <c r="Q48" s="97">
        <v>0.24199999999999999</v>
      </c>
      <c r="R48" s="90">
        <v>14.77</v>
      </c>
      <c r="S48" s="110">
        <v>6677</v>
      </c>
      <c r="T48" s="111">
        <v>93836.08</v>
      </c>
      <c r="U48" s="90" t="s">
        <v>605</v>
      </c>
      <c r="W48">
        <f>IFERROR(VLOOKUP(J48,'Pivot-RC'!$A$4:$B$170,2,FALSE),"")</f>
        <v>6675</v>
      </c>
      <c r="X48" s="89">
        <f t="shared" si="3"/>
        <v>5915385</v>
      </c>
      <c r="Y48" s="90">
        <f>IFERROR((VLOOKUP(CONCATENATE(C48,N48),'LED Costs-Lumen -slide 22'!$N$6:$O$42,2,FALSE)*W48),"")</f>
        <v>6972438</v>
      </c>
      <c r="Z48" s="111">
        <f>IFERROR((VLOOKUP(CONCATENATE(C48,O48),'LED Costs-Watt -slide 22'!$N$6:$O$36,2,FALSE)*W48),"")</f>
        <v>6972438</v>
      </c>
    </row>
    <row r="49" spans="1:29" x14ac:dyDescent="0.3">
      <c r="A49" t="s">
        <v>13</v>
      </c>
      <c r="B49" t="s">
        <v>575</v>
      </c>
      <c r="C49" t="s">
        <v>602</v>
      </c>
      <c r="D49" t="s">
        <v>656</v>
      </c>
      <c r="E49" t="str">
        <f t="shared" si="5"/>
        <v>Group 2 - Between 12,000 and 100,000 Lumens</v>
      </c>
      <c r="F49" t="str">
        <f t="shared" si="6"/>
        <v>Without Pole</v>
      </c>
      <c r="I49">
        <v>489</v>
      </c>
      <c r="J49" t="str">
        <f t="shared" si="4"/>
        <v>KU489</v>
      </c>
      <c r="K49" t="s">
        <v>606</v>
      </c>
      <c r="L49" t="s">
        <v>743</v>
      </c>
      <c r="M49" t="s">
        <v>582</v>
      </c>
      <c r="N49" s="109">
        <v>50000</v>
      </c>
      <c r="O49" s="109">
        <v>400</v>
      </c>
      <c r="P49" s="109" t="s">
        <v>604</v>
      </c>
      <c r="Q49" s="97">
        <v>0.47099999999999997</v>
      </c>
      <c r="R49" s="90">
        <v>21.07</v>
      </c>
      <c r="S49" s="110">
        <v>8578</v>
      </c>
      <c r="T49" s="111">
        <v>172159.01</v>
      </c>
      <c r="U49" s="90" t="s">
        <v>605</v>
      </c>
      <c r="W49">
        <f>IFERROR(VLOOKUP(J49,'Pivot-RC'!$A$4:$B$170,2,FALSE),"")</f>
        <v>8626</v>
      </c>
      <c r="X49" s="89">
        <f t="shared" si="3"/>
        <v>10904989.200000001</v>
      </c>
      <c r="Y49" s="90">
        <f>IFERROR((VLOOKUP(CONCATENATE(C49,N49),'LED Costs-Lumen -slide 22'!$N$6:$O$42,2,FALSE)*W49),"")</f>
        <v>18020749.119999997</v>
      </c>
      <c r="Z49" s="111">
        <f>IFERROR((VLOOKUP(CONCATENATE(C49,O49),'LED Costs-Watt -slide 22'!$N$6:$O$36,2,FALSE)*W49),"")</f>
        <v>18020749.119999997</v>
      </c>
    </row>
    <row r="50" spans="1:29" x14ac:dyDescent="0.3">
      <c r="A50" t="s">
        <v>13</v>
      </c>
      <c r="B50" t="s">
        <v>575</v>
      </c>
      <c r="C50" t="s">
        <v>602</v>
      </c>
      <c r="D50" t="s">
        <v>608</v>
      </c>
      <c r="E50" t="str">
        <f t="shared" si="5"/>
        <v>Group 1 - &lt; 12,000 Lumens</v>
      </c>
      <c r="F50" t="str">
        <f t="shared" si="6"/>
        <v>Without Pole</v>
      </c>
      <c r="I50">
        <v>450</v>
      </c>
      <c r="J50" t="str">
        <f t="shared" si="4"/>
        <v>KU450</v>
      </c>
      <c r="K50" t="s">
        <v>606</v>
      </c>
      <c r="L50" t="s">
        <v>743</v>
      </c>
      <c r="M50" t="s">
        <v>582</v>
      </c>
      <c r="N50" s="109">
        <v>12000</v>
      </c>
      <c r="O50" s="109">
        <v>150</v>
      </c>
      <c r="P50" s="109" t="s">
        <v>604</v>
      </c>
      <c r="Q50" s="97">
        <v>0.15</v>
      </c>
      <c r="R50" s="90">
        <v>15.43</v>
      </c>
      <c r="S50" s="110">
        <v>706</v>
      </c>
      <c r="T50" s="111">
        <v>10416.299999999999</v>
      </c>
      <c r="U50" s="90" t="s">
        <v>605</v>
      </c>
      <c r="W50">
        <f>IFERROR(VLOOKUP(J50,'Pivot-RC'!$A$4:$B$170,2,FALSE),"")</f>
        <v>711</v>
      </c>
      <c r="X50" s="89">
        <f t="shared" si="3"/>
        <v>658243.79999999993</v>
      </c>
      <c r="Y50" s="90">
        <f>IFERROR((VLOOKUP(CONCATENATE(C50,N50),'LED Costs-Lumen -slide 22'!$N$6:$O$42,2,FALSE)*W50),"")</f>
        <v>505129.95</v>
      </c>
      <c r="Z50" s="111">
        <f>IFERROR((VLOOKUP(CONCATENATE(C50,O50),'LED Costs-Watt -slide 22'!$N$6:$O$36,2,FALSE)*W50),"")</f>
        <v>505129.95</v>
      </c>
      <c r="AC50">
        <v>3</v>
      </c>
    </row>
    <row r="51" spans="1:29" x14ac:dyDescent="0.3">
      <c r="A51" t="s">
        <v>13</v>
      </c>
      <c r="B51" t="s">
        <v>575</v>
      </c>
      <c r="C51" t="s">
        <v>602</v>
      </c>
      <c r="D51" t="s">
        <v>608</v>
      </c>
      <c r="E51" t="str">
        <f t="shared" si="5"/>
        <v>Group 2 - Between 12,000 and 100,000 Lumens</v>
      </c>
      <c r="F51" t="str">
        <f t="shared" si="6"/>
        <v>Without Pole</v>
      </c>
      <c r="I51">
        <v>451</v>
      </c>
      <c r="J51" t="str">
        <f t="shared" si="4"/>
        <v>KU451</v>
      </c>
      <c r="K51" t="s">
        <v>606</v>
      </c>
      <c r="L51" t="s">
        <v>743</v>
      </c>
      <c r="M51" t="s">
        <v>582</v>
      </c>
      <c r="N51" s="109">
        <v>32000</v>
      </c>
      <c r="O51" s="109">
        <v>350</v>
      </c>
      <c r="P51" s="109" t="s">
        <v>604</v>
      </c>
      <c r="Q51" s="97">
        <v>0.35</v>
      </c>
      <c r="R51" s="90">
        <v>21.87</v>
      </c>
      <c r="S51" s="110">
        <v>5388</v>
      </c>
      <c r="T51" s="111">
        <v>112158.42</v>
      </c>
      <c r="U51" s="90" t="s">
        <v>605</v>
      </c>
      <c r="W51">
        <f>IFERROR(VLOOKUP(J51,'Pivot-RC'!$A$4:$B$170,2,FALSE),"")</f>
        <v>5639</v>
      </c>
      <c r="X51" s="89">
        <f t="shared" si="3"/>
        <v>7399495.8000000007</v>
      </c>
      <c r="Y51" s="90">
        <f>IFERROR((VLOOKUP(CONCATENATE(C51,N51),'LED Costs-Lumen -slide 22'!$N$6:$O$42,2,FALSE)*W51),"")</f>
        <v>9896501.3900000006</v>
      </c>
      <c r="Z51" s="111">
        <f>IFERROR((VLOOKUP(CONCATENATE(C51,O51),'LED Costs-Watt -slide 22'!$N$6:$O$36,2,FALSE)*W51),"")</f>
        <v>5890273.8399999999</v>
      </c>
      <c r="AC51">
        <v>3</v>
      </c>
    </row>
    <row r="52" spans="1:29" x14ac:dyDescent="0.3">
      <c r="A52" t="s">
        <v>13</v>
      </c>
      <c r="B52" t="s">
        <v>575</v>
      </c>
      <c r="C52" t="s">
        <v>602</v>
      </c>
      <c r="D52" t="s">
        <v>1031</v>
      </c>
      <c r="E52" t="str">
        <f t="shared" si="5"/>
        <v>Group 3 - &gt; 100,000 Lumens</v>
      </c>
      <c r="F52" t="str">
        <f t="shared" si="6"/>
        <v>Without Pole</v>
      </c>
      <c r="I52">
        <v>452</v>
      </c>
      <c r="J52" t="str">
        <f t="shared" si="4"/>
        <v>KU452</v>
      </c>
      <c r="K52" t="s">
        <v>606</v>
      </c>
      <c r="L52" t="s">
        <v>743</v>
      </c>
      <c r="M52" t="s">
        <v>582</v>
      </c>
      <c r="N52" s="109">
        <v>107800</v>
      </c>
      <c r="O52" s="109">
        <v>1000</v>
      </c>
      <c r="P52" s="109" t="s">
        <v>604</v>
      </c>
      <c r="Q52" s="97">
        <v>1.08</v>
      </c>
      <c r="R52" s="90">
        <v>45.86</v>
      </c>
      <c r="S52" s="110">
        <v>1033</v>
      </c>
      <c r="T52" s="111">
        <v>45524.21</v>
      </c>
      <c r="U52" s="90" t="s">
        <v>605</v>
      </c>
      <c r="W52">
        <f>IFERROR(VLOOKUP(J52,'Pivot-RC'!$A$4:$B$170,2,FALSE),"")</f>
        <v>967</v>
      </c>
      <c r="X52" s="89">
        <f t="shared" si="3"/>
        <v>2660797.2000000002</v>
      </c>
      <c r="Y52" s="90">
        <f>IFERROR((VLOOKUP(CONCATENATE(C52,N52),'LED Costs-Lumen -slide 22'!$N$6:$O$42,2,FALSE)*W52),"")</f>
        <v>4040358.0799999996</v>
      </c>
      <c r="Z52" s="111">
        <f>IFERROR((VLOOKUP(CONCATENATE(C52,O52),'LED Costs-Watt -slide 22'!$N$6:$O$36,2,FALSE)*W52),"")</f>
        <v>4040358.0799999996</v>
      </c>
      <c r="AA52">
        <v>1</v>
      </c>
      <c r="AB52">
        <v>2</v>
      </c>
      <c r="AC52">
        <v>3</v>
      </c>
    </row>
    <row r="53" spans="1:29" x14ac:dyDescent="0.3">
      <c r="A53" t="s">
        <v>13</v>
      </c>
      <c r="B53" t="s">
        <v>576</v>
      </c>
      <c r="C53" t="s">
        <v>602</v>
      </c>
      <c r="D53" t="s">
        <v>608</v>
      </c>
      <c r="E53" t="str">
        <f t="shared" si="5"/>
        <v>Group 1 - &lt; 12,000 Lumens</v>
      </c>
      <c r="F53" t="str">
        <f t="shared" si="6"/>
        <v>With Pole</v>
      </c>
      <c r="I53">
        <v>454</v>
      </c>
      <c r="J53" t="str">
        <f t="shared" si="4"/>
        <v>KU454</v>
      </c>
      <c r="K53" t="s">
        <v>606</v>
      </c>
      <c r="L53" t="s">
        <v>743</v>
      </c>
      <c r="M53" t="s">
        <v>617</v>
      </c>
      <c r="N53" s="109">
        <v>12000</v>
      </c>
      <c r="O53" s="109">
        <v>400</v>
      </c>
      <c r="P53" s="109"/>
      <c r="Q53" s="97">
        <v>0.15</v>
      </c>
      <c r="R53" s="90">
        <v>20.190000000000001</v>
      </c>
      <c r="S53" s="110">
        <v>151</v>
      </c>
      <c r="T53" s="111">
        <v>2932.38</v>
      </c>
      <c r="W53">
        <f>IFERROR(VLOOKUP(J53,'Pivot-RC'!$A$4:$B$170,2,FALSE),"")</f>
        <v>154</v>
      </c>
      <c r="X53" s="89">
        <f t="shared" si="3"/>
        <v>186555.6</v>
      </c>
      <c r="Y53" s="90">
        <f>IFERROR((VLOOKUP(CONCATENATE(C53,N53),'LED Costs-Lumen -slide 22'!$N$6:$O$42,2,FALSE)*W53),"")</f>
        <v>109409.3</v>
      </c>
      <c r="Z53" s="111">
        <f>IFERROR((VLOOKUP(CONCATENATE(C53,O53),'LED Costs-Watt -slide 22'!$N$6:$O$36,2,FALSE)*W53),"")</f>
        <v>321724.48</v>
      </c>
      <c r="AC53">
        <v>3</v>
      </c>
    </row>
    <row r="54" spans="1:29" x14ac:dyDescent="0.3">
      <c r="A54" t="s">
        <v>13</v>
      </c>
      <c r="B54" t="s">
        <v>576</v>
      </c>
      <c r="C54" t="s">
        <v>602</v>
      </c>
      <c r="D54" t="s">
        <v>608</v>
      </c>
      <c r="E54" t="str">
        <f t="shared" si="5"/>
        <v>Group 2 - Between 12,000 and 100,000 Lumens</v>
      </c>
      <c r="F54" t="str">
        <f t="shared" si="6"/>
        <v>With Pole</v>
      </c>
      <c r="I54">
        <v>455</v>
      </c>
      <c r="J54" t="str">
        <f t="shared" si="4"/>
        <v>KU455</v>
      </c>
      <c r="K54" t="s">
        <v>606</v>
      </c>
      <c r="L54" t="s">
        <v>743</v>
      </c>
      <c r="M54" t="s">
        <v>617</v>
      </c>
      <c r="N54" s="109">
        <v>32000</v>
      </c>
      <c r="O54" s="109">
        <v>150</v>
      </c>
      <c r="P54" s="109"/>
      <c r="Q54" s="97">
        <v>0.35</v>
      </c>
      <c r="R54" s="90">
        <v>26.63</v>
      </c>
      <c r="S54" s="110">
        <v>1024</v>
      </c>
      <c r="T54" s="111">
        <v>25979.68</v>
      </c>
      <c r="W54">
        <f>IFERROR(VLOOKUP(J54,'Pivot-RC'!$A$4:$B$170,2,FALSE),"")</f>
        <v>1012</v>
      </c>
      <c r="X54" s="89">
        <f t="shared" si="3"/>
        <v>1616973.5999999999</v>
      </c>
      <c r="Y54" s="90">
        <f>IFERROR((VLOOKUP(CONCATENATE(C54,N54),'LED Costs-Lumen -slide 22'!$N$6:$O$42,2,FALSE)*W54),"")</f>
        <v>1776070.1199999999</v>
      </c>
      <c r="Z54" s="111">
        <f>IFERROR((VLOOKUP(CONCATENATE(C54,O54),'LED Costs-Watt -slide 22'!$N$6:$O$36,2,FALSE)*W54),"")</f>
        <v>718975.4</v>
      </c>
      <c r="AC54">
        <v>3</v>
      </c>
    </row>
    <row r="55" spans="1:29" x14ac:dyDescent="0.3">
      <c r="A55" t="s">
        <v>13</v>
      </c>
      <c r="B55" t="s">
        <v>576</v>
      </c>
      <c r="C55" t="s">
        <v>602</v>
      </c>
      <c r="D55" t="s">
        <v>1031</v>
      </c>
      <c r="E55" t="str">
        <f t="shared" si="5"/>
        <v>Group 3 - &gt; 100,000 Lumens</v>
      </c>
      <c r="F55" t="str">
        <f t="shared" si="6"/>
        <v>With Pole</v>
      </c>
      <c r="I55">
        <v>459</v>
      </c>
      <c r="J55" t="str">
        <f t="shared" si="4"/>
        <v>KU459</v>
      </c>
      <c r="K55" t="s">
        <v>606</v>
      </c>
      <c r="L55" t="s">
        <v>743</v>
      </c>
      <c r="M55" t="s">
        <v>617</v>
      </c>
      <c r="N55" s="109">
        <v>107800</v>
      </c>
      <c r="O55" s="109">
        <v>1000</v>
      </c>
      <c r="P55" s="109"/>
      <c r="Q55" s="97">
        <v>1.08</v>
      </c>
      <c r="R55" s="90">
        <v>50.61</v>
      </c>
      <c r="S55" s="110">
        <v>216</v>
      </c>
      <c r="T55" s="111">
        <v>10533.88</v>
      </c>
      <c r="W55">
        <f>IFERROR(VLOOKUP(J55,'Pivot-RC'!$A$4:$B$170,2,FALSE),"")</f>
        <v>188</v>
      </c>
      <c r="X55" s="89">
        <f t="shared" si="3"/>
        <v>570880.80000000005</v>
      </c>
      <c r="Y55" s="90">
        <f>IFERROR((VLOOKUP(CONCATENATE(C55,N55),'LED Costs-Lumen -slide 22'!$N$6:$O$42,2,FALSE)*W55),"")</f>
        <v>785509.12</v>
      </c>
      <c r="Z55" s="111">
        <f>IFERROR((VLOOKUP(CONCATENATE(C55,O55),'LED Costs-Watt -slide 22'!$N$6:$O$36,2,FALSE)*W55),"")</f>
        <v>785509.12</v>
      </c>
      <c r="AA55">
        <v>1</v>
      </c>
      <c r="AB55">
        <v>2</v>
      </c>
      <c r="AC55">
        <v>3</v>
      </c>
    </row>
    <row r="56" spans="1:29" x14ac:dyDescent="0.3">
      <c r="A56" t="s">
        <v>13</v>
      </c>
      <c r="B56" t="s">
        <v>576</v>
      </c>
      <c r="C56" t="s">
        <v>609</v>
      </c>
      <c r="D56" t="s">
        <v>608</v>
      </c>
      <c r="E56" t="str">
        <f t="shared" si="5"/>
        <v>Group 1 - &lt; 12,000 Lumens</v>
      </c>
      <c r="F56" t="str">
        <f t="shared" si="6"/>
        <v>With Pole</v>
      </c>
      <c r="I56">
        <v>460</v>
      </c>
      <c r="J56" t="str">
        <f t="shared" si="4"/>
        <v>KU460</v>
      </c>
      <c r="K56" t="s">
        <v>606</v>
      </c>
      <c r="L56" t="s">
        <v>743</v>
      </c>
      <c r="M56" t="s">
        <v>611</v>
      </c>
      <c r="N56" s="109">
        <v>12000</v>
      </c>
      <c r="O56" s="109">
        <v>250</v>
      </c>
      <c r="P56" s="109"/>
      <c r="Q56" s="97">
        <v>0.15</v>
      </c>
      <c r="R56" s="90">
        <v>29.4</v>
      </c>
      <c r="S56" s="110">
        <v>23</v>
      </c>
      <c r="T56" s="111">
        <v>643.44000000000005</v>
      </c>
      <c r="W56">
        <f>IFERROR(VLOOKUP(J56,'Pivot-RC'!$A$4:$B$170,2,FALSE),"")</f>
        <v>20</v>
      </c>
      <c r="X56" s="89">
        <f t="shared" si="3"/>
        <v>35280</v>
      </c>
      <c r="Y56" s="90">
        <f>IFERROR((VLOOKUP(CONCATENATE(C56,N56),'LED Costs-Lumen -slide 22'!$N$6:$O$42,2,FALSE)*W56),"")</f>
        <v>14653.4</v>
      </c>
      <c r="Z56" s="111">
        <f>IFERROR((VLOOKUP(CONCATENATE(C56,O56),'LED Costs-Watt -slide 22'!$N$6:$O$36,2,FALSE)*W56),"")</f>
        <v>22151.8</v>
      </c>
      <c r="AC56">
        <v>3</v>
      </c>
    </row>
    <row r="57" spans="1:29" x14ac:dyDescent="0.3">
      <c r="A57" t="s">
        <v>13</v>
      </c>
      <c r="B57" t="s">
        <v>576</v>
      </c>
      <c r="C57" t="s">
        <v>609</v>
      </c>
      <c r="D57" t="s">
        <v>608</v>
      </c>
      <c r="E57" t="str">
        <f t="shared" si="5"/>
        <v>Group 2 - Between 12,000 and 100,000 Lumens</v>
      </c>
      <c r="F57" t="str">
        <f t="shared" si="6"/>
        <v>With Pole</v>
      </c>
      <c r="I57">
        <v>469</v>
      </c>
      <c r="J57" t="str">
        <f t="shared" si="4"/>
        <v>KU469</v>
      </c>
      <c r="K57" t="s">
        <v>606</v>
      </c>
      <c r="L57" t="s">
        <v>743</v>
      </c>
      <c r="M57" t="s">
        <v>611</v>
      </c>
      <c r="N57" s="109">
        <v>32000</v>
      </c>
      <c r="O57" s="109">
        <v>650</v>
      </c>
      <c r="P57" s="109"/>
      <c r="Q57" s="97">
        <v>0.35</v>
      </c>
      <c r="R57" s="90">
        <v>35.840000000000003</v>
      </c>
      <c r="S57" s="110">
        <v>290</v>
      </c>
      <c r="T57" s="111">
        <v>9903.92</v>
      </c>
      <c r="W57">
        <f>IFERROR(VLOOKUP(J57,'Pivot-RC'!$A$4:$B$170,2,FALSE),"")</f>
        <v>296</v>
      </c>
      <c r="X57" s="89">
        <f t="shared" si="3"/>
        <v>636518.40000000002</v>
      </c>
      <c r="Y57" s="90">
        <f>IFERROR((VLOOKUP(CONCATENATE(C57,N57),'LED Costs-Lumen -slide 22'!$N$6:$O$42,2,FALSE)*W57),"")</f>
        <v>480490.88</v>
      </c>
      <c r="Z57" s="111">
        <f>IFERROR((VLOOKUP(CONCATENATE(C57,O57),'LED Costs-Watt -slide 22'!$N$6:$O$36,2,FALSE)*W57),"")</f>
        <v>983539.91999999981</v>
      </c>
      <c r="AC57">
        <v>3</v>
      </c>
    </row>
    <row r="58" spans="1:29" x14ac:dyDescent="0.3">
      <c r="A58" t="s">
        <v>13</v>
      </c>
      <c r="B58" t="s">
        <v>576</v>
      </c>
      <c r="C58" t="s">
        <v>609</v>
      </c>
      <c r="D58" t="s">
        <v>1031</v>
      </c>
      <c r="E58" t="str">
        <f t="shared" si="5"/>
        <v>Group 3 - &gt; 100,000 Lumens</v>
      </c>
      <c r="F58" t="str">
        <f t="shared" si="6"/>
        <v>With Pole</v>
      </c>
      <c r="I58">
        <v>470</v>
      </c>
      <c r="J58" t="str">
        <f t="shared" si="4"/>
        <v>KU470</v>
      </c>
      <c r="K58" t="s">
        <v>606</v>
      </c>
      <c r="L58" t="s">
        <v>743</v>
      </c>
      <c r="M58" t="s">
        <v>611</v>
      </c>
      <c r="N58" s="109">
        <v>107800</v>
      </c>
      <c r="O58" s="109">
        <v>1000</v>
      </c>
      <c r="P58" s="109"/>
      <c r="Q58" s="97">
        <v>1.08</v>
      </c>
      <c r="R58" s="90">
        <v>59.82</v>
      </c>
      <c r="S58" s="110">
        <v>58</v>
      </c>
      <c r="T58" s="111">
        <v>3342.61</v>
      </c>
      <c r="W58">
        <f>IFERROR(VLOOKUP(J58,'Pivot-RC'!$A$4:$B$170,2,FALSE),"")</f>
        <v>46</v>
      </c>
      <c r="X58" s="89">
        <f t="shared" si="3"/>
        <v>165103.19999999998</v>
      </c>
      <c r="Y58" s="90">
        <f>IFERROR((VLOOKUP(CONCATENATE(C58,N58),'LED Costs-Lumen -slide 22'!$N$6:$O$42,2,FALSE)*W58),"")</f>
        <v>203796.56</v>
      </c>
      <c r="Z58" s="111">
        <f>IFERROR((VLOOKUP(CONCATENATE(C58,O58),'LED Costs-Watt -slide 22'!$N$6:$O$36,2,FALSE)*W58),"")</f>
        <v>203796.56</v>
      </c>
      <c r="AA58">
        <v>1</v>
      </c>
      <c r="AB58">
        <v>2</v>
      </c>
      <c r="AC58">
        <v>3</v>
      </c>
    </row>
    <row r="59" spans="1:29" x14ac:dyDescent="0.3">
      <c r="A59" t="s">
        <v>153</v>
      </c>
      <c r="B59" t="s">
        <v>625</v>
      </c>
      <c r="C59" t="s">
        <v>602</v>
      </c>
      <c r="D59" t="s">
        <v>656</v>
      </c>
      <c r="E59" t="str">
        <f t="shared" si="5"/>
        <v>Group 1 - &lt; 12,000 Lumens</v>
      </c>
      <c r="F59" t="str">
        <f t="shared" si="6"/>
        <v>Without Pole</v>
      </c>
      <c r="I59">
        <v>487</v>
      </c>
      <c r="J59" t="str">
        <f t="shared" si="4"/>
        <v>ODP487</v>
      </c>
      <c r="K59" t="s">
        <v>606</v>
      </c>
      <c r="L59" t="s">
        <v>743</v>
      </c>
      <c r="M59" t="s">
        <v>582</v>
      </c>
      <c r="N59" s="109">
        <v>9500</v>
      </c>
      <c r="O59" s="109">
        <v>150</v>
      </c>
      <c r="P59" s="109"/>
      <c r="Q59" s="97">
        <v>0.11700000000000001</v>
      </c>
      <c r="R59" s="90">
        <v>15.68</v>
      </c>
      <c r="S59" s="110">
        <v>174</v>
      </c>
      <c r="T59" s="111">
        <v>2728.32</v>
      </c>
      <c r="W59">
        <f>IFERROR(VLOOKUP(J59,'Pivot-RC'!$A$4:$B$170,2,FALSE),"")</f>
        <v>237</v>
      </c>
      <c r="X59" s="89">
        <f t="shared" si="3"/>
        <v>222969.59999999998</v>
      </c>
      <c r="Y59" s="90">
        <f>IFERROR((VLOOKUP(CONCATENATE(C59,N59),'LED Costs-Lumen -slide 22'!$N$6:$O$42,2,FALSE)*W59),"")</f>
        <v>168376.65000000002</v>
      </c>
      <c r="Z59" s="111">
        <f>IFERROR((VLOOKUP(CONCATENATE(C59,O59),'LED Costs-Watt -slide 22'!$N$6:$O$36,2,FALSE)*W59),"")</f>
        <v>168376.65000000002</v>
      </c>
    </row>
    <row r="60" spans="1:29" x14ac:dyDescent="0.3">
      <c r="A60" t="s">
        <v>153</v>
      </c>
      <c r="B60" t="s">
        <v>625</v>
      </c>
      <c r="C60" t="s">
        <v>602</v>
      </c>
      <c r="D60" t="s">
        <v>656</v>
      </c>
      <c r="E60" t="str">
        <f t="shared" si="5"/>
        <v>Group 2 - Between 12,000 and 100,000 Lumens</v>
      </c>
      <c r="F60" t="str">
        <f t="shared" si="6"/>
        <v>Without Pole</v>
      </c>
      <c r="I60">
        <v>488</v>
      </c>
      <c r="J60" t="str">
        <f t="shared" si="4"/>
        <v>ODP488</v>
      </c>
      <c r="K60" t="s">
        <v>606</v>
      </c>
      <c r="L60" t="s">
        <v>743</v>
      </c>
      <c r="M60" t="s">
        <v>582</v>
      </c>
      <c r="N60" s="109">
        <v>22000</v>
      </c>
      <c r="O60" s="109">
        <v>200</v>
      </c>
      <c r="P60" s="109" t="s">
        <v>604</v>
      </c>
      <c r="Q60" s="97">
        <v>0.24199999999999999</v>
      </c>
      <c r="R60" s="90">
        <v>21.56</v>
      </c>
      <c r="S60" s="110">
        <v>159</v>
      </c>
      <c r="T60" s="111">
        <v>3410.79</v>
      </c>
      <c r="U60" t="s">
        <v>627</v>
      </c>
      <c r="W60">
        <f>IFERROR(VLOOKUP(J60,'Pivot-RC'!$A$4:$B$170,2,FALSE),"")</f>
        <v>404</v>
      </c>
      <c r="X60" s="89">
        <f t="shared" si="3"/>
        <v>522614.39999999997</v>
      </c>
      <c r="Y60" s="90">
        <f>IFERROR((VLOOKUP(CONCATENATE(C60,N60),'LED Costs-Lumen -slide 22'!$N$6:$O$42,2,FALSE)*W60),"")</f>
        <v>422002.24</v>
      </c>
      <c r="Z60" s="111">
        <f>IFERROR((VLOOKUP(CONCATENATE(C60,O60),'LED Costs-Watt -slide 22'!$N$6:$O$36,2,FALSE)*W60),"")</f>
        <v>422002.24</v>
      </c>
    </row>
    <row r="61" spans="1:29" x14ac:dyDescent="0.3">
      <c r="A61" t="s">
        <v>153</v>
      </c>
      <c r="B61" t="s">
        <v>625</v>
      </c>
      <c r="C61" t="s">
        <v>602</v>
      </c>
      <c r="D61" t="s">
        <v>656</v>
      </c>
      <c r="E61" t="str">
        <f t="shared" si="5"/>
        <v>Group 2 - Between 12,000 and 100,000 Lumens</v>
      </c>
      <c r="F61" t="str">
        <f t="shared" si="6"/>
        <v>Without Pole</v>
      </c>
      <c r="I61">
        <v>489</v>
      </c>
      <c r="J61" t="str">
        <f t="shared" si="4"/>
        <v>ODP489</v>
      </c>
      <c r="K61" t="s">
        <v>606</v>
      </c>
      <c r="L61" t="s">
        <v>743</v>
      </c>
      <c r="M61" t="s">
        <v>582</v>
      </c>
      <c r="N61" s="109">
        <v>50000</v>
      </c>
      <c r="O61" s="109">
        <v>400</v>
      </c>
      <c r="P61" s="109" t="s">
        <v>604</v>
      </c>
      <c r="Q61" s="97">
        <v>0.47099999999999997</v>
      </c>
      <c r="R61" s="90">
        <v>32.520000000000003</v>
      </c>
      <c r="S61" s="110">
        <v>135</v>
      </c>
      <c r="T61" s="111">
        <v>4390.2</v>
      </c>
      <c r="U61" t="s">
        <v>627</v>
      </c>
      <c r="W61">
        <f>IFERROR(VLOOKUP(J61,'Pivot-RC'!$A$4:$B$170,2,FALSE),"")</f>
        <v>700</v>
      </c>
      <c r="X61" s="89">
        <f t="shared" si="3"/>
        <v>1365840.0000000002</v>
      </c>
      <c r="Y61" s="90">
        <f>IFERROR((VLOOKUP(CONCATENATE(C61,N61),'LED Costs-Lumen -slide 22'!$N$6:$O$42,2,FALSE)*W61),"")</f>
        <v>1462384</v>
      </c>
      <c r="Z61" s="111">
        <f>IFERROR((VLOOKUP(CONCATENATE(C61,O61),'LED Costs-Watt -slide 22'!$N$6:$O$36,2,FALSE)*W61),"")</f>
        <v>1462384</v>
      </c>
    </row>
    <row r="62" spans="1:29" x14ac:dyDescent="0.3">
      <c r="A62" t="s">
        <v>630</v>
      </c>
      <c r="B62" t="s">
        <v>575</v>
      </c>
      <c r="C62" t="s">
        <v>602</v>
      </c>
      <c r="D62" t="s">
        <v>656</v>
      </c>
      <c r="E62" t="str">
        <f t="shared" si="5"/>
        <v>Group 2 - Between 12,000 and 100,000 Lumens</v>
      </c>
      <c r="F62" t="str">
        <f t="shared" si="6"/>
        <v>Without Pole</v>
      </c>
      <c r="I62">
        <v>455</v>
      </c>
      <c r="J62" t="str">
        <f t="shared" si="4"/>
        <v>LGE455</v>
      </c>
      <c r="K62" t="s">
        <v>606</v>
      </c>
      <c r="L62" t="s">
        <v>743</v>
      </c>
      <c r="M62" t="s">
        <v>582</v>
      </c>
      <c r="N62" s="109">
        <v>16000</v>
      </c>
      <c r="O62" s="109">
        <v>150</v>
      </c>
      <c r="P62" s="109"/>
      <c r="Q62" s="97">
        <v>0.18099999999999999</v>
      </c>
      <c r="R62" s="90">
        <v>13.78</v>
      </c>
      <c r="S62" s="110">
        <v>416</v>
      </c>
      <c r="T62" s="111">
        <v>5661.26</v>
      </c>
      <c r="W62">
        <f>IFERROR(VLOOKUP(J62,'Pivot-RC'!$A$4:$B$170,2,FALSE),"")</f>
        <v>402</v>
      </c>
      <c r="X62" s="89">
        <f t="shared" si="3"/>
        <v>332373.59999999998</v>
      </c>
      <c r="Y62" s="90">
        <f>IFERROR((VLOOKUP(CONCATENATE(C62,N62),'LED Costs-Lumen -slide 22'!$N$6:$O$42,2,FALSE)*W62),"")</f>
        <v>419913.12</v>
      </c>
      <c r="Z62" s="111">
        <f>IFERROR((VLOOKUP(CONCATENATE(C62,O62),'LED Costs-Watt -slide 22'!$N$6:$O$36,2,FALSE)*W62),"")</f>
        <v>285600.90000000002</v>
      </c>
    </row>
    <row r="63" spans="1:29" x14ac:dyDescent="0.3">
      <c r="A63" t="s">
        <v>630</v>
      </c>
      <c r="B63" t="s">
        <v>575</v>
      </c>
      <c r="C63" t="s">
        <v>602</v>
      </c>
      <c r="D63" t="s">
        <v>656</v>
      </c>
      <c r="E63" t="str">
        <f t="shared" si="5"/>
        <v>Group 2 - Between 12,000 and 100,000 Lumens</v>
      </c>
      <c r="F63" t="str">
        <f t="shared" si="6"/>
        <v>Without Pole</v>
      </c>
      <c r="I63">
        <v>456</v>
      </c>
      <c r="J63" t="str">
        <f t="shared" si="4"/>
        <v>LGE456</v>
      </c>
      <c r="K63" t="s">
        <v>606</v>
      </c>
      <c r="L63" t="s">
        <v>743</v>
      </c>
      <c r="M63" t="s">
        <v>582</v>
      </c>
      <c r="N63" s="109">
        <v>50000</v>
      </c>
      <c r="O63" s="109">
        <v>175</v>
      </c>
      <c r="P63" s="109" t="s">
        <v>604</v>
      </c>
      <c r="Q63" s="97">
        <v>0.47099999999999997</v>
      </c>
      <c r="R63" s="90">
        <v>18.22</v>
      </c>
      <c r="S63" s="110">
        <v>13210</v>
      </c>
      <c r="T63" s="111">
        <v>239431.41</v>
      </c>
      <c r="U63" t="s">
        <v>631</v>
      </c>
      <c r="W63">
        <f>IFERROR(VLOOKUP(J63,'Pivot-RC'!$A$4:$B$170,2,FALSE),"")</f>
        <v>12896</v>
      </c>
      <c r="X63" s="89">
        <f t="shared" si="3"/>
        <v>14097907.199999999</v>
      </c>
      <c r="Y63" s="90">
        <f>IFERROR((VLOOKUP(CONCATENATE(C63,N63),'LED Costs-Lumen -slide 22'!$N$6:$O$42,2,FALSE)*W63),"")</f>
        <v>26941291.52</v>
      </c>
      <c r="Z63" s="111">
        <f>IFERROR((VLOOKUP(CONCATENATE(C63,O63),'LED Costs-Watt -slide 22'!$N$6:$O$36,2,FALSE)*W63),"")</f>
        <v>13470645.76</v>
      </c>
    </row>
    <row r="64" spans="1:29" x14ac:dyDescent="0.3">
      <c r="A64" t="s">
        <v>630</v>
      </c>
      <c r="B64" t="s">
        <v>575</v>
      </c>
      <c r="C64" t="s">
        <v>602</v>
      </c>
      <c r="D64" t="s">
        <v>608</v>
      </c>
      <c r="E64" t="str">
        <f t="shared" si="5"/>
        <v>Group 1 - &lt; 12,000 Lumens</v>
      </c>
      <c r="F64" t="str">
        <f t="shared" si="6"/>
        <v>Without Pole</v>
      </c>
      <c r="I64">
        <v>470</v>
      </c>
      <c r="J64" t="str">
        <f t="shared" si="4"/>
        <v>LGE470</v>
      </c>
      <c r="K64" t="s">
        <v>606</v>
      </c>
      <c r="L64" t="s">
        <v>743</v>
      </c>
      <c r="M64" t="s">
        <v>582</v>
      </c>
      <c r="N64" s="109">
        <v>12000</v>
      </c>
      <c r="O64" s="109">
        <v>150</v>
      </c>
      <c r="P64" s="109"/>
      <c r="Q64" s="97">
        <v>0.15</v>
      </c>
      <c r="R64" s="90">
        <v>12.8</v>
      </c>
      <c r="S64" s="110">
        <v>33</v>
      </c>
      <c r="T64" s="111">
        <v>422.17</v>
      </c>
      <c r="W64">
        <f>IFERROR(VLOOKUP(J64,'Pivot-RC'!$A$4:$B$170,2,FALSE),"")</f>
        <v>42</v>
      </c>
      <c r="X64" s="89">
        <f t="shared" si="3"/>
        <v>32256</v>
      </c>
      <c r="Y64" s="90">
        <f>IFERROR((VLOOKUP(CONCATENATE(C64,N64),'LED Costs-Lumen -slide 22'!$N$6:$O$42,2,FALSE)*W64),"")</f>
        <v>29838.9</v>
      </c>
      <c r="Z64" s="111">
        <f>IFERROR((VLOOKUP(CONCATENATE(C64,O64),'LED Costs-Watt -slide 22'!$N$6:$O$36,2,FALSE)*W64),"")</f>
        <v>29838.9</v>
      </c>
      <c r="AC64">
        <v>3</v>
      </c>
    </row>
    <row r="65" spans="1:29" x14ac:dyDescent="0.3">
      <c r="A65" t="s">
        <v>630</v>
      </c>
      <c r="B65" t="s">
        <v>575</v>
      </c>
      <c r="C65" t="s">
        <v>602</v>
      </c>
      <c r="D65" t="s">
        <v>608</v>
      </c>
      <c r="E65" t="str">
        <f t="shared" si="5"/>
        <v>Group 2 - Between 12,000 and 100,000 Lumens</v>
      </c>
      <c r="F65" t="str">
        <f t="shared" si="6"/>
        <v>Without Pole</v>
      </c>
      <c r="I65">
        <v>473</v>
      </c>
      <c r="J65" t="str">
        <f t="shared" si="4"/>
        <v>LGE473</v>
      </c>
      <c r="K65" t="s">
        <v>606</v>
      </c>
      <c r="L65" t="s">
        <v>743</v>
      </c>
      <c r="M65" t="s">
        <v>582</v>
      </c>
      <c r="N65" s="109">
        <v>32000</v>
      </c>
      <c r="O65" s="109">
        <v>100</v>
      </c>
      <c r="P65" s="109"/>
      <c r="Q65" s="97">
        <v>0.35</v>
      </c>
      <c r="R65" s="90">
        <v>18.690000000000001</v>
      </c>
      <c r="S65" s="110">
        <v>589</v>
      </c>
      <c r="T65" s="111">
        <v>11081.14</v>
      </c>
      <c r="W65">
        <f>IFERROR(VLOOKUP(J65,'Pivot-RC'!$A$4:$B$170,2,FALSE),"")</f>
        <v>749</v>
      </c>
      <c r="X65" s="89">
        <f t="shared" si="3"/>
        <v>839928.60000000009</v>
      </c>
      <c r="Y65" s="90">
        <f>IFERROR((VLOOKUP(CONCATENATE(C65,N65),'LED Costs-Lumen -slide 22'!$N$6:$O$42,2,FALSE)*W65),"")</f>
        <v>1314502.49</v>
      </c>
      <c r="Z65" s="111">
        <f>IFERROR((VLOOKUP(CONCATENATE(C65,O65),'LED Costs-Watt -slide 22'!$N$6:$O$36,2,FALSE)*W65),"")</f>
        <v>532127.05000000005</v>
      </c>
      <c r="AC65">
        <v>3</v>
      </c>
    </row>
    <row r="66" spans="1:29" x14ac:dyDescent="0.3">
      <c r="A66" t="s">
        <v>630</v>
      </c>
      <c r="B66" t="s">
        <v>575</v>
      </c>
      <c r="C66" t="s">
        <v>602</v>
      </c>
      <c r="D66" t="s">
        <v>1031</v>
      </c>
      <c r="E66" t="str">
        <f t="shared" si="5"/>
        <v>Group 3 - &gt; 100,000 Lumens</v>
      </c>
      <c r="F66" t="str">
        <f t="shared" si="6"/>
        <v>Without Pole</v>
      </c>
      <c r="I66">
        <v>476</v>
      </c>
      <c r="J66" t="str">
        <f t="shared" ref="J66:J97" si="7">CONCATENATE(A66,I66)</f>
        <v>LGE476</v>
      </c>
      <c r="K66" t="s">
        <v>606</v>
      </c>
      <c r="L66" t="s">
        <v>743</v>
      </c>
      <c r="M66" t="s">
        <v>582</v>
      </c>
      <c r="N66" s="109">
        <v>107800</v>
      </c>
      <c r="O66" s="109">
        <v>1000</v>
      </c>
      <c r="P66" s="109" t="s">
        <v>604</v>
      </c>
      <c r="Q66" s="97">
        <v>1.08</v>
      </c>
      <c r="R66" s="90">
        <v>39.619999999999997</v>
      </c>
      <c r="S66" s="110">
        <v>551</v>
      </c>
      <c r="T66" s="111">
        <v>21871.56</v>
      </c>
      <c r="U66" t="s">
        <v>631</v>
      </c>
      <c r="W66">
        <f>IFERROR(VLOOKUP(J66,'Pivot-RC'!$A$4:$B$170,2,FALSE),"")</f>
        <v>611</v>
      </c>
      <c r="X66" s="89">
        <f t="shared" si="3"/>
        <v>1452469.2</v>
      </c>
      <c r="Y66" s="90">
        <f>IFERROR((VLOOKUP(CONCATENATE(C66,N66),'LED Costs-Lumen -slide 22'!$N$6:$O$42,2,FALSE)*W66),"")</f>
        <v>2552904.6399999997</v>
      </c>
      <c r="Z66" s="111">
        <f>IFERROR((VLOOKUP(CONCATENATE(C66,O66),'LED Costs-Watt -slide 22'!$N$6:$O$36,2,FALSE)*W66),"")</f>
        <v>2552904.6399999997</v>
      </c>
      <c r="AA66">
        <v>1</v>
      </c>
      <c r="AB66">
        <v>2</v>
      </c>
      <c r="AC66">
        <v>3</v>
      </c>
    </row>
    <row r="67" spans="1:29" x14ac:dyDescent="0.3">
      <c r="A67" t="s">
        <v>630</v>
      </c>
      <c r="B67" t="s">
        <v>576</v>
      </c>
      <c r="C67" t="s">
        <v>602</v>
      </c>
      <c r="D67" t="s">
        <v>618</v>
      </c>
      <c r="E67" t="str">
        <f t="shared" si="5"/>
        <v>Group 2 - Between 12,000 and 100,000 Lumens</v>
      </c>
      <c r="F67" t="str">
        <f t="shared" si="6"/>
        <v>Without Pole</v>
      </c>
      <c r="I67">
        <v>207</v>
      </c>
      <c r="J67" t="str">
        <f t="shared" si="7"/>
        <v>LGE207</v>
      </c>
      <c r="K67" t="s">
        <v>606</v>
      </c>
      <c r="L67" t="s">
        <v>743</v>
      </c>
      <c r="M67" t="s">
        <v>582</v>
      </c>
      <c r="N67" s="109">
        <v>25000</v>
      </c>
      <c r="O67" s="109">
        <v>400</v>
      </c>
      <c r="P67" s="109"/>
      <c r="Q67" s="97">
        <v>0.46200000000000002</v>
      </c>
      <c r="R67" s="90">
        <v>15.55</v>
      </c>
      <c r="S67" s="110">
        <v>728</v>
      </c>
      <c r="T67" s="111">
        <v>11136.91</v>
      </c>
      <c r="W67">
        <f>IFERROR(VLOOKUP(J67,'Pivot-RC'!$A$4:$B$170,2,FALSE),"")</f>
        <v>665</v>
      </c>
      <c r="X67" s="89">
        <f t="shared" ref="X67:X130" si="8">IFERROR((+W67*R67*60),"")</f>
        <v>620445</v>
      </c>
      <c r="Y67" s="90">
        <f>IFERROR((VLOOKUP(CONCATENATE(C67,N67),'LED Costs-Lumen -slide 22'!$N$6:$O$42,2,FALSE)*W67),"")</f>
        <v>694632.39999999991</v>
      </c>
      <c r="Z67" s="111">
        <f>IFERROR((VLOOKUP(CONCATENATE(C67,O67),'LED Costs-Watt -slide 22'!$N$6:$O$36,2,FALSE)*W67),"")</f>
        <v>1389264.7999999998</v>
      </c>
      <c r="AA67">
        <v>1</v>
      </c>
      <c r="AB67">
        <v>2</v>
      </c>
      <c r="AC67">
        <v>3</v>
      </c>
    </row>
    <row r="68" spans="1:29" x14ac:dyDescent="0.3">
      <c r="A68" t="s">
        <v>630</v>
      </c>
      <c r="B68" t="s">
        <v>576</v>
      </c>
      <c r="C68" t="s">
        <v>602</v>
      </c>
      <c r="D68" t="s">
        <v>618</v>
      </c>
      <c r="E68" t="str">
        <f t="shared" si="5"/>
        <v>Group 2 - Between 12,000 and 100,000 Lumens</v>
      </c>
      <c r="F68" t="str">
        <f t="shared" si="6"/>
        <v>Without Pole</v>
      </c>
      <c r="I68">
        <v>210</v>
      </c>
      <c r="J68" t="str">
        <f t="shared" si="7"/>
        <v>LGE210</v>
      </c>
      <c r="K68" t="s">
        <v>606</v>
      </c>
      <c r="L68" t="s">
        <v>743</v>
      </c>
      <c r="M68" t="s">
        <v>582</v>
      </c>
      <c r="N68" s="109">
        <v>60000</v>
      </c>
      <c r="O68" s="109">
        <v>1000</v>
      </c>
      <c r="P68" s="109"/>
      <c r="Q68" s="97">
        <v>1.18</v>
      </c>
      <c r="R68" s="90">
        <v>28.91</v>
      </c>
      <c r="S68" s="110">
        <v>324</v>
      </c>
      <c r="T68" s="111">
        <v>9218.64</v>
      </c>
      <c r="W68">
        <f>IFERROR(VLOOKUP(J68,'Pivot-RC'!$A$4:$B$170,2,FALSE),"")</f>
        <v>305</v>
      </c>
      <c r="X68" s="89">
        <f t="shared" si="8"/>
        <v>529053</v>
      </c>
      <c r="Y68" s="90">
        <f>IFERROR((VLOOKUP(CONCATENATE(C68,N68),'LED Costs-Lumen -slide 22'!$N$6:$O$42,2,FALSE)*W68),"")</f>
        <v>955772.39999999991</v>
      </c>
      <c r="Z68" s="111">
        <f>IFERROR((VLOOKUP(CONCATENATE(C68,O68),'LED Costs-Watt -slide 22'!$N$6:$O$36,2,FALSE)*W68),"")</f>
        <v>1274363.2</v>
      </c>
      <c r="AA68">
        <v>1</v>
      </c>
      <c r="AB68">
        <v>2</v>
      </c>
      <c r="AC68">
        <v>3</v>
      </c>
    </row>
    <row r="69" spans="1:29" x14ac:dyDescent="0.3">
      <c r="A69" t="s">
        <v>630</v>
      </c>
      <c r="B69" t="s">
        <v>576</v>
      </c>
      <c r="C69" t="s">
        <v>602</v>
      </c>
      <c r="D69" t="s">
        <v>608</v>
      </c>
      <c r="E69" t="str">
        <f t="shared" si="5"/>
        <v>Group 1 - &lt; 12,000 Lumens</v>
      </c>
      <c r="F69" t="str">
        <f t="shared" si="6"/>
        <v>With Pole</v>
      </c>
      <c r="I69">
        <v>471</v>
      </c>
      <c r="J69" t="str">
        <f t="shared" si="7"/>
        <v>LGE471</v>
      </c>
      <c r="K69" t="s">
        <v>606</v>
      </c>
      <c r="L69" t="s">
        <v>743</v>
      </c>
      <c r="M69" t="s">
        <v>637</v>
      </c>
      <c r="N69" s="109">
        <v>12000</v>
      </c>
      <c r="O69" s="109">
        <v>50</v>
      </c>
      <c r="P69" s="109"/>
      <c r="Q69" s="97">
        <v>0.15</v>
      </c>
      <c r="R69" s="90">
        <v>15.08</v>
      </c>
      <c r="S69" s="110">
        <v>8</v>
      </c>
      <c r="T69" s="111">
        <v>120.61</v>
      </c>
      <c r="W69">
        <f>IFERROR(VLOOKUP(J69,'Pivot-RC'!$A$4:$B$170,2,FALSE),"")</f>
        <v>8</v>
      </c>
      <c r="X69" s="89">
        <f t="shared" si="8"/>
        <v>7238.4</v>
      </c>
      <c r="Y69" s="90">
        <f>IFERROR((VLOOKUP(CONCATENATE(C69,N69),'LED Costs-Lumen -slide 22'!$N$6:$O$42,2,FALSE)*W69),"")</f>
        <v>5683.6</v>
      </c>
      <c r="Z69" s="111">
        <f>IFERROR((VLOOKUP(CONCATENATE(C69,O69),'LED Costs-Watt -slide 22'!$N$6:$O$36,2,FALSE)*W69),"")</f>
        <v>3438.32</v>
      </c>
      <c r="AC69">
        <v>3</v>
      </c>
    </row>
    <row r="70" spans="1:29" x14ac:dyDescent="0.3">
      <c r="A70" t="s">
        <v>630</v>
      </c>
      <c r="B70" t="s">
        <v>576</v>
      </c>
      <c r="C70" t="s">
        <v>602</v>
      </c>
      <c r="D70" t="s">
        <v>608</v>
      </c>
      <c r="E70" t="str">
        <f t="shared" si="5"/>
        <v>Group 2 - Between 12,000 and 100,000 Lumens</v>
      </c>
      <c r="F70" t="str">
        <f t="shared" si="6"/>
        <v>With Pole</v>
      </c>
      <c r="I70">
        <v>474</v>
      </c>
      <c r="J70" t="str">
        <f t="shared" si="7"/>
        <v>LGE474</v>
      </c>
      <c r="K70" t="s">
        <v>606</v>
      </c>
      <c r="L70" t="s">
        <v>743</v>
      </c>
      <c r="M70" t="s">
        <v>637</v>
      </c>
      <c r="N70" s="109">
        <v>32000</v>
      </c>
      <c r="O70" s="109">
        <v>200</v>
      </c>
      <c r="P70" s="109"/>
      <c r="Q70" s="97">
        <v>0.35</v>
      </c>
      <c r="R70" s="90">
        <v>20.98</v>
      </c>
      <c r="S70" s="110">
        <v>54</v>
      </c>
      <c r="T70" s="111">
        <v>1132.6300000000001</v>
      </c>
      <c r="W70">
        <f>IFERROR(VLOOKUP(J70,'Pivot-RC'!$A$4:$B$170,2,FALSE),"")</f>
        <v>47</v>
      </c>
      <c r="X70" s="89">
        <f t="shared" si="8"/>
        <v>59163.600000000006</v>
      </c>
      <c r="Y70" s="90">
        <f>IFERROR((VLOOKUP(CONCATENATE(C70,N70),'LED Costs-Lumen -slide 22'!$N$6:$O$42,2,FALSE)*W70),"")</f>
        <v>82485.47</v>
      </c>
      <c r="Z70" s="111">
        <f>IFERROR((VLOOKUP(CONCATENATE(C70,O70),'LED Costs-Watt -slide 22'!$N$6:$O$36,2,FALSE)*W70),"")</f>
        <v>49094.32</v>
      </c>
      <c r="AC70">
        <v>3</v>
      </c>
    </row>
    <row r="71" spans="1:29" x14ac:dyDescent="0.3">
      <c r="A71" t="s">
        <v>630</v>
      </c>
      <c r="B71" t="s">
        <v>576</v>
      </c>
      <c r="C71" t="s">
        <v>602</v>
      </c>
      <c r="D71" t="s">
        <v>608</v>
      </c>
      <c r="E71" t="str">
        <f t="shared" si="5"/>
        <v>Group 2 - Between 12,000 and 100,000 Lumens</v>
      </c>
      <c r="F71" t="str">
        <f t="shared" si="6"/>
        <v>With Pole</v>
      </c>
      <c r="I71">
        <v>475</v>
      </c>
      <c r="J71" t="str">
        <f t="shared" si="7"/>
        <v>LGE475</v>
      </c>
      <c r="K71" t="s">
        <v>606</v>
      </c>
      <c r="L71" t="s">
        <v>743</v>
      </c>
      <c r="M71" t="s">
        <v>638</v>
      </c>
      <c r="N71" s="109">
        <v>32000</v>
      </c>
      <c r="O71" s="109">
        <v>400</v>
      </c>
      <c r="P71" s="109"/>
      <c r="Q71" s="97">
        <v>0.35</v>
      </c>
      <c r="R71" s="90">
        <v>28.44</v>
      </c>
      <c r="S71" s="110">
        <v>2</v>
      </c>
      <c r="T71" s="111">
        <v>56.87</v>
      </c>
      <c r="W71">
        <f>IFERROR(VLOOKUP(J71,'Pivot-RC'!$A$4:$B$170,2,FALSE),"")</f>
        <v>2</v>
      </c>
      <c r="X71" s="89">
        <f t="shared" si="8"/>
        <v>3412.8</v>
      </c>
      <c r="Y71" s="90">
        <f>IFERROR((VLOOKUP(CONCATENATE(C71,N71),'LED Costs-Lumen -slide 22'!$N$6:$O$42,2,FALSE)*W71),"")</f>
        <v>3510.02</v>
      </c>
      <c r="Z71" s="111">
        <f>IFERROR((VLOOKUP(CONCATENATE(C71,O71),'LED Costs-Watt -slide 22'!$N$6:$O$36,2,FALSE)*W71),"")</f>
        <v>4178.24</v>
      </c>
      <c r="AC71">
        <v>3</v>
      </c>
    </row>
    <row r="72" spans="1:29" x14ac:dyDescent="0.3">
      <c r="A72" t="s">
        <v>630</v>
      </c>
      <c r="B72" t="s">
        <v>576</v>
      </c>
      <c r="C72" t="s">
        <v>602</v>
      </c>
      <c r="D72" t="s">
        <v>1031</v>
      </c>
      <c r="E72" t="str">
        <f t="shared" si="5"/>
        <v>Group 3 - &gt; 100,000 Lumens</v>
      </c>
      <c r="F72" t="str">
        <f t="shared" si="6"/>
        <v>With Pole</v>
      </c>
      <c r="I72">
        <v>477</v>
      </c>
      <c r="J72" t="str">
        <f t="shared" si="7"/>
        <v>LGE477</v>
      </c>
      <c r="K72" t="s">
        <v>606</v>
      </c>
      <c r="L72" t="s">
        <v>743</v>
      </c>
      <c r="M72" t="s">
        <v>637</v>
      </c>
      <c r="N72" s="109">
        <v>107800</v>
      </c>
      <c r="O72" s="109">
        <v>1000</v>
      </c>
      <c r="P72" s="109"/>
      <c r="Q72" s="97">
        <v>1.08</v>
      </c>
      <c r="R72" s="90">
        <v>42.81</v>
      </c>
      <c r="S72" s="110">
        <v>63</v>
      </c>
      <c r="T72" s="111">
        <v>2696.02</v>
      </c>
      <c r="W72">
        <f>IFERROR(VLOOKUP(J72,'Pivot-RC'!$A$4:$B$170,2,FALSE),"")</f>
        <v>58</v>
      </c>
      <c r="X72" s="89">
        <f t="shared" si="8"/>
        <v>148978.79999999999</v>
      </c>
      <c r="Y72" s="90">
        <f>IFERROR((VLOOKUP(CONCATENATE(C72,N72),'LED Costs-Lumen -slide 22'!$N$6:$O$42,2,FALSE)*W72),"")</f>
        <v>242337.91999999998</v>
      </c>
      <c r="Z72" s="111">
        <f>IFERROR((VLOOKUP(CONCATENATE(C72,O72),'LED Costs-Watt -slide 22'!$N$6:$O$36,2,FALSE)*W72),"")</f>
        <v>242337.91999999998</v>
      </c>
      <c r="AA72">
        <v>1</v>
      </c>
      <c r="AB72">
        <v>2</v>
      </c>
      <c r="AC72">
        <v>3</v>
      </c>
    </row>
    <row r="73" spans="1:29" x14ac:dyDescent="0.3">
      <c r="A73" t="s">
        <v>652</v>
      </c>
      <c r="B73" t="s">
        <v>625</v>
      </c>
      <c r="C73" t="s">
        <v>602</v>
      </c>
      <c r="D73" t="s">
        <v>656</v>
      </c>
      <c r="I73">
        <v>4</v>
      </c>
      <c r="J73" t="str">
        <f t="shared" si="7"/>
        <v>KU- TENN4</v>
      </c>
      <c r="K73" t="s">
        <v>606</v>
      </c>
      <c r="L73" t="s">
        <v>743</v>
      </c>
      <c r="N73" s="109">
        <v>9500</v>
      </c>
      <c r="O73" s="109">
        <v>100</v>
      </c>
      <c r="P73" s="109"/>
      <c r="Q73" s="97">
        <v>0.11700000000000001</v>
      </c>
      <c r="R73" s="90">
        <v>8.01</v>
      </c>
      <c r="S73" s="110">
        <v>0</v>
      </c>
      <c r="T73" s="111"/>
      <c r="W73" t="str">
        <f>IFERROR(VLOOKUP(J73,'Pivot-RC'!$A$4:$B$170,2,FALSE),"")</f>
        <v/>
      </c>
      <c r="X73" s="90" t="str">
        <f t="shared" si="8"/>
        <v/>
      </c>
      <c r="Y73" s="90" t="str">
        <f>IFERROR((VLOOKUP(CONCATENATE(C73,N73),'LED Costs-Lumen -slide 22'!$N$6:$O$42,2,FALSE)*W73),"")</f>
        <v/>
      </c>
      <c r="Z73" s="111" t="str">
        <f>IFERROR((VLOOKUP(CONCATENATE(C73,O73),'LED Costs-Watt -slide 22'!$N$6:$O$36,2,FALSE)*W73),"")</f>
        <v/>
      </c>
    </row>
    <row r="74" spans="1:29" x14ac:dyDescent="0.3">
      <c r="A74" t="s">
        <v>13</v>
      </c>
      <c r="B74" t="s">
        <v>575</v>
      </c>
      <c r="C74" t="s">
        <v>609</v>
      </c>
      <c r="D74" t="s">
        <v>656</v>
      </c>
      <c r="E74" t="str">
        <f t="shared" ref="E74:E79" si="9">IF(V74="PO-R","Group 4 - Pole only or Restricted Class",IF(N74&lt;=12000,"Group 1 - &lt; 12,000 Lumens",IF(N74&gt;=107000,"Group 3 - &gt; 100,000 Lumens","Group 2 - Between 12,000 and 100,000 Lumens")))</f>
        <v>Group 1 - &lt; 12,000 Lumens</v>
      </c>
      <c r="F74" t="str">
        <f t="shared" ref="F74:F79" si="10">IF(M74="Fixture Only","Without Pole","With Pole")</f>
        <v>With Pole</v>
      </c>
      <c r="I74">
        <v>300</v>
      </c>
      <c r="J74" t="str">
        <f t="shared" si="7"/>
        <v>KU300</v>
      </c>
      <c r="K74" t="s">
        <v>616</v>
      </c>
      <c r="L74" t="s">
        <v>743</v>
      </c>
      <c r="M74" t="s">
        <v>611</v>
      </c>
      <c r="N74" s="109">
        <v>4000</v>
      </c>
      <c r="O74" s="109">
        <v>50</v>
      </c>
      <c r="P74" s="109"/>
      <c r="Q74" s="97">
        <v>0.06</v>
      </c>
      <c r="R74" s="90">
        <v>24.35</v>
      </c>
      <c r="S74" s="110" t="s">
        <v>748</v>
      </c>
      <c r="T74" s="111" t="s">
        <v>748</v>
      </c>
      <c r="U74" s="90"/>
      <c r="W74" t="str">
        <f>IFERROR(VLOOKUP(J74,'Pivot-RC'!$A$4:$B$170,2,FALSE),"")</f>
        <v/>
      </c>
      <c r="X74" s="89" t="str">
        <f t="shared" si="8"/>
        <v/>
      </c>
      <c r="Y74" s="90" t="str">
        <f>IFERROR((VLOOKUP(CONCATENATE(C74,N74),'LED Costs-Lumen -slide 22'!$N$6:$O$42,2,FALSE)*W74),"")</f>
        <v/>
      </c>
      <c r="Z74" s="111" t="str">
        <f>IFERROR((VLOOKUP(CONCATENATE(C74,O74),'LED Costs-Watt -slide 22'!$N$6:$O$36,2,FALSE)*W74),"")</f>
        <v/>
      </c>
    </row>
    <row r="75" spans="1:29" x14ac:dyDescent="0.3">
      <c r="A75" t="s">
        <v>13</v>
      </c>
      <c r="B75" t="s">
        <v>575</v>
      </c>
      <c r="C75" t="s">
        <v>609</v>
      </c>
      <c r="D75" t="s">
        <v>656</v>
      </c>
      <c r="E75" t="str">
        <f t="shared" si="9"/>
        <v>Group 1 - &lt; 12,000 Lumens</v>
      </c>
      <c r="F75" t="str">
        <f t="shared" si="10"/>
        <v>With Pole</v>
      </c>
      <c r="I75">
        <v>301</v>
      </c>
      <c r="J75" t="str">
        <f t="shared" si="7"/>
        <v>KU301</v>
      </c>
      <c r="K75" t="s">
        <v>616</v>
      </c>
      <c r="L75" t="s">
        <v>743</v>
      </c>
      <c r="M75" t="s">
        <v>611</v>
      </c>
      <c r="N75" s="109">
        <v>9500</v>
      </c>
      <c r="O75" s="109">
        <v>100</v>
      </c>
      <c r="P75" s="109"/>
      <c r="Q75" s="97">
        <v>0.11700000000000001</v>
      </c>
      <c r="R75" s="90">
        <v>25.45</v>
      </c>
      <c r="S75" s="110" t="s">
        <v>748</v>
      </c>
      <c r="T75" s="111" t="s">
        <v>748</v>
      </c>
      <c r="U75" s="90"/>
      <c r="W75" t="str">
        <f>IFERROR(VLOOKUP(J75,'Pivot-RC'!$A$4:$B$170,2,FALSE),"")</f>
        <v/>
      </c>
      <c r="X75" s="89" t="str">
        <f t="shared" si="8"/>
        <v/>
      </c>
      <c r="Y75" s="90" t="str">
        <f>IFERROR((VLOOKUP(CONCATENATE(C75,N75),'LED Costs-Lumen -slide 22'!$N$6:$O$42,2,FALSE)*W75),"")</f>
        <v/>
      </c>
      <c r="Z75" s="111" t="str">
        <f>IFERROR((VLOOKUP(CONCATENATE(C75,O75),'LED Costs-Watt -slide 22'!$N$6:$O$36,2,FALSE)*W75),"")</f>
        <v/>
      </c>
    </row>
    <row r="76" spans="1:29" x14ac:dyDescent="0.3">
      <c r="A76" t="s">
        <v>630</v>
      </c>
      <c r="B76" t="s">
        <v>575</v>
      </c>
      <c r="C76" t="s">
        <v>609</v>
      </c>
      <c r="D76" t="s">
        <v>656</v>
      </c>
      <c r="E76" t="str">
        <f t="shared" si="9"/>
        <v>Group 1 - &lt; 12,000 Lumens</v>
      </c>
      <c r="F76" t="str">
        <f t="shared" si="10"/>
        <v>With Pole</v>
      </c>
      <c r="I76">
        <v>400</v>
      </c>
      <c r="J76" t="str">
        <f t="shared" si="7"/>
        <v>LGE400</v>
      </c>
      <c r="K76" t="s">
        <v>616</v>
      </c>
      <c r="L76" t="s">
        <v>743</v>
      </c>
      <c r="M76" t="s">
        <v>611</v>
      </c>
      <c r="N76" s="109">
        <v>4000</v>
      </c>
      <c r="O76" s="109">
        <v>50</v>
      </c>
      <c r="P76" s="109"/>
      <c r="Q76" s="97">
        <v>0.06</v>
      </c>
      <c r="R76" s="90">
        <v>23.9</v>
      </c>
      <c r="S76" s="110">
        <v>49</v>
      </c>
      <c r="T76" s="111">
        <v>1170.82</v>
      </c>
      <c r="W76">
        <f>IFERROR(VLOOKUP(J76,'Pivot-RC'!$A$4:$B$170,2,FALSE),"")</f>
        <v>56</v>
      </c>
      <c r="X76" s="89">
        <f t="shared" si="8"/>
        <v>80303.999999999985</v>
      </c>
      <c r="Y76" s="90">
        <f>IFERROR((VLOOKUP(CONCATENATE(C76,N76),'LED Costs-Lumen -slide 22'!$N$6:$O$42,2,FALSE)*W76),"")</f>
        <v>67858.28</v>
      </c>
      <c r="Z76" s="111">
        <f>IFERROR((VLOOKUP(CONCATENATE(C76,O76),'LED Costs-Watt -slide 22'!$N$6:$O$36,2,FALSE)*W76),"")</f>
        <v>67858</v>
      </c>
    </row>
    <row r="77" spans="1:29" x14ac:dyDescent="0.3">
      <c r="A77" t="s">
        <v>630</v>
      </c>
      <c r="B77" t="s">
        <v>575</v>
      </c>
      <c r="C77" t="s">
        <v>609</v>
      </c>
      <c r="D77" t="s">
        <v>656</v>
      </c>
      <c r="E77" t="str">
        <f t="shared" si="9"/>
        <v>Group 1 - &lt; 12,000 Lumens</v>
      </c>
      <c r="F77" t="str">
        <f t="shared" si="10"/>
        <v>With Pole</v>
      </c>
      <c r="I77">
        <v>401</v>
      </c>
      <c r="J77" t="str">
        <f t="shared" si="7"/>
        <v>LGE401</v>
      </c>
      <c r="K77" t="s">
        <v>616</v>
      </c>
      <c r="L77" t="s">
        <v>743</v>
      </c>
      <c r="M77" t="s">
        <v>611</v>
      </c>
      <c r="N77" s="109">
        <v>9500</v>
      </c>
      <c r="O77" s="109">
        <v>70</v>
      </c>
      <c r="P77" s="109"/>
      <c r="Q77" s="97">
        <v>0.11700000000000001</v>
      </c>
      <c r="R77" s="90">
        <v>24.92</v>
      </c>
      <c r="S77" s="110">
        <v>8</v>
      </c>
      <c r="T77" s="111">
        <v>199.28</v>
      </c>
      <c r="W77">
        <f>IFERROR(VLOOKUP(J77,'Pivot-RC'!$A$4:$B$170,2,FALSE),"")</f>
        <v>20</v>
      </c>
      <c r="X77" s="89">
        <f t="shared" si="8"/>
        <v>29904.000000000004</v>
      </c>
      <c r="Y77" s="90">
        <f>IFERROR((VLOOKUP(CONCATENATE(C77,N77),'LED Costs-Lumen -slide 22'!$N$6:$O$42,2,FALSE)*W77),"")</f>
        <v>10313.800000000001</v>
      </c>
      <c r="Z77" s="111">
        <f>IFERROR((VLOOKUP(CONCATENATE(C77,O77),'LED Costs-Watt -slide 22'!$N$6:$O$36,2,FALSE)*W77),"")</f>
        <v>24235</v>
      </c>
    </row>
    <row r="78" spans="1:29" x14ac:dyDescent="0.3">
      <c r="A78" t="s">
        <v>630</v>
      </c>
      <c r="B78" t="s">
        <v>576</v>
      </c>
      <c r="C78" t="s">
        <v>609</v>
      </c>
      <c r="D78" t="s">
        <v>619</v>
      </c>
      <c r="E78" t="str">
        <f t="shared" si="9"/>
        <v>Group 1 - &lt; 12,000 Lumens</v>
      </c>
      <c r="F78" t="str">
        <f t="shared" si="10"/>
        <v>With Pole</v>
      </c>
      <c r="I78">
        <v>349</v>
      </c>
      <c r="J78" t="str">
        <f t="shared" si="7"/>
        <v>LGE349</v>
      </c>
      <c r="K78" t="s">
        <v>651</v>
      </c>
      <c r="L78" t="s">
        <v>743</v>
      </c>
      <c r="M78" t="s">
        <v>611</v>
      </c>
      <c r="N78" s="109">
        <v>1500</v>
      </c>
      <c r="O78" s="109">
        <v>115</v>
      </c>
      <c r="P78" s="109"/>
      <c r="Q78" s="97">
        <v>0.10199999999999999</v>
      </c>
      <c r="R78" s="90">
        <v>9.0299999999999994</v>
      </c>
      <c r="S78" s="110">
        <v>17</v>
      </c>
      <c r="T78" s="111">
        <v>153.51</v>
      </c>
      <c r="W78">
        <f>IFERROR(VLOOKUP(J78,'Pivot-RC'!$A$4:$B$170,2,FALSE),"")</f>
        <v>17</v>
      </c>
      <c r="X78" s="89">
        <f t="shared" si="8"/>
        <v>9210.5999999999985</v>
      </c>
      <c r="Y78" s="90">
        <f>IFERROR((VLOOKUP(CONCATENATE(C78,N78),'LED Costs-Lumen -slide 22'!$N$6:$O$42,2,FALSE)*W78),"")</f>
        <v>20599.835000000003</v>
      </c>
      <c r="Z78" s="111">
        <f>IFERROR((VLOOKUP(CONCATENATE(C78,O78),'LED Costs-Watt -slide 22'!$N$6:$O$36,2,FALSE)*W78),"")</f>
        <v>12455.39</v>
      </c>
      <c r="AA78">
        <v>1</v>
      </c>
      <c r="AC78">
        <v>3</v>
      </c>
    </row>
    <row r="79" spans="1:29" x14ac:dyDescent="0.3">
      <c r="A79" t="s">
        <v>630</v>
      </c>
      <c r="B79" t="s">
        <v>576</v>
      </c>
      <c r="C79" t="s">
        <v>609</v>
      </c>
      <c r="D79" t="s">
        <v>619</v>
      </c>
      <c r="E79" t="str">
        <f t="shared" si="9"/>
        <v>Group 1 - &lt; 12,000 Lumens</v>
      </c>
      <c r="F79" t="str">
        <f t="shared" si="10"/>
        <v>With Pole</v>
      </c>
      <c r="I79">
        <v>348</v>
      </c>
      <c r="J79" t="str">
        <f t="shared" si="7"/>
        <v>LGE348</v>
      </c>
      <c r="K79" t="s">
        <v>651</v>
      </c>
      <c r="L79" t="s">
        <v>743</v>
      </c>
      <c r="M79" t="s">
        <v>611</v>
      </c>
      <c r="N79" s="109">
        <v>6000</v>
      </c>
      <c r="O79" s="109">
        <v>370</v>
      </c>
      <c r="P79" s="109"/>
      <c r="Q79" s="97">
        <v>0.44700000000000001</v>
      </c>
      <c r="R79" s="90">
        <v>13.13</v>
      </c>
      <c r="S79" s="110">
        <v>39</v>
      </c>
      <c r="T79" s="111">
        <v>512.04999999999995</v>
      </c>
      <c r="W79">
        <f>IFERROR(VLOOKUP(J79,'Pivot-RC'!$A$4:$B$170,2,FALSE),"")</f>
        <v>39</v>
      </c>
      <c r="X79" s="89">
        <f t="shared" si="8"/>
        <v>30724.200000000004</v>
      </c>
      <c r="Y79" s="90">
        <f>IFERROR((VLOOKUP(CONCATENATE(C79,N79),'LED Costs-Lumen -slide 22'!$N$6:$O$42,2,FALSE)*W79),"")</f>
        <v>47258.445000000007</v>
      </c>
      <c r="Z79" s="111">
        <f>IFERROR((VLOOKUP(CONCATENATE(C79,O79),'LED Costs-Watt -slide 22'!$N$6:$O$36,2,FALSE)*W79),"")</f>
        <v>86392.01999999999</v>
      </c>
      <c r="AA79">
        <v>1</v>
      </c>
      <c r="AC79">
        <v>3</v>
      </c>
    </row>
    <row r="80" spans="1:29" x14ac:dyDescent="0.3">
      <c r="A80" t="s">
        <v>652</v>
      </c>
      <c r="B80" t="s">
        <v>625</v>
      </c>
      <c r="C80" t="s">
        <v>609</v>
      </c>
      <c r="D80" t="s">
        <v>656</v>
      </c>
      <c r="I80">
        <v>17</v>
      </c>
      <c r="J80" t="str">
        <f t="shared" si="7"/>
        <v>KU- TENN17</v>
      </c>
      <c r="K80" t="s">
        <v>655</v>
      </c>
      <c r="L80" t="s">
        <v>743</v>
      </c>
      <c r="N80" s="109">
        <v>5800</v>
      </c>
      <c r="O80" s="109">
        <v>70</v>
      </c>
      <c r="P80" s="109"/>
      <c r="Q80" s="97">
        <v>8.3000000000000004E-2</v>
      </c>
      <c r="R80" s="90">
        <v>13.99</v>
      </c>
      <c r="S80" s="110">
        <v>0</v>
      </c>
      <c r="T80" s="111"/>
      <c r="W80" t="str">
        <f>IFERROR(VLOOKUP(J80,'Pivot-RC'!$A$4:$B$170,2,FALSE),"")</f>
        <v/>
      </c>
      <c r="X80" s="90" t="str">
        <f t="shared" si="8"/>
        <v/>
      </c>
      <c r="Y80" s="90" t="str">
        <f>IFERROR((VLOOKUP(CONCATENATE(C80,N80),'LED Costs-Lumen -slide 22'!$N$6:$O$42,2,FALSE)*W80),"")</f>
        <v/>
      </c>
      <c r="Z80" s="111" t="str">
        <f>IFERROR((VLOOKUP(CONCATENATE(C80,O80),'LED Costs-Watt -slide 22'!$N$6:$O$36,2,FALSE)*W80),"")</f>
        <v/>
      </c>
    </row>
    <row r="81" spans="1:29" x14ac:dyDescent="0.3">
      <c r="A81" t="s">
        <v>652</v>
      </c>
      <c r="B81" t="s">
        <v>625</v>
      </c>
      <c r="C81" t="s">
        <v>609</v>
      </c>
      <c r="D81" t="s">
        <v>656</v>
      </c>
      <c r="I81">
        <v>19</v>
      </c>
      <c r="J81" t="str">
        <f t="shared" si="7"/>
        <v>KU- TENN19</v>
      </c>
      <c r="K81" t="s">
        <v>655</v>
      </c>
      <c r="L81" t="s">
        <v>743</v>
      </c>
      <c r="N81" s="109">
        <v>9500</v>
      </c>
      <c r="O81" s="109" t="e">
        <v>#N/A</v>
      </c>
      <c r="P81" s="109"/>
      <c r="Q81" s="97">
        <v>0.11700000000000001</v>
      </c>
      <c r="R81" s="90">
        <v>14.12</v>
      </c>
      <c r="S81" s="110">
        <v>0</v>
      </c>
      <c r="T81" s="111"/>
      <c r="W81" t="str">
        <f>IFERROR(VLOOKUP(J81,'Pivot-RC'!$A$4:$B$170,2,FALSE),"")</f>
        <v/>
      </c>
      <c r="X81" s="90" t="str">
        <f t="shared" si="8"/>
        <v/>
      </c>
      <c r="Y81" s="90" t="str">
        <f>IFERROR((VLOOKUP(CONCATENATE(C81,N81),'LED Costs-Lumen -slide 22'!$N$6:$O$42,2,FALSE)*W81),"")</f>
        <v/>
      </c>
      <c r="Z81" s="111" t="str">
        <f>IFERROR((VLOOKUP(CONCATENATE(C81,O81),'LED Costs-Watt -slide 22'!$N$6:$O$36,2,FALSE)*W81),"")</f>
        <v/>
      </c>
    </row>
    <row r="82" spans="1:29" x14ac:dyDescent="0.3">
      <c r="A82" t="s">
        <v>13</v>
      </c>
      <c r="B82" t="s">
        <v>575</v>
      </c>
      <c r="C82" t="s">
        <v>609</v>
      </c>
      <c r="D82" t="s">
        <v>656</v>
      </c>
      <c r="E82" t="str">
        <f t="shared" ref="E82:E109" si="11">IF(V82="PO-R","Group 4 - Pole only or Restricted Class",IF(N82&lt;=12000,"Group 1 - &lt; 12,000 Lumens",IF(N82&gt;=107000,"Group 3 - &gt; 100,000 Lumens","Group 2 - Between 12,000 and 100,000 Lumens")))</f>
        <v>Group 1 - &lt; 12,000 Lumens</v>
      </c>
      <c r="F82" t="str">
        <f t="shared" ref="F82:F109" si="12">IF(M82="Fixture Only","Without Pole","With Pole")</f>
        <v>Without Pole</v>
      </c>
      <c r="I82">
        <v>492</v>
      </c>
      <c r="J82" t="str">
        <f t="shared" si="7"/>
        <v>KU492</v>
      </c>
      <c r="K82" t="s">
        <v>615</v>
      </c>
      <c r="L82" t="s">
        <v>743</v>
      </c>
      <c r="M82" t="s">
        <v>582</v>
      </c>
      <c r="N82" s="109">
        <v>5800</v>
      </c>
      <c r="O82" s="109">
        <v>70</v>
      </c>
      <c r="P82" s="109"/>
      <c r="Q82" s="97">
        <v>8.3000000000000004E-2</v>
      </c>
      <c r="R82" s="90">
        <v>16.64</v>
      </c>
      <c r="S82" s="110">
        <v>2</v>
      </c>
      <c r="T82" s="111">
        <v>32.67</v>
      </c>
      <c r="U82" s="90"/>
      <c r="W82">
        <f>IFERROR(VLOOKUP(J82,'Pivot-RC'!$A$4:$B$170,2,FALSE),"")</f>
        <v>2</v>
      </c>
      <c r="X82" s="89">
        <f t="shared" si="8"/>
        <v>1996.8000000000002</v>
      </c>
      <c r="Y82" s="90">
        <f>IFERROR((VLOOKUP(CONCATENATE(C82,N82),'LED Costs-Lumen -slide 22'!$N$6:$O$42,2,FALSE)*W82),"")</f>
        <v>2423.5100000000002</v>
      </c>
      <c r="Z82" s="111">
        <f>IFERROR((VLOOKUP(CONCATENATE(C82,O82),'LED Costs-Watt -slide 22'!$N$6:$O$36,2,FALSE)*W82),"")</f>
        <v>2423.5</v>
      </c>
    </row>
    <row r="83" spans="1:29" x14ac:dyDescent="0.3">
      <c r="A83" t="s">
        <v>13</v>
      </c>
      <c r="B83" t="s">
        <v>575</v>
      </c>
      <c r="C83" t="s">
        <v>609</v>
      </c>
      <c r="D83" t="s">
        <v>656</v>
      </c>
      <c r="E83" t="str">
        <f t="shared" si="11"/>
        <v>Group 1 - &lt; 12,000 Lumens</v>
      </c>
      <c r="F83" t="str">
        <f t="shared" si="12"/>
        <v>With Pole</v>
      </c>
      <c r="I83">
        <v>476</v>
      </c>
      <c r="J83" t="str">
        <f t="shared" si="7"/>
        <v>KU476</v>
      </c>
      <c r="K83" t="s">
        <v>615</v>
      </c>
      <c r="L83" t="s">
        <v>743</v>
      </c>
      <c r="M83" t="s">
        <v>611</v>
      </c>
      <c r="N83" s="109">
        <v>5800</v>
      </c>
      <c r="O83" s="109">
        <v>1000</v>
      </c>
      <c r="P83" s="109"/>
      <c r="Q83" s="97">
        <v>8.3000000000000004E-2</v>
      </c>
      <c r="R83" s="90">
        <v>18.18</v>
      </c>
      <c r="S83" s="110">
        <v>4709</v>
      </c>
      <c r="T83" s="111">
        <v>79075.5</v>
      </c>
      <c r="W83">
        <f>IFERROR(VLOOKUP(J83,'Pivot-RC'!$A$4:$B$170,2,FALSE),"")</f>
        <v>4834</v>
      </c>
      <c r="X83" s="89">
        <f t="shared" si="8"/>
        <v>5272927.1999999993</v>
      </c>
      <c r="Y83" s="90">
        <f>IFERROR((VLOOKUP(CONCATENATE(C83,N83),'LED Costs-Lumen -slide 22'!$N$6:$O$42,2,FALSE)*W83),"")</f>
        <v>5857623.6700000009</v>
      </c>
      <c r="Z83" s="111">
        <f>IFERROR((VLOOKUP(CONCATENATE(C83,O83),'LED Costs-Watt -slide 22'!$N$6:$O$36,2,FALSE)*W83),"")</f>
        <v>21416360.239999998</v>
      </c>
    </row>
    <row r="84" spans="1:29" x14ac:dyDescent="0.3">
      <c r="A84" t="s">
        <v>13</v>
      </c>
      <c r="B84" t="s">
        <v>575</v>
      </c>
      <c r="C84" t="s">
        <v>609</v>
      </c>
      <c r="D84" t="s">
        <v>656</v>
      </c>
      <c r="E84" t="str">
        <f t="shared" si="11"/>
        <v>Group 1 - &lt; 12,000 Lumens</v>
      </c>
      <c r="F84" t="str">
        <f t="shared" si="12"/>
        <v>Without Pole</v>
      </c>
      <c r="I84">
        <v>497</v>
      </c>
      <c r="J84" t="str">
        <f t="shared" si="7"/>
        <v>KU497</v>
      </c>
      <c r="K84" t="s">
        <v>615</v>
      </c>
      <c r="L84" t="s">
        <v>743</v>
      </c>
      <c r="M84" t="s">
        <v>582</v>
      </c>
      <c r="N84" s="109">
        <v>9500</v>
      </c>
      <c r="O84" s="109">
        <v>100</v>
      </c>
      <c r="P84" s="109"/>
      <c r="Q84" s="97">
        <v>0.11700000000000001</v>
      </c>
      <c r="R84" s="90">
        <v>16.62</v>
      </c>
      <c r="S84" s="110">
        <v>14</v>
      </c>
      <c r="T84" s="111">
        <v>226.11</v>
      </c>
      <c r="U84" s="90"/>
      <c r="W84">
        <f>IFERROR(VLOOKUP(J84,'Pivot-RC'!$A$4:$B$170,2,FALSE),"")</f>
        <v>18</v>
      </c>
      <c r="X84" s="89">
        <f t="shared" si="8"/>
        <v>17949.600000000002</v>
      </c>
      <c r="Y84" s="90">
        <f>IFERROR((VLOOKUP(CONCATENATE(C84,N84),'LED Costs-Lumen -slide 22'!$N$6:$O$42,2,FALSE)*W84),"")</f>
        <v>9282.4200000000019</v>
      </c>
      <c r="Z84" s="111">
        <f>IFERROR((VLOOKUP(CONCATENATE(C84,O84),'LED Costs-Watt -slide 22'!$N$6:$O$36,2,FALSE)*W84),"")</f>
        <v>13188.06</v>
      </c>
    </row>
    <row r="85" spans="1:29" x14ac:dyDescent="0.3">
      <c r="A85" t="s">
        <v>13</v>
      </c>
      <c r="B85" t="s">
        <v>575</v>
      </c>
      <c r="C85" t="s">
        <v>609</v>
      </c>
      <c r="D85" t="s">
        <v>656</v>
      </c>
      <c r="E85" t="str">
        <f t="shared" si="11"/>
        <v>Group 1 - &lt; 12,000 Lumens</v>
      </c>
      <c r="F85" t="str">
        <f t="shared" si="12"/>
        <v>With Pole</v>
      </c>
      <c r="I85">
        <v>477</v>
      </c>
      <c r="J85" t="str">
        <f t="shared" si="7"/>
        <v>KU477</v>
      </c>
      <c r="K85" t="s">
        <v>615</v>
      </c>
      <c r="L85" t="s">
        <v>743</v>
      </c>
      <c r="M85" t="s">
        <v>611</v>
      </c>
      <c r="N85" s="109">
        <v>9500</v>
      </c>
      <c r="O85" s="109">
        <v>1000</v>
      </c>
      <c r="P85" s="109"/>
      <c r="Q85" s="97">
        <v>0.11700000000000001</v>
      </c>
      <c r="R85" s="90">
        <v>22.71</v>
      </c>
      <c r="S85" s="110">
        <v>1046</v>
      </c>
      <c r="T85" s="111">
        <v>22230.04</v>
      </c>
      <c r="W85">
        <f>IFERROR(VLOOKUP(J85,'Pivot-RC'!$A$4:$B$170,2,FALSE),"")</f>
        <v>1069</v>
      </c>
      <c r="X85" s="89">
        <f t="shared" si="8"/>
        <v>1456619.4000000001</v>
      </c>
      <c r="Y85" s="90">
        <f>IFERROR((VLOOKUP(CONCATENATE(C85,N85),'LED Costs-Lumen -slide 22'!$N$6:$O$42,2,FALSE)*W85),"")</f>
        <v>551272.6100000001</v>
      </c>
      <c r="Z85" s="111">
        <f>IFERROR((VLOOKUP(CONCATENATE(C85,O85),'LED Costs-Watt -slide 22'!$N$6:$O$36,2,FALSE)*W85),"")</f>
        <v>4736054.84</v>
      </c>
    </row>
    <row r="86" spans="1:29" x14ac:dyDescent="0.3">
      <c r="A86" t="s">
        <v>13</v>
      </c>
      <c r="B86" t="s">
        <v>575</v>
      </c>
      <c r="C86" t="s">
        <v>609</v>
      </c>
      <c r="D86" t="s">
        <v>656</v>
      </c>
      <c r="E86" t="str">
        <f t="shared" si="11"/>
        <v>Group 2 - Between 12,000 and 100,000 Lumens</v>
      </c>
      <c r="F86" t="str">
        <f t="shared" si="12"/>
        <v>Without Pole</v>
      </c>
      <c r="I86">
        <v>498</v>
      </c>
      <c r="J86" t="str">
        <f t="shared" si="7"/>
        <v>KU498</v>
      </c>
      <c r="K86" t="s">
        <v>615</v>
      </c>
      <c r="L86" t="s">
        <v>743</v>
      </c>
      <c r="M86" t="s">
        <v>582</v>
      </c>
      <c r="N86" s="109">
        <v>22000</v>
      </c>
      <c r="O86" s="109">
        <v>200</v>
      </c>
      <c r="P86" s="109" t="s">
        <v>604</v>
      </c>
      <c r="Q86" s="97">
        <v>0.24199999999999999</v>
      </c>
      <c r="R86" s="90">
        <v>19.190000000000001</v>
      </c>
      <c r="S86" s="110">
        <v>30</v>
      </c>
      <c r="T86" s="111">
        <v>541.88</v>
      </c>
      <c r="U86" s="90" t="s">
        <v>605</v>
      </c>
      <c r="W86">
        <f>IFERROR(VLOOKUP(J86,'Pivot-RC'!$A$4:$B$170,2,FALSE),"")</f>
        <v>31</v>
      </c>
      <c r="X86" s="89">
        <f t="shared" si="8"/>
        <v>35693.4</v>
      </c>
      <c r="Y86" s="90">
        <f>IFERROR((VLOOKUP(CONCATENATE(C86,N86),'LED Costs-Lumen -slide 22'!$N$6:$O$42,2,FALSE)*W86),"")</f>
        <v>34335.29</v>
      </c>
      <c r="Z86" s="111">
        <f>IFERROR((VLOOKUP(CONCATENATE(C86,O86),'LED Costs-Watt -slide 22'!$N$6:$O$36,2,FALSE)*W86),"")</f>
        <v>34335.29</v>
      </c>
    </row>
    <row r="87" spans="1:29" x14ac:dyDescent="0.3">
      <c r="A87" t="s">
        <v>13</v>
      </c>
      <c r="B87" t="s">
        <v>575</v>
      </c>
      <c r="C87" t="s">
        <v>609</v>
      </c>
      <c r="D87" t="s">
        <v>656</v>
      </c>
      <c r="E87" t="str">
        <f t="shared" si="11"/>
        <v>Group 2 - Between 12,000 and 100,000 Lumens</v>
      </c>
      <c r="F87" t="str">
        <f t="shared" si="12"/>
        <v>With Pole</v>
      </c>
      <c r="I87">
        <v>478</v>
      </c>
      <c r="J87" t="str">
        <f t="shared" si="7"/>
        <v>KU478</v>
      </c>
      <c r="K87" t="s">
        <v>615</v>
      </c>
      <c r="L87" t="s">
        <v>743</v>
      </c>
      <c r="M87" t="s">
        <v>611</v>
      </c>
      <c r="N87" s="109">
        <v>22000</v>
      </c>
      <c r="O87" s="109">
        <v>200</v>
      </c>
      <c r="P87" s="109" t="s">
        <v>604</v>
      </c>
      <c r="Q87" s="97">
        <v>0.24199999999999999</v>
      </c>
      <c r="R87" s="90">
        <v>29.08</v>
      </c>
      <c r="S87" s="110">
        <v>1463</v>
      </c>
      <c r="T87" s="111">
        <v>39933.72</v>
      </c>
      <c r="U87" s="90" t="s">
        <v>605</v>
      </c>
      <c r="W87">
        <f>IFERROR(VLOOKUP(J87,'Pivot-RC'!$A$4:$B$170,2,FALSE),"")</f>
        <v>1428</v>
      </c>
      <c r="X87" s="89">
        <f t="shared" si="8"/>
        <v>2491574.4</v>
      </c>
      <c r="Y87" s="90">
        <f>IFERROR((VLOOKUP(CONCATENATE(C87,N87),'LED Costs-Lumen -slide 22'!$N$6:$O$42,2,FALSE)*W87),"")</f>
        <v>1581638.5199999998</v>
      </c>
      <c r="Z87" s="111">
        <f>IFERROR((VLOOKUP(CONCATENATE(C87,O87),'LED Costs-Watt -slide 22'!$N$6:$O$36,2,FALSE)*W87),"")</f>
        <v>1581638.5199999998</v>
      </c>
    </row>
    <row r="88" spans="1:29" x14ac:dyDescent="0.3">
      <c r="A88" t="s">
        <v>13</v>
      </c>
      <c r="B88" t="s">
        <v>575</v>
      </c>
      <c r="C88" t="s">
        <v>609</v>
      </c>
      <c r="D88" t="s">
        <v>656</v>
      </c>
      <c r="E88" t="str">
        <f t="shared" si="11"/>
        <v>Group 2 - Between 12,000 and 100,000 Lumens</v>
      </c>
      <c r="F88" t="str">
        <f t="shared" si="12"/>
        <v>Without Pole</v>
      </c>
      <c r="I88">
        <v>499</v>
      </c>
      <c r="J88" t="str">
        <f t="shared" si="7"/>
        <v>KU499</v>
      </c>
      <c r="K88" t="s">
        <v>615</v>
      </c>
      <c r="L88" t="s">
        <v>743</v>
      </c>
      <c r="M88" t="s">
        <v>582</v>
      </c>
      <c r="N88" s="109">
        <v>50000</v>
      </c>
      <c r="O88" s="109">
        <v>400</v>
      </c>
      <c r="P88" s="109" t="s">
        <v>604</v>
      </c>
      <c r="Q88" s="97">
        <v>0.47099999999999997</v>
      </c>
      <c r="R88" s="90">
        <v>23.27</v>
      </c>
      <c r="S88" s="110">
        <v>35</v>
      </c>
      <c r="T88" s="111">
        <v>782.91</v>
      </c>
      <c r="U88" s="90" t="s">
        <v>605</v>
      </c>
      <c r="W88">
        <f>IFERROR(VLOOKUP(J88,'Pivot-RC'!$A$4:$B$170,2,FALSE),"")</f>
        <v>35</v>
      </c>
      <c r="X88" s="89">
        <f t="shared" si="8"/>
        <v>48866.999999999993</v>
      </c>
      <c r="Y88" s="90">
        <f>IFERROR((VLOOKUP(CONCATENATE(C88,N88),'LED Costs-Lumen -slide 22'!$N$6:$O$42,2,FALSE)*W88),"")</f>
        <v>77531.299999999988</v>
      </c>
      <c r="Z88" s="111">
        <f>IFERROR((VLOOKUP(CONCATENATE(C88,O88),'LED Costs-Watt -slide 22'!$N$6:$O$36,2,FALSE)*W88),"")</f>
        <v>77531.299999999988</v>
      </c>
    </row>
    <row r="89" spans="1:29" x14ac:dyDescent="0.3">
      <c r="A89" t="s">
        <v>13</v>
      </c>
      <c r="B89" t="s">
        <v>575</v>
      </c>
      <c r="C89" t="s">
        <v>609</v>
      </c>
      <c r="D89" t="s">
        <v>656</v>
      </c>
      <c r="E89" t="str">
        <f t="shared" si="11"/>
        <v>Group 2 - Between 12,000 and 100,000 Lumens</v>
      </c>
      <c r="F89" t="str">
        <f t="shared" si="12"/>
        <v>With Pole</v>
      </c>
      <c r="I89">
        <v>479</v>
      </c>
      <c r="J89" t="str">
        <f t="shared" si="7"/>
        <v>KU479</v>
      </c>
      <c r="K89" t="s">
        <v>615</v>
      </c>
      <c r="L89" t="s">
        <v>743</v>
      </c>
      <c r="M89" t="s">
        <v>611</v>
      </c>
      <c r="N89" s="109">
        <v>50000</v>
      </c>
      <c r="O89" s="109">
        <v>400</v>
      </c>
      <c r="P89" s="109" t="s">
        <v>604</v>
      </c>
      <c r="Q89" s="97">
        <v>0.47099999999999997</v>
      </c>
      <c r="R89" s="90">
        <v>35.86</v>
      </c>
      <c r="S89" s="110">
        <v>945</v>
      </c>
      <c r="T89" s="111">
        <v>32485.5</v>
      </c>
      <c r="U89" s="90" t="s">
        <v>605</v>
      </c>
      <c r="W89">
        <f>IFERROR(VLOOKUP(J89,'Pivot-RC'!$A$4:$B$170,2,FALSE),"")</f>
        <v>935</v>
      </c>
      <c r="X89" s="89">
        <f t="shared" si="8"/>
        <v>2011746</v>
      </c>
      <c r="Y89" s="90">
        <f>IFERROR((VLOOKUP(CONCATENATE(C89,N89),'LED Costs-Lumen -slide 22'!$N$6:$O$42,2,FALSE)*W89),"")</f>
        <v>2071193.2999999998</v>
      </c>
      <c r="Z89" s="111">
        <f>IFERROR((VLOOKUP(CONCATENATE(C89,O89),'LED Costs-Watt -slide 22'!$N$6:$O$36,2,FALSE)*W89),"")</f>
        <v>2071193.2999999998</v>
      </c>
    </row>
    <row r="90" spans="1:29" x14ac:dyDescent="0.3">
      <c r="A90" t="s">
        <v>13</v>
      </c>
      <c r="B90" t="s">
        <v>575</v>
      </c>
      <c r="C90" t="s">
        <v>609</v>
      </c>
      <c r="D90" t="s">
        <v>608</v>
      </c>
      <c r="E90" t="str">
        <f t="shared" si="11"/>
        <v>Group 1 - &lt; 12,000 Lumens</v>
      </c>
      <c r="F90" t="str">
        <f t="shared" si="12"/>
        <v>Without Pole</v>
      </c>
      <c r="I90">
        <v>490</v>
      </c>
      <c r="J90" t="str">
        <f t="shared" si="7"/>
        <v>KU490</v>
      </c>
      <c r="K90" t="s">
        <v>615</v>
      </c>
      <c r="L90" t="s">
        <v>743</v>
      </c>
      <c r="M90" t="s">
        <v>582</v>
      </c>
      <c r="N90" s="109">
        <v>12000</v>
      </c>
      <c r="O90" s="109">
        <v>150</v>
      </c>
      <c r="P90" s="109" t="s">
        <v>604</v>
      </c>
      <c r="Q90" s="97">
        <v>0.15</v>
      </c>
      <c r="R90" s="90">
        <v>16.75</v>
      </c>
      <c r="S90" s="110">
        <v>59</v>
      </c>
      <c r="T90" s="111">
        <v>940.19</v>
      </c>
      <c r="U90" s="90" t="s">
        <v>605</v>
      </c>
      <c r="W90">
        <f>IFERROR(VLOOKUP(J90,'Pivot-RC'!$A$4:$B$170,2,FALSE),"")</f>
        <v>59</v>
      </c>
      <c r="X90" s="89">
        <f t="shared" si="8"/>
        <v>59295</v>
      </c>
      <c r="Y90" s="90">
        <f>IFERROR((VLOOKUP(CONCATENATE(C90,N90),'LED Costs-Lumen -slide 22'!$N$6:$O$42,2,FALSE)*W90),"")</f>
        <v>43227.53</v>
      </c>
      <c r="Z90" s="111">
        <f>IFERROR((VLOOKUP(CONCATENATE(C90,O90),'LED Costs-Watt -slide 22'!$N$6:$O$36,2,FALSE)*W90),"")</f>
        <v>43227.53</v>
      </c>
      <c r="AC90">
        <v>3</v>
      </c>
    </row>
    <row r="91" spans="1:29" x14ac:dyDescent="0.3">
      <c r="A91" t="s">
        <v>13</v>
      </c>
      <c r="B91" t="s">
        <v>575</v>
      </c>
      <c r="C91" t="s">
        <v>609</v>
      </c>
      <c r="D91" t="s">
        <v>608</v>
      </c>
      <c r="E91" t="str">
        <f t="shared" si="11"/>
        <v>Group 1 - &lt; 12,000 Lumens</v>
      </c>
      <c r="F91" t="str">
        <f t="shared" si="12"/>
        <v>With Pole</v>
      </c>
      <c r="I91">
        <v>494</v>
      </c>
      <c r="J91" t="str">
        <f t="shared" si="7"/>
        <v>KU494</v>
      </c>
      <c r="K91" t="s">
        <v>615</v>
      </c>
      <c r="L91" t="s">
        <v>743</v>
      </c>
      <c r="M91" t="s">
        <v>611</v>
      </c>
      <c r="N91" s="109">
        <v>12000</v>
      </c>
      <c r="O91" s="109">
        <v>150</v>
      </c>
      <c r="P91" s="109" t="s">
        <v>604</v>
      </c>
      <c r="Q91" s="97">
        <v>0.15</v>
      </c>
      <c r="R91" s="90">
        <v>30.72</v>
      </c>
      <c r="S91" s="110">
        <v>182</v>
      </c>
      <c r="T91" s="111">
        <v>5274.24</v>
      </c>
      <c r="U91" s="90" t="s">
        <v>605</v>
      </c>
      <c r="W91">
        <f>IFERROR(VLOOKUP(J91,'Pivot-RC'!$A$4:$B$170,2,FALSE),"")</f>
        <v>184</v>
      </c>
      <c r="X91" s="89">
        <f t="shared" si="8"/>
        <v>339148.79999999999</v>
      </c>
      <c r="Y91" s="90">
        <f>IFERROR((VLOOKUP(CONCATENATE(C91,N91),'LED Costs-Lumen -slide 22'!$N$6:$O$42,2,FALSE)*W91),"")</f>
        <v>134811.28</v>
      </c>
      <c r="Z91" s="111">
        <f>IFERROR((VLOOKUP(CONCATENATE(C91,O91),'LED Costs-Watt -slide 22'!$N$6:$O$36,2,FALSE)*W91),"")</f>
        <v>134811.28</v>
      </c>
      <c r="AC91">
        <v>3</v>
      </c>
    </row>
    <row r="92" spans="1:29" x14ac:dyDescent="0.3">
      <c r="A92" t="s">
        <v>13</v>
      </c>
      <c r="B92" t="s">
        <v>575</v>
      </c>
      <c r="C92" t="s">
        <v>609</v>
      </c>
      <c r="D92" t="s">
        <v>608</v>
      </c>
      <c r="E92" t="str">
        <f t="shared" si="11"/>
        <v>Group 2 - Between 12,000 and 100,000 Lumens</v>
      </c>
      <c r="F92" t="str">
        <f t="shared" si="12"/>
        <v>Without Pole</v>
      </c>
      <c r="I92">
        <v>491</v>
      </c>
      <c r="J92" t="str">
        <f t="shared" si="7"/>
        <v>KU491</v>
      </c>
      <c r="K92" t="s">
        <v>615</v>
      </c>
      <c r="L92" t="s">
        <v>743</v>
      </c>
      <c r="M92" t="s">
        <v>582</v>
      </c>
      <c r="N92" s="109">
        <v>32000</v>
      </c>
      <c r="O92" s="109">
        <v>350</v>
      </c>
      <c r="P92" s="109" t="s">
        <v>604</v>
      </c>
      <c r="Q92" s="97">
        <v>0.35</v>
      </c>
      <c r="R92" s="90">
        <v>23.75</v>
      </c>
      <c r="S92" s="110">
        <v>312</v>
      </c>
      <c r="T92" s="111">
        <v>7067.48</v>
      </c>
      <c r="U92" s="90" t="s">
        <v>605</v>
      </c>
      <c r="W92">
        <f>IFERROR(VLOOKUP(J92,'Pivot-RC'!$A$4:$B$170,2,FALSE),"")</f>
        <v>298</v>
      </c>
      <c r="X92" s="89">
        <f t="shared" si="8"/>
        <v>424650</v>
      </c>
      <c r="Y92" s="90">
        <f>IFERROR((VLOOKUP(CONCATENATE(C92,N92),'LED Costs-Lumen -slide 22'!$N$6:$O$42,2,FALSE)*W92),"")</f>
        <v>483737.44</v>
      </c>
      <c r="Z92" s="111">
        <f>IFERROR((VLOOKUP(CONCATENATE(C92,O92),'LED Costs-Watt -slide 22'!$N$6:$O$36,2,FALSE)*W92),"")</f>
        <v>660123.6399999999</v>
      </c>
      <c r="AC92">
        <v>3</v>
      </c>
    </row>
    <row r="93" spans="1:29" x14ac:dyDescent="0.3">
      <c r="A93" t="s">
        <v>13</v>
      </c>
      <c r="B93" t="s">
        <v>575</v>
      </c>
      <c r="C93" t="s">
        <v>609</v>
      </c>
      <c r="D93" t="s">
        <v>608</v>
      </c>
      <c r="E93" t="str">
        <f t="shared" si="11"/>
        <v>Group 2 - Between 12,000 and 100,000 Lumens</v>
      </c>
      <c r="F93" t="str">
        <f t="shared" si="12"/>
        <v>With Pole</v>
      </c>
      <c r="I93">
        <v>495</v>
      </c>
      <c r="J93" t="str">
        <f t="shared" si="7"/>
        <v>KU495</v>
      </c>
      <c r="K93" t="s">
        <v>615</v>
      </c>
      <c r="L93" t="s">
        <v>743</v>
      </c>
      <c r="M93" t="s">
        <v>611</v>
      </c>
      <c r="N93" s="109">
        <v>32000</v>
      </c>
      <c r="O93" s="109">
        <v>350</v>
      </c>
      <c r="P93" s="109" t="s">
        <v>604</v>
      </c>
      <c r="Q93" s="97">
        <v>0.35</v>
      </c>
      <c r="R93" s="90">
        <v>37.71</v>
      </c>
      <c r="S93" s="110">
        <v>669</v>
      </c>
      <c r="T93" s="111">
        <v>24275.83</v>
      </c>
      <c r="U93" s="90" t="s">
        <v>605</v>
      </c>
      <c r="W93">
        <f>IFERROR(VLOOKUP(J93,'Pivot-RC'!$A$4:$B$170,2,FALSE),"")</f>
        <v>685</v>
      </c>
      <c r="X93" s="89">
        <f t="shared" si="8"/>
        <v>1549881.0000000002</v>
      </c>
      <c r="Y93" s="90">
        <f>IFERROR((VLOOKUP(CONCATENATE(C93,N93),'LED Costs-Lumen -slide 22'!$N$6:$O$42,2,FALSE)*W93),"")</f>
        <v>1111946.8</v>
      </c>
      <c r="Z93" s="111">
        <f>IFERROR((VLOOKUP(CONCATENATE(C93,O93),'LED Costs-Watt -slide 22'!$N$6:$O$36,2,FALSE)*W93),"")</f>
        <v>1517398.2999999998</v>
      </c>
      <c r="AC93">
        <v>3</v>
      </c>
    </row>
    <row r="94" spans="1:29" x14ac:dyDescent="0.3">
      <c r="A94" t="s">
        <v>13</v>
      </c>
      <c r="B94" t="s">
        <v>575</v>
      </c>
      <c r="C94" t="s">
        <v>609</v>
      </c>
      <c r="D94" t="s">
        <v>1031</v>
      </c>
      <c r="E94" t="str">
        <f t="shared" si="11"/>
        <v>Group 3 - &gt; 100,000 Lumens</v>
      </c>
      <c r="F94" t="str">
        <f t="shared" si="12"/>
        <v>Without Pole</v>
      </c>
      <c r="I94">
        <v>493</v>
      </c>
      <c r="J94" t="str">
        <f t="shared" si="7"/>
        <v>KU493</v>
      </c>
      <c r="K94" t="s">
        <v>615</v>
      </c>
      <c r="L94" t="s">
        <v>743</v>
      </c>
      <c r="M94" t="s">
        <v>582</v>
      </c>
      <c r="N94" s="109">
        <v>107800</v>
      </c>
      <c r="O94" s="109">
        <v>1000</v>
      </c>
      <c r="P94" s="109" t="s">
        <v>604</v>
      </c>
      <c r="Q94" s="97">
        <v>1.08</v>
      </c>
      <c r="R94" s="90">
        <v>49.48</v>
      </c>
      <c r="S94" s="110">
        <v>43</v>
      </c>
      <c r="T94" s="111">
        <v>2030.14</v>
      </c>
      <c r="U94" s="90" t="s">
        <v>605</v>
      </c>
      <c r="W94">
        <f>IFERROR(VLOOKUP(J94,'Pivot-RC'!$A$4:$B$170,2,FALSE),"")</f>
        <v>43</v>
      </c>
      <c r="X94" s="89">
        <f t="shared" si="8"/>
        <v>127658.4</v>
      </c>
      <c r="Y94" s="90">
        <f>IFERROR((VLOOKUP(CONCATENATE(C94,N94),'LED Costs-Lumen -slide 22'!$N$6:$O$42,2,FALSE)*W94),"")</f>
        <v>190505.47999999998</v>
      </c>
      <c r="Z94" s="111">
        <f>IFERROR((VLOOKUP(CONCATENATE(C94,O94),'LED Costs-Watt -slide 22'!$N$6:$O$36,2,FALSE)*W94),"")</f>
        <v>190505.47999999998</v>
      </c>
      <c r="AA94">
        <v>1</v>
      </c>
      <c r="AB94">
        <v>2</v>
      </c>
      <c r="AC94">
        <v>3</v>
      </c>
    </row>
    <row r="95" spans="1:29" x14ac:dyDescent="0.3">
      <c r="A95" t="s">
        <v>13</v>
      </c>
      <c r="B95" t="s">
        <v>575</v>
      </c>
      <c r="C95" t="s">
        <v>609</v>
      </c>
      <c r="D95" t="s">
        <v>1031</v>
      </c>
      <c r="E95" t="str">
        <f t="shared" si="11"/>
        <v>Group 3 - &gt; 100,000 Lumens</v>
      </c>
      <c r="F95" t="str">
        <f t="shared" si="12"/>
        <v>With Pole</v>
      </c>
      <c r="I95">
        <v>496</v>
      </c>
      <c r="J95" t="str">
        <f t="shared" si="7"/>
        <v>KU496</v>
      </c>
      <c r="K95" t="s">
        <v>615</v>
      </c>
      <c r="L95" t="s">
        <v>743</v>
      </c>
      <c r="M95" t="s">
        <v>611</v>
      </c>
      <c r="N95" s="109">
        <v>107800</v>
      </c>
      <c r="O95" s="109">
        <v>1000</v>
      </c>
      <c r="P95" s="109" t="s">
        <v>604</v>
      </c>
      <c r="Q95" s="97">
        <v>1.08</v>
      </c>
      <c r="R95" s="90">
        <v>63.44</v>
      </c>
      <c r="S95" s="110">
        <v>140</v>
      </c>
      <c r="T95" s="111">
        <v>8517.8700000000008</v>
      </c>
      <c r="U95" s="90" t="s">
        <v>605</v>
      </c>
      <c r="W95">
        <f>IFERROR(VLOOKUP(J95,'Pivot-RC'!$A$4:$B$170,2,FALSE),"")</f>
        <v>137</v>
      </c>
      <c r="X95" s="89">
        <f t="shared" si="8"/>
        <v>521476.79999999993</v>
      </c>
      <c r="Y95" s="90">
        <f>IFERROR((VLOOKUP(CONCATENATE(C95,N95),'LED Costs-Lumen -slide 22'!$N$6:$O$42,2,FALSE)*W95),"")</f>
        <v>606959.31999999995</v>
      </c>
      <c r="Z95" s="111">
        <f>IFERROR((VLOOKUP(CONCATENATE(C95,O95),'LED Costs-Watt -slide 22'!$N$6:$O$36,2,FALSE)*W95),"")</f>
        <v>606959.31999999995</v>
      </c>
      <c r="AA95">
        <v>1</v>
      </c>
      <c r="AB95">
        <v>2</v>
      </c>
      <c r="AC95">
        <v>3</v>
      </c>
    </row>
    <row r="96" spans="1:29" x14ac:dyDescent="0.3">
      <c r="A96" t="s">
        <v>630</v>
      </c>
      <c r="B96" t="s">
        <v>575</v>
      </c>
      <c r="C96" t="s">
        <v>609</v>
      </c>
      <c r="D96" t="s">
        <v>656</v>
      </c>
      <c r="E96" t="str">
        <f t="shared" si="11"/>
        <v>Group 2 - Between 12,000 and 100,000 Lumens</v>
      </c>
      <c r="F96" t="str">
        <f t="shared" si="12"/>
        <v>Without Pole</v>
      </c>
      <c r="I96">
        <v>439</v>
      </c>
      <c r="J96" t="str">
        <f t="shared" si="7"/>
        <v>LGE439</v>
      </c>
      <c r="K96" t="s">
        <v>615</v>
      </c>
      <c r="L96" t="s">
        <v>743</v>
      </c>
      <c r="M96" t="s">
        <v>582</v>
      </c>
      <c r="N96" s="109">
        <v>16000</v>
      </c>
      <c r="O96" s="109">
        <v>150</v>
      </c>
      <c r="P96" s="109"/>
      <c r="Q96" s="97">
        <v>0.18099999999999999</v>
      </c>
      <c r="R96" s="90">
        <v>16.47</v>
      </c>
      <c r="S96" s="110" t="s">
        <v>748</v>
      </c>
      <c r="T96" s="111" t="s">
        <v>748</v>
      </c>
      <c r="W96" t="str">
        <f>IFERROR(VLOOKUP(J96,'Pivot-RC'!$A$4:$B$170,2,FALSE),"")</f>
        <v/>
      </c>
      <c r="X96" s="89" t="str">
        <f t="shared" si="8"/>
        <v/>
      </c>
      <c r="Y96" s="90" t="str">
        <f>IFERROR((VLOOKUP(CONCATENATE(C96,N96),'LED Costs-Lumen -slide 22'!$N$6:$O$42,2,FALSE)*W96),"")</f>
        <v/>
      </c>
      <c r="Z96" s="111" t="str">
        <f>IFERROR((VLOOKUP(CONCATENATE(C96,O96),'LED Costs-Watt -slide 22'!$N$6:$O$36,2,FALSE)*W96),"")</f>
        <v/>
      </c>
    </row>
    <row r="97" spans="1:29" x14ac:dyDescent="0.3">
      <c r="A97" t="s">
        <v>630</v>
      </c>
      <c r="B97" t="s">
        <v>575</v>
      </c>
      <c r="C97" t="s">
        <v>609</v>
      </c>
      <c r="D97" t="s">
        <v>656</v>
      </c>
      <c r="E97" t="str">
        <f t="shared" si="11"/>
        <v>Group 2 - Between 12,000 and 100,000 Lumens</v>
      </c>
      <c r="F97" t="str">
        <f t="shared" si="12"/>
        <v>With Pole</v>
      </c>
      <c r="I97">
        <v>420</v>
      </c>
      <c r="J97" t="str">
        <f t="shared" si="7"/>
        <v>LGE420</v>
      </c>
      <c r="K97" t="s">
        <v>615</v>
      </c>
      <c r="L97" t="s">
        <v>743</v>
      </c>
      <c r="M97" t="s">
        <v>611</v>
      </c>
      <c r="N97" s="109">
        <v>16000</v>
      </c>
      <c r="O97" s="109">
        <v>150</v>
      </c>
      <c r="P97" s="109"/>
      <c r="Q97" s="97">
        <v>0.18099999999999999</v>
      </c>
      <c r="R97" s="90">
        <v>29.91</v>
      </c>
      <c r="S97" s="110">
        <v>61</v>
      </c>
      <c r="T97" s="111">
        <v>1823.77</v>
      </c>
      <c r="U97" s="112"/>
      <c r="W97">
        <f>IFERROR(VLOOKUP(J97,'Pivot-RC'!$A$4:$B$170,2,FALSE),"")</f>
        <v>62</v>
      </c>
      <c r="X97" s="89">
        <f t="shared" si="8"/>
        <v>111265.20000000001</v>
      </c>
      <c r="Y97" s="90">
        <f>IFERROR((VLOOKUP(CONCATENATE(C97,N97),'LED Costs-Lumen -slide 22'!$N$6:$O$42,2,FALSE)*W97),"")</f>
        <v>45425.54</v>
      </c>
      <c r="Z97" s="111">
        <f>IFERROR((VLOOKUP(CONCATENATE(C97,O97),'LED Costs-Watt -slide 22'!$N$6:$O$36,2,FALSE)*W97),"")</f>
        <v>45425.54</v>
      </c>
    </row>
    <row r="98" spans="1:29" x14ac:dyDescent="0.3">
      <c r="A98" t="s">
        <v>630</v>
      </c>
      <c r="B98" t="s">
        <v>575</v>
      </c>
      <c r="C98" t="s">
        <v>609</v>
      </c>
      <c r="D98" t="s">
        <v>656</v>
      </c>
      <c r="E98" t="str">
        <f t="shared" si="11"/>
        <v>Group 2 - Between 12,000 and 100,000 Lumens</v>
      </c>
      <c r="F98" t="str">
        <f t="shared" si="12"/>
        <v>Without Pole</v>
      </c>
      <c r="I98">
        <v>440</v>
      </c>
      <c r="J98" t="str">
        <f t="shared" ref="J98:J129" si="13">CONCATENATE(A98,I98)</f>
        <v>LGE440</v>
      </c>
      <c r="K98" t="s">
        <v>615</v>
      </c>
      <c r="L98" t="s">
        <v>743</v>
      </c>
      <c r="M98" t="s">
        <v>582</v>
      </c>
      <c r="N98" s="109">
        <v>28500</v>
      </c>
      <c r="O98" s="109">
        <v>250</v>
      </c>
      <c r="P98" s="109" t="s">
        <v>604</v>
      </c>
      <c r="Q98" s="97">
        <v>0.29399999999999998</v>
      </c>
      <c r="R98" s="90">
        <v>18.29</v>
      </c>
      <c r="S98" s="110">
        <v>10</v>
      </c>
      <c r="T98" s="111">
        <v>182.82</v>
      </c>
      <c r="U98" t="s">
        <v>631</v>
      </c>
      <c r="W98">
        <f>IFERROR(VLOOKUP(J98,'Pivot-RC'!$A$4:$B$170,2,FALSE),"")</f>
        <v>23</v>
      </c>
      <c r="X98" s="89">
        <f t="shared" si="8"/>
        <v>25240.199999999997</v>
      </c>
      <c r="Y98" s="90">
        <f>IFERROR((VLOOKUP(CONCATENATE(C98,N98),'LED Costs-Lumen -slide 22'!$N$6:$O$42,2,FALSE)*W98),"")</f>
        <v>25474.57</v>
      </c>
      <c r="Z98" s="111">
        <f>IFERROR((VLOOKUP(CONCATENATE(C98,O98),'LED Costs-Watt -slide 22'!$N$6:$O$36,2,FALSE)*W98),"")</f>
        <v>25474.57</v>
      </c>
    </row>
    <row r="99" spans="1:29" x14ac:dyDescent="0.3">
      <c r="A99" t="s">
        <v>630</v>
      </c>
      <c r="B99" t="s">
        <v>575</v>
      </c>
      <c r="C99" t="s">
        <v>609</v>
      </c>
      <c r="D99" t="s">
        <v>656</v>
      </c>
      <c r="E99" t="str">
        <f t="shared" si="11"/>
        <v>Group 2 - Between 12,000 and 100,000 Lumens</v>
      </c>
      <c r="F99" t="str">
        <f t="shared" si="12"/>
        <v>With Pole</v>
      </c>
      <c r="I99">
        <v>421</v>
      </c>
      <c r="J99" t="str">
        <f t="shared" si="13"/>
        <v>LGE421</v>
      </c>
      <c r="K99" t="s">
        <v>615</v>
      </c>
      <c r="L99" t="s">
        <v>743</v>
      </c>
      <c r="M99" t="s">
        <v>611</v>
      </c>
      <c r="N99" s="109">
        <v>28500</v>
      </c>
      <c r="O99" s="109">
        <v>85</v>
      </c>
      <c r="P99" s="109" t="s">
        <v>604</v>
      </c>
      <c r="Q99" s="97">
        <v>0.29399999999999998</v>
      </c>
      <c r="R99" s="90">
        <v>32.880000000000003</v>
      </c>
      <c r="S99" s="110">
        <v>208</v>
      </c>
      <c r="T99" s="111">
        <v>6837.05</v>
      </c>
      <c r="U99" t="s">
        <v>631</v>
      </c>
      <c r="W99">
        <f>IFERROR(VLOOKUP(J99,'Pivot-RC'!$A$4:$B$170,2,FALSE),"")</f>
        <v>215</v>
      </c>
      <c r="X99" s="89">
        <f t="shared" si="8"/>
        <v>424152.00000000006</v>
      </c>
      <c r="Y99" s="90">
        <f>IFERROR((VLOOKUP(CONCATENATE(C99,N99),'LED Costs-Lumen -slide 22'!$N$6:$O$42,2,FALSE)*W99),"")</f>
        <v>238131.84999999998</v>
      </c>
      <c r="Z99" s="111">
        <f>IFERROR((VLOOKUP(CONCATENATE(C99,O99),'LED Costs-Watt -slide 22'!$N$6:$O$36,2,FALSE)*W99),"")</f>
        <v>110873.35</v>
      </c>
    </row>
    <row r="100" spans="1:29" x14ac:dyDescent="0.3">
      <c r="A100" t="s">
        <v>630</v>
      </c>
      <c r="B100" t="s">
        <v>575</v>
      </c>
      <c r="C100" t="s">
        <v>609</v>
      </c>
      <c r="D100" t="s">
        <v>656</v>
      </c>
      <c r="E100" t="str">
        <f t="shared" si="11"/>
        <v>Group 2 - Between 12,000 and 100,000 Lumens</v>
      </c>
      <c r="F100" t="str">
        <f t="shared" si="12"/>
        <v>Without Pole</v>
      </c>
      <c r="I100">
        <v>441</v>
      </c>
      <c r="J100" t="str">
        <f t="shared" si="13"/>
        <v>LGE441</v>
      </c>
      <c r="K100" t="s">
        <v>615</v>
      </c>
      <c r="L100" t="s">
        <v>743</v>
      </c>
      <c r="M100" t="s">
        <v>582</v>
      </c>
      <c r="N100" s="109">
        <v>50000</v>
      </c>
      <c r="O100" s="109">
        <v>400</v>
      </c>
      <c r="P100" s="109" t="s">
        <v>604</v>
      </c>
      <c r="Q100" s="97">
        <v>0.47099999999999997</v>
      </c>
      <c r="R100" s="90">
        <v>22.33</v>
      </c>
      <c r="S100" s="110">
        <v>40</v>
      </c>
      <c r="T100" s="111">
        <v>892.95</v>
      </c>
      <c r="U100" t="s">
        <v>631</v>
      </c>
      <c r="W100">
        <f>IFERROR(VLOOKUP(J100,'Pivot-RC'!$A$4:$B$170,2,FALSE),"")</f>
        <v>51</v>
      </c>
      <c r="X100" s="89">
        <f t="shared" si="8"/>
        <v>68329.799999999988</v>
      </c>
      <c r="Y100" s="90">
        <f>IFERROR((VLOOKUP(CONCATENATE(C100,N100),'LED Costs-Lumen -slide 22'!$N$6:$O$42,2,FALSE)*W100),"")</f>
        <v>112974.18</v>
      </c>
      <c r="Z100" s="111">
        <f>IFERROR((VLOOKUP(CONCATENATE(C100,O100),'LED Costs-Watt -slide 22'!$N$6:$O$36,2,FALSE)*W100),"")</f>
        <v>112974.18</v>
      </c>
    </row>
    <row r="101" spans="1:29" x14ac:dyDescent="0.3">
      <c r="A101" t="s">
        <v>630</v>
      </c>
      <c r="B101" t="s">
        <v>575</v>
      </c>
      <c r="C101" t="s">
        <v>609</v>
      </c>
      <c r="D101" t="s">
        <v>656</v>
      </c>
      <c r="E101" t="str">
        <f t="shared" si="11"/>
        <v>Group 2 - Between 12,000 and 100,000 Lumens</v>
      </c>
      <c r="F101" t="str">
        <f t="shared" si="12"/>
        <v>With Pole</v>
      </c>
      <c r="I101">
        <v>422</v>
      </c>
      <c r="J101" t="str">
        <f t="shared" si="13"/>
        <v>LGE422</v>
      </c>
      <c r="K101" t="s">
        <v>615</v>
      </c>
      <c r="L101" t="s">
        <v>743</v>
      </c>
      <c r="M101" t="s">
        <v>611</v>
      </c>
      <c r="N101" s="109">
        <v>50000</v>
      </c>
      <c r="O101" s="109">
        <v>175</v>
      </c>
      <c r="P101" s="109" t="s">
        <v>604</v>
      </c>
      <c r="Q101" s="97">
        <v>0.47099999999999997</v>
      </c>
      <c r="R101" s="90">
        <v>38.409999999999997</v>
      </c>
      <c r="S101" s="110">
        <v>439</v>
      </c>
      <c r="T101" s="111">
        <v>16677.23</v>
      </c>
      <c r="U101" t="s">
        <v>631</v>
      </c>
      <c r="W101">
        <f>IFERROR(VLOOKUP(J101,'Pivot-RC'!$A$4:$B$170,2,FALSE),"")</f>
        <v>443</v>
      </c>
      <c r="X101" s="89">
        <f t="shared" si="8"/>
        <v>1020937.7999999998</v>
      </c>
      <c r="Y101" s="90">
        <f>IFERROR((VLOOKUP(CONCATENATE(C101,N101),'LED Costs-Lumen -slide 22'!$N$6:$O$42,2,FALSE)*W101),"")</f>
        <v>981324.73999999987</v>
      </c>
      <c r="Z101" s="111">
        <f>IFERROR((VLOOKUP(CONCATENATE(C101,O101),'LED Costs-Watt -slide 22'!$N$6:$O$36,2,FALSE)*W101),"")</f>
        <v>490662.36999999994</v>
      </c>
    </row>
    <row r="102" spans="1:29" x14ac:dyDescent="0.3">
      <c r="A102" t="s">
        <v>630</v>
      </c>
      <c r="B102" t="s">
        <v>575</v>
      </c>
      <c r="C102" t="s">
        <v>609</v>
      </c>
      <c r="D102" t="s">
        <v>608</v>
      </c>
      <c r="E102" t="str">
        <f t="shared" si="11"/>
        <v>Group 1 - &lt; 12,000 Lumens</v>
      </c>
      <c r="F102" t="str">
        <f t="shared" si="12"/>
        <v>Without Pole</v>
      </c>
      <c r="I102">
        <v>479</v>
      </c>
      <c r="J102" t="str">
        <f t="shared" si="13"/>
        <v>LGE479</v>
      </c>
      <c r="K102" t="s">
        <v>615</v>
      </c>
      <c r="L102" t="s">
        <v>743</v>
      </c>
      <c r="M102" t="s">
        <v>582</v>
      </c>
      <c r="N102" s="109">
        <v>12000</v>
      </c>
      <c r="O102" s="109">
        <v>400</v>
      </c>
      <c r="P102" s="109"/>
      <c r="Q102" s="97">
        <v>0.15</v>
      </c>
      <c r="R102" s="90">
        <v>14.07</v>
      </c>
      <c r="S102" s="110" t="s">
        <v>748</v>
      </c>
      <c r="T102" s="111" t="s">
        <v>748</v>
      </c>
      <c r="W102" t="str">
        <f>IFERROR(VLOOKUP(J102,'Pivot-RC'!$A$4:$B$170,2,FALSE),"")</f>
        <v/>
      </c>
      <c r="X102" s="89" t="str">
        <f t="shared" si="8"/>
        <v/>
      </c>
      <c r="Y102" s="90" t="str">
        <f>IFERROR((VLOOKUP(CONCATENATE(C102,N102),'LED Costs-Lumen -slide 22'!$N$6:$O$42,2,FALSE)*W102),"")</f>
        <v/>
      </c>
      <c r="Z102" s="111" t="str">
        <f>IFERROR((VLOOKUP(CONCATENATE(C102,O102),'LED Costs-Watt -slide 22'!$N$6:$O$36,2,FALSE)*W102),"")</f>
        <v/>
      </c>
      <c r="AC102">
        <v>3</v>
      </c>
    </row>
    <row r="103" spans="1:29" x14ac:dyDescent="0.3">
      <c r="A103" t="s">
        <v>630</v>
      </c>
      <c r="B103" t="s">
        <v>575</v>
      </c>
      <c r="C103" t="s">
        <v>609</v>
      </c>
      <c r="D103" t="s">
        <v>608</v>
      </c>
      <c r="E103" t="str">
        <f t="shared" si="11"/>
        <v>Group 1 - &lt; 12,000 Lumens</v>
      </c>
      <c r="F103" t="str">
        <f t="shared" si="12"/>
        <v>With Pole</v>
      </c>
      <c r="I103">
        <v>480</v>
      </c>
      <c r="J103" t="str">
        <f t="shared" si="13"/>
        <v>LGE480</v>
      </c>
      <c r="K103" t="s">
        <v>615</v>
      </c>
      <c r="L103" t="s">
        <v>743</v>
      </c>
      <c r="M103" t="s">
        <v>611</v>
      </c>
      <c r="N103" s="109">
        <v>12000</v>
      </c>
      <c r="O103" s="109">
        <v>150</v>
      </c>
      <c r="P103" s="109"/>
      <c r="Q103" s="97">
        <v>0.15</v>
      </c>
      <c r="R103" s="90">
        <v>23.84</v>
      </c>
      <c r="S103" s="110">
        <v>20</v>
      </c>
      <c r="T103" s="111">
        <v>476.76</v>
      </c>
      <c r="U103" s="112"/>
      <c r="W103">
        <f>IFERROR(VLOOKUP(J103,'Pivot-RC'!$A$4:$B$170,2,FALSE),"")</f>
        <v>20</v>
      </c>
      <c r="X103" s="89">
        <f t="shared" si="8"/>
        <v>28608</v>
      </c>
      <c r="Y103" s="90">
        <f>IFERROR((VLOOKUP(CONCATENATE(C103,N103),'LED Costs-Lumen -slide 22'!$N$6:$O$42,2,FALSE)*W103),"")</f>
        <v>14653.4</v>
      </c>
      <c r="Z103" s="111">
        <f>IFERROR((VLOOKUP(CONCATENATE(C103,O103),'LED Costs-Watt -slide 22'!$N$6:$O$36,2,FALSE)*W103),"")</f>
        <v>14653.4</v>
      </c>
      <c r="AC103">
        <v>3</v>
      </c>
    </row>
    <row r="104" spans="1:29" x14ac:dyDescent="0.3">
      <c r="A104" t="s">
        <v>630</v>
      </c>
      <c r="B104" t="s">
        <v>575</v>
      </c>
      <c r="C104" t="s">
        <v>609</v>
      </c>
      <c r="D104" t="s">
        <v>608</v>
      </c>
      <c r="E104" t="str">
        <f t="shared" si="11"/>
        <v>Group 2 - Between 12,000 and 100,000 Lumens</v>
      </c>
      <c r="F104" t="str">
        <f t="shared" si="12"/>
        <v>Without Pole</v>
      </c>
      <c r="I104">
        <v>481</v>
      </c>
      <c r="J104" t="str">
        <f t="shared" si="13"/>
        <v>LGE481</v>
      </c>
      <c r="K104" t="s">
        <v>615</v>
      </c>
      <c r="L104" t="s">
        <v>743</v>
      </c>
      <c r="M104" t="s">
        <v>582</v>
      </c>
      <c r="N104" s="109">
        <v>32000</v>
      </c>
      <c r="O104" s="109">
        <v>350</v>
      </c>
      <c r="P104" s="109"/>
      <c r="Q104" s="97">
        <v>0.35</v>
      </c>
      <c r="R104" s="90">
        <v>20.47</v>
      </c>
      <c r="S104" s="110">
        <v>6</v>
      </c>
      <c r="T104" s="111">
        <v>122.78</v>
      </c>
      <c r="W104">
        <f>IFERROR(VLOOKUP(J104,'Pivot-RC'!$A$4:$B$170,2,FALSE),"")</f>
        <v>6</v>
      </c>
      <c r="X104" s="89">
        <f t="shared" si="8"/>
        <v>7369.2</v>
      </c>
      <c r="Y104" s="90">
        <f>IFERROR((VLOOKUP(CONCATENATE(C104,N104),'LED Costs-Lumen -slide 22'!$N$6:$O$42,2,FALSE)*W104),"")</f>
        <v>9739.68</v>
      </c>
      <c r="Z104" s="111">
        <f>IFERROR((VLOOKUP(CONCATENATE(C104,O104),'LED Costs-Watt -slide 22'!$N$6:$O$36,2,FALSE)*W104),"")</f>
        <v>13291.079999999998</v>
      </c>
      <c r="AC104">
        <v>3</v>
      </c>
    </row>
    <row r="105" spans="1:29" x14ac:dyDescent="0.3">
      <c r="A105" t="s">
        <v>630</v>
      </c>
      <c r="B105" t="s">
        <v>575</v>
      </c>
      <c r="C105" t="s">
        <v>609</v>
      </c>
      <c r="D105" t="s">
        <v>608</v>
      </c>
      <c r="E105" t="str">
        <f t="shared" si="11"/>
        <v>Group 2 - Between 12,000 and 100,000 Lumens</v>
      </c>
      <c r="F105" t="str">
        <f t="shared" si="12"/>
        <v>With Pole</v>
      </c>
      <c r="I105">
        <v>482</v>
      </c>
      <c r="J105" t="str">
        <f t="shared" si="13"/>
        <v>LGE482</v>
      </c>
      <c r="K105" t="s">
        <v>615</v>
      </c>
      <c r="L105" t="s">
        <v>743</v>
      </c>
      <c r="M105" t="s">
        <v>611</v>
      </c>
      <c r="N105" s="109">
        <v>32000</v>
      </c>
      <c r="O105" s="109">
        <v>350</v>
      </c>
      <c r="P105" s="109"/>
      <c r="Q105" s="97">
        <v>0.35</v>
      </c>
      <c r="R105" s="90">
        <v>30.23</v>
      </c>
      <c r="S105" s="110">
        <v>100</v>
      </c>
      <c r="T105" s="111">
        <v>3052.21</v>
      </c>
      <c r="W105">
        <f>IFERROR(VLOOKUP(J105,'Pivot-RC'!$A$4:$B$170,2,FALSE),"")</f>
        <v>98</v>
      </c>
      <c r="X105" s="89">
        <f t="shared" si="8"/>
        <v>177752.4</v>
      </c>
      <c r="Y105" s="90">
        <f>IFERROR((VLOOKUP(CONCATENATE(C105,N105),'LED Costs-Lumen -slide 22'!$N$6:$O$42,2,FALSE)*W105),"")</f>
        <v>159081.44</v>
      </c>
      <c r="Z105" s="111">
        <f>IFERROR((VLOOKUP(CONCATENATE(C105,O105),'LED Costs-Watt -slide 22'!$N$6:$O$36,2,FALSE)*W105),"")</f>
        <v>217087.63999999998</v>
      </c>
      <c r="AC105">
        <v>3</v>
      </c>
    </row>
    <row r="106" spans="1:29" x14ac:dyDescent="0.3">
      <c r="A106" t="s">
        <v>630</v>
      </c>
      <c r="B106" t="s">
        <v>575</v>
      </c>
      <c r="C106" t="s">
        <v>609</v>
      </c>
      <c r="D106" t="s">
        <v>1031</v>
      </c>
      <c r="E106" t="str">
        <f t="shared" si="11"/>
        <v>Group 3 - &gt; 100,000 Lumens</v>
      </c>
      <c r="F106" t="str">
        <f t="shared" si="12"/>
        <v>Without Pole</v>
      </c>
      <c r="I106">
        <v>483</v>
      </c>
      <c r="J106" t="str">
        <f t="shared" si="13"/>
        <v>LGE483</v>
      </c>
      <c r="K106" t="s">
        <v>615</v>
      </c>
      <c r="L106" t="s">
        <v>743</v>
      </c>
      <c r="M106" t="s">
        <v>582</v>
      </c>
      <c r="N106" s="109">
        <v>107800</v>
      </c>
      <c r="O106" s="109">
        <v>1000</v>
      </c>
      <c r="P106" s="109" t="s">
        <v>604</v>
      </c>
      <c r="Q106" s="97">
        <v>1.08</v>
      </c>
      <c r="R106" s="90">
        <v>42.59</v>
      </c>
      <c r="S106" s="110">
        <v>4</v>
      </c>
      <c r="T106" s="111">
        <v>170.26</v>
      </c>
      <c r="U106" t="s">
        <v>631</v>
      </c>
      <c r="W106">
        <f>IFERROR(VLOOKUP(J106,'Pivot-RC'!$A$4:$B$170,2,FALSE),"")</f>
        <v>5</v>
      </c>
      <c r="X106" s="89">
        <f t="shared" si="8"/>
        <v>12777.000000000002</v>
      </c>
      <c r="Y106" s="90">
        <f>IFERROR((VLOOKUP(CONCATENATE(C106,N106),'LED Costs-Lumen -slide 22'!$N$6:$O$42,2,FALSE)*W106),"")</f>
        <v>22151.8</v>
      </c>
      <c r="Z106" s="111">
        <f>IFERROR((VLOOKUP(CONCATENATE(C106,O106),'LED Costs-Watt -slide 22'!$N$6:$O$36,2,FALSE)*W106),"")</f>
        <v>22151.8</v>
      </c>
      <c r="AA106">
        <v>1</v>
      </c>
      <c r="AB106">
        <v>2</v>
      </c>
      <c r="AC106">
        <v>3</v>
      </c>
    </row>
    <row r="107" spans="1:29" x14ac:dyDescent="0.3">
      <c r="A107" t="s">
        <v>630</v>
      </c>
      <c r="B107" t="s">
        <v>575</v>
      </c>
      <c r="C107" t="s">
        <v>609</v>
      </c>
      <c r="D107" t="s">
        <v>1031</v>
      </c>
      <c r="E107" t="str">
        <f t="shared" si="11"/>
        <v>Group 3 - &gt; 100,000 Lumens</v>
      </c>
      <c r="F107" t="str">
        <f t="shared" si="12"/>
        <v>With Pole</v>
      </c>
      <c r="I107">
        <v>484</v>
      </c>
      <c r="J107" t="str">
        <f t="shared" si="13"/>
        <v>LGE484</v>
      </c>
      <c r="K107" t="s">
        <v>615</v>
      </c>
      <c r="L107" t="s">
        <v>743</v>
      </c>
      <c r="M107" t="s">
        <v>611</v>
      </c>
      <c r="N107" s="109">
        <v>107800</v>
      </c>
      <c r="O107" s="109">
        <v>1000</v>
      </c>
      <c r="P107" s="109" t="s">
        <v>604</v>
      </c>
      <c r="Q107" s="97">
        <v>1.08</v>
      </c>
      <c r="R107" s="90">
        <v>52.34</v>
      </c>
      <c r="S107" s="110">
        <v>23</v>
      </c>
      <c r="T107" s="111">
        <v>1252.28</v>
      </c>
      <c r="U107" t="s">
        <v>631</v>
      </c>
      <c r="W107">
        <f>IFERROR(VLOOKUP(J107,'Pivot-RC'!$A$4:$B$170,2,FALSE),"")</f>
        <v>65</v>
      </c>
      <c r="X107" s="89">
        <f t="shared" si="8"/>
        <v>204126.00000000003</v>
      </c>
      <c r="Y107" s="90">
        <f>IFERROR((VLOOKUP(CONCATENATE(C107,N107),'LED Costs-Lumen -slide 22'!$N$6:$O$42,2,FALSE)*W107),"")</f>
        <v>287973.39999999997</v>
      </c>
      <c r="Z107" s="111">
        <f>IFERROR((VLOOKUP(CONCATENATE(C107,O107),'LED Costs-Watt -slide 22'!$N$6:$O$36,2,FALSE)*W107),"")</f>
        <v>287973.39999999997</v>
      </c>
      <c r="AA107">
        <v>1</v>
      </c>
      <c r="AB107">
        <v>2</v>
      </c>
      <c r="AC107">
        <v>3</v>
      </c>
    </row>
    <row r="108" spans="1:29" x14ac:dyDescent="0.3">
      <c r="A108" t="s">
        <v>630</v>
      </c>
      <c r="B108" t="s">
        <v>576</v>
      </c>
      <c r="C108" t="s">
        <v>609</v>
      </c>
      <c r="D108" t="s">
        <v>656</v>
      </c>
      <c r="E108" t="str">
        <f t="shared" si="11"/>
        <v>Group 3 - &gt; 100,000 Lumens</v>
      </c>
      <c r="F108" t="str">
        <f t="shared" si="12"/>
        <v>Without Pole</v>
      </c>
      <c r="I108">
        <v>279</v>
      </c>
      <c r="J108" t="str">
        <f t="shared" si="13"/>
        <v>LGE279</v>
      </c>
      <c r="K108" t="s">
        <v>615</v>
      </c>
      <c r="L108" t="s">
        <v>743</v>
      </c>
      <c r="M108" t="s">
        <v>582</v>
      </c>
      <c r="N108" s="109">
        <v>120000</v>
      </c>
      <c r="O108" s="109">
        <v>1000</v>
      </c>
      <c r="P108" s="109"/>
      <c r="Q108" s="97">
        <v>1</v>
      </c>
      <c r="R108" s="90">
        <v>41.46</v>
      </c>
      <c r="S108" s="110">
        <v>11</v>
      </c>
      <c r="T108" s="111">
        <v>455.89</v>
      </c>
      <c r="U108" s="112"/>
      <c r="W108">
        <f>IFERROR(VLOOKUP(J108,'Pivot-RC'!$A$4:$B$170,2,FALSE),"")</f>
        <v>8</v>
      </c>
      <c r="X108" s="89">
        <f t="shared" si="8"/>
        <v>19900.8</v>
      </c>
      <c r="Y108" s="90">
        <f>IFERROR((VLOOKUP(CONCATENATE(C108,N108),'LED Costs-Lumen -slide 22'!$N$6:$O$42,2,FALSE)*W108),"")</f>
        <v>44303.6</v>
      </c>
      <c r="Z108" s="111">
        <f>IFERROR((VLOOKUP(CONCATENATE(C108,O108),'LED Costs-Watt -slide 22'!$N$6:$O$36,2,FALSE)*W108),"")</f>
        <v>35442.879999999997</v>
      </c>
      <c r="AC108">
        <v>3</v>
      </c>
    </row>
    <row r="109" spans="1:29" x14ac:dyDescent="0.3">
      <c r="A109" t="s">
        <v>630</v>
      </c>
      <c r="B109" t="s">
        <v>576</v>
      </c>
      <c r="C109" t="s">
        <v>609</v>
      </c>
      <c r="D109" t="s">
        <v>656</v>
      </c>
      <c r="E109" t="str">
        <f t="shared" si="11"/>
        <v>Group 3 - &gt; 100,000 Lumens</v>
      </c>
      <c r="F109" t="str">
        <f t="shared" si="12"/>
        <v>With Pole</v>
      </c>
      <c r="I109">
        <v>278</v>
      </c>
      <c r="J109" t="str">
        <f t="shared" si="13"/>
        <v>LGE278</v>
      </c>
      <c r="K109" t="s">
        <v>615</v>
      </c>
      <c r="L109" t="s">
        <v>743</v>
      </c>
      <c r="M109" t="s">
        <v>611</v>
      </c>
      <c r="N109" s="109">
        <v>120000</v>
      </c>
      <c r="O109" s="109">
        <v>1000</v>
      </c>
      <c r="P109" s="109"/>
      <c r="Q109" s="97">
        <v>1</v>
      </c>
      <c r="R109" s="90">
        <v>72.59</v>
      </c>
      <c r="S109" s="110">
        <v>17</v>
      </c>
      <c r="T109" s="111">
        <v>1233.6500000000001</v>
      </c>
      <c r="W109">
        <f>IFERROR(VLOOKUP(J109,'Pivot-RC'!$A$4:$B$170,2,FALSE),"")</f>
        <v>12</v>
      </c>
      <c r="X109" s="89">
        <f t="shared" si="8"/>
        <v>52264.800000000003</v>
      </c>
      <c r="Y109" s="90">
        <f>IFERROR((VLOOKUP(CONCATENATE(C109,N109),'LED Costs-Lumen -slide 22'!$N$6:$O$42,2,FALSE)*W109),"")</f>
        <v>66455.399999999994</v>
      </c>
      <c r="Z109" s="111">
        <f>IFERROR((VLOOKUP(CONCATENATE(C109,O109),'LED Costs-Watt -slide 22'!$N$6:$O$36,2,FALSE)*W109),"")</f>
        <v>53164.319999999992</v>
      </c>
      <c r="AC109">
        <v>3</v>
      </c>
    </row>
    <row r="110" spans="1:29" x14ac:dyDescent="0.3">
      <c r="A110" t="s">
        <v>652</v>
      </c>
      <c r="B110" t="s">
        <v>625</v>
      </c>
      <c r="C110" t="s">
        <v>609</v>
      </c>
      <c r="D110" t="s">
        <v>656</v>
      </c>
      <c r="I110">
        <v>16</v>
      </c>
      <c r="J110" t="str">
        <f t="shared" si="13"/>
        <v>KU- TENN16</v>
      </c>
      <c r="K110" t="s">
        <v>615</v>
      </c>
      <c r="L110" t="s">
        <v>743</v>
      </c>
      <c r="N110" s="109">
        <v>5800</v>
      </c>
      <c r="O110" s="109" t="e">
        <v>#N/A</v>
      </c>
      <c r="P110" s="109"/>
      <c r="Q110" s="97">
        <v>8.3000000000000004E-2</v>
      </c>
      <c r="R110" s="90">
        <v>21.45</v>
      </c>
      <c r="S110" s="110">
        <v>0</v>
      </c>
      <c r="T110" s="111"/>
      <c r="W110" t="str">
        <f>IFERROR(VLOOKUP(J110,'Pivot-RC'!$A$4:$B$170,2,FALSE),"")</f>
        <v/>
      </c>
      <c r="X110" s="90" t="str">
        <f t="shared" si="8"/>
        <v/>
      </c>
      <c r="Y110" s="90" t="str">
        <f>IFERROR((VLOOKUP(CONCATENATE(C110,N110),'LED Costs-Lumen -slide 22'!$N$6:$O$42,2,FALSE)*W110),"")</f>
        <v/>
      </c>
      <c r="Z110" s="111" t="str">
        <f>IFERROR((VLOOKUP(CONCATENATE(C110,O110),'LED Costs-Watt -slide 22'!$N$6:$O$36,2,FALSE)*W110),"")</f>
        <v/>
      </c>
    </row>
    <row r="111" spans="1:29" x14ac:dyDescent="0.3">
      <c r="A111" t="s">
        <v>652</v>
      </c>
      <c r="B111" t="s">
        <v>625</v>
      </c>
      <c r="C111" t="s">
        <v>609</v>
      </c>
      <c r="D111" t="s">
        <v>656</v>
      </c>
      <c r="I111">
        <v>18</v>
      </c>
      <c r="J111" t="str">
        <f t="shared" si="13"/>
        <v>KU- TENN18</v>
      </c>
      <c r="K111" t="s">
        <v>615</v>
      </c>
      <c r="L111" t="s">
        <v>743</v>
      </c>
      <c r="N111" s="109">
        <v>9500</v>
      </c>
      <c r="O111" s="109" t="e">
        <v>#N/A</v>
      </c>
      <c r="P111" s="109"/>
      <c r="Q111" s="97">
        <v>0.11700000000000001</v>
      </c>
      <c r="R111" s="90">
        <v>21.59</v>
      </c>
      <c r="S111" s="110">
        <v>0</v>
      </c>
      <c r="T111" s="111"/>
      <c r="W111" t="str">
        <f>IFERROR(VLOOKUP(J111,'Pivot-RC'!$A$4:$B$170,2,FALSE),"")</f>
        <v/>
      </c>
      <c r="X111" s="90" t="str">
        <f t="shared" si="8"/>
        <v/>
      </c>
      <c r="Y111" s="90" t="str">
        <f>IFERROR((VLOOKUP(CONCATENATE(C111,N111),'LED Costs-Lumen -slide 22'!$N$6:$O$42,2,FALSE)*W111),"")</f>
        <v/>
      </c>
      <c r="Z111" s="111" t="str">
        <f>IFERROR((VLOOKUP(CONCATENATE(C111,O111),'LED Costs-Watt -slide 22'!$N$6:$O$36,2,FALSE)*W111),"")</f>
        <v/>
      </c>
    </row>
    <row r="112" spans="1:29" x14ac:dyDescent="0.3">
      <c r="A112" t="s">
        <v>630</v>
      </c>
      <c r="B112" t="s">
        <v>575</v>
      </c>
      <c r="C112" t="s">
        <v>609</v>
      </c>
      <c r="D112" t="s">
        <v>656</v>
      </c>
      <c r="E112" t="str">
        <f t="shared" ref="E112:E117" si="14">IF(V112="PO-R","Group 4 - Pole only or Restricted Class",IF(N112&lt;=12000,"Group 1 - &lt; 12,000 Lumens",IF(N112&gt;=107000,"Group 3 - &gt; 100,000 Lumens","Group 2 - Between 12,000 and 100,000 Lumens")))</f>
        <v>Group 1 - &lt; 12,000 Lumens</v>
      </c>
      <c r="F112" t="str">
        <f t="shared" ref="F112:F117" si="15">IF(M112="Fixture Only","Without Pole","With Pole")</f>
        <v>With Pole</v>
      </c>
      <c r="I112">
        <v>412</v>
      </c>
      <c r="J112" t="str">
        <f t="shared" si="13"/>
        <v>LGE412</v>
      </c>
      <c r="K112" t="s">
        <v>632</v>
      </c>
      <c r="L112" t="s">
        <v>743</v>
      </c>
      <c r="M112" t="s">
        <v>611</v>
      </c>
      <c r="N112" s="109">
        <v>5800</v>
      </c>
      <c r="O112" s="109">
        <v>70</v>
      </c>
      <c r="P112" s="109"/>
      <c r="Q112" s="97">
        <v>8.3000000000000004E-2</v>
      </c>
      <c r="R112" s="90">
        <v>19.8</v>
      </c>
      <c r="S112" s="110">
        <v>239</v>
      </c>
      <c r="T112" s="111">
        <v>4730.8999999999996</v>
      </c>
      <c r="W112">
        <f>IFERROR(VLOOKUP(J112,'Pivot-RC'!$A$4:$B$170,2,FALSE),"")</f>
        <v>220</v>
      </c>
      <c r="X112" s="89">
        <f t="shared" si="8"/>
        <v>261360</v>
      </c>
      <c r="Y112" s="90">
        <f>IFERROR((VLOOKUP(CONCATENATE(C112,N112),'LED Costs-Lumen -slide 22'!$N$6:$O$42,2,FALSE)*W112),"")</f>
        <v>266586.10000000003</v>
      </c>
      <c r="Z112" s="111">
        <f>IFERROR((VLOOKUP(CONCATENATE(C112,O112),'LED Costs-Watt -slide 22'!$N$6:$O$36,2,FALSE)*W112),"")</f>
        <v>266585</v>
      </c>
    </row>
    <row r="113" spans="1:29" x14ac:dyDescent="0.3">
      <c r="A113" t="s">
        <v>630</v>
      </c>
      <c r="B113" t="s">
        <v>575</v>
      </c>
      <c r="C113" t="s">
        <v>609</v>
      </c>
      <c r="D113" t="s">
        <v>656</v>
      </c>
      <c r="E113" t="str">
        <f t="shared" si="14"/>
        <v>Group 1 - &lt; 12,000 Lumens</v>
      </c>
      <c r="F113" t="str">
        <f t="shared" si="15"/>
        <v>With Pole</v>
      </c>
      <c r="I113">
        <v>413</v>
      </c>
      <c r="J113" t="str">
        <f t="shared" si="13"/>
        <v>LGE413</v>
      </c>
      <c r="K113" t="s">
        <v>632</v>
      </c>
      <c r="L113" t="s">
        <v>743</v>
      </c>
      <c r="M113" t="s">
        <v>611</v>
      </c>
      <c r="N113" s="109">
        <v>9500</v>
      </c>
      <c r="O113" s="109">
        <v>100</v>
      </c>
      <c r="P113" s="109"/>
      <c r="Q113" s="97">
        <v>0.11700000000000001</v>
      </c>
      <c r="R113" s="90">
        <v>20.5</v>
      </c>
      <c r="S113" s="110">
        <v>2530</v>
      </c>
      <c r="T113" s="111">
        <v>51737.7</v>
      </c>
      <c r="W113">
        <f>IFERROR(VLOOKUP(J113,'Pivot-RC'!$A$4:$B$170,2,FALSE),"")</f>
        <v>2664</v>
      </c>
      <c r="X113" s="89">
        <f t="shared" si="8"/>
        <v>3276720</v>
      </c>
      <c r="Y113" s="90">
        <f>IFERROR((VLOOKUP(CONCATENATE(C113,N113),'LED Costs-Lumen -slide 22'!$N$6:$O$42,2,FALSE)*W113),"")</f>
        <v>1373798.1600000001</v>
      </c>
      <c r="Z113" s="111">
        <f>IFERROR((VLOOKUP(CONCATENATE(C113,O113),'LED Costs-Watt -slide 22'!$N$6:$O$36,2,FALSE)*W113),"")</f>
        <v>1951832.88</v>
      </c>
    </row>
    <row r="114" spans="1:29" x14ac:dyDescent="0.3">
      <c r="A114" t="s">
        <v>630</v>
      </c>
      <c r="B114" t="s">
        <v>575</v>
      </c>
      <c r="C114" t="s">
        <v>609</v>
      </c>
      <c r="D114" t="s">
        <v>656</v>
      </c>
      <c r="E114" t="str">
        <f t="shared" si="14"/>
        <v>Group 2 - Between 12,000 and 100,000 Lumens</v>
      </c>
      <c r="F114" t="str">
        <f t="shared" si="15"/>
        <v>With Pole</v>
      </c>
      <c r="I114">
        <v>444</v>
      </c>
      <c r="J114" t="str">
        <f t="shared" si="13"/>
        <v>LGE444</v>
      </c>
      <c r="K114" t="s">
        <v>632</v>
      </c>
      <c r="L114" t="s">
        <v>743</v>
      </c>
      <c r="M114" t="s">
        <v>611</v>
      </c>
      <c r="N114" s="109">
        <v>16000</v>
      </c>
      <c r="O114" s="109">
        <v>150</v>
      </c>
      <c r="P114" s="109"/>
      <c r="Q114" s="97">
        <v>0.18099999999999999</v>
      </c>
      <c r="R114" s="90">
        <v>20.74</v>
      </c>
      <c r="S114" s="110" t="s">
        <v>748</v>
      </c>
      <c r="T114" s="111" t="s">
        <v>748</v>
      </c>
      <c r="W114">
        <f>IFERROR(VLOOKUP(J114,'Pivot-RC'!$A$4:$B$170,2,FALSE),"")</f>
        <v>10</v>
      </c>
      <c r="X114" s="89">
        <f t="shared" si="8"/>
        <v>12443.999999999998</v>
      </c>
      <c r="Y114" s="90">
        <f>IFERROR((VLOOKUP(CONCATENATE(C114,N114),'LED Costs-Lumen -slide 22'!$N$6:$O$42,2,FALSE)*W114),"")</f>
        <v>7326.7</v>
      </c>
      <c r="Z114" s="111">
        <f>IFERROR((VLOOKUP(CONCATENATE(C114,O114),'LED Costs-Watt -slide 22'!$N$6:$O$36,2,FALSE)*W114),"")</f>
        <v>7326.7</v>
      </c>
    </row>
    <row r="115" spans="1:29" x14ac:dyDescent="0.3">
      <c r="A115" t="s">
        <v>13</v>
      </c>
      <c r="B115" t="s">
        <v>575</v>
      </c>
      <c r="C115" t="s">
        <v>609</v>
      </c>
      <c r="D115" t="s">
        <v>656</v>
      </c>
      <c r="E115" t="str">
        <f t="shared" si="14"/>
        <v>Group 1 - &lt; 12,000 Lumens</v>
      </c>
      <c r="F115" t="str">
        <f t="shared" si="15"/>
        <v>With Pole</v>
      </c>
      <c r="I115">
        <v>467</v>
      </c>
      <c r="J115" t="str">
        <f t="shared" si="13"/>
        <v>KU467</v>
      </c>
      <c r="K115" t="s">
        <v>610</v>
      </c>
      <c r="L115" t="s">
        <v>743</v>
      </c>
      <c r="M115" t="s">
        <v>611</v>
      </c>
      <c r="N115" s="109">
        <v>5800</v>
      </c>
      <c r="O115" s="109">
        <v>70</v>
      </c>
      <c r="P115" s="109"/>
      <c r="Q115" s="97">
        <v>8.3000000000000004E-2</v>
      </c>
      <c r="R115" s="90">
        <v>11.66</v>
      </c>
      <c r="S115" s="110">
        <v>1407</v>
      </c>
      <c r="T115" s="111">
        <v>15613.59</v>
      </c>
      <c r="U115" s="90"/>
      <c r="W115">
        <f>IFERROR(VLOOKUP(J115,'Pivot-RC'!$A$4:$B$170,2,FALSE),"")</f>
        <v>1481</v>
      </c>
      <c r="X115" s="89">
        <f t="shared" si="8"/>
        <v>1036107.6</v>
      </c>
      <c r="Y115" s="90">
        <f>IFERROR((VLOOKUP(CONCATENATE(C115,N115),'LED Costs-Lumen -slide 22'!$N$6:$O$42,2,FALSE)*W115),"")</f>
        <v>1794609.1550000003</v>
      </c>
      <c r="Z115" s="111">
        <f>IFERROR((VLOOKUP(CONCATENATE(C115,O115),'LED Costs-Watt -slide 22'!$N$6:$O$36,2,FALSE)*W115),"")</f>
        <v>1794601.75</v>
      </c>
    </row>
    <row r="116" spans="1:29" x14ac:dyDescent="0.3">
      <c r="A116" t="s">
        <v>13</v>
      </c>
      <c r="B116" t="s">
        <v>575</v>
      </c>
      <c r="C116" t="s">
        <v>609</v>
      </c>
      <c r="D116" t="s">
        <v>656</v>
      </c>
      <c r="E116" t="str">
        <f t="shared" si="14"/>
        <v>Group 1 - &lt; 12,000 Lumens</v>
      </c>
      <c r="F116" t="str">
        <f t="shared" si="15"/>
        <v>With Pole</v>
      </c>
      <c r="I116">
        <v>468</v>
      </c>
      <c r="J116" t="str">
        <f t="shared" si="13"/>
        <v>KU468</v>
      </c>
      <c r="K116" t="s">
        <v>610</v>
      </c>
      <c r="L116" t="s">
        <v>743</v>
      </c>
      <c r="M116" t="s">
        <v>611</v>
      </c>
      <c r="N116" s="109">
        <v>9500</v>
      </c>
      <c r="O116" s="109">
        <v>100</v>
      </c>
      <c r="P116" s="109"/>
      <c r="Q116" s="97">
        <v>0.11700000000000001</v>
      </c>
      <c r="R116" s="90">
        <v>12.08</v>
      </c>
      <c r="S116" s="110">
        <v>4100</v>
      </c>
      <c r="T116" s="111">
        <v>46980.94</v>
      </c>
      <c r="U116" s="90"/>
      <c r="W116">
        <f>IFERROR(VLOOKUP(J116,'Pivot-RC'!$A$4:$B$170,2,FALSE),"")</f>
        <v>4129</v>
      </c>
      <c r="X116" s="89">
        <f t="shared" si="8"/>
        <v>2992699.2</v>
      </c>
      <c r="Y116" s="90">
        <f>IFERROR((VLOOKUP(CONCATENATE(C116,N116),'LED Costs-Lumen -slide 22'!$N$6:$O$42,2,FALSE)*W116),"")</f>
        <v>2129284.0100000002</v>
      </c>
      <c r="Z116" s="111">
        <f>IFERROR((VLOOKUP(CONCATENATE(C116,O116),'LED Costs-Watt -slide 22'!$N$6:$O$36,2,FALSE)*W116),"")</f>
        <v>3025194.4299999997</v>
      </c>
    </row>
    <row r="117" spans="1:29" x14ac:dyDescent="0.3">
      <c r="A117" t="s">
        <v>13</v>
      </c>
      <c r="B117" t="s">
        <v>576</v>
      </c>
      <c r="C117" t="s">
        <v>609</v>
      </c>
      <c r="D117" t="s">
        <v>656</v>
      </c>
      <c r="E117" t="str">
        <f t="shared" si="14"/>
        <v>Group 1 - &lt; 12,000 Lumens</v>
      </c>
      <c r="F117" t="str">
        <f t="shared" si="15"/>
        <v>With Pole</v>
      </c>
      <c r="I117">
        <v>466</v>
      </c>
      <c r="J117" t="str">
        <f t="shared" si="13"/>
        <v>KU466</v>
      </c>
      <c r="K117" t="s">
        <v>610</v>
      </c>
      <c r="L117" t="s">
        <v>743</v>
      </c>
      <c r="M117" t="s">
        <v>611</v>
      </c>
      <c r="N117" s="109">
        <v>4000</v>
      </c>
      <c r="O117" s="109">
        <v>60</v>
      </c>
      <c r="P117" s="109"/>
      <c r="Q117" s="97">
        <v>0.06</v>
      </c>
      <c r="R117" s="90">
        <v>10.42</v>
      </c>
      <c r="S117" s="110">
        <v>856</v>
      </c>
      <c r="T117" s="111">
        <v>8443.91</v>
      </c>
      <c r="W117">
        <f>IFERROR(VLOOKUP(J117,'Pivot-RC'!$A$4:$B$170,2,FALSE),"")</f>
        <v>852</v>
      </c>
      <c r="X117" s="89">
        <f t="shared" si="8"/>
        <v>532670.4</v>
      </c>
      <c r="Y117" s="90">
        <f>IFERROR((VLOOKUP(CONCATENATE(C117,N117),'LED Costs-Lumen -slide 22'!$N$6:$O$42,2,FALSE)*W117),"")</f>
        <v>1032415.2600000001</v>
      </c>
      <c r="Z117" s="111">
        <f>IFERROR((VLOOKUP(CONCATENATE(C117,O117),'LED Costs-Watt -slide 22'!$N$6:$O$36,2,FALSE)*W117),"")</f>
        <v>1032411</v>
      </c>
      <c r="AC117">
        <v>3</v>
      </c>
    </row>
    <row r="118" spans="1:29" x14ac:dyDescent="0.3">
      <c r="A118" t="s">
        <v>652</v>
      </c>
      <c r="B118" t="s">
        <v>625</v>
      </c>
      <c r="C118" t="s">
        <v>609</v>
      </c>
      <c r="D118" t="s">
        <v>656</v>
      </c>
      <c r="I118">
        <v>11</v>
      </c>
      <c r="J118" t="str">
        <f t="shared" si="13"/>
        <v>KU- TENN11</v>
      </c>
      <c r="K118" t="s">
        <v>610</v>
      </c>
      <c r="L118" t="s">
        <v>743</v>
      </c>
      <c r="N118" s="109">
        <v>4000</v>
      </c>
      <c r="O118" s="109" t="e">
        <v>#N/A</v>
      </c>
      <c r="P118" s="109"/>
      <c r="Q118" s="97">
        <v>0.06</v>
      </c>
      <c r="R118" s="90">
        <v>8.67</v>
      </c>
      <c r="S118" s="110">
        <v>0</v>
      </c>
      <c r="T118" s="111"/>
      <c r="W118" t="str">
        <f>IFERROR(VLOOKUP(J118,'Pivot-RC'!$A$4:$B$170,2,FALSE),"")</f>
        <v/>
      </c>
      <c r="X118" s="90" t="str">
        <f t="shared" si="8"/>
        <v/>
      </c>
      <c r="Y118" s="90" t="str">
        <f>IFERROR((VLOOKUP(CONCATENATE(C118,N118),'LED Costs-Lumen -slide 22'!$N$6:$O$42,2,FALSE)*W118),"")</f>
        <v/>
      </c>
      <c r="Z118" s="111" t="str">
        <f>IFERROR((VLOOKUP(CONCATENATE(C118,O118),'LED Costs-Watt -slide 22'!$N$6:$O$36,2,FALSE)*W118),"")</f>
        <v/>
      </c>
    </row>
    <row r="119" spans="1:29" x14ac:dyDescent="0.3">
      <c r="A119" t="s">
        <v>652</v>
      </c>
      <c r="B119" t="s">
        <v>625</v>
      </c>
      <c r="C119" t="s">
        <v>609</v>
      </c>
      <c r="D119" t="s">
        <v>656</v>
      </c>
      <c r="I119">
        <v>12</v>
      </c>
      <c r="J119" t="str">
        <f t="shared" si="13"/>
        <v>KU- TENN12</v>
      </c>
      <c r="K119" t="s">
        <v>610</v>
      </c>
      <c r="L119" t="s">
        <v>743</v>
      </c>
      <c r="N119" s="109">
        <v>5800</v>
      </c>
      <c r="O119" s="109" t="e">
        <v>#N/A</v>
      </c>
      <c r="P119" s="109"/>
      <c r="Q119" s="97">
        <v>8.3000000000000004E-2</v>
      </c>
      <c r="R119" s="90">
        <v>9.57</v>
      </c>
      <c r="S119" s="110">
        <v>0</v>
      </c>
      <c r="T119" s="111"/>
      <c r="W119" t="str">
        <f>IFERROR(VLOOKUP(J119,'Pivot-RC'!$A$4:$B$170,2,FALSE),"")</f>
        <v/>
      </c>
      <c r="X119" s="90" t="str">
        <f t="shared" si="8"/>
        <v/>
      </c>
      <c r="Y119" s="90" t="str">
        <f>IFERROR((VLOOKUP(CONCATENATE(C119,N119),'LED Costs-Lumen -slide 22'!$N$6:$O$42,2,FALSE)*W119),"")</f>
        <v/>
      </c>
      <c r="Z119" s="111" t="str">
        <f>IFERROR((VLOOKUP(CONCATENATE(C119,O119),'LED Costs-Watt -slide 22'!$N$6:$O$36,2,FALSE)*W119),"")</f>
        <v/>
      </c>
    </row>
    <row r="120" spans="1:29" x14ac:dyDescent="0.3">
      <c r="A120" t="s">
        <v>652</v>
      </c>
      <c r="B120" t="s">
        <v>625</v>
      </c>
      <c r="C120" t="s">
        <v>609</v>
      </c>
      <c r="D120" t="s">
        <v>656</v>
      </c>
      <c r="I120">
        <v>13</v>
      </c>
      <c r="J120" t="str">
        <f t="shared" si="13"/>
        <v>KU- TENN13</v>
      </c>
      <c r="K120" t="s">
        <v>610</v>
      </c>
      <c r="L120" t="s">
        <v>743</v>
      </c>
      <c r="N120" s="109">
        <v>9500</v>
      </c>
      <c r="O120" s="109" t="e">
        <v>#N/A</v>
      </c>
      <c r="P120" s="109"/>
      <c r="Q120" s="97">
        <v>0.11700000000000001</v>
      </c>
      <c r="R120" s="90">
        <v>10.09</v>
      </c>
      <c r="S120" s="110">
        <v>0</v>
      </c>
      <c r="T120" s="111"/>
      <c r="W120" t="str">
        <f>IFERROR(VLOOKUP(J120,'Pivot-RC'!$A$4:$B$170,2,FALSE),"")</f>
        <v/>
      </c>
      <c r="X120" s="90" t="str">
        <f t="shared" si="8"/>
        <v/>
      </c>
      <c r="Y120" s="90" t="str">
        <f>IFERROR((VLOOKUP(CONCATENATE(C120,N120),'LED Costs-Lumen -slide 22'!$N$6:$O$42,2,FALSE)*W120),"")</f>
        <v/>
      </c>
      <c r="Z120" s="111" t="str">
        <f>IFERROR((VLOOKUP(CONCATENATE(C120,O120),'LED Costs-Watt -slide 22'!$N$6:$O$36,2,FALSE)*W120),"")</f>
        <v/>
      </c>
    </row>
    <row r="121" spans="1:29" x14ac:dyDescent="0.3">
      <c r="A121" t="s">
        <v>630</v>
      </c>
      <c r="B121" t="s">
        <v>576</v>
      </c>
      <c r="C121" t="s">
        <v>602</v>
      </c>
      <c r="D121" t="s">
        <v>618</v>
      </c>
      <c r="E121" t="str">
        <f t="shared" ref="E121:E163" si="16">IF(V121="PO-R","Group 4 - Pole only or Restricted Class",IF(N121&lt;=12000,"Group 1 - &lt; 12,000 Lumens",IF(N121&gt;=107000,"Group 3 - &gt; 100,000 Lumens","Group 2 - Between 12,000 and 100,000 Lumens")))</f>
        <v>Group 1 - &lt; 12,000 Lumens</v>
      </c>
      <c r="F121" t="str">
        <f t="shared" ref="F121:F163" si="17">IF(M121="Fixture Only","Without Pole","With Pole")</f>
        <v>Without Pole</v>
      </c>
      <c r="I121">
        <v>252</v>
      </c>
      <c r="J121" t="str">
        <f t="shared" si="13"/>
        <v>LGE252</v>
      </c>
      <c r="K121" t="s">
        <v>636</v>
      </c>
      <c r="L121" t="s">
        <v>1021</v>
      </c>
      <c r="M121" t="s">
        <v>582</v>
      </c>
      <c r="N121" s="109">
        <v>8000</v>
      </c>
      <c r="O121" s="109">
        <v>175</v>
      </c>
      <c r="P121" s="109"/>
      <c r="Q121" s="97">
        <v>0.21</v>
      </c>
      <c r="R121" s="90">
        <v>9.59</v>
      </c>
      <c r="S121" s="110">
        <v>3786</v>
      </c>
      <c r="T121" s="111">
        <v>36136.99</v>
      </c>
      <c r="W121">
        <f>IFERROR(VLOOKUP(J121,'Pivot-RC'!$A$4:$B$170,2,FALSE),"")</f>
        <v>3624</v>
      </c>
      <c r="X121" s="89">
        <f t="shared" si="8"/>
        <v>2085249.5999999999</v>
      </c>
      <c r="Y121" s="90">
        <f>IFERROR((VLOOKUP(CONCATENATE(C121,N121),'LED Costs-Lumen -slide 22'!$N$6:$O$42,2,FALSE)*W121),"")</f>
        <v>2574670.8000000003</v>
      </c>
      <c r="Z121" s="111">
        <f>IFERROR((VLOOKUP(CONCATENATE(C121,O121),'LED Costs-Watt -slide 22'!$N$6:$O$36,2,FALSE)*W121),"")</f>
        <v>3785485.44</v>
      </c>
      <c r="AA121">
        <v>1</v>
      </c>
      <c r="AB121">
        <v>2</v>
      </c>
      <c r="AC121">
        <v>3</v>
      </c>
    </row>
    <row r="122" spans="1:29" x14ac:dyDescent="0.3">
      <c r="A122" t="s">
        <v>630</v>
      </c>
      <c r="B122" t="s">
        <v>576</v>
      </c>
      <c r="C122" t="s">
        <v>609</v>
      </c>
      <c r="D122" t="s">
        <v>656</v>
      </c>
      <c r="E122" t="str">
        <f t="shared" si="16"/>
        <v>Group 2 - Between 12,000 and 100,000 Lumens</v>
      </c>
      <c r="F122" t="str">
        <f t="shared" si="17"/>
        <v>With Pole</v>
      </c>
      <c r="I122">
        <v>275</v>
      </c>
      <c r="J122" t="str">
        <f t="shared" si="13"/>
        <v>LGE275</v>
      </c>
      <c r="K122" t="s">
        <v>642</v>
      </c>
      <c r="L122" t="s">
        <v>1021</v>
      </c>
      <c r="M122" t="s">
        <v>611</v>
      </c>
      <c r="N122" s="109">
        <v>16000</v>
      </c>
      <c r="O122" s="109">
        <v>150</v>
      </c>
      <c r="P122" s="109"/>
      <c r="Q122" s="97">
        <v>0.18099999999999999</v>
      </c>
      <c r="R122" s="90">
        <v>24.91</v>
      </c>
      <c r="S122" s="110">
        <v>521</v>
      </c>
      <c r="T122" s="111">
        <v>12971.94</v>
      </c>
      <c r="W122">
        <f>IFERROR(VLOOKUP(J122,'Pivot-RC'!$A$4:$B$170,2,FALSE),"")</f>
        <v>477</v>
      </c>
      <c r="X122" s="89">
        <f t="shared" si="8"/>
        <v>712924.2</v>
      </c>
      <c r="Y122" s="90">
        <f>IFERROR((VLOOKUP(CONCATENATE(C122,N122),'LED Costs-Lumen -slide 22'!$N$6:$O$42,2,FALSE)*W122),"")</f>
        <v>349483.58999999997</v>
      </c>
      <c r="Z122" s="111">
        <f>IFERROR((VLOOKUP(CONCATENATE(C122,O122),'LED Costs-Watt -slide 22'!$N$6:$O$36,2,FALSE)*W122),"")</f>
        <v>349483.58999999997</v>
      </c>
      <c r="AC122">
        <v>3</v>
      </c>
    </row>
    <row r="123" spans="1:29" x14ac:dyDescent="0.3">
      <c r="A123" t="s">
        <v>630</v>
      </c>
      <c r="B123" t="s">
        <v>576</v>
      </c>
      <c r="C123" t="s">
        <v>609</v>
      </c>
      <c r="D123" t="s">
        <v>656</v>
      </c>
      <c r="E123" t="str">
        <f t="shared" si="16"/>
        <v>Group 2 - Between 12,000 and 100,000 Lumens</v>
      </c>
      <c r="F123" t="str">
        <f t="shared" si="17"/>
        <v>With Pole</v>
      </c>
      <c r="I123">
        <v>266</v>
      </c>
      <c r="J123" t="str">
        <f t="shared" si="13"/>
        <v>LGE266</v>
      </c>
      <c r="K123" t="s">
        <v>642</v>
      </c>
      <c r="L123" t="s">
        <v>1021</v>
      </c>
      <c r="M123" t="s">
        <v>611</v>
      </c>
      <c r="N123" s="109">
        <v>28500</v>
      </c>
      <c r="O123" s="109">
        <v>250</v>
      </c>
      <c r="P123" s="109"/>
      <c r="Q123" s="97">
        <v>0.29399999999999998</v>
      </c>
      <c r="R123" s="90">
        <v>27.36</v>
      </c>
      <c r="S123" s="110">
        <v>2080</v>
      </c>
      <c r="T123" s="111">
        <v>56603.12</v>
      </c>
      <c r="W123">
        <f>IFERROR(VLOOKUP(J123,'Pivot-RC'!$A$4:$B$170,2,FALSE),"")</f>
        <v>2065</v>
      </c>
      <c r="X123" s="89">
        <f t="shared" si="8"/>
        <v>3389904</v>
      </c>
      <c r="Y123" s="90">
        <f>IFERROR((VLOOKUP(CONCATENATE(C123,N123),'LED Costs-Lumen -slide 22'!$N$6:$O$42,2,FALSE)*W123),"")</f>
        <v>2287173.3499999996</v>
      </c>
      <c r="Z123" s="111">
        <f>IFERROR((VLOOKUP(CONCATENATE(C123,O123),'LED Costs-Watt -slide 22'!$N$6:$O$36,2,FALSE)*W123),"")</f>
        <v>2287173.3499999996</v>
      </c>
      <c r="AC123">
        <v>3</v>
      </c>
    </row>
    <row r="124" spans="1:29" x14ac:dyDescent="0.3">
      <c r="A124" t="s">
        <v>630</v>
      </c>
      <c r="B124" t="s">
        <v>576</v>
      </c>
      <c r="C124" t="s">
        <v>609</v>
      </c>
      <c r="D124" t="s">
        <v>656</v>
      </c>
      <c r="E124" t="str">
        <f t="shared" si="16"/>
        <v>Group 2 - Between 12,000 and 100,000 Lumens</v>
      </c>
      <c r="F124" t="str">
        <f t="shared" si="17"/>
        <v>With Pole</v>
      </c>
      <c r="I124">
        <v>267</v>
      </c>
      <c r="J124" t="str">
        <f t="shared" si="13"/>
        <v>LGE267</v>
      </c>
      <c r="K124" t="s">
        <v>642</v>
      </c>
      <c r="L124" t="s">
        <v>1021</v>
      </c>
      <c r="M124" t="s">
        <v>611</v>
      </c>
      <c r="N124" s="109">
        <v>50000</v>
      </c>
      <c r="O124" s="109">
        <v>400</v>
      </c>
      <c r="P124" s="109"/>
      <c r="Q124" s="97">
        <v>0.47099999999999997</v>
      </c>
      <c r="R124" s="90">
        <v>31.42</v>
      </c>
      <c r="S124" s="110">
        <v>2320</v>
      </c>
      <c r="T124" s="111">
        <v>72819.759999999995</v>
      </c>
      <c r="W124">
        <f>IFERROR(VLOOKUP(J124,'Pivot-RC'!$A$4:$B$170,2,FALSE),"")</f>
        <v>2291</v>
      </c>
      <c r="X124" s="89">
        <f t="shared" si="8"/>
        <v>4318993.2</v>
      </c>
      <c r="Y124" s="90">
        <f>IFERROR((VLOOKUP(CONCATENATE(C124,N124),'LED Costs-Lumen -slide 22'!$N$6:$O$42,2,FALSE)*W124),"")</f>
        <v>5074977.38</v>
      </c>
      <c r="Z124" s="111">
        <f>IFERROR((VLOOKUP(CONCATENATE(C124,O124),'LED Costs-Watt -slide 22'!$N$6:$O$36,2,FALSE)*W124),"")</f>
        <v>5074977.38</v>
      </c>
      <c r="AC124">
        <v>3</v>
      </c>
    </row>
    <row r="125" spans="1:29" x14ac:dyDescent="0.3">
      <c r="A125" t="s">
        <v>13</v>
      </c>
      <c r="B125" t="s">
        <v>575</v>
      </c>
      <c r="C125" t="s">
        <v>602</v>
      </c>
      <c r="D125" t="s">
        <v>656</v>
      </c>
      <c r="E125" s="108" t="str">
        <f t="shared" si="16"/>
        <v>Group 1 - &lt; 12,000 Lumens</v>
      </c>
      <c r="F125" t="str">
        <f t="shared" si="17"/>
        <v>Without Pole</v>
      </c>
      <c r="I125">
        <v>462</v>
      </c>
      <c r="J125" t="str">
        <f t="shared" si="13"/>
        <v>KU462</v>
      </c>
      <c r="K125" t="s">
        <v>583</v>
      </c>
      <c r="L125" t="s">
        <v>1021</v>
      </c>
      <c r="M125" t="s">
        <v>582</v>
      </c>
      <c r="N125" s="109">
        <v>5800</v>
      </c>
      <c r="O125" s="109">
        <v>70</v>
      </c>
      <c r="P125" s="109"/>
      <c r="Q125" s="97">
        <v>8.3000000000000004E-2</v>
      </c>
      <c r="R125" s="90">
        <v>9.3800000000000008</v>
      </c>
      <c r="S125" s="110">
        <v>8845</v>
      </c>
      <c r="T125" s="111">
        <v>77745.429999999993</v>
      </c>
      <c r="U125" s="90"/>
      <c r="W125">
        <f>IFERROR(VLOOKUP(J125,'Pivot-RC'!$A$4:$B$170,2,FALSE),"")</f>
        <v>8799</v>
      </c>
      <c r="X125" s="89">
        <f t="shared" si="8"/>
        <v>4952077.2</v>
      </c>
      <c r="Y125" s="90">
        <f>IFERROR((VLOOKUP(CONCATENATE(C125,N125),'LED Costs-Lumen -slide 22'!$N$6:$O$42,2,FALSE)*W125),"")</f>
        <v>3781722.21</v>
      </c>
      <c r="Z125" s="111">
        <f>IFERROR((VLOOKUP(CONCATENATE(C125,O125),'LED Costs-Watt -slide 22'!$N$6:$O$36,2,FALSE)*W125),"")</f>
        <v>6251249.5500000007</v>
      </c>
    </row>
    <row r="126" spans="1:29" x14ac:dyDescent="0.3">
      <c r="A126" t="s">
        <v>13</v>
      </c>
      <c r="B126" t="s">
        <v>575</v>
      </c>
      <c r="C126" t="s">
        <v>602</v>
      </c>
      <c r="D126" t="s">
        <v>656</v>
      </c>
      <c r="E126" t="str">
        <f t="shared" si="16"/>
        <v>Group 1 - &lt; 12,000 Lumens</v>
      </c>
      <c r="F126" t="str">
        <f t="shared" si="17"/>
        <v>With Pole</v>
      </c>
      <c r="I126">
        <v>472</v>
      </c>
      <c r="J126" t="str">
        <f t="shared" si="13"/>
        <v>KU472</v>
      </c>
      <c r="K126" t="s">
        <v>583</v>
      </c>
      <c r="L126" t="s">
        <v>1021</v>
      </c>
      <c r="M126" t="s">
        <v>603</v>
      </c>
      <c r="N126" s="109">
        <v>5800</v>
      </c>
      <c r="O126" s="109">
        <v>70</v>
      </c>
      <c r="P126" s="109"/>
      <c r="Q126" s="97">
        <v>8.3000000000000004E-2</v>
      </c>
      <c r="R126" s="90">
        <v>12.56</v>
      </c>
      <c r="S126" s="110">
        <v>9004</v>
      </c>
      <c r="T126" s="111">
        <v>104673.3</v>
      </c>
      <c r="W126">
        <f>IFERROR(VLOOKUP(J126,'Pivot-RC'!$A$4:$B$170,2,FALSE),"")</f>
        <v>9046</v>
      </c>
      <c r="X126" s="89">
        <f t="shared" si="8"/>
        <v>6817065.6000000006</v>
      </c>
      <c r="Y126" s="90">
        <f>IFERROR((VLOOKUP(CONCATENATE(C126,N126),'LED Costs-Lumen -slide 22'!$N$6:$O$42,2,FALSE)*W126),"")</f>
        <v>3887880.3400000003</v>
      </c>
      <c r="Z126" s="111">
        <f>IFERROR((VLOOKUP(CONCATENATE(C126,O126),'LED Costs-Watt -slide 22'!$N$6:$O$36,2,FALSE)*W126),"")</f>
        <v>6426730.7000000002</v>
      </c>
    </row>
    <row r="127" spans="1:29" x14ac:dyDescent="0.3">
      <c r="A127" t="s">
        <v>13</v>
      </c>
      <c r="B127" t="s">
        <v>575</v>
      </c>
      <c r="C127" t="s">
        <v>602</v>
      </c>
      <c r="D127" t="s">
        <v>656</v>
      </c>
      <c r="E127" t="str">
        <f t="shared" si="16"/>
        <v>Group 1 - &lt; 12,000 Lumens</v>
      </c>
      <c r="F127" t="str">
        <f t="shared" si="17"/>
        <v>Without Pole</v>
      </c>
      <c r="I127">
        <v>463</v>
      </c>
      <c r="J127" t="str">
        <f t="shared" si="13"/>
        <v>KU463</v>
      </c>
      <c r="K127" t="s">
        <v>583</v>
      </c>
      <c r="L127" t="s">
        <v>1021</v>
      </c>
      <c r="M127" t="s">
        <v>582</v>
      </c>
      <c r="N127" s="109">
        <v>9500</v>
      </c>
      <c r="O127" s="109">
        <v>100</v>
      </c>
      <c r="P127" s="109"/>
      <c r="Q127" s="97">
        <v>0.11700000000000001</v>
      </c>
      <c r="R127" s="90">
        <v>9.9</v>
      </c>
      <c r="S127" s="110">
        <v>21295</v>
      </c>
      <c r="T127" s="111">
        <v>200832.28</v>
      </c>
      <c r="U127" s="90"/>
      <c r="W127">
        <f>IFERROR(VLOOKUP(J127,'Pivot-RC'!$A$4:$B$170,2,FALSE),"")</f>
        <v>21024</v>
      </c>
      <c r="X127" s="89">
        <f t="shared" si="8"/>
        <v>12488256</v>
      </c>
      <c r="Y127" s="90">
        <f>IFERROR((VLOOKUP(CONCATENATE(C127,N127),'LED Costs-Lumen -slide 22'!$N$6:$O$42,2,FALSE)*W127),"")</f>
        <v>14936500.800000001</v>
      </c>
      <c r="Z127" s="111">
        <f>IFERROR((VLOOKUP(CONCATENATE(C127,O127),'LED Costs-Watt -slide 22'!$N$6:$O$36,2,FALSE)*W127),"")</f>
        <v>14936500.800000001</v>
      </c>
    </row>
    <row r="128" spans="1:29" x14ac:dyDescent="0.3">
      <c r="A128" t="s">
        <v>13</v>
      </c>
      <c r="B128" t="s">
        <v>575</v>
      </c>
      <c r="C128" t="s">
        <v>602</v>
      </c>
      <c r="D128" t="s">
        <v>656</v>
      </c>
      <c r="E128" t="str">
        <f t="shared" si="16"/>
        <v>Group 1 - &lt; 12,000 Lumens</v>
      </c>
      <c r="F128" t="str">
        <f t="shared" si="17"/>
        <v>With Pole</v>
      </c>
      <c r="I128">
        <v>473</v>
      </c>
      <c r="J128" t="str">
        <f t="shared" si="13"/>
        <v>KU473</v>
      </c>
      <c r="K128" t="s">
        <v>583</v>
      </c>
      <c r="L128" t="s">
        <v>1021</v>
      </c>
      <c r="M128" t="s">
        <v>603</v>
      </c>
      <c r="N128" s="109">
        <v>9500</v>
      </c>
      <c r="O128" s="109">
        <v>100</v>
      </c>
      <c r="P128" s="109"/>
      <c r="Q128" s="97">
        <v>0.11700000000000001</v>
      </c>
      <c r="R128" s="90">
        <v>13.32</v>
      </c>
      <c r="S128" s="110">
        <v>3460</v>
      </c>
      <c r="T128" s="111">
        <v>43380.83</v>
      </c>
      <c r="W128">
        <f>IFERROR(VLOOKUP(J128,'Pivot-RC'!$A$4:$B$170,2,FALSE),"")</f>
        <v>3311</v>
      </c>
      <c r="X128" s="89">
        <f t="shared" si="8"/>
        <v>2646151.2000000002</v>
      </c>
      <c r="Y128" s="90">
        <f>IFERROR((VLOOKUP(CONCATENATE(C128,N128),'LED Costs-Lumen -slide 22'!$N$6:$O$42,2,FALSE)*W128),"")</f>
        <v>2352299.9500000002</v>
      </c>
      <c r="Z128" s="111">
        <f>IFERROR((VLOOKUP(CONCATENATE(C128,O128),'LED Costs-Watt -slide 22'!$N$6:$O$36,2,FALSE)*W128),"")</f>
        <v>2352299.9500000002</v>
      </c>
    </row>
    <row r="129" spans="1:29" x14ac:dyDescent="0.3">
      <c r="A129" t="s">
        <v>13</v>
      </c>
      <c r="B129" t="s">
        <v>575</v>
      </c>
      <c r="C129" t="s">
        <v>602</v>
      </c>
      <c r="D129" t="s">
        <v>656</v>
      </c>
      <c r="E129" t="str">
        <f t="shared" si="16"/>
        <v>Group 2 - Between 12,000 and 100,000 Lumens</v>
      </c>
      <c r="F129" t="str">
        <f t="shared" si="17"/>
        <v>Without Pole</v>
      </c>
      <c r="I129">
        <v>464</v>
      </c>
      <c r="J129" t="str">
        <f t="shared" si="13"/>
        <v>KU464</v>
      </c>
      <c r="K129" t="s">
        <v>583</v>
      </c>
      <c r="L129" t="s">
        <v>1021</v>
      </c>
      <c r="M129" t="s">
        <v>582</v>
      </c>
      <c r="N129" s="109">
        <v>22000</v>
      </c>
      <c r="O129" s="109">
        <v>200</v>
      </c>
      <c r="P129" s="109" t="s">
        <v>604</v>
      </c>
      <c r="Q129" s="97">
        <v>0.24199999999999999</v>
      </c>
      <c r="R129" s="90">
        <v>15.43</v>
      </c>
      <c r="S129" s="110">
        <v>7781</v>
      </c>
      <c r="T129" s="111">
        <v>113733.65</v>
      </c>
      <c r="U129" s="90" t="s">
        <v>605</v>
      </c>
      <c r="W129">
        <f>IFERROR(VLOOKUP(J129,'Pivot-RC'!$A$4:$B$170,2,FALSE),"")</f>
        <v>7722</v>
      </c>
      <c r="X129" s="89">
        <f t="shared" si="8"/>
        <v>7149027.5999999996</v>
      </c>
      <c r="Y129" s="90">
        <f>IFERROR((VLOOKUP(CONCATENATE(C129,N129),'LED Costs-Lumen -slide 22'!$N$6:$O$42,2,FALSE)*W129),"")</f>
        <v>8066092.3199999994</v>
      </c>
      <c r="Z129" s="111">
        <f>IFERROR((VLOOKUP(CONCATENATE(C129,O129),'LED Costs-Watt -slide 22'!$N$6:$O$36,2,FALSE)*W129),"")</f>
        <v>8066092.3199999994</v>
      </c>
    </row>
    <row r="130" spans="1:29" x14ac:dyDescent="0.3">
      <c r="A130" t="s">
        <v>13</v>
      </c>
      <c r="B130" t="s">
        <v>575</v>
      </c>
      <c r="C130" t="s">
        <v>602</v>
      </c>
      <c r="D130" t="s">
        <v>656</v>
      </c>
      <c r="E130" t="str">
        <f t="shared" si="16"/>
        <v>Group 2 - Between 12,000 and 100,000 Lumens</v>
      </c>
      <c r="F130" t="str">
        <f t="shared" si="17"/>
        <v>With Pole</v>
      </c>
      <c r="I130">
        <v>474</v>
      </c>
      <c r="J130" t="str">
        <f t="shared" ref="J130:J161" si="18">CONCATENATE(A130,I130)</f>
        <v>KU474</v>
      </c>
      <c r="K130" t="s">
        <v>583</v>
      </c>
      <c r="L130" t="s">
        <v>1021</v>
      </c>
      <c r="M130" t="s">
        <v>603</v>
      </c>
      <c r="N130" s="109">
        <v>22000</v>
      </c>
      <c r="O130" s="109">
        <v>200</v>
      </c>
      <c r="P130" s="109" t="s">
        <v>604</v>
      </c>
      <c r="Q130" s="97">
        <v>0.24199999999999999</v>
      </c>
      <c r="R130" s="90">
        <v>18.850000000000001</v>
      </c>
      <c r="S130" s="110">
        <v>5228</v>
      </c>
      <c r="T130" s="111">
        <v>92176.53</v>
      </c>
      <c r="U130" s="90" t="s">
        <v>605</v>
      </c>
      <c r="W130">
        <f>IFERROR(VLOOKUP(J130,'Pivot-RC'!$A$4:$B$170,2,FALSE),"")</f>
        <v>5349</v>
      </c>
      <c r="X130" s="89">
        <f t="shared" si="8"/>
        <v>6049719.0000000009</v>
      </c>
      <c r="Y130" s="90">
        <f>IFERROR((VLOOKUP(CONCATENATE(C130,N130),'LED Costs-Lumen -slide 22'!$N$6:$O$42,2,FALSE)*W130),"")</f>
        <v>5587351.4399999995</v>
      </c>
      <c r="Z130" s="111">
        <f>IFERROR((VLOOKUP(CONCATENATE(C130,O130),'LED Costs-Watt -slide 22'!$N$6:$O$36,2,FALSE)*W130),"")</f>
        <v>5587351.4399999995</v>
      </c>
    </row>
    <row r="131" spans="1:29" x14ac:dyDescent="0.3">
      <c r="A131" t="s">
        <v>13</v>
      </c>
      <c r="B131" t="s">
        <v>575</v>
      </c>
      <c r="C131" t="s">
        <v>602</v>
      </c>
      <c r="D131" t="s">
        <v>656</v>
      </c>
      <c r="E131" t="str">
        <f t="shared" si="16"/>
        <v>Group 2 - Between 12,000 and 100,000 Lumens</v>
      </c>
      <c r="F131" t="str">
        <f t="shared" si="17"/>
        <v>Without Pole</v>
      </c>
      <c r="I131">
        <v>465</v>
      </c>
      <c r="J131" t="str">
        <f t="shared" si="18"/>
        <v>KU465</v>
      </c>
      <c r="K131" t="s">
        <v>583</v>
      </c>
      <c r="L131" t="s">
        <v>1021</v>
      </c>
      <c r="M131" t="s">
        <v>582</v>
      </c>
      <c r="N131" s="109">
        <v>50000</v>
      </c>
      <c r="O131" s="109">
        <v>400</v>
      </c>
      <c r="P131" s="109" t="s">
        <v>604</v>
      </c>
      <c r="Q131" s="97">
        <v>0.47099999999999997</v>
      </c>
      <c r="R131" s="90">
        <v>24.73</v>
      </c>
      <c r="S131" s="110">
        <v>2752</v>
      </c>
      <c r="T131" s="111">
        <v>64755.519999999997</v>
      </c>
      <c r="U131" s="90" t="s">
        <v>605</v>
      </c>
      <c r="W131">
        <f>IFERROR(VLOOKUP(J131,'Pivot-RC'!$A$4:$B$170,2,FALSE),"")</f>
        <v>2749</v>
      </c>
      <c r="X131" s="89">
        <f t="shared" ref="X131:X184" si="19">IFERROR((+W131*R131*60),"")</f>
        <v>4078966.2</v>
      </c>
      <c r="Y131" s="90">
        <f>IFERROR((VLOOKUP(CONCATENATE(C131,N131),'LED Costs-Lumen -slide 22'!$N$6:$O$42,2,FALSE)*W131),"")</f>
        <v>5742990.8799999999</v>
      </c>
      <c r="Z131" s="111">
        <f>IFERROR((VLOOKUP(CONCATENATE(C131,O131),'LED Costs-Watt -slide 22'!$N$6:$O$36,2,FALSE)*W131),"")</f>
        <v>5742990.8799999999</v>
      </c>
    </row>
    <row r="132" spans="1:29" x14ac:dyDescent="0.3">
      <c r="A132" t="s">
        <v>13</v>
      </c>
      <c r="B132" t="s">
        <v>575</v>
      </c>
      <c r="C132" t="s">
        <v>602</v>
      </c>
      <c r="D132" t="s">
        <v>656</v>
      </c>
      <c r="E132" t="str">
        <f t="shared" si="16"/>
        <v>Group 2 - Between 12,000 and 100,000 Lumens</v>
      </c>
      <c r="F132" t="str">
        <f t="shared" si="17"/>
        <v>With Pole</v>
      </c>
      <c r="I132">
        <v>475</v>
      </c>
      <c r="J132" t="str">
        <f t="shared" si="18"/>
        <v>KU475</v>
      </c>
      <c r="K132" t="s">
        <v>583</v>
      </c>
      <c r="L132" t="s">
        <v>1021</v>
      </c>
      <c r="M132" t="s">
        <v>603</v>
      </c>
      <c r="N132" s="109">
        <v>50000</v>
      </c>
      <c r="O132" s="109">
        <v>400</v>
      </c>
      <c r="P132" s="109" t="s">
        <v>604</v>
      </c>
      <c r="Q132" s="97">
        <v>0.47099999999999997</v>
      </c>
      <c r="R132" s="90">
        <v>26.49</v>
      </c>
      <c r="S132" s="110">
        <v>530</v>
      </c>
      <c r="T132" s="111">
        <v>13111.45</v>
      </c>
      <c r="U132" s="90" t="s">
        <v>605</v>
      </c>
      <c r="W132">
        <f>IFERROR(VLOOKUP(J132,'Pivot-RC'!$A$4:$B$170,2,FALSE),"")</f>
        <v>553</v>
      </c>
      <c r="X132" s="89">
        <f t="shared" si="19"/>
        <v>878938.2</v>
      </c>
      <c r="Y132" s="90">
        <f>IFERROR((VLOOKUP(CONCATENATE(C132,N132),'LED Costs-Lumen -slide 22'!$N$6:$O$42,2,FALSE)*W132),"")</f>
        <v>1155283.3599999999</v>
      </c>
      <c r="Z132" s="111">
        <f>IFERROR((VLOOKUP(CONCATENATE(C132,O132),'LED Costs-Watt -slide 22'!$N$6:$O$36,2,FALSE)*W132),"")</f>
        <v>1155283.3599999999</v>
      </c>
    </row>
    <row r="133" spans="1:29" x14ac:dyDescent="0.3">
      <c r="A133" t="s">
        <v>13</v>
      </c>
      <c r="B133" t="s">
        <v>576</v>
      </c>
      <c r="C133" t="s">
        <v>602</v>
      </c>
      <c r="D133" t="s">
        <v>656</v>
      </c>
      <c r="E133" t="str">
        <f t="shared" si="16"/>
        <v>Group 1 - &lt; 12,000 Lumens</v>
      </c>
      <c r="F133" t="str">
        <f t="shared" si="17"/>
        <v>Without Pole</v>
      </c>
      <c r="I133">
        <v>461</v>
      </c>
      <c r="J133" t="str">
        <f t="shared" si="18"/>
        <v>KU461</v>
      </c>
      <c r="K133" t="s">
        <v>583</v>
      </c>
      <c r="L133" t="s">
        <v>1021</v>
      </c>
      <c r="M133" t="s">
        <v>582</v>
      </c>
      <c r="N133" s="109">
        <v>4000</v>
      </c>
      <c r="O133" s="109">
        <v>50</v>
      </c>
      <c r="P133" s="109"/>
      <c r="Q133" s="97">
        <v>0.06</v>
      </c>
      <c r="R133" s="90">
        <v>8.16</v>
      </c>
      <c r="S133" s="110">
        <v>7280</v>
      </c>
      <c r="T133" s="111">
        <v>56449.1</v>
      </c>
      <c r="U133" s="112"/>
      <c r="W133">
        <f>IFERROR(VLOOKUP(J133,'Pivot-RC'!$A$4:$B$170,2,FALSE),"")</f>
        <v>6967</v>
      </c>
      <c r="X133" s="89">
        <f t="shared" si="19"/>
        <v>3411043.2</v>
      </c>
      <c r="Y133" s="90">
        <f>IFERROR((VLOOKUP(CONCATENATE(C133,N133),'LED Costs-Lumen -slide 22'!$N$6:$O$42,2,FALSE)*W133),"")</f>
        <v>2994346.93</v>
      </c>
      <c r="Z133" s="111">
        <f>IFERROR((VLOOKUP(CONCATENATE(C133,O133),'LED Costs-Watt -slide 22'!$N$6:$O$36,2,FALSE)*W133),"")</f>
        <v>2994346.93</v>
      </c>
      <c r="AC133">
        <v>3</v>
      </c>
    </row>
    <row r="134" spans="1:29" x14ac:dyDescent="0.3">
      <c r="A134" t="s">
        <v>13</v>
      </c>
      <c r="B134" t="s">
        <v>576</v>
      </c>
      <c r="C134" t="s">
        <v>602</v>
      </c>
      <c r="D134" t="s">
        <v>656</v>
      </c>
      <c r="E134" t="str">
        <f t="shared" si="16"/>
        <v>Group 1 - &lt; 12,000 Lumens</v>
      </c>
      <c r="F134" t="str">
        <f t="shared" si="17"/>
        <v>With Pole</v>
      </c>
      <c r="I134">
        <v>471</v>
      </c>
      <c r="J134" t="str">
        <f t="shared" si="18"/>
        <v>KU471</v>
      </c>
      <c r="K134" t="s">
        <v>583</v>
      </c>
      <c r="L134" t="s">
        <v>1021</v>
      </c>
      <c r="M134" t="s">
        <v>617</v>
      </c>
      <c r="N134" s="109">
        <v>4000</v>
      </c>
      <c r="O134" s="109">
        <v>50</v>
      </c>
      <c r="P134" s="109"/>
      <c r="Q134" s="97">
        <v>0.06</v>
      </c>
      <c r="R134" s="90">
        <v>11.36</v>
      </c>
      <c r="S134" s="110">
        <v>3625</v>
      </c>
      <c r="T134" s="111">
        <v>37995.879999999997</v>
      </c>
      <c r="W134">
        <f>IFERROR(VLOOKUP(J134,'Pivot-RC'!$A$4:$B$170,2,FALSE),"")</f>
        <v>3611</v>
      </c>
      <c r="X134" s="89">
        <f t="shared" si="19"/>
        <v>2461257.6</v>
      </c>
      <c r="Y134" s="90">
        <f>IFERROR((VLOOKUP(CONCATENATE(C134,N134),'LED Costs-Lumen -slide 22'!$N$6:$O$42,2,FALSE)*W134),"")</f>
        <v>1551971.6900000002</v>
      </c>
      <c r="Z134" s="111">
        <f>IFERROR((VLOOKUP(CONCATENATE(C134,O134),'LED Costs-Watt -slide 22'!$N$6:$O$36,2,FALSE)*W134),"")</f>
        <v>1551971.6900000002</v>
      </c>
      <c r="AC134">
        <v>3</v>
      </c>
    </row>
    <row r="135" spans="1:29" x14ac:dyDescent="0.3">
      <c r="A135" t="s">
        <v>13</v>
      </c>
      <c r="B135" t="s">
        <v>576</v>
      </c>
      <c r="C135" t="s">
        <v>602</v>
      </c>
      <c r="D135" t="s">
        <v>656</v>
      </c>
      <c r="E135" t="str">
        <f t="shared" si="16"/>
        <v>Group 2 - Between 12,000 and 100,000 Lumens</v>
      </c>
      <c r="F135" t="str">
        <f t="shared" si="17"/>
        <v>Without Pole</v>
      </c>
      <c r="I135">
        <v>409</v>
      </c>
      <c r="J135" t="str">
        <f t="shared" si="18"/>
        <v>KU409</v>
      </c>
      <c r="K135" t="s">
        <v>583</v>
      </c>
      <c r="L135" t="s">
        <v>1021</v>
      </c>
      <c r="M135" t="s">
        <v>582</v>
      </c>
      <c r="N135" s="109">
        <v>50000</v>
      </c>
      <c r="O135" s="109">
        <v>400</v>
      </c>
      <c r="P135" s="109"/>
      <c r="Q135" s="97">
        <v>0.47099999999999997</v>
      </c>
      <c r="R135" s="90">
        <v>12.68</v>
      </c>
      <c r="S135" s="110">
        <v>139</v>
      </c>
      <c r="T135" s="111">
        <v>1667.78</v>
      </c>
      <c r="W135">
        <f>IFERROR(VLOOKUP(J135,'Pivot-RC'!$A$4:$B$170,2,FALSE),"")</f>
        <v>133</v>
      </c>
      <c r="X135" s="89">
        <f t="shared" si="19"/>
        <v>101186.40000000001</v>
      </c>
      <c r="Y135" s="90">
        <f>IFERROR((VLOOKUP(CONCATENATE(C135,N135),'LED Costs-Lumen -slide 22'!$N$6:$O$42,2,FALSE)*W135),"")</f>
        <v>277852.95999999996</v>
      </c>
      <c r="Z135" s="111">
        <f>IFERROR((VLOOKUP(CONCATENATE(C135,O135),'LED Costs-Watt -slide 22'!$N$6:$O$36,2,FALSE)*W135),"")</f>
        <v>277852.95999999996</v>
      </c>
      <c r="AC135">
        <v>3</v>
      </c>
    </row>
    <row r="136" spans="1:29" x14ac:dyDescent="0.3">
      <c r="A136" t="s">
        <v>13</v>
      </c>
      <c r="B136" t="s">
        <v>576</v>
      </c>
      <c r="C136" t="s">
        <v>602</v>
      </c>
      <c r="D136" t="s">
        <v>618</v>
      </c>
      <c r="E136" t="str">
        <f t="shared" si="16"/>
        <v>Group 1 - &lt; 12,000 Lumens</v>
      </c>
      <c r="F136" t="str">
        <f t="shared" si="17"/>
        <v>Without Pole</v>
      </c>
      <c r="I136">
        <v>446</v>
      </c>
      <c r="J136" t="str">
        <f t="shared" si="18"/>
        <v>KU446</v>
      </c>
      <c r="K136" t="s">
        <v>583</v>
      </c>
      <c r="L136" t="s">
        <v>1021</v>
      </c>
      <c r="M136" t="s">
        <v>582</v>
      </c>
      <c r="N136" s="109">
        <v>7000</v>
      </c>
      <c r="O136" s="109">
        <v>175</v>
      </c>
      <c r="P136" s="109"/>
      <c r="Q136" s="97">
        <v>0.20699999999999999</v>
      </c>
      <c r="R136" s="90">
        <v>10.35</v>
      </c>
      <c r="S136" s="110">
        <v>1097</v>
      </c>
      <c r="T136" s="111">
        <v>10816.32</v>
      </c>
      <c r="U136" s="90"/>
      <c r="W136">
        <f>IFERROR(VLOOKUP(J136,'Pivot-RC'!$A$4:$B$170,2,FALSE),"")</f>
        <v>942</v>
      </c>
      <c r="X136" s="89">
        <f t="shared" si="19"/>
        <v>584981.99999999988</v>
      </c>
      <c r="Y136" s="90">
        <f>IFERROR((VLOOKUP(CONCATENATE(C136,N136),'LED Costs-Lumen -slide 22'!$N$6:$O$42,2,FALSE)*W136),"")</f>
        <v>669243.9</v>
      </c>
      <c r="Z136" s="111">
        <f>IFERROR((VLOOKUP(CONCATENATE(C136,O136),'LED Costs-Watt -slide 22'!$N$6:$O$36,2,FALSE)*W136),"")</f>
        <v>983975.5199999999</v>
      </c>
      <c r="AA136">
        <v>1</v>
      </c>
      <c r="AB136">
        <v>2</v>
      </c>
      <c r="AC136">
        <v>3</v>
      </c>
    </row>
    <row r="137" spans="1:29" x14ac:dyDescent="0.3">
      <c r="A137" t="s">
        <v>13</v>
      </c>
      <c r="B137" t="s">
        <v>576</v>
      </c>
      <c r="C137" t="s">
        <v>602</v>
      </c>
      <c r="D137" t="s">
        <v>618</v>
      </c>
      <c r="E137" t="str">
        <f t="shared" si="16"/>
        <v>Group 1 - &lt; 12,000 Lumens</v>
      </c>
      <c r="F137" t="str">
        <f t="shared" si="17"/>
        <v>With Pole</v>
      </c>
      <c r="I137">
        <v>456</v>
      </c>
      <c r="J137" t="str">
        <f t="shared" si="18"/>
        <v>KU456</v>
      </c>
      <c r="K137" t="s">
        <v>583</v>
      </c>
      <c r="L137" t="s">
        <v>1021</v>
      </c>
      <c r="M137" t="s">
        <v>617</v>
      </c>
      <c r="N137" s="109">
        <v>7000</v>
      </c>
      <c r="O137" s="109">
        <v>175</v>
      </c>
      <c r="P137" s="109"/>
      <c r="Q137" s="97">
        <v>0.20699999999999999</v>
      </c>
      <c r="R137" s="90">
        <v>12.85</v>
      </c>
      <c r="S137" s="110">
        <v>138</v>
      </c>
      <c r="T137" s="111">
        <v>1677.04</v>
      </c>
      <c r="W137">
        <f>IFERROR(VLOOKUP(J137,'Pivot-RC'!$A$4:$B$170,2,FALSE),"")</f>
        <v>133</v>
      </c>
      <c r="X137" s="89">
        <f t="shared" si="19"/>
        <v>102543</v>
      </c>
      <c r="Y137" s="90">
        <f>IFERROR((VLOOKUP(CONCATENATE(C137,N137),'LED Costs-Lumen -slide 22'!$N$6:$O$42,2,FALSE)*W137),"")</f>
        <v>94489.85</v>
      </c>
      <c r="Z137" s="111">
        <f>IFERROR((VLOOKUP(CONCATENATE(C137,O137),'LED Costs-Watt -slide 22'!$N$6:$O$36,2,FALSE)*W137),"")</f>
        <v>138926.47999999998</v>
      </c>
      <c r="AA137">
        <v>1</v>
      </c>
      <c r="AB137">
        <v>2</v>
      </c>
      <c r="AC137">
        <v>3</v>
      </c>
    </row>
    <row r="138" spans="1:29" x14ac:dyDescent="0.3">
      <c r="A138" t="s">
        <v>13</v>
      </c>
      <c r="B138" t="s">
        <v>576</v>
      </c>
      <c r="C138" t="s">
        <v>602</v>
      </c>
      <c r="D138" t="s">
        <v>618</v>
      </c>
      <c r="E138" t="str">
        <f t="shared" si="16"/>
        <v>Group 1 - &lt; 12,000 Lumens</v>
      </c>
      <c r="F138" t="str">
        <f t="shared" si="17"/>
        <v>Without Pole</v>
      </c>
      <c r="I138">
        <v>447</v>
      </c>
      <c r="J138" t="str">
        <f t="shared" si="18"/>
        <v>KU447</v>
      </c>
      <c r="K138" t="s">
        <v>583</v>
      </c>
      <c r="L138" t="s">
        <v>1021</v>
      </c>
      <c r="M138" t="s">
        <v>582</v>
      </c>
      <c r="N138" s="109">
        <v>10000</v>
      </c>
      <c r="O138" s="109">
        <v>175</v>
      </c>
      <c r="P138" s="109"/>
      <c r="Q138" s="97">
        <v>0.29399999999999998</v>
      </c>
      <c r="R138" s="90">
        <v>12.26</v>
      </c>
      <c r="S138" s="110">
        <v>692</v>
      </c>
      <c r="T138" s="111">
        <v>7841.14</v>
      </c>
      <c r="U138" s="90"/>
      <c r="W138">
        <f>IFERROR(VLOOKUP(J138,'Pivot-RC'!$A$4:$B$170,2,FALSE),"")</f>
        <v>673</v>
      </c>
      <c r="X138" s="89">
        <f t="shared" si="19"/>
        <v>495058.8</v>
      </c>
      <c r="Y138" s="90">
        <f>IFERROR((VLOOKUP(CONCATENATE(C138,N138),'LED Costs-Lumen -slide 22'!$N$6:$O$42,2,FALSE)*W138),"")</f>
        <v>478132.85000000003</v>
      </c>
      <c r="Z138" s="111">
        <f>IFERROR((VLOOKUP(CONCATENATE(C138,O138),'LED Costs-Watt -slide 22'!$N$6:$O$36,2,FALSE)*W138),"")</f>
        <v>702988.88</v>
      </c>
      <c r="AA138">
        <v>1</v>
      </c>
      <c r="AB138">
        <v>2</v>
      </c>
      <c r="AC138">
        <v>3</v>
      </c>
    </row>
    <row r="139" spans="1:29" x14ac:dyDescent="0.3">
      <c r="A139" t="s">
        <v>13</v>
      </c>
      <c r="B139" t="s">
        <v>576</v>
      </c>
      <c r="C139" t="s">
        <v>602</v>
      </c>
      <c r="D139" t="s">
        <v>618</v>
      </c>
      <c r="E139" t="str">
        <f t="shared" si="16"/>
        <v>Group 1 - &lt; 12,000 Lumens</v>
      </c>
      <c r="F139" t="str">
        <f t="shared" si="17"/>
        <v>With Pole</v>
      </c>
      <c r="I139">
        <v>457</v>
      </c>
      <c r="J139" t="str">
        <f t="shared" si="18"/>
        <v>KU457</v>
      </c>
      <c r="K139" t="s">
        <v>583</v>
      </c>
      <c r="L139" t="s">
        <v>1021</v>
      </c>
      <c r="M139" t="s">
        <v>617</v>
      </c>
      <c r="N139" s="109">
        <v>10000</v>
      </c>
      <c r="O139" s="109">
        <v>100</v>
      </c>
      <c r="P139" s="109"/>
      <c r="Q139" s="97">
        <v>0.29399999999999998</v>
      </c>
      <c r="R139" s="90">
        <v>14.47</v>
      </c>
      <c r="S139" s="110">
        <v>443</v>
      </c>
      <c r="T139" s="111">
        <v>5918.56</v>
      </c>
      <c r="W139">
        <f>IFERROR(VLOOKUP(J139,'Pivot-RC'!$A$4:$B$170,2,FALSE),"")</f>
        <v>435</v>
      </c>
      <c r="X139" s="89">
        <f t="shared" si="19"/>
        <v>377667.00000000006</v>
      </c>
      <c r="Y139" s="90">
        <f>IFERROR((VLOOKUP(CONCATENATE(C139,N139),'LED Costs-Lumen -slide 22'!$N$6:$O$42,2,FALSE)*W139),"")</f>
        <v>309045.75</v>
      </c>
      <c r="Z139" s="111">
        <f>IFERROR((VLOOKUP(CONCATENATE(C139,O139),'LED Costs-Watt -slide 22'!$N$6:$O$36,2,FALSE)*W139),"")</f>
        <v>309045.75</v>
      </c>
      <c r="AA139">
        <v>1</v>
      </c>
      <c r="AB139">
        <v>2</v>
      </c>
      <c r="AC139">
        <v>3</v>
      </c>
    </row>
    <row r="140" spans="1:29" x14ac:dyDescent="0.3">
      <c r="A140" t="s">
        <v>13</v>
      </c>
      <c r="B140" t="s">
        <v>576</v>
      </c>
      <c r="C140" t="s">
        <v>602</v>
      </c>
      <c r="D140" t="s">
        <v>618</v>
      </c>
      <c r="E140" t="str">
        <f t="shared" si="16"/>
        <v>Group 2 - Between 12,000 and 100,000 Lumens</v>
      </c>
      <c r="F140" t="str">
        <f t="shared" si="17"/>
        <v>Without Pole</v>
      </c>
      <c r="I140">
        <v>448</v>
      </c>
      <c r="J140" t="str">
        <f t="shared" si="18"/>
        <v>KU448</v>
      </c>
      <c r="K140" t="s">
        <v>583</v>
      </c>
      <c r="L140" t="s">
        <v>1021</v>
      </c>
      <c r="M140" t="s">
        <v>582</v>
      </c>
      <c r="N140" s="109">
        <v>20000</v>
      </c>
      <c r="O140" s="109">
        <v>250</v>
      </c>
      <c r="P140" s="109"/>
      <c r="Q140" s="97">
        <v>0.45300000000000001</v>
      </c>
      <c r="R140" s="90">
        <v>13.87</v>
      </c>
      <c r="S140" s="110">
        <v>1509</v>
      </c>
      <c r="T140" s="111">
        <v>19818.07</v>
      </c>
      <c r="U140" s="90"/>
      <c r="W140">
        <f>IFERROR(VLOOKUP(J140,'Pivot-RC'!$A$4:$B$170,2,FALSE),"")</f>
        <v>1381</v>
      </c>
      <c r="X140" s="89">
        <f t="shared" si="19"/>
        <v>1149268.2</v>
      </c>
      <c r="Y140" s="90">
        <f>IFERROR((VLOOKUP(CONCATENATE(C140,N140),'LED Costs-Lumen -slide 22'!$N$6:$O$42,2,FALSE)*W140),"")</f>
        <v>1442537.3599999999</v>
      </c>
      <c r="Z140" s="111">
        <f>IFERROR((VLOOKUP(CONCATENATE(C140,O140),'LED Costs-Watt -slide 22'!$N$6:$O$36,2,FALSE)*W140),"")</f>
        <v>1442537.3599999999</v>
      </c>
      <c r="AA140">
        <v>1</v>
      </c>
      <c r="AB140">
        <v>2</v>
      </c>
      <c r="AC140">
        <v>3</v>
      </c>
    </row>
    <row r="141" spans="1:29" x14ac:dyDescent="0.3">
      <c r="A141" t="s">
        <v>13</v>
      </c>
      <c r="B141" t="s">
        <v>576</v>
      </c>
      <c r="C141" t="s">
        <v>602</v>
      </c>
      <c r="D141" t="s">
        <v>618</v>
      </c>
      <c r="E141" t="str">
        <f t="shared" si="16"/>
        <v>Group 2 - Between 12,000 and 100,000 Lumens</v>
      </c>
      <c r="F141" t="str">
        <f t="shared" si="17"/>
        <v>With Pole</v>
      </c>
      <c r="I141">
        <v>458</v>
      </c>
      <c r="J141" t="str">
        <f t="shared" si="18"/>
        <v>KU458</v>
      </c>
      <c r="K141" t="s">
        <v>583</v>
      </c>
      <c r="L141" t="s">
        <v>1021</v>
      </c>
      <c r="M141" t="s">
        <v>617</v>
      </c>
      <c r="N141" s="109">
        <v>20000</v>
      </c>
      <c r="O141" s="109">
        <v>250</v>
      </c>
      <c r="P141" s="109"/>
      <c r="Q141" s="97">
        <v>0.45300000000000001</v>
      </c>
      <c r="R141" s="90">
        <v>16.329999999999998</v>
      </c>
      <c r="S141" s="110">
        <v>1425</v>
      </c>
      <c r="T141" s="111">
        <v>21767.39</v>
      </c>
      <c r="W141">
        <f>IFERROR(VLOOKUP(J141,'Pivot-RC'!$A$4:$B$170,2,FALSE),"")</f>
        <v>1381</v>
      </c>
      <c r="X141" s="89">
        <f t="shared" si="19"/>
        <v>1353103.7999999998</v>
      </c>
      <c r="Y141" s="90">
        <f>IFERROR((VLOOKUP(CONCATENATE(C141,N141),'LED Costs-Lumen -slide 22'!$N$6:$O$42,2,FALSE)*W141),"")</f>
        <v>1442537.3599999999</v>
      </c>
      <c r="Z141" s="111">
        <f>IFERROR((VLOOKUP(CONCATENATE(C141,O141),'LED Costs-Watt -slide 22'!$N$6:$O$36,2,FALSE)*W141),"")</f>
        <v>1442537.3599999999</v>
      </c>
      <c r="AA141">
        <v>1</v>
      </c>
      <c r="AB141">
        <v>2</v>
      </c>
      <c r="AC141">
        <v>3</v>
      </c>
    </row>
    <row r="142" spans="1:29" x14ac:dyDescent="0.3">
      <c r="A142" t="s">
        <v>153</v>
      </c>
      <c r="B142" t="s">
        <v>625</v>
      </c>
      <c r="C142" t="s">
        <v>602</v>
      </c>
      <c r="D142" t="s">
        <v>656</v>
      </c>
      <c r="E142" t="str">
        <f t="shared" si="16"/>
        <v>Group 2 - Between 12,000 and 100,000 Lumens</v>
      </c>
      <c r="F142" t="str">
        <f t="shared" si="17"/>
        <v>Without Pole</v>
      </c>
      <c r="I142">
        <v>429</v>
      </c>
      <c r="J142" t="str">
        <f t="shared" si="18"/>
        <v>ODP429</v>
      </c>
      <c r="K142" t="s">
        <v>583</v>
      </c>
      <c r="L142" t="s">
        <v>1021</v>
      </c>
      <c r="M142" t="s">
        <v>582</v>
      </c>
      <c r="N142" s="109">
        <v>22000</v>
      </c>
      <c r="O142" s="109">
        <v>100</v>
      </c>
      <c r="P142" s="109" t="s">
        <v>604</v>
      </c>
      <c r="Q142" s="97">
        <v>0.24199999999999999</v>
      </c>
      <c r="R142" s="90">
        <v>19.8</v>
      </c>
      <c r="S142" s="110">
        <v>4</v>
      </c>
      <c r="T142" s="111">
        <v>79.2</v>
      </c>
      <c r="U142" t="s">
        <v>627</v>
      </c>
      <c r="W142">
        <f>IFERROR(VLOOKUP(J142,'Pivot-RC'!$A$4:$B$170,2,FALSE),"")</f>
        <v>19</v>
      </c>
      <c r="X142" s="89">
        <f t="shared" si="19"/>
        <v>22572</v>
      </c>
      <c r="Y142" s="90">
        <f>IFERROR((VLOOKUP(CONCATENATE(C142,N142),'LED Costs-Lumen -slide 22'!$N$6:$O$42,2,FALSE)*W142),"")</f>
        <v>19846.64</v>
      </c>
      <c r="Z142" s="111">
        <f>IFERROR((VLOOKUP(CONCATENATE(C142,O142),'LED Costs-Watt -slide 22'!$N$6:$O$36,2,FALSE)*W142),"")</f>
        <v>13498.550000000001</v>
      </c>
    </row>
    <row r="143" spans="1:29" x14ac:dyDescent="0.3">
      <c r="A143" t="s">
        <v>153</v>
      </c>
      <c r="B143" t="s">
        <v>625</v>
      </c>
      <c r="C143" t="s">
        <v>602</v>
      </c>
      <c r="D143" t="s">
        <v>656</v>
      </c>
      <c r="E143" t="str">
        <f t="shared" si="16"/>
        <v>Group 2 - Between 12,000 and 100,000 Lumens</v>
      </c>
      <c r="F143" t="str">
        <f t="shared" si="17"/>
        <v>Without Pole</v>
      </c>
      <c r="I143">
        <v>407</v>
      </c>
      <c r="J143" t="str">
        <f t="shared" si="18"/>
        <v>ODP407</v>
      </c>
      <c r="K143" t="s">
        <v>583</v>
      </c>
      <c r="L143" t="s">
        <v>1021</v>
      </c>
      <c r="M143" t="s">
        <v>582</v>
      </c>
      <c r="N143" s="109">
        <v>50000</v>
      </c>
      <c r="O143" s="109">
        <v>400</v>
      </c>
      <c r="P143" s="109" t="s">
        <v>604</v>
      </c>
      <c r="Q143" s="97">
        <v>0.47099999999999997</v>
      </c>
      <c r="R143" s="90">
        <v>32.69</v>
      </c>
      <c r="S143" s="110">
        <v>1</v>
      </c>
      <c r="T143" s="111">
        <v>32.69</v>
      </c>
      <c r="U143" t="s">
        <v>627</v>
      </c>
      <c r="W143">
        <f>IFERROR(VLOOKUP(J143,'Pivot-RC'!$A$4:$B$170,2,FALSE),"")</f>
        <v>2</v>
      </c>
      <c r="X143" s="89">
        <f t="shared" si="19"/>
        <v>3922.7999999999997</v>
      </c>
      <c r="Y143" s="90">
        <f>IFERROR((VLOOKUP(CONCATENATE(C143,N143),'LED Costs-Lumen -slide 22'!$N$6:$O$42,2,FALSE)*W143),"")</f>
        <v>4178.24</v>
      </c>
      <c r="Z143" s="111">
        <f>IFERROR((VLOOKUP(CONCATENATE(C143,O143),'LED Costs-Watt -slide 22'!$N$6:$O$36,2,FALSE)*W143),"")</f>
        <v>4178.24</v>
      </c>
    </row>
    <row r="144" spans="1:29" x14ac:dyDescent="0.3">
      <c r="A144" t="s">
        <v>630</v>
      </c>
      <c r="B144" t="s">
        <v>575</v>
      </c>
      <c r="C144" t="s">
        <v>602</v>
      </c>
      <c r="D144" t="s">
        <v>656</v>
      </c>
      <c r="E144" t="str">
        <f t="shared" si="16"/>
        <v>Group 2 - Between 12,000 and 100,000 Lumens</v>
      </c>
      <c r="F144" t="str">
        <f t="shared" si="17"/>
        <v>Without Pole</v>
      </c>
      <c r="I144">
        <v>452</v>
      </c>
      <c r="J144" t="str">
        <f t="shared" si="18"/>
        <v>LGE452</v>
      </c>
      <c r="K144" t="s">
        <v>583</v>
      </c>
      <c r="L144" t="s">
        <v>1021</v>
      </c>
      <c r="M144" t="s">
        <v>582</v>
      </c>
      <c r="N144" s="109">
        <v>16000</v>
      </c>
      <c r="O144" s="109">
        <v>150</v>
      </c>
      <c r="P144" s="109"/>
      <c r="Q144" s="97">
        <v>0.18099999999999999</v>
      </c>
      <c r="R144" s="90">
        <v>12.83</v>
      </c>
      <c r="S144" s="110">
        <v>6755</v>
      </c>
      <c r="T144" s="111">
        <v>86537.94</v>
      </c>
      <c r="W144">
        <f>IFERROR(VLOOKUP(J144,'Pivot-RC'!$A$4:$B$170,2,FALSE),"")</f>
        <v>6855</v>
      </c>
      <c r="X144" s="89">
        <f t="shared" si="19"/>
        <v>5276979</v>
      </c>
      <c r="Y144" s="90">
        <f>IFERROR((VLOOKUP(CONCATENATE(C144,N144),'LED Costs-Lumen -slide 22'!$N$6:$O$42,2,FALSE)*W144),"")</f>
        <v>7160458.7999999998</v>
      </c>
      <c r="Z144" s="111">
        <f>IFERROR((VLOOKUP(CONCATENATE(C144,O144),'LED Costs-Watt -slide 22'!$N$6:$O$36,2,FALSE)*W144),"")</f>
        <v>4870134.75</v>
      </c>
    </row>
    <row r="145" spans="1:29" x14ac:dyDescent="0.3">
      <c r="A145" t="s">
        <v>630</v>
      </c>
      <c r="B145" t="s">
        <v>575</v>
      </c>
      <c r="C145" t="s">
        <v>602</v>
      </c>
      <c r="D145" t="s">
        <v>656</v>
      </c>
      <c r="E145" t="str">
        <f t="shared" si="16"/>
        <v>Group 2 - Between 12,000 and 100,000 Lumens</v>
      </c>
      <c r="F145" t="str">
        <f t="shared" si="17"/>
        <v>Without Pole</v>
      </c>
      <c r="I145">
        <v>453</v>
      </c>
      <c r="J145" t="str">
        <f t="shared" si="18"/>
        <v>LGE453</v>
      </c>
      <c r="K145" t="s">
        <v>583</v>
      </c>
      <c r="L145" t="s">
        <v>1021</v>
      </c>
      <c r="M145" t="s">
        <v>582</v>
      </c>
      <c r="N145" s="109">
        <v>28500</v>
      </c>
      <c r="O145" s="109">
        <v>250</v>
      </c>
      <c r="P145" s="109"/>
      <c r="Q145" s="97">
        <v>0.29399999999999998</v>
      </c>
      <c r="R145" s="90">
        <v>15.09</v>
      </c>
      <c r="S145" s="110">
        <v>9849</v>
      </c>
      <c r="T145" s="111">
        <v>148560.82999999999</v>
      </c>
      <c r="W145">
        <f>IFERROR(VLOOKUP(J145,'Pivot-RC'!$A$4:$B$170,2,FALSE),"")</f>
        <v>10421</v>
      </c>
      <c r="X145" s="89">
        <f t="shared" si="19"/>
        <v>9435173.3999999985</v>
      </c>
      <c r="Y145" s="90">
        <f>IFERROR((VLOOKUP(CONCATENATE(C145,N145),'LED Costs-Lumen -slide 22'!$N$6:$O$42,2,FALSE)*W145),"")</f>
        <v>10885359.76</v>
      </c>
      <c r="Z145" s="111">
        <f>IFERROR((VLOOKUP(CONCATENATE(C145,O145),'LED Costs-Watt -slide 22'!$N$6:$O$36,2,FALSE)*W145),"")</f>
        <v>10885359.76</v>
      </c>
    </row>
    <row r="146" spans="1:29" x14ac:dyDescent="0.3">
      <c r="A146" t="s">
        <v>630</v>
      </c>
      <c r="B146" t="s">
        <v>575</v>
      </c>
      <c r="C146" t="s">
        <v>602</v>
      </c>
      <c r="D146" t="s">
        <v>656</v>
      </c>
      <c r="E146" t="str">
        <f t="shared" si="16"/>
        <v>Group 2 - Between 12,000 and 100,000 Lumens</v>
      </c>
      <c r="F146" t="str">
        <f t="shared" si="17"/>
        <v>Without Pole</v>
      </c>
      <c r="I146">
        <v>454</v>
      </c>
      <c r="J146" t="str">
        <f t="shared" si="18"/>
        <v>LGE454</v>
      </c>
      <c r="K146" t="s">
        <v>583</v>
      </c>
      <c r="L146" t="s">
        <v>1021</v>
      </c>
      <c r="M146" t="s">
        <v>582</v>
      </c>
      <c r="N146" s="109">
        <v>50000</v>
      </c>
      <c r="O146" s="109">
        <v>400</v>
      </c>
      <c r="P146" s="109" t="s">
        <v>604</v>
      </c>
      <c r="Q146" s="97">
        <v>0.47099999999999997</v>
      </c>
      <c r="R146" s="90">
        <v>17.39</v>
      </c>
      <c r="S146" s="110">
        <v>5733</v>
      </c>
      <c r="T146" s="111">
        <v>99460.6</v>
      </c>
      <c r="U146" t="s">
        <v>631</v>
      </c>
      <c r="W146">
        <f>IFERROR(VLOOKUP(J146,'Pivot-RC'!$A$4:$B$170,2,FALSE),"")</f>
        <v>5516</v>
      </c>
      <c r="X146" s="89">
        <f t="shared" si="19"/>
        <v>5755394.4000000004</v>
      </c>
      <c r="Y146" s="90">
        <f>IFERROR((VLOOKUP(CONCATENATE(C146,N146),'LED Costs-Lumen -slide 22'!$N$6:$O$42,2,FALSE)*W146),"")</f>
        <v>11523585.92</v>
      </c>
      <c r="Z146" s="111">
        <f>IFERROR((VLOOKUP(CONCATENATE(C146,O146),'LED Costs-Watt -slide 22'!$N$6:$O$36,2,FALSE)*W146),"")</f>
        <v>11523585.92</v>
      </c>
    </row>
    <row r="147" spans="1:29" x14ac:dyDescent="0.3">
      <c r="A147" t="s">
        <v>630</v>
      </c>
      <c r="B147" t="s">
        <v>575</v>
      </c>
      <c r="C147" t="s">
        <v>609</v>
      </c>
      <c r="D147" t="s">
        <v>656</v>
      </c>
      <c r="E147" t="str">
        <f t="shared" si="16"/>
        <v>Group 2 - Between 12,000 and 100,000 Lumens</v>
      </c>
      <c r="F147" t="str">
        <f t="shared" si="17"/>
        <v>With Pole</v>
      </c>
      <c r="I147">
        <v>423</v>
      </c>
      <c r="J147" t="str">
        <f t="shared" si="18"/>
        <v>LGE423</v>
      </c>
      <c r="K147" t="s">
        <v>583</v>
      </c>
      <c r="L147" t="s">
        <v>1021</v>
      </c>
      <c r="M147" t="s">
        <v>611</v>
      </c>
      <c r="N147" s="109">
        <v>16000</v>
      </c>
      <c r="O147" s="109">
        <v>150</v>
      </c>
      <c r="P147" s="109"/>
      <c r="Q147" s="97">
        <v>0.18099999999999999</v>
      </c>
      <c r="R147" s="90">
        <v>26.37</v>
      </c>
      <c r="S147" s="110">
        <v>23</v>
      </c>
      <c r="T147" s="111">
        <v>606.30999999999995</v>
      </c>
      <c r="W147">
        <f>IFERROR(VLOOKUP(J147,'Pivot-RC'!$A$4:$B$170,2,FALSE),"")</f>
        <v>21</v>
      </c>
      <c r="X147" s="89">
        <f t="shared" si="19"/>
        <v>33226.199999999997</v>
      </c>
      <c r="Y147" s="90">
        <f>IFERROR((VLOOKUP(CONCATENATE(C147,N147),'LED Costs-Lumen -slide 22'!$N$6:$O$42,2,FALSE)*W147),"")</f>
        <v>15386.07</v>
      </c>
      <c r="Z147" s="111">
        <f>IFERROR((VLOOKUP(CONCATENATE(C147,O147),'LED Costs-Watt -slide 22'!$N$6:$O$36,2,FALSE)*W147),"")</f>
        <v>15386.07</v>
      </c>
    </row>
    <row r="148" spans="1:29" x14ac:dyDescent="0.3">
      <c r="A148" t="s">
        <v>630</v>
      </c>
      <c r="B148" t="s">
        <v>575</v>
      </c>
      <c r="C148" t="s">
        <v>609</v>
      </c>
      <c r="D148" t="s">
        <v>656</v>
      </c>
      <c r="E148" t="str">
        <f t="shared" si="16"/>
        <v>Group 2 - Between 12,000 and 100,000 Lumens</v>
      </c>
      <c r="F148" t="str">
        <f t="shared" si="17"/>
        <v>With Pole</v>
      </c>
      <c r="I148">
        <v>424</v>
      </c>
      <c r="J148" t="str">
        <f t="shared" si="18"/>
        <v>LGE424</v>
      </c>
      <c r="K148" t="s">
        <v>583</v>
      </c>
      <c r="L148" t="s">
        <v>1021</v>
      </c>
      <c r="M148" t="s">
        <v>611</v>
      </c>
      <c r="N148" s="109">
        <v>28500</v>
      </c>
      <c r="O148" s="109">
        <v>208</v>
      </c>
      <c r="P148" s="109"/>
      <c r="Q148" s="97">
        <v>0.29399999999999998</v>
      </c>
      <c r="R148" s="90">
        <v>28.47</v>
      </c>
      <c r="S148" s="110">
        <v>544</v>
      </c>
      <c r="T148" s="111">
        <v>15569.56</v>
      </c>
      <c r="W148">
        <f>IFERROR(VLOOKUP(J148,'Pivot-RC'!$A$4:$B$170,2,FALSE),"")</f>
        <v>616</v>
      </c>
      <c r="X148" s="89">
        <f t="shared" si="19"/>
        <v>1052251.2</v>
      </c>
      <c r="Y148" s="90">
        <f>IFERROR((VLOOKUP(CONCATENATE(C148,N148),'LED Costs-Lumen -slide 22'!$N$6:$O$42,2,FALSE)*W148),"")</f>
        <v>682275.44</v>
      </c>
      <c r="Z148" s="111">
        <f>IFERROR((VLOOKUP(CONCATENATE(C148,O148),'LED Costs-Watt -slide 22'!$N$6:$O$36,2,FALSE)*W148),"")</f>
        <v>682275.44</v>
      </c>
    </row>
    <row r="149" spans="1:29" x14ac:dyDescent="0.3">
      <c r="A149" t="s">
        <v>630</v>
      </c>
      <c r="B149" t="s">
        <v>575</v>
      </c>
      <c r="C149" t="s">
        <v>609</v>
      </c>
      <c r="D149" t="s">
        <v>656</v>
      </c>
      <c r="E149" t="str">
        <f t="shared" si="16"/>
        <v>Group 2 - Between 12,000 and 100,000 Lumens</v>
      </c>
      <c r="F149" t="str">
        <f t="shared" si="17"/>
        <v>With Pole</v>
      </c>
      <c r="I149">
        <v>425</v>
      </c>
      <c r="J149" t="str">
        <f t="shared" si="18"/>
        <v>LGE425</v>
      </c>
      <c r="K149" t="s">
        <v>583</v>
      </c>
      <c r="L149" t="s">
        <v>1021</v>
      </c>
      <c r="M149" t="s">
        <v>611</v>
      </c>
      <c r="N149" s="109">
        <v>50000</v>
      </c>
      <c r="O149" s="109">
        <v>370</v>
      </c>
      <c r="P149" s="109" t="s">
        <v>604</v>
      </c>
      <c r="Q149" s="97">
        <v>0.47099999999999997</v>
      </c>
      <c r="R149" s="90">
        <v>34.049999999999997</v>
      </c>
      <c r="S149" s="110">
        <v>32</v>
      </c>
      <c r="T149" s="111">
        <v>1089.3399999999999</v>
      </c>
      <c r="U149" t="s">
        <v>631</v>
      </c>
      <c r="W149">
        <f>IFERROR(VLOOKUP(J149,'Pivot-RC'!$A$4:$B$170,2,FALSE),"")</f>
        <v>32</v>
      </c>
      <c r="X149" s="89">
        <f t="shared" si="19"/>
        <v>65375.999999999993</v>
      </c>
      <c r="Y149" s="90">
        <f>IFERROR((VLOOKUP(CONCATENATE(C149,N149),'LED Costs-Lumen -slide 22'!$N$6:$O$42,2,FALSE)*W149),"")</f>
        <v>70885.759999999995</v>
      </c>
      <c r="Z149" s="111">
        <f>IFERROR((VLOOKUP(CONCATENATE(C149,O149),'LED Costs-Watt -slide 22'!$N$6:$O$36,2,FALSE)*W149),"")</f>
        <v>70885.759999999995</v>
      </c>
    </row>
    <row r="150" spans="1:29" x14ac:dyDescent="0.3">
      <c r="A150" t="s">
        <v>630</v>
      </c>
      <c r="B150" t="s">
        <v>576</v>
      </c>
      <c r="C150" t="s">
        <v>602</v>
      </c>
      <c r="D150" t="s">
        <v>618</v>
      </c>
      <c r="E150" t="str">
        <f t="shared" si="16"/>
        <v>Group 2 - Between 12,000 and 100,000 Lumens</v>
      </c>
      <c r="F150" t="str">
        <f t="shared" si="17"/>
        <v>Without Pole</v>
      </c>
      <c r="I150">
        <v>203</v>
      </c>
      <c r="J150" t="str">
        <f t="shared" si="18"/>
        <v>LGE203</v>
      </c>
      <c r="K150" t="s">
        <v>583</v>
      </c>
      <c r="L150" t="s">
        <v>1021</v>
      </c>
      <c r="M150" t="s">
        <v>582</v>
      </c>
      <c r="N150" s="109">
        <v>13000</v>
      </c>
      <c r="O150" s="109">
        <v>250</v>
      </c>
      <c r="P150" s="109"/>
      <c r="Q150" s="97">
        <v>0.29799999999999999</v>
      </c>
      <c r="R150" s="90">
        <v>10.97</v>
      </c>
      <c r="S150" s="110">
        <v>3481</v>
      </c>
      <c r="T150" s="111">
        <v>38059.43</v>
      </c>
      <c r="W150">
        <f>IFERROR(VLOOKUP(J150,'Pivot-RC'!$A$4:$B$170,2,FALSE),"")</f>
        <v>3197</v>
      </c>
      <c r="X150" s="89">
        <f t="shared" si="19"/>
        <v>2104265.4000000004</v>
      </c>
      <c r="Y150" s="90">
        <f>IFERROR((VLOOKUP(CONCATENATE(C150,N150),'LED Costs-Lumen -slide 22'!$N$6:$O$42,2,FALSE)*W150),"")</f>
        <v>2271308.6500000004</v>
      </c>
      <c r="Z150" s="111">
        <f>IFERROR((VLOOKUP(CONCATENATE(C150,O150),'LED Costs-Watt -slide 22'!$N$6:$O$36,2,FALSE)*W150),"")</f>
        <v>3339458.32</v>
      </c>
      <c r="AA150">
        <v>1</v>
      </c>
      <c r="AB150">
        <v>2</v>
      </c>
      <c r="AC150">
        <v>3</v>
      </c>
    </row>
    <row r="151" spans="1:29" x14ac:dyDescent="0.3">
      <c r="A151" t="s">
        <v>630</v>
      </c>
      <c r="B151" t="s">
        <v>576</v>
      </c>
      <c r="C151" t="s">
        <v>602</v>
      </c>
      <c r="D151" t="s">
        <v>618</v>
      </c>
      <c r="E151" t="str">
        <f t="shared" si="16"/>
        <v>Group 2 - Between 12,000 and 100,000 Lumens</v>
      </c>
      <c r="F151" t="str">
        <f t="shared" si="17"/>
        <v>Without Pole</v>
      </c>
      <c r="I151">
        <v>204</v>
      </c>
      <c r="J151" t="str">
        <f t="shared" si="18"/>
        <v>LGE204</v>
      </c>
      <c r="K151" t="s">
        <v>583</v>
      </c>
      <c r="L151" t="s">
        <v>1021</v>
      </c>
      <c r="M151" t="s">
        <v>582</v>
      </c>
      <c r="N151" s="109">
        <v>25000</v>
      </c>
      <c r="O151" s="109">
        <v>400</v>
      </c>
      <c r="P151" s="109"/>
      <c r="Q151" s="97">
        <v>0.46200000000000002</v>
      </c>
      <c r="R151" s="90">
        <v>13.52</v>
      </c>
      <c r="S151" s="110">
        <v>3492</v>
      </c>
      <c r="T151" s="111">
        <v>47120.04</v>
      </c>
      <c r="W151">
        <f>IFERROR(VLOOKUP(J151,'Pivot-RC'!$A$4:$B$170,2,FALSE),"")</f>
        <v>3266</v>
      </c>
      <c r="X151" s="89">
        <f t="shared" si="19"/>
        <v>2649379.2000000002</v>
      </c>
      <c r="Y151" s="90">
        <f>IFERROR((VLOOKUP(CONCATENATE(C151,N151),'LED Costs-Lumen -slide 22'!$N$6:$O$42,2,FALSE)*W151),"")</f>
        <v>3411532.96</v>
      </c>
      <c r="Z151" s="111">
        <f>IFERROR((VLOOKUP(CONCATENATE(C151,O151),'LED Costs-Watt -slide 22'!$N$6:$O$36,2,FALSE)*W151),"")</f>
        <v>6823065.9199999999</v>
      </c>
      <c r="AA151">
        <v>1</v>
      </c>
      <c r="AB151">
        <v>2</v>
      </c>
      <c r="AC151">
        <v>3</v>
      </c>
    </row>
    <row r="152" spans="1:29" x14ac:dyDescent="0.3">
      <c r="A152" t="s">
        <v>630</v>
      </c>
      <c r="B152" t="s">
        <v>576</v>
      </c>
      <c r="C152" t="s">
        <v>602</v>
      </c>
      <c r="D152" t="s">
        <v>618</v>
      </c>
      <c r="E152" t="str">
        <f t="shared" si="16"/>
        <v>Group 2 - Between 12,000 and 100,000 Lumens</v>
      </c>
      <c r="F152" t="str">
        <f t="shared" si="17"/>
        <v>Without Pole</v>
      </c>
      <c r="I152">
        <v>209</v>
      </c>
      <c r="J152" t="str">
        <f t="shared" si="18"/>
        <v>LGE209</v>
      </c>
      <c r="K152" t="s">
        <v>583</v>
      </c>
      <c r="L152" t="s">
        <v>1021</v>
      </c>
      <c r="M152" t="s">
        <v>582</v>
      </c>
      <c r="N152" s="109">
        <v>60000</v>
      </c>
      <c r="O152" s="109">
        <v>1000</v>
      </c>
      <c r="P152" s="109"/>
      <c r="Q152" s="97">
        <v>1.18</v>
      </c>
      <c r="R152" s="90">
        <v>27.71</v>
      </c>
      <c r="S152" s="110">
        <v>41</v>
      </c>
      <c r="T152" s="111">
        <v>1110.78</v>
      </c>
      <c r="W152">
        <f>IFERROR(VLOOKUP(J152,'Pivot-RC'!$A$4:$B$170,2,FALSE),"")</f>
        <v>31</v>
      </c>
      <c r="X152" s="89">
        <f t="shared" si="19"/>
        <v>51540.6</v>
      </c>
      <c r="Y152" s="90">
        <f>IFERROR((VLOOKUP(CONCATENATE(C152,N152),'LED Costs-Lumen -slide 22'!$N$6:$O$42,2,FALSE)*W152),"")</f>
        <v>97144.08</v>
      </c>
      <c r="Z152" s="111">
        <f>IFERROR((VLOOKUP(CONCATENATE(C152,O152),'LED Costs-Watt -slide 22'!$N$6:$O$36,2,FALSE)*W152),"")</f>
        <v>129525.43999999999</v>
      </c>
      <c r="AA152">
        <v>1</v>
      </c>
      <c r="AB152">
        <v>2</v>
      </c>
      <c r="AC152">
        <v>3</v>
      </c>
    </row>
    <row r="153" spans="1:29" x14ac:dyDescent="0.3">
      <c r="A153" t="s">
        <v>630</v>
      </c>
      <c r="B153" t="s">
        <v>576</v>
      </c>
      <c r="C153" t="s">
        <v>609</v>
      </c>
      <c r="D153" t="s">
        <v>618</v>
      </c>
      <c r="E153" t="str">
        <f t="shared" si="16"/>
        <v>Group 1 - &lt; 12,000 Lumens</v>
      </c>
      <c r="F153" t="str">
        <f t="shared" si="17"/>
        <v>With Pole</v>
      </c>
      <c r="I153">
        <v>318</v>
      </c>
      <c r="J153" t="str">
        <f t="shared" si="18"/>
        <v>LGE318</v>
      </c>
      <c r="K153" t="s">
        <v>583</v>
      </c>
      <c r="L153" t="s">
        <v>1021</v>
      </c>
      <c r="M153" t="s">
        <v>611</v>
      </c>
      <c r="N153" s="109">
        <v>8000</v>
      </c>
      <c r="O153" s="109">
        <v>175</v>
      </c>
      <c r="P153" s="109"/>
      <c r="Q153" s="97">
        <v>0.21</v>
      </c>
      <c r="R153" s="90">
        <v>17.43</v>
      </c>
      <c r="S153" s="110">
        <v>50</v>
      </c>
      <c r="T153" s="111">
        <v>871.49</v>
      </c>
      <c r="W153">
        <f>IFERROR(VLOOKUP(J153,'Pivot-RC'!$A$4:$B$170,2,FALSE),"")</f>
        <v>48</v>
      </c>
      <c r="X153" s="89">
        <f t="shared" si="19"/>
        <v>50198.400000000001</v>
      </c>
      <c r="Y153" s="90">
        <f>IFERROR((VLOOKUP(CONCATENATE(C153,N153),'LED Costs-Lumen -slide 22'!$N$6:$O$42,2,FALSE)*W153),"")</f>
        <v>24753.120000000003</v>
      </c>
      <c r="Z153" s="111">
        <f>IFERROR((VLOOKUP(CONCATENATE(C153,O153),'LED Costs-Watt -slide 22'!$N$6:$O$36,2,FALSE)*W153),"")</f>
        <v>53164.319999999992</v>
      </c>
      <c r="AA153">
        <v>1</v>
      </c>
      <c r="AB153">
        <v>2</v>
      </c>
      <c r="AC153">
        <v>3</v>
      </c>
    </row>
    <row r="154" spans="1:29" x14ac:dyDescent="0.3">
      <c r="A154" t="s">
        <v>630</v>
      </c>
      <c r="B154" t="s">
        <v>576</v>
      </c>
      <c r="C154" t="s">
        <v>609</v>
      </c>
      <c r="D154" t="s">
        <v>618</v>
      </c>
      <c r="E154" t="str">
        <f t="shared" si="16"/>
        <v>Group 2 - Between 12,000 and 100,000 Lumens</v>
      </c>
      <c r="F154" t="str">
        <f t="shared" si="17"/>
        <v>With Pole</v>
      </c>
      <c r="I154">
        <v>314</v>
      </c>
      <c r="J154" t="str">
        <f t="shared" si="18"/>
        <v>LGE314</v>
      </c>
      <c r="K154" t="s">
        <v>583</v>
      </c>
      <c r="L154" t="s">
        <v>1021</v>
      </c>
      <c r="M154" t="s">
        <v>611</v>
      </c>
      <c r="N154" s="109">
        <v>13000</v>
      </c>
      <c r="O154" s="109">
        <v>250</v>
      </c>
      <c r="P154" s="109"/>
      <c r="Q154" s="97">
        <v>0.29799999999999999</v>
      </c>
      <c r="R154" s="90">
        <v>19.21</v>
      </c>
      <c r="S154" s="110">
        <v>479</v>
      </c>
      <c r="T154" s="111">
        <v>9201.0499999999993</v>
      </c>
      <c r="W154">
        <f>IFERROR(VLOOKUP(J154,'Pivot-RC'!$A$4:$B$170,2,FALSE),"")</f>
        <v>451</v>
      </c>
      <c r="X154" s="89">
        <f t="shared" si="19"/>
        <v>519822.60000000003</v>
      </c>
      <c r="Y154" s="90">
        <f>IFERROR((VLOOKUP(CONCATENATE(C154,N154),'LED Costs-Lumen -slide 22'!$N$6:$O$42,2,FALSE)*W154),"")</f>
        <v>330434.17</v>
      </c>
      <c r="Z154" s="111">
        <f>IFERROR((VLOOKUP(CONCATENATE(C154,O154),'LED Costs-Watt -slide 22'!$N$6:$O$36,2,FALSE)*W154),"")</f>
        <v>499523.08999999997</v>
      </c>
      <c r="AA154">
        <v>1</v>
      </c>
      <c r="AB154">
        <v>2</v>
      </c>
      <c r="AC154">
        <v>3</v>
      </c>
    </row>
    <row r="155" spans="1:29" x14ac:dyDescent="0.3">
      <c r="A155" t="s">
        <v>630</v>
      </c>
      <c r="B155" t="s">
        <v>576</v>
      </c>
      <c r="C155" t="s">
        <v>609</v>
      </c>
      <c r="D155" t="s">
        <v>618</v>
      </c>
      <c r="E155" t="str">
        <f t="shared" si="16"/>
        <v>Group 2 - Between 12,000 and 100,000 Lumens</v>
      </c>
      <c r="F155" t="str">
        <f t="shared" si="17"/>
        <v>With Pole</v>
      </c>
      <c r="I155">
        <v>315</v>
      </c>
      <c r="J155" t="str">
        <f t="shared" si="18"/>
        <v>LGE315</v>
      </c>
      <c r="K155" t="s">
        <v>583</v>
      </c>
      <c r="L155" t="s">
        <v>1021</v>
      </c>
      <c r="M155" t="s">
        <v>611</v>
      </c>
      <c r="N155" s="109">
        <v>25000</v>
      </c>
      <c r="O155" s="109">
        <v>400</v>
      </c>
      <c r="P155" s="109"/>
      <c r="Q155" s="97">
        <v>0.46200000000000002</v>
      </c>
      <c r="R155" s="90">
        <v>22.96</v>
      </c>
      <c r="S155" s="110">
        <v>476</v>
      </c>
      <c r="T155" s="111">
        <v>10862.23</v>
      </c>
      <c r="W155">
        <f>IFERROR(VLOOKUP(J155,'Pivot-RC'!$A$4:$B$170,2,FALSE),"")</f>
        <v>453</v>
      </c>
      <c r="X155" s="89">
        <f t="shared" si="19"/>
        <v>624052.80000000005</v>
      </c>
      <c r="Y155" s="90">
        <f>IFERROR((VLOOKUP(CONCATENATE(C155,N155),'LED Costs-Lumen -slide 22'!$N$6:$O$42,2,FALSE)*W155),"")</f>
        <v>501738.26999999996</v>
      </c>
      <c r="Z155" s="111">
        <f>IFERROR((VLOOKUP(CONCATENATE(C155,O155),'LED Costs-Watt -slide 22'!$N$6:$O$36,2,FALSE)*W155),"")</f>
        <v>1003476.5399999999</v>
      </c>
      <c r="AA155">
        <v>1</v>
      </c>
      <c r="AB155">
        <v>2</v>
      </c>
      <c r="AC155">
        <v>3</v>
      </c>
    </row>
    <row r="156" spans="1:29" x14ac:dyDescent="0.3">
      <c r="A156" t="s">
        <v>630</v>
      </c>
      <c r="B156" t="s">
        <v>576</v>
      </c>
      <c r="C156" t="s">
        <v>609</v>
      </c>
      <c r="D156" t="s">
        <v>618</v>
      </c>
      <c r="E156" t="str">
        <f t="shared" si="16"/>
        <v>Group 4 - Pole only or Restricted Class</v>
      </c>
      <c r="F156" t="str">
        <f t="shared" si="17"/>
        <v>Without Pole</v>
      </c>
      <c r="I156">
        <v>347</v>
      </c>
      <c r="J156" t="str">
        <f t="shared" si="18"/>
        <v>LGE347</v>
      </c>
      <c r="K156" t="s">
        <v>650</v>
      </c>
      <c r="L156" t="s">
        <v>1021</v>
      </c>
      <c r="M156" t="s">
        <v>582</v>
      </c>
      <c r="N156" s="109">
        <v>25000</v>
      </c>
      <c r="O156" s="109">
        <v>400</v>
      </c>
      <c r="P156" s="109"/>
      <c r="Q156" s="97">
        <v>0.46200000000000002</v>
      </c>
      <c r="R156" s="90">
        <v>22.95</v>
      </c>
      <c r="S156" s="110" t="s">
        <v>748</v>
      </c>
      <c r="T156" s="111" t="s">
        <v>748</v>
      </c>
      <c r="V156" t="s">
        <v>624</v>
      </c>
      <c r="W156" t="str">
        <f>IFERROR(VLOOKUP(J156,'Pivot-RC'!$A$4:$B$170,2,FALSE),"")</f>
        <v/>
      </c>
      <c r="X156" s="89" t="str">
        <f t="shared" si="19"/>
        <v/>
      </c>
      <c r="Y156" s="90" t="str">
        <f>IFERROR((VLOOKUP(CONCATENATE(C156,N156),'LED Costs-Lumen -slide 22'!$N$6:$O$42,2,FALSE)*W156),"")</f>
        <v/>
      </c>
      <c r="Z156" s="111" t="str">
        <f>IFERROR((VLOOKUP(CONCATENATE(C156,O156),'LED Costs-Watt -slide 22'!$N$6:$O$36,2,FALSE)*W156),"")</f>
        <v/>
      </c>
      <c r="AA156">
        <v>1</v>
      </c>
      <c r="AB156">
        <v>2</v>
      </c>
      <c r="AC156">
        <v>3</v>
      </c>
    </row>
    <row r="157" spans="1:29" x14ac:dyDescent="0.3">
      <c r="A157" t="s">
        <v>630</v>
      </c>
      <c r="B157" t="s">
        <v>576</v>
      </c>
      <c r="C157" t="s">
        <v>609</v>
      </c>
      <c r="D157" t="s">
        <v>656</v>
      </c>
      <c r="E157" t="str">
        <f t="shared" si="16"/>
        <v>Group 1 - &lt; 12,000 Lumens</v>
      </c>
      <c r="F157" t="str">
        <f t="shared" si="17"/>
        <v>With Pole</v>
      </c>
      <c r="I157">
        <v>276</v>
      </c>
      <c r="J157" t="str">
        <f t="shared" si="18"/>
        <v>LGE276</v>
      </c>
      <c r="K157" t="s">
        <v>643</v>
      </c>
      <c r="L157" t="s">
        <v>743</v>
      </c>
      <c r="M157" t="s">
        <v>611</v>
      </c>
      <c r="N157" s="109">
        <v>5800</v>
      </c>
      <c r="O157" s="109">
        <v>70</v>
      </c>
      <c r="P157" s="109"/>
      <c r="Q157" s="97">
        <v>8.3000000000000004E-2</v>
      </c>
      <c r="R157" s="90">
        <v>14.18</v>
      </c>
      <c r="S157" s="110">
        <v>1347</v>
      </c>
      <c r="T157" s="111">
        <v>18881.89</v>
      </c>
      <c r="W157">
        <f>IFERROR(VLOOKUP(J157,'Pivot-RC'!$A$4:$B$170,2,FALSE),"")</f>
        <v>1361</v>
      </c>
      <c r="X157" s="89">
        <f t="shared" si="19"/>
        <v>1157938.8</v>
      </c>
      <c r="Y157" s="90">
        <f>IFERROR((VLOOKUP(CONCATENATE(C157,N157),'LED Costs-Lumen -slide 22'!$N$6:$O$42,2,FALSE)*W157),"")</f>
        <v>1649198.5550000002</v>
      </c>
      <c r="Z157" s="111">
        <f>IFERROR((VLOOKUP(CONCATENATE(C157,O157),'LED Costs-Watt -slide 22'!$N$6:$O$36,2,FALSE)*W157),"")</f>
        <v>1649191.75</v>
      </c>
      <c r="AC157">
        <v>3</v>
      </c>
    </row>
    <row r="158" spans="1:29" x14ac:dyDescent="0.3">
      <c r="A158" t="s">
        <v>630</v>
      </c>
      <c r="B158" t="s">
        <v>576</v>
      </c>
      <c r="C158" t="s">
        <v>609</v>
      </c>
      <c r="D158" t="s">
        <v>656</v>
      </c>
      <c r="E158" t="str">
        <f t="shared" si="16"/>
        <v>Group 1 - &lt; 12,000 Lumens</v>
      </c>
      <c r="F158" t="str">
        <f t="shared" si="17"/>
        <v>With Pole</v>
      </c>
      <c r="I158">
        <v>274</v>
      </c>
      <c r="J158" t="str">
        <f t="shared" si="18"/>
        <v>LGE274</v>
      </c>
      <c r="K158" t="s">
        <v>643</v>
      </c>
      <c r="L158" t="s">
        <v>743</v>
      </c>
      <c r="M158" t="s">
        <v>611</v>
      </c>
      <c r="N158" s="109">
        <v>9500</v>
      </c>
      <c r="O158" s="109">
        <v>100</v>
      </c>
      <c r="P158" s="109"/>
      <c r="Q158" s="97">
        <v>0.11700000000000001</v>
      </c>
      <c r="R158" s="90">
        <v>17.2</v>
      </c>
      <c r="S158" s="110">
        <v>17147</v>
      </c>
      <c r="T158" s="111">
        <v>294765.83</v>
      </c>
      <c r="W158">
        <f>IFERROR(VLOOKUP(J158,'Pivot-RC'!$A$4:$B$170,2,FALSE),"")</f>
        <v>16995</v>
      </c>
      <c r="X158" s="89">
        <f t="shared" si="19"/>
        <v>17538840</v>
      </c>
      <c r="Y158" s="90">
        <f>IFERROR((VLOOKUP(CONCATENATE(C158,N158),'LED Costs-Lumen -slide 22'!$N$6:$O$42,2,FALSE)*W158),"")</f>
        <v>8764151.5500000007</v>
      </c>
      <c r="Z158" s="111">
        <f>IFERROR((VLOOKUP(CONCATENATE(C158,O158),'LED Costs-Watt -slide 22'!$N$6:$O$36,2,FALSE)*W158),"")</f>
        <v>12451726.649999999</v>
      </c>
      <c r="AC158">
        <v>3</v>
      </c>
    </row>
    <row r="159" spans="1:29" x14ac:dyDescent="0.3">
      <c r="A159" t="s">
        <v>630</v>
      </c>
      <c r="B159" t="s">
        <v>576</v>
      </c>
      <c r="C159" t="s">
        <v>609</v>
      </c>
      <c r="D159" t="s">
        <v>656</v>
      </c>
      <c r="E159" t="str">
        <f t="shared" si="16"/>
        <v>Group 2 - Between 12,000 and 100,000 Lumens</v>
      </c>
      <c r="F159" t="str">
        <f t="shared" si="17"/>
        <v>With Pole</v>
      </c>
      <c r="I159">
        <v>277</v>
      </c>
      <c r="J159" t="str">
        <f t="shared" si="18"/>
        <v>LGE277</v>
      </c>
      <c r="K159" t="s">
        <v>643</v>
      </c>
      <c r="L159" t="s">
        <v>743</v>
      </c>
      <c r="M159" t="s">
        <v>611</v>
      </c>
      <c r="N159" s="109">
        <v>16000</v>
      </c>
      <c r="O159" s="109">
        <v>150</v>
      </c>
      <c r="P159" s="109"/>
      <c r="Q159" s="97">
        <v>0.18099999999999999</v>
      </c>
      <c r="R159" s="90">
        <v>22.16</v>
      </c>
      <c r="S159" s="110">
        <v>2327</v>
      </c>
      <c r="T159" s="111">
        <v>51446.05</v>
      </c>
      <c r="W159">
        <f>IFERROR(VLOOKUP(J159,'Pivot-RC'!$A$4:$B$170,2,FALSE),"")</f>
        <v>2334</v>
      </c>
      <c r="X159" s="89">
        <f t="shared" si="19"/>
        <v>3103286.4000000004</v>
      </c>
      <c r="Y159" s="90">
        <f>IFERROR((VLOOKUP(CONCATENATE(C159,N159),'LED Costs-Lumen -slide 22'!$N$6:$O$42,2,FALSE)*W159),"")</f>
        <v>1710051.7799999998</v>
      </c>
      <c r="Z159" s="111">
        <f>IFERROR((VLOOKUP(CONCATENATE(C159,O159),'LED Costs-Watt -slide 22'!$N$6:$O$36,2,FALSE)*W159),"")</f>
        <v>1710051.7799999998</v>
      </c>
      <c r="AC159">
        <v>3</v>
      </c>
    </row>
    <row r="160" spans="1:29" x14ac:dyDescent="0.3">
      <c r="A160" t="s">
        <v>13</v>
      </c>
      <c r="B160" t="s">
        <v>576</v>
      </c>
      <c r="C160" t="s">
        <v>609</v>
      </c>
      <c r="D160" t="s">
        <v>656</v>
      </c>
      <c r="E160" t="str">
        <f t="shared" si="16"/>
        <v>Group 1 - &lt; 12,000 Lumens</v>
      </c>
      <c r="F160" t="str">
        <f t="shared" si="17"/>
        <v>With Pole</v>
      </c>
      <c r="I160">
        <v>412</v>
      </c>
      <c r="J160" t="str">
        <f t="shared" si="18"/>
        <v>KU412</v>
      </c>
      <c r="K160" t="s">
        <v>621</v>
      </c>
      <c r="L160" t="s">
        <v>743</v>
      </c>
      <c r="M160" t="s">
        <v>611</v>
      </c>
      <c r="N160" s="109">
        <v>5800</v>
      </c>
      <c r="O160" s="109">
        <v>70</v>
      </c>
      <c r="P160" s="109"/>
      <c r="Q160" s="97">
        <v>8.3000000000000004E-2</v>
      </c>
      <c r="R160" s="90">
        <v>33.39</v>
      </c>
      <c r="S160" s="110">
        <v>29</v>
      </c>
      <c r="T160" s="111">
        <v>896.29</v>
      </c>
      <c r="W160">
        <f>IFERROR(VLOOKUP(J160,'Pivot-RC'!$A$4:$B$170,2,FALSE),"")</f>
        <v>29</v>
      </c>
      <c r="X160" s="89">
        <f t="shared" si="19"/>
        <v>58098.600000000006</v>
      </c>
      <c r="Y160" s="90">
        <f>IFERROR((VLOOKUP(CONCATENATE(C160,N160),'LED Costs-Lumen -slide 22'!$N$6:$O$42,2,FALSE)*W160),"")</f>
        <v>35140.895000000004</v>
      </c>
      <c r="Z160" s="111">
        <f>IFERROR((VLOOKUP(CONCATENATE(C160,O160),'LED Costs-Watt -slide 22'!$N$6:$O$36,2,FALSE)*W160),"")</f>
        <v>35140.75</v>
      </c>
      <c r="AC160">
        <v>3</v>
      </c>
    </row>
    <row r="161" spans="1:29" x14ac:dyDescent="0.3">
      <c r="A161" t="s">
        <v>13</v>
      </c>
      <c r="B161" t="s">
        <v>576</v>
      </c>
      <c r="C161" t="s">
        <v>609</v>
      </c>
      <c r="D161" t="s">
        <v>656</v>
      </c>
      <c r="E161" t="str">
        <f t="shared" si="16"/>
        <v>Group 1 - &lt; 12,000 Lumens</v>
      </c>
      <c r="F161" t="str">
        <f t="shared" si="17"/>
        <v>With Pole</v>
      </c>
      <c r="I161">
        <v>413</v>
      </c>
      <c r="J161" t="str">
        <f t="shared" si="18"/>
        <v>KU413</v>
      </c>
      <c r="K161" t="s">
        <v>621</v>
      </c>
      <c r="L161" t="s">
        <v>743</v>
      </c>
      <c r="M161" t="s">
        <v>611</v>
      </c>
      <c r="N161" s="109">
        <v>9500</v>
      </c>
      <c r="O161" s="109">
        <v>100</v>
      </c>
      <c r="P161" s="109"/>
      <c r="Q161" s="97">
        <v>0.11700000000000001</v>
      </c>
      <c r="R161" s="90">
        <v>33.81</v>
      </c>
      <c r="S161" s="110">
        <v>98</v>
      </c>
      <c r="T161" s="111">
        <v>3117.94</v>
      </c>
      <c r="W161">
        <f>IFERROR(VLOOKUP(J161,'Pivot-RC'!$A$4:$B$170,2,FALSE),"")</f>
        <v>98</v>
      </c>
      <c r="X161" s="89">
        <f t="shared" si="19"/>
        <v>198802.80000000002</v>
      </c>
      <c r="Y161" s="90">
        <f>IFERROR((VLOOKUP(CONCATENATE(C161,N161),'LED Costs-Lumen -slide 22'!$N$6:$O$42,2,FALSE)*W161),"")</f>
        <v>50537.62</v>
      </c>
      <c r="Z161" s="111">
        <f>IFERROR((VLOOKUP(CONCATENATE(C161,O161),'LED Costs-Watt -slide 22'!$N$6:$O$36,2,FALSE)*W161),"")</f>
        <v>71801.659999999989</v>
      </c>
      <c r="AC161">
        <v>3</v>
      </c>
    </row>
    <row r="162" spans="1:29" x14ac:dyDescent="0.3">
      <c r="A162" t="s">
        <v>630</v>
      </c>
      <c r="B162" t="s">
        <v>576</v>
      </c>
      <c r="C162" t="s">
        <v>609</v>
      </c>
      <c r="D162" t="s">
        <v>618</v>
      </c>
      <c r="E162" t="str">
        <f t="shared" si="16"/>
        <v>Group 1 - &lt; 12,000 Lumens</v>
      </c>
      <c r="F162" t="str">
        <f t="shared" si="17"/>
        <v>With Pole</v>
      </c>
      <c r="I162">
        <v>206</v>
      </c>
      <c r="J162" t="str">
        <f t="shared" ref="J162:J184" si="20">CONCATENATE(A162,I162)</f>
        <v>LGE206</v>
      </c>
      <c r="K162" t="s">
        <v>621</v>
      </c>
      <c r="L162" t="s">
        <v>743</v>
      </c>
      <c r="M162" t="s">
        <v>611</v>
      </c>
      <c r="N162" s="109">
        <v>4000</v>
      </c>
      <c r="O162" s="109">
        <v>100</v>
      </c>
      <c r="P162" s="109"/>
      <c r="Q162" s="97">
        <v>0.1</v>
      </c>
      <c r="R162" s="90">
        <v>12.46</v>
      </c>
      <c r="S162" s="110">
        <v>73</v>
      </c>
      <c r="T162" s="111">
        <v>909.26</v>
      </c>
      <c r="W162">
        <f>IFERROR(VLOOKUP(J162,'Pivot-RC'!$A$4:$B$170,2,FALSE),"")</f>
        <v>72</v>
      </c>
      <c r="X162" s="89">
        <f t="shared" si="19"/>
        <v>53827.200000000004</v>
      </c>
      <c r="Y162" s="90">
        <f>IFERROR((VLOOKUP(CONCATENATE(C162,N162),'LED Costs-Lumen -slide 22'!$N$6:$O$42,2,FALSE)*W162),"")</f>
        <v>87246.360000000015</v>
      </c>
      <c r="Z162" s="111">
        <f>IFERROR((VLOOKUP(CONCATENATE(C162,O162),'LED Costs-Watt -slide 22'!$N$6:$O$36,2,FALSE)*W162),"")</f>
        <v>52752.24</v>
      </c>
      <c r="AA162">
        <v>1</v>
      </c>
      <c r="AB162">
        <v>2</v>
      </c>
      <c r="AC162">
        <v>3</v>
      </c>
    </row>
    <row r="163" spans="1:29" x14ac:dyDescent="0.3">
      <c r="A163" t="s">
        <v>630</v>
      </c>
      <c r="B163" t="s">
        <v>576</v>
      </c>
      <c r="C163" t="s">
        <v>609</v>
      </c>
      <c r="D163" t="s">
        <v>618</v>
      </c>
      <c r="E163" t="str">
        <f t="shared" si="16"/>
        <v>Group 1 - &lt; 12,000 Lumens</v>
      </c>
      <c r="F163" t="str">
        <f t="shared" si="17"/>
        <v>With Pole</v>
      </c>
      <c r="I163">
        <v>208</v>
      </c>
      <c r="J163" t="str">
        <f t="shared" si="20"/>
        <v>LGE208</v>
      </c>
      <c r="K163" t="s">
        <v>621</v>
      </c>
      <c r="L163" t="s">
        <v>743</v>
      </c>
      <c r="M163" t="s">
        <v>611</v>
      </c>
      <c r="N163" s="109">
        <v>8000</v>
      </c>
      <c r="O163" s="109">
        <v>175</v>
      </c>
      <c r="P163" s="109"/>
      <c r="Q163" s="97">
        <v>0.21</v>
      </c>
      <c r="R163" s="90">
        <v>14.25</v>
      </c>
      <c r="S163" s="110">
        <v>1375</v>
      </c>
      <c r="T163" s="111">
        <v>19555.3</v>
      </c>
      <c r="W163">
        <f>IFERROR(VLOOKUP(J163,'Pivot-RC'!$A$4:$B$170,2,FALSE),"")</f>
        <v>1336</v>
      </c>
      <c r="X163" s="89">
        <f t="shared" si="19"/>
        <v>1142280</v>
      </c>
      <c r="Y163" s="90">
        <f>IFERROR((VLOOKUP(CONCATENATE(C163,N163),'LED Costs-Lumen -slide 22'!$N$6:$O$42,2,FALSE)*W163),"")</f>
        <v>688961.84000000008</v>
      </c>
      <c r="Z163" s="111">
        <f>IFERROR((VLOOKUP(CONCATENATE(C163,O163),'LED Costs-Watt -slide 22'!$N$6:$O$36,2,FALSE)*W163),"")</f>
        <v>1479740.24</v>
      </c>
      <c r="AA163">
        <v>1</v>
      </c>
      <c r="AB163">
        <v>2</v>
      </c>
      <c r="AC163">
        <v>3</v>
      </c>
    </row>
    <row r="164" spans="1:29" x14ac:dyDescent="0.3">
      <c r="A164" t="s">
        <v>652</v>
      </c>
      <c r="B164" t="s">
        <v>625</v>
      </c>
      <c r="C164" t="s">
        <v>609</v>
      </c>
      <c r="D164" t="s">
        <v>656</v>
      </c>
      <c r="I164">
        <v>14</v>
      </c>
      <c r="J164" t="str">
        <f t="shared" si="20"/>
        <v>KU- TENN14</v>
      </c>
      <c r="K164" t="s">
        <v>621</v>
      </c>
      <c r="L164" t="s">
        <v>743</v>
      </c>
      <c r="N164" s="109">
        <v>5800</v>
      </c>
      <c r="O164" s="109">
        <v>70</v>
      </c>
      <c r="P164" s="109"/>
      <c r="Q164" s="97">
        <v>8.3000000000000004E-2</v>
      </c>
      <c r="R164" s="90">
        <v>28.88</v>
      </c>
      <c r="S164" s="110">
        <v>0</v>
      </c>
      <c r="T164" s="111"/>
      <c r="W164" t="str">
        <f>IFERROR(VLOOKUP(J164,'Pivot-RC'!$A$4:$B$170,2,FALSE),"")</f>
        <v/>
      </c>
      <c r="X164" s="90" t="str">
        <f t="shared" si="19"/>
        <v/>
      </c>
      <c r="Y164" s="90" t="str">
        <f>IFERROR((VLOOKUP(CONCATENATE(C164,N164),'LED Costs-Lumen -slide 22'!$N$6:$O$42,2,FALSE)*W164),"")</f>
        <v/>
      </c>
      <c r="Z164" s="111" t="str">
        <f>IFERROR((VLOOKUP(CONCATENATE(C164,O164),'LED Costs-Watt -slide 22'!$N$6:$O$36,2,FALSE)*W164),"")</f>
        <v/>
      </c>
    </row>
    <row r="165" spans="1:29" x14ac:dyDescent="0.3">
      <c r="A165" t="s">
        <v>652</v>
      </c>
      <c r="B165" t="s">
        <v>625</v>
      </c>
      <c r="C165" t="s">
        <v>609</v>
      </c>
      <c r="D165" t="s">
        <v>656</v>
      </c>
      <c r="I165">
        <v>15</v>
      </c>
      <c r="J165" t="str">
        <f t="shared" si="20"/>
        <v>KU- TENN15</v>
      </c>
      <c r="K165" t="s">
        <v>621</v>
      </c>
      <c r="L165" t="s">
        <v>743</v>
      </c>
      <c r="N165" s="109">
        <v>9500</v>
      </c>
      <c r="O165" s="109">
        <v>100</v>
      </c>
      <c r="P165" s="109"/>
      <c r="Q165" s="97">
        <v>0.11700000000000001</v>
      </c>
      <c r="R165" s="90">
        <v>29.39</v>
      </c>
      <c r="S165" s="110">
        <v>0</v>
      </c>
      <c r="T165" s="111"/>
      <c r="W165" t="str">
        <f>IFERROR(VLOOKUP(J165,'Pivot-RC'!$A$4:$B$170,2,FALSE),"")</f>
        <v/>
      </c>
      <c r="X165" s="90" t="str">
        <f t="shared" si="19"/>
        <v/>
      </c>
      <c r="Y165" s="90" t="str">
        <f>IFERROR((VLOOKUP(CONCATENATE(C165,N165),'LED Costs-Lumen -slide 22'!$N$6:$O$42,2,FALSE)*W165),"")</f>
        <v/>
      </c>
      <c r="Z165" s="111" t="str">
        <f>IFERROR((VLOOKUP(CONCATENATE(C165,O165),'LED Costs-Watt -slide 22'!$N$6:$O$36,2,FALSE)*W165),"")</f>
        <v/>
      </c>
    </row>
    <row r="166" spans="1:29" x14ac:dyDescent="0.3">
      <c r="A166" t="s">
        <v>630</v>
      </c>
      <c r="B166" t="s">
        <v>576</v>
      </c>
      <c r="C166" t="s">
        <v>609</v>
      </c>
      <c r="D166" t="s">
        <v>656</v>
      </c>
      <c r="E166" t="str">
        <f>IF(V166="PO-R","Group 4 - Pole only or Restricted Class",IF(N166&lt;=12000,"Group 1 - &lt; 12,000 Lumens",IF(N166&gt;=107000,"Group 3 - &gt; 100,000 Lumens","Group 2 - Between 12,000 and 100,000 Lumens")))</f>
        <v>Group 1 - &lt; 12,000 Lumens</v>
      </c>
      <c r="F166" t="str">
        <f>IF(M166="Fixture Only","Without Pole","With Pole")</f>
        <v>With Pole</v>
      </c>
      <c r="I166">
        <v>417</v>
      </c>
      <c r="J166" t="str">
        <f t="shared" si="20"/>
        <v>LGE417</v>
      </c>
      <c r="K166" t="s">
        <v>644</v>
      </c>
      <c r="L166" t="s">
        <v>743</v>
      </c>
      <c r="M166" t="s">
        <v>611</v>
      </c>
      <c r="N166" s="109">
        <v>9500</v>
      </c>
      <c r="O166" s="109">
        <v>100</v>
      </c>
      <c r="P166" s="109"/>
      <c r="Q166" s="97">
        <v>0.11700000000000001</v>
      </c>
      <c r="R166" s="90">
        <v>23.69</v>
      </c>
      <c r="S166" s="110">
        <v>48</v>
      </c>
      <c r="T166" s="111">
        <v>1136.97</v>
      </c>
      <c r="W166">
        <f>IFERROR(VLOOKUP(J166,'Pivot-RC'!$A$4:$B$170,2,FALSE),"")</f>
        <v>49</v>
      </c>
      <c r="X166" s="89">
        <f t="shared" si="19"/>
        <v>69648.600000000006</v>
      </c>
      <c r="Y166" s="90">
        <f>IFERROR((VLOOKUP(CONCATENATE(C166,N166),'LED Costs-Lumen -slide 22'!$N$6:$O$42,2,FALSE)*W166),"")</f>
        <v>25268.81</v>
      </c>
      <c r="Z166" s="111">
        <f>IFERROR((VLOOKUP(CONCATENATE(C166,O166),'LED Costs-Watt -slide 22'!$N$6:$O$36,2,FALSE)*W166),"")</f>
        <v>35900.829999999994</v>
      </c>
      <c r="AC166">
        <v>3</v>
      </c>
    </row>
    <row r="167" spans="1:29" x14ac:dyDescent="0.3">
      <c r="A167" t="s">
        <v>630</v>
      </c>
      <c r="B167" t="s">
        <v>576</v>
      </c>
      <c r="C167" t="s">
        <v>609</v>
      </c>
      <c r="D167" t="s">
        <v>656</v>
      </c>
      <c r="E167" t="str">
        <f>IF(V167="PO-R","Group 4 - Pole only or Restricted Class",IF(N167&lt;=12000,"Group 1 - &lt; 12,000 Lumens",IF(N167&gt;=107000,"Group 3 - &gt; 100,000 Lumens","Group 2 - Between 12,000 and 100,000 Lumens")))</f>
        <v>Group 2 - Between 12,000 and 100,000 Lumens</v>
      </c>
      <c r="F167" t="str">
        <f>IF(M167="Fixture Only","Without Pole","With Pole")</f>
        <v>With Pole</v>
      </c>
      <c r="I167">
        <v>419</v>
      </c>
      <c r="J167" t="str">
        <f t="shared" si="20"/>
        <v>LGE419</v>
      </c>
      <c r="K167" t="s">
        <v>644</v>
      </c>
      <c r="L167" t="s">
        <v>743</v>
      </c>
      <c r="M167" t="s">
        <v>611</v>
      </c>
      <c r="N167" s="109">
        <v>16000</v>
      </c>
      <c r="O167" s="109">
        <v>150</v>
      </c>
      <c r="P167" s="109"/>
      <c r="Q167" s="97">
        <v>0.18</v>
      </c>
      <c r="R167" s="90">
        <v>24.79</v>
      </c>
      <c r="S167" s="110">
        <v>119</v>
      </c>
      <c r="T167" s="111">
        <v>2948.43</v>
      </c>
      <c r="W167">
        <f>IFERROR(VLOOKUP(J167,'Pivot-RC'!$A$4:$B$170,2,FALSE),"")</f>
        <v>119</v>
      </c>
      <c r="X167" s="89">
        <f t="shared" si="19"/>
        <v>177000.59999999998</v>
      </c>
      <c r="Y167" s="90">
        <f>IFERROR((VLOOKUP(CONCATENATE(C167,N167),'LED Costs-Lumen -slide 22'!$N$6:$O$42,2,FALSE)*W167),"")</f>
        <v>87187.73</v>
      </c>
      <c r="Z167" s="111">
        <f>IFERROR((VLOOKUP(CONCATENATE(C167,O167),'LED Costs-Watt -slide 22'!$N$6:$O$36,2,FALSE)*W167),"")</f>
        <v>87187.73</v>
      </c>
      <c r="AC167">
        <v>3</v>
      </c>
    </row>
    <row r="168" spans="1:29" x14ac:dyDescent="0.3">
      <c r="A168" t="s">
        <v>652</v>
      </c>
      <c r="B168" t="s">
        <v>625</v>
      </c>
      <c r="C168" t="s">
        <v>609</v>
      </c>
      <c r="D168" t="s">
        <v>656</v>
      </c>
      <c r="I168">
        <v>6</v>
      </c>
      <c r="J168" t="str">
        <f t="shared" si="20"/>
        <v>KU- TENN6</v>
      </c>
      <c r="K168" t="s">
        <v>654</v>
      </c>
      <c r="L168" t="s">
        <v>743</v>
      </c>
      <c r="N168" s="109">
        <v>4000</v>
      </c>
      <c r="O168" s="109">
        <v>50</v>
      </c>
      <c r="P168" s="109"/>
      <c r="Q168" s="97">
        <v>0.06</v>
      </c>
      <c r="R168" s="90">
        <v>18.899999999999999</v>
      </c>
      <c r="S168" s="110">
        <v>0</v>
      </c>
      <c r="T168" s="111"/>
      <c r="W168" t="str">
        <f>IFERROR(VLOOKUP(J168,'Pivot-RC'!$A$4:$B$170,2,FALSE),"")</f>
        <v/>
      </c>
      <c r="X168" s="90" t="str">
        <f t="shared" si="19"/>
        <v/>
      </c>
      <c r="Y168" s="90" t="str">
        <f>IFERROR((VLOOKUP(CONCATENATE(C168,N168),'LED Costs-Lumen -slide 22'!$N$6:$O$42,2,FALSE)*W168),"")</f>
        <v/>
      </c>
      <c r="Z168" s="111" t="str">
        <f>IFERROR((VLOOKUP(CONCATENATE(C168,O168),'LED Costs-Watt -slide 22'!$N$6:$O$36,2,FALSE)*W168),"")</f>
        <v/>
      </c>
    </row>
    <row r="169" spans="1:29" x14ac:dyDescent="0.3">
      <c r="A169" t="s">
        <v>652</v>
      </c>
      <c r="B169" t="s">
        <v>625</v>
      </c>
      <c r="C169" t="s">
        <v>609</v>
      </c>
      <c r="D169" t="s">
        <v>656</v>
      </c>
      <c r="I169">
        <v>8</v>
      </c>
      <c r="J169" t="str">
        <f t="shared" si="20"/>
        <v>KU- TENN8</v>
      </c>
      <c r="K169" t="s">
        <v>654</v>
      </c>
      <c r="L169" t="s">
        <v>743</v>
      </c>
      <c r="N169" s="109">
        <v>5800</v>
      </c>
      <c r="O169" s="109">
        <v>70</v>
      </c>
      <c r="P169" s="109"/>
      <c r="Q169" s="97">
        <v>8.3000000000000004E-2</v>
      </c>
      <c r="R169" s="90">
        <v>19.78</v>
      </c>
      <c r="S169" s="110">
        <v>0</v>
      </c>
      <c r="T169" s="111"/>
      <c r="W169" t="str">
        <f>IFERROR(VLOOKUP(J169,'Pivot-RC'!$A$4:$B$170,2,FALSE),"")</f>
        <v/>
      </c>
      <c r="X169" s="90" t="str">
        <f t="shared" si="19"/>
        <v/>
      </c>
      <c r="Y169" s="90" t="str">
        <f>IFERROR((VLOOKUP(CONCATENATE(C169,N169),'LED Costs-Lumen -slide 22'!$N$6:$O$42,2,FALSE)*W169),"")</f>
        <v/>
      </c>
      <c r="Z169" s="111" t="str">
        <f>IFERROR((VLOOKUP(CONCATENATE(C169,O169),'LED Costs-Watt -slide 22'!$N$6:$O$36,2,FALSE)*W169),"")</f>
        <v/>
      </c>
    </row>
    <row r="170" spans="1:29" x14ac:dyDescent="0.3">
      <c r="A170" t="s">
        <v>652</v>
      </c>
      <c r="B170" t="s">
        <v>625</v>
      </c>
      <c r="C170" t="s">
        <v>609</v>
      </c>
      <c r="D170" t="s">
        <v>656</v>
      </c>
      <c r="I170">
        <v>10</v>
      </c>
      <c r="J170" t="str">
        <f t="shared" si="20"/>
        <v>KU- TENN10</v>
      </c>
      <c r="K170" t="s">
        <v>654</v>
      </c>
      <c r="L170" t="s">
        <v>743</v>
      </c>
      <c r="N170" s="109">
        <v>9500</v>
      </c>
      <c r="O170" s="109">
        <v>100</v>
      </c>
      <c r="P170" s="109"/>
      <c r="Q170" s="97">
        <v>0.11700000000000001</v>
      </c>
      <c r="R170" s="90">
        <v>20.52</v>
      </c>
      <c r="S170" s="110">
        <v>0</v>
      </c>
      <c r="T170" s="111"/>
      <c r="W170" t="str">
        <f>IFERROR(VLOOKUP(J170,'Pivot-RC'!$A$4:$B$170,2,FALSE),"")</f>
        <v/>
      </c>
      <c r="X170" s="90" t="str">
        <f t="shared" si="19"/>
        <v/>
      </c>
      <c r="Y170" s="90" t="str">
        <f>IFERROR((VLOOKUP(CONCATENATE(C170,N170),'LED Costs-Lumen -slide 22'!$N$6:$O$42,2,FALSE)*W170),"")</f>
        <v/>
      </c>
      <c r="Z170" s="111" t="str">
        <f>IFERROR((VLOOKUP(CONCATENATE(C170,O170),'LED Costs-Watt -slide 22'!$N$6:$O$36,2,FALSE)*W170),"")</f>
        <v/>
      </c>
    </row>
    <row r="171" spans="1:29" x14ac:dyDescent="0.3">
      <c r="A171" t="s">
        <v>652</v>
      </c>
      <c r="B171" t="s">
        <v>625</v>
      </c>
      <c r="C171" t="s">
        <v>609</v>
      </c>
      <c r="D171" t="s">
        <v>656</v>
      </c>
      <c r="I171">
        <v>5</v>
      </c>
      <c r="J171" t="str">
        <f t="shared" si="20"/>
        <v>KU- TENN5</v>
      </c>
      <c r="K171" t="s">
        <v>653</v>
      </c>
      <c r="L171" t="s">
        <v>743</v>
      </c>
      <c r="N171" s="109">
        <v>4000</v>
      </c>
      <c r="O171" s="109">
        <v>50</v>
      </c>
      <c r="P171" s="109"/>
      <c r="Q171" s="97">
        <v>0.06</v>
      </c>
      <c r="R171" s="90">
        <v>12.51</v>
      </c>
      <c r="S171" s="110">
        <v>0</v>
      </c>
      <c r="T171" s="111"/>
      <c r="W171" t="str">
        <f>IFERROR(VLOOKUP(J171,'Pivot-RC'!$A$4:$B$170,2,FALSE),"")</f>
        <v/>
      </c>
      <c r="X171" s="90" t="str">
        <f t="shared" si="19"/>
        <v/>
      </c>
      <c r="Y171" s="90" t="str">
        <f>IFERROR((VLOOKUP(CONCATENATE(C171,N171),'LED Costs-Lumen -slide 22'!$N$6:$O$42,2,FALSE)*W171),"")</f>
        <v/>
      </c>
      <c r="Z171" s="111" t="str">
        <f>IFERROR((VLOOKUP(CONCATENATE(C171,O171),'LED Costs-Watt -slide 22'!$N$6:$O$36,2,FALSE)*W171),"")</f>
        <v/>
      </c>
    </row>
    <row r="172" spans="1:29" x14ac:dyDescent="0.3">
      <c r="A172" t="s">
        <v>652</v>
      </c>
      <c r="B172" t="s">
        <v>625</v>
      </c>
      <c r="C172" t="s">
        <v>609</v>
      </c>
      <c r="D172" t="s">
        <v>656</v>
      </c>
      <c r="I172">
        <v>7</v>
      </c>
      <c r="J172" t="str">
        <f t="shared" si="20"/>
        <v>KU- TENN7</v>
      </c>
      <c r="K172" t="s">
        <v>653</v>
      </c>
      <c r="L172" t="s">
        <v>743</v>
      </c>
      <c r="N172" s="109">
        <v>5800</v>
      </c>
      <c r="O172" s="109">
        <v>70</v>
      </c>
      <c r="P172" s="109"/>
      <c r="Q172" s="97">
        <v>8.3000000000000004E-2</v>
      </c>
      <c r="R172" s="90">
        <v>13.5</v>
      </c>
      <c r="S172" s="110">
        <v>0</v>
      </c>
      <c r="T172" s="111"/>
      <c r="W172" t="str">
        <f>IFERROR(VLOOKUP(J172,'Pivot-RC'!$A$4:$B$170,2,FALSE),"")</f>
        <v/>
      </c>
      <c r="X172" s="90" t="str">
        <f t="shared" si="19"/>
        <v/>
      </c>
      <c r="Y172" s="90" t="str">
        <f>IFERROR((VLOOKUP(CONCATENATE(C172,N172),'LED Costs-Lumen -slide 22'!$N$6:$O$42,2,FALSE)*W172),"")</f>
        <v/>
      </c>
      <c r="Z172" s="111" t="str">
        <f>IFERROR((VLOOKUP(CONCATENATE(C172,O172),'LED Costs-Watt -slide 22'!$N$6:$O$36,2,FALSE)*W172),"")</f>
        <v/>
      </c>
    </row>
    <row r="173" spans="1:29" x14ac:dyDescent="0.3">
      <c r="A173" t="s">
        <v>652</v>
      </c>
      <c r="B173" t="s">
        <v>625</v>
      </c>
      <c r="C173" t="s">
        <v>609</v>
      </c>
      <c r="D173" t="s">
        <v>656</v>
      </c>
      <c r="I173">
        <v>9</v>
      </c>
      <c r="J173" t="str">
        <f t="shared" si="20"/>
        <v>KU- TENN9</v>
      </c>
      <c r="K173" t="s">
        <v>653</v>
      </c>
      <c r="L173" t="s">
        <v>743</v>
      </c>
      <c r="N173" s="109">
        <v>9500</v>
      </c>
      <c r="O173" s="109">
        <v>100</v>
      </c>
      <c r="P173" s="109"/>
      <c r="Q173" s="97">
        <v>0.11700000000000001</v>
      </c>
      <c r="R173" s="90">
        <v>14.13</v>
      </c>
      <c r="S173" s="110">
        <v>0</v>
      </c>
      <c r="T173" s="111"/>
      <c r="W173" t="str">
        <f>IFERROR(VLOOKUP(J173,'Pivot-RC'!$A$4:$B$170,2,FALSE),"")</f>
        <v/>
      </c>
      <c r="X173" s="90" t="str">
        <f t="shared" si="19"/>
        <v/>
      </c>
      <c r="Y173" s="90" t="str">
        <f>IFERROR((VLOOKUP(CONCATENATE(C173,N173),'LED Costs-Lumen -slide 22'!$N$6:$O$42,2,FALSE)*W173),"")</f>
        <v/>
      </c>
      <c r="Z173" s="111" t="str">
        <f>IFERROR((VLOOKUP(CONCATENATE(C173,O173),'LED Costs-Watt -slide 22'!$N$6:$O$36,2,FALSE)*W173),"")</f>
        <v/>
      </c>
    </row>
    <row r="174" spans="1:29" x14ac:dyDescent="0.3">
      <c r="A174" t="s">
        <v>13</v>
      </c>
      <c r="B174" t="s">
        <v>575</v>
      </c>
      <c r="C174" t="s">
        <v>609</v>
      </c>
      <c r="D174" t="s">
        <v>656</v>
      </c>
      <c r="E174" t="str">
        <f t="shared" ref="E174:E184" si="21">IF(V174="PO-R","Group 4 - Pole only or Restricted Class",IF(N174&lt;=12000,"Group 1 - &lt; 12,000 Lumens",IF(N174&gt;=107000,"Group 3 - &gt; 100,000 Lumens","Group 2 - Between 12,000 and 100,000 Lumens")))</f>
        <v>Group 1 - &lt; 12,000 Lumens</v>
      </c>
      <c r="F174" t="str">
        <f t="shared" ref="F174:F184" si="22">IF(M174="Fixture Only","Without Pole","With Pole")</f>
        <v>With Pole</v>
      </c>
      <c r="I174">
        <v>401</v>
      </c>
      <c r="J174" t="str">
        <f t="shared" si="20"/>
        <v>KU401</v>
      </c>
      <c r="K174" t="s">
        <v>612</v>
      </c>
      <c r="L174" t="s">
        <v>743</v>
      </c>
      <c r="M174" t="s">
        <v>611</v>
      </c>
      <c r="N174" s="109">
        <v>5800</v>
      </c>
      <c r="O174" s="109">
        <v>70</v>
      </c>
      <c r="P174" s="109"/>
      <c r="Q174" s="97">
        <v>8.3000000000000004E-2</v>
      </c>
      <c r="R174" s="90">
        <v>16.09</v>
      </c>
      <c r="S174" s="110">
        <v>52</v>
      </c>
      <c r="T174" s="111">
        <v>802.12</v>
      </c>
      <c r="U174" s="90"/>
      <c r="W174">
        <f>IFERROR(VLOOKUP(J174,'Pivot-RC'!$A$4:$B$170,2,FALSE),"")</f>
        <v>65</v>
      </c>
      <c r="X174" s="89">
        <f t="shared" si="19"/>
        <v>62750.999999999993</v>
      </c>
      <c r="Y174" s="90">
        <f>IFERROR((VLOOKUP(CONCATENATE(C174,N174),'LED Costs-Lumen -slide 22'!$N$6:$O$42,2,FALSE)*W174),"")</f>
        <v>78764.075000000012</v>
      </c>
      <c r="Z174" s="111">
        <f>IFERROR((VLOOKUP(CONCATENATE(C174,O174),'LED Costs-Watt -slide 22'!$N$6:$O$36,2,FALSE)*W174),"")</f>
        <v>78763.75</v>
      </c>
    </row>
    <row r="175" spans="1:29" x14ac:dyDescent="0.3">
      <c r="A175" t="s">
        <v>13</v>
      </c>
      <c r="B175" t="s">
        <v>575</v>
      </c>
      <c r="C175" t="s">
        <v>609</v>
      </c>
      <c r="D175" t="s">
        <v>656</v>
      </c>
      <c r="E175" t="str">
        <f t="shared" si="21"/>
        <v>Group 1 - &lt; 12,000 Lumens</v>
      </c>
      <c r="F175" t="str">
        <f t="shared" si="22"/>
        <v>With Pole</v>
      </c>
      <c r="I175">
        <v>411</v>
      </c>
      <c r="J175" t="str">
        <f t="shared" si="20"/>
        <v>KU411</v>
      </c>
      <c r="K175" t="s">
        <v>612</v>
      </c>
      <c r="L175" t="s">
        <v>743</v>
      </c>
      <c r="M175" t="s">
        <v>613</v>
      </c>
      <c r="N175" s="109">
        <v>5800</v>
      </c>
      <c r="O175" s="109">
        <v>70</v>
      </c>
      <c r="P175" s="109"/>
      <c r="Q175" s="97">
        <v>8.3000000000000004E-2</v>
      </c>
      <c r="R175" s="90">
        <v>23.15</v>
      </c>
      <c r="S175" s="110">
        <v>148</v>
      </c>
      <c r="T175" s="111">
        <v>3268.57</v>
      </c>
      <c r="W175">
        <f>IFERROR(VLOOKUP(J175,'Pivot-RC'!$A$4:$B$170,2,FALSE),"")</f>
        <v>145</v>
      </c>
      <c r="X175" s="89">
        <f t="shared" si="19"/>
        <v>201405</v>
      </c>
      <c r="Y175" s="90">
        <f>IFERROR((VLOOKUP(CONCATENATE(C175,N175),'LED Costs-Lumen -slide 22'!$N$6:$O$42,2,FALSE)*W175),"")</f>
        <v>175704.47500000001</v>
      </c>
      <c r="Z175" s="111">
        <f>IFERROR((VLOOKUP(CONCATENATE(C175,O175),'LED Costs-Watt -slide 22'!$N$6:$O$36,2,FALSE)*W175),"")</f>
        <v>175703.75</v>
      </c>
    </row>
    <row r="176" spans="1:29" x14ac:dyDescent="0.3">
      <c r="A176" t="s">
        <v>13</v>
      </c>
      <c r="B176" t="s">
        <v>575</v>
      </c>
      <c r="C176" t="s">
        <v>609</v>
      </c>
      <c r="D176" t="s">
        <v>656</v>
      </c>
      <c r="E176" t="str">
        <f t="shared" si="21"/>
        <v>Group 1 - &lt; 12,000 Lumens</v>
      </c>
      <c r="F176" t="str">
        <f t="shared" si="22"/>
        <v>With Pole</v>
      </c>
      <c r="I176">
        <v>420</v>
      </c>
      <c r="J176" t="str">
        <f t="shared" si="20"/>
        <v>KU420</v>
      </c>
      <c r="K176" t="s">
        <v>612</v>
      </c>
      <c r="L176" t="s">
        <v>743</v>
      </c>
      <c r="M176" t="s">
        <v>611</v>
      </c>
      <c r="N176" s="109">
        <v>9500</v>
      </c>
      <c r="O176" s="109">
        <v>150</v>
      </c>
      <c r="P176" s="109"/>
      <c r="Q176" s="97">
        <v>0.11700000000000001</v>
      </c>
      <c r="R176" s="90">
        <v>16.63</v>
      </c>
      <c r="S176" s="110">
        <v>512</v>
      </c>
      <c r="T176" s="111">
        <v>8089.75</v>
      </c>
      <c r="U176" s="90"/>
      <c r="W176">
        <f>IFERROR(VLOOKUP(J176,'Pivot-RC'!$A$4:$B$170,2,FALSE),"")</f>
        <v>537</v>
      </c>
      <c r="X176" s="89">
        <f t="shared" si="19"/>
        <v>535818.6</v>
      </c>
      <c r="Y176" s="90">
        <f>IFERROR((VLOOKUP(CONCATENATE(C176,N176),'LED Costs-Lumen -slide 22'!$N$6:$O$42,2,FALSE)*W176),"")</f>
        <v>276925.53000000003</v>
      </c>
      <c r="Z176" s="111">
        <f>IFERROR((VLOOKUP(CONCATENATE(C176,O176),'LED Costs-Watt -slide 22'!$N$6:$O$36,2,FALSE)*W176),"")</f>
        <v>393443.79</v>
      </c>
    </row>
    <row r="177" spans="1:29" x14ac:dyDescent="0.3">
      <c r="A177" t="s">
        <v>13</v>
      </c>
      <c r="B177" t="s">
        <v>575</v>
      </c>
      <c r="C177" t="s">
        <v>609</v>
      </c>
      <c r="D177" t="s">
        <v>656</v>
      </c>
      <c r="E177" t="str">
        <f t="shared" si="21"/>
        <v>Group 1 - &lt; 12,000 Lumens</v>
      </c>
      <c r="F177" t="str">
        <f t="shared" si="22"/>
        <v>With Pole</v>
      </c>
      <c r="I177">
        <v>430</v>
      </c>
      <c r="J177" t="str">
        <f t="shared" si="20"/>
        <v>KU430</v>
      </c>
      <c r="K177" t="s">
        <v>612</v>
      </c>
      <c r="L177" t="s">
        <v>743</v>
      </c>
      <c r="M177" t="s">
        <v>613</v>
      </c>
      <c r="N177" s="109">
        <v>9500</v>
      </c>
      <c r="O177" s="109">
        <v>100</v>
      </c>
      <c r="P177" s="109"/>
      <c r="Q177" s="97">
        <v>0.11700000000000001</v>
      </c>
      <c r="R177" s="90">
        <v>23.82</v>
      </c>
      <c r="S177" s="110">
        <v>1260</v>
      </c>
      <c r="T177" s="111">
        <v>28579.75</v>
      </c>
      <c r="W177">
        <f>IFERROR(VLOOKUP(J177,'Pivot-RC'!$A$4:$B$170,2,FALSE),"")</f>
        <v>1254</v>
      </c>
      <c r="X177" s="89">
        <f t="shared" si="19"/>
        <v>1792216.7999999998</v>
      </c>
      <c r="Y177" s="90">
        <f>IFERROR((VLOOKUP(CONCATENATE(C177,N177),'LED Costs-Lumen -slide 22'!$N$6:$O$42,2,FALSE)*W177),"")</f>
        <v>646675.26000000013</v>
      </c>
      <c r="Z177" s="111">
        <f>IFERROR((VLOOKUP(CONCATENATE(C177,O177),'LED Costs-Watt -slide 22'!$N$6:$O$36,2,FALSE)*W177),"")</f>
        <v>918768.17999999993</v>
      </c>
    </row>
    <row r="178" spans="1:29" x14ac:dyDescent="0.3">
      <c r="A178" t="s">
        <v>13</v>
      </c>
      <c r="B178" t="s">
        <v>576</v>
      </c>
      <c r="C178" t="s">
        <v>609</v>
      </c>
      <c r="D178" t="s">
        <v>656</v>
      </c>
      <c r="E178" t="str">
        <f t="shared" si="21"/>
        <v>Group 1 - &lt; 12,000 Lumens</v>
      </c>
      <c r="F178" t="str">
        <f t="shared" si="22"/>
        <v>With Pole</v>
      </c>
      <c r="I178">
        <v>440</v>
      </c>
      <c r="J178" t="str">
        <f t="shared" si="20"/>
        <v>KU440</v>
      </c>
      <c r="K178" t="s">
        <v>612</v>
      </c>
      <c r="L178" t="s">
        <v>743</v>
      </c>
      <c r="M178" t="s">
        <v>611</v>
      </c>
      <c r="N178" s="109">
        <v>4000</v>
      </c>
      <c r="O178" s="109">
        <v>250</v>
      </c>
      <c r="P178" s="109"/>
      <c r="Q178" s="97">
        <v>0.06</v>
      </c>
      <c r="R178" s="90">
        <v>14.74</v>
      </c>
      <c r="S178" s="110">
        <v>2</v>
      </c>
      <c r="T178" s="111">
        <v>28.37</v>
      </c>
      <c r="U178" s="112"/>
      <c r="W178">
        <f>IFERROR(VLOOKUP(J178,'Pivot-RC'!$A$4:$B$170,2,FALSE),"")</f>
        <v>2</v>
      </c>
      <c r="X178" s="89">
        <f t="shared" si="19"/>
        <v>1768.8</v>
      </c>
      <c r="Y178" s="90">
        <f>IFERROR((VLOOKUP(CONCATENATE(C178,N178),'LED Costs-Lumen -slide 22'!$N$6:$O$42,2,FALSE)*W178),"")</f>
        <v>2423.5100000000002</v>
      </c>
      <c r="Z178" s="111">
        <f>IFERROR((VLOOKUP(CONCATENATE(C178,O178),'LED Costs-Watt -slide 22'!$N$6:$O$36,2,FALSE)*W178),"")</f>
        <v>2215.1799999999998</v>
      </c>
      <c r="AC178">
        <v>3</v>
      </c>
    </row>
    <row r="179" spans="1:29" x14ac:dyDescent="0.3">
      <c r="A179" t="s">
        <v>13</v>
      </c>
      <c r="B179" t="s">
        <v>576</v>
      </c>
      <c r="C179" t="s">
        <v>609</v>
      </c>
      <c r="D179" t="s">
        <v>656</v>
      </c>
      <c r="E179" t="str">
        <f t="shared" si="21"/>
        <v>Group 1 - &lt; 12,000 Lumens</v>
      </c>
      <c r="F179" t="str">
        <f t="shared" si="22"/>
        <v>With Pole</v>
      </c>
      <c r="I179">
        <v>410</v>
      </c>
      <c r="J179" t="str">
        <f t="shared" si="20"/>
        <v>KU410</v>
      </c>
      <c r="K179" t="s">
        <v>612</v>
      </c>
      <c r="L179" t="s">
        <v>743</v>
      </c>
      <c r="M179" t="s">
        <v>613</v>
      </c>
      <c r="N179" s="109">
        <v>4000</v>
      </c>
      <c r="O179" s="109">
        <v>50</v>
      </c>
      <c r="P179" s="109"/>
      <c r="Q179" s="97">
        <v>0.06</v>
      </c>
      <c r="R179" s="90">
        <v>21.94</v>
      </c>
      <c r="S179" s="110">
        <v>240</v>
      </c>
      <c r="T179" s="111">
        <v>4976.62</v>
      </c>
      <c r="W179">
        <f>IFERROR(VLOOKUP(J179,'Pivot-RC'!$A$4:$B$170,2,FALSE),"")</f>
        <v>240</v>
      </c>
      <c r="X179" s="89">
        <f t="shared" si="19"/>
        <v>315936</v>
      </c>
      <c r="Y179" s="90">
        <f>IFERROR((VLOOKUP(CONCATENATE(C179,N179),'LED Costs-Lumen -slide 22'!$N$6:$O$42,2,FALSE)*W179),"")</f>
        <v>290821.2</v>
      </c>
      <c r="Z179" s="111">
        <f>IFERROR((VLOOKUP(CONCATENATE(C179,O179),'LED Costs-Watt -slide 22'!$N$6:$O$36,2,FALSE)*W179),"")</f>
        <v>290820</v>
      </c>
      <c r="AC179">
        <v>3</v>
      </c>
    </row>
    <row r="180" spans="1:29" x14ac:dyDescent="0.3">
      <c r="A180" t="s">
        <v>630</v>
      </c>
      <c r="B180" t="s">
        <v>575</v>
      </c>
      <c r="C180" t="s">
        <v>609</v>
      </c>
      <c r="D180" t="s">
        <v>656</v>
      </c>
      <c r="E180" t="str">
        <f t="shared" si="21"/>
        <v>Group 1 - &lt; 12,000 Lumens</v>
      </c>
      <c r="F180" t="str">
        <f t="shared" si="22"/>
        <v>With Pole</v>
      </c>
      <c r="I180">
        <v>415</v>
      </c>
      <c r="J180" t="str">
        <f t="shared" si="20"/>
        <v>LGE415</v>
      </c>
      <c r="K180" t="s">
        <v>612</v>
      </c>
      <c r="L180" t="s">
        <v>743</v>
      </c>
      <c r="M180" t="s">
        <v>611</v>
      </c>
      <c r="N180" s="109">
        <v>5800</v>
      </c>
      <c r="O180" s="109">
        <v>70</v>
      </c>
      <c r="P180" s="109"/>
      <c r="Q180" s="97">
        <v>8.3000000000000004E-2</v>
      </c>
      <c r="R180" s="90">
        <v>20.190000000000001</v>
      </c>
      <c r="S180" s="110">
        <v>47</v>
      </c>
      <c r="T180" s="111">
        <v>948.77</v>
      </c>
      <c r="W180">
        <f>IFERROR(VLOOKUP(J180,'Pivot-RC'!$A$4:$B$170,2,FALSE),"")</f>
        <v>47</v>
      </c>
      <c r="X180" s="89">
        <f t="shared" si="19"/>
        <v>56935.8</v>
      </c>
      <c r="Y180" s="90">
        <f>IFERROR((VLOOKUP(CONCATENATE(C180,N180),'LED Costs-Lumen -slide 22'!$N$6:$O$42,2,FALSE)*W180),"")</f>
        <v>56952.485000000008</v>
      </c>
      <c r="Z180" s="111">
        <f>IFERROR((VLOOKUP(CONCATENATE(C180,O180),'LED Costs-Watt -slide 22'!$N$6:$O$36,2,FALSE)*W180),"")</f>
        <v>56952.25</v>
      </c>
    </row>
    <row r="181" spans="1:29" x14ac:dyDescent="0.3">
      <c r="A181" t="s">
        <v>630</v>
      </c>
      <c r="B181" t="s">
        <v>575</v>
      </c>
      <c r="C181" t="s">
        <v>609</v>
      </c>
      <c r="D181" t="s">
        <v>656</v>
      </c>
      <c r="E181" t="str">
        <f t="shared" si="21"/>
        <v>Group 1 - &lt; 12,000 Lumens</v>
      </c>
      <c r="F181" t="str">
        <f t="shared" si="22"/>
        <v>With Pole</v>
      </c>
      <c r="I181">
        <v>416</v>
      </c>
      <c r="J181" t="str">
        <f t="shared" si="20"/>
        <v>LGE416</v>
      </c>
      <c r="K181" t="s">
        <v>612</v>
      </c>
      <c r="L181" t="s">
        <v>743</v>
      </c>
      <c r="M181" t="s">
        <v>611</v>
      </c>
      <c r="N181" s="109">
        <v>9500</v>
      </c>
      <c r="O181" s="109">
        <v>100</v>
      </c>
      <c r="P181" s="109"/>
      <c r="Q181" s="97">
        <v>0.11700000000000001</v>
      </c>
      <c r="R181" s="90">
        <v>22.57</v>
      </c>
      <c r="S181" s="110">
        <v>1968</v>
      </c>
      <c r="T181" s="111">
        <v>44309.41</v>
      </c>
      <c r="W181">
        <f>IFERROR(VLOOKUP(J181,'Pivot-RC'!$A$4:$B$170,2,FALSE),"")</f>
        <v>2011</v>
      </c>
      <c r="X181" s="89">
        <f t="shared" si="19"/>
        <v>2723296.2</v>
      </c>
      <c r="Y181" s="90">
        <f>IFERROR((VLOOKUP(CONCATENATE(C181,N181),'LED Costs-Lumen -slide 22'!$N$6:$O$42,2,FALSE)*W181),"")</f>
        <v>1037052.5900000001</v>
      </c>
      <c r="Z181" s="111">
        <f>IFERROR((VLOOKUP(CONCATENATE(C181,O181),'LED Costs-Watt -slide 22'!$N$6:$O$36,2,FALSE)*W181),"")</f>
        <v>1473399.3699999999</v>
      </c>
    </row>
    <row r="182" spans="1:29" x14ac:dyDescent="0.3">
      <c r="A182" t="s">
        <v>630</v>
      </c>
      <c r="B182" t="s">
        <v>575</v>
      </c>
      <c r="C182" t="s">
        <v>609</v>
      </c>
      <c r="D182" t="s">
        <v>656</v>
      </c>
      <c r="E182" t="str">
        <f t="shared" si="21"/>
        <v>Group 2 - Between 12,000 and 100,000 Lumens</v>
      </c>
      <c r="F182" t="str">
        <f t="shared" si="22"/>
        <v>With Pole</v>
      </c>
      <c r="I182">
        <v>445</v>
      </c>
      <c r="J182" t="str">
        <f t="shared" si="20"/>
        <v>LGE445</v>
      </c>
      <c r="K182" t="s">
        <v>612</v>
      </c>
      <c r="L182" t="s">
        <v>743</v>
      </c>
      <c r="M182" t="s">
        <v>611</v>
      </c>
      <c r="N182" s="109">
        <v>16000</v>
      </c>
      <c r="O182" s="109">
        <v>150</v>
      </c>
      <c r="P182" s="109"/>
      <c r="Q182" s="97">
        <v>0.18099999999999999</v>
      </c>
      <c r="R182" s="90">
        <v>22.68</v>
      </c>
      <c r="S182" s="110" t="s">
        <v>748</v>
      </c>
      <c r="T182" s="111" t="s">
        <v>748</v>
      </c>
      <c r="W182">
        <f>IFERROR(VLOOKUP(J182,'Pivot-RC'!$A$4:$B$170,2,FALSE),"")</f>
        <v>19</v>
      </c>
      <c r="X182" s="89">
        <f t="shared" si="19"/>
        <v>25855.200000000001</v>
      </c>
      <c r="Y182" s="90">
        <f>IFERROR((VLOOKUP(CONCATENATE(C182,N182),'LED Costs-Lumen -slide 22'!$N$6:$O$42,2,FALSE)*W182),"")</f>
        <v>13920.73</v>
      </c>
      <c r="Z182" s="111">
        <f>IFERROR((VLOOKUP(CONCATENATE(C182,O182),'LED Costs-Watt -slide 22'!$N$6:$O$36,2,FALSE)*W182),"")</f>
        <v>13920.73</v>
      </c>
    </row>
    <row r="183" spans="1:29" x14ac:dyDescent="0.3">
      <c r="A183" t="s">
        <v>630</v>
      </c>
      <c r="B183" t="s">
        <v>576</v>
      </c>
      <c r="C183" t="s">
        <v>609</v>
      </c>
      <c r="D183" t="s">
        <v>639</v>
      </c>
      <c r="E183" t="str">
        <f t="shared" si="21"/>
        <v>Group 4 - Pole only or Restricted Class</v>
      </c>
      <c r="F183" t="str">
        <f t="shared" si="22"/>
        <v>With Pole</v>
      </c>
      <c r="I183">
        <v>901</v>
      </c>
      <c r="J183" t="str">
        <f t="shared" si="20"/>
        <v>LGE901</v>
      </c>
      <c r="K183" t="s">
        <v>648</v>
      </c>
      <c r="L183" t="s">
        <v>743</v>
      </c>
      <c r="M183" t="s">
        <v>639</v>
      </c>
      <c r="N183" t="s">
        <v>639</v>
      </c>
      <c r="O183" s="109">
        <v>0</v>
      </c>
      <c r="P183" s="109"/>
      <c r="Q183" s="97"/>
      <c r="R183" s="90">
        <v>10.82</v>
      </c>
      <c r="S183" s="110" t="s">
        <v>748</v>
      </c>
      <c r="T183" s="111" t="s">
        <v>748</v>
      </c>
      <c r="V183" t="s">
        <v>624</v>
      </c>
      <c r="W183" t="str">
        <f>IFERROR(VLOOKUP(J183,'Pivot-RC'!$A$4:$B$170,2,FALSE),"")</f>
        <v/>
      </c>
      <c r="X183" s="90" t="str">
        <f t="shared" si="19"/>
        <v/>
      </c>
      <c r="Y183" s="90" t="str">
        <f>IFERROR((VLOOKUP(CONCATENATE(C183,N183),'LED Costs-Lumen -slide 22'!$N$6:$O$42,2,FALSE)*W183),"")</f>
        <v/>
      </c>
      <c r="Z183" s="111" t="str">
        <f>IFERROR((VLOOKUP(CONCATENATE(C183,O183),'LED Costs-Watt -slide 22'!$N$6:$O$36,2,FALSE)*W183),"")</f>
        <v/>
      </c>
    </row>
    <row r="184" spans="1:29" x14ac:dyDescent="0.3">
      <c r="A184" t="s">
        <v>630</v>
      </c>
      <c r="B184" t="s">
        <v>576</v>
      </c>
      <c r="C184" t="s">
        <v>609</v>
      </c>
      <c r="D184" t="s">
        <v>639</v>
      </c>
      <c r="E184" t="str">
        <f t="shared" si="21"/>
        <v>Group 4 - Pole only or Restricted Class</v>
      </c>
      <c r="F184" t="str">
        <f t="shared" si="22"/>
        <v>With Pole</v>
      </c>
      <c r="I184">
        <v>902</v>
      </c>
      <c r="J184" t="str">
        <f t="shared" si="20"/>
        <v>LGE902</v>
      </c>
      <c r="K184" t="s">
        <v>649</v>
      </c>
      <c r="L184" t="s">
        <v>743</v>
      </c>
      <c r="M184" t="s">
        <v>639</v>
      </c>
      <c r="N184" t="s">
        <v>639</v>
      </c>
      <c r="O184" s="109">
        <v>0</v>
      </c>
      <c r="P184" s="109"/>
      <c r="Q184" s="97"/>
      <c r="R184" s="90">
        <v>12.91</v>
      </c>
      <c r="S184" s="110" t="s">
        <v>748</v>
      </c>
      <c r="T184" s="111" t="s">
        <v>748</v>
      </c>
      <c r="V184" t="s">
        <v>624</v>
      </c>
      <c r="W184" t="str">
        <f>IFERROR(VLOOKUP(J184,'Pivot-RC'!$A$4:$B$170,2,FALSE),"")</f>
        <v/>
      </c>
      <c r="X184" s="90" t="str">
        <f t="shared" si="19"/>
        <v/>
      </c>
      <c r="Y184" s="90" t="str">
        <f>IFERROR((VLOOKUP(CONCATENATE(C184,N184),'LED Costs-Lumen -slide 22'!$N$6:$O$42,2,FALSE)*W184),"")</f>
        <v/>
      </c>
      <c r="Z184" s="111" t="str">
        <f>IFERROR((VLOOKUP(CONCATENATE(C184,O184),'LED Costs-Watt -slide 22'!$N$6:$O$36,2,FALSE)*W184),"")</f>
        <v/>
      </c>
    </row>
    <row r="185" spans="1:29" x14ac:dyDescent="0.3">
      <c r="N185" s="109"/>
      <c r="O185" s="109"/>
      <c r="P185" s="109"/>
      <c r="Q185" s="97"/>
      <c r="R185" s="90"/>
      <c r="S185" s="90"/>
      <c r="T185" s="90"/>
    </row>
    <row r="186" spans="1:29" x14ac:dyDescent="0.3">
      <c r="N186" s="109"/>
      <c r="O186" s="109"/>
      <c r="P186" s="109"/>
      <c r="Q186" s="97"/>
      <c r="R186" s="90"/>
      <c r="S186" s="89">
        <f>SUBTOTAL(9,S2:S185)</f>
        <v>267355</v>
      </c>
      <c r="T186" s="90">
        <f>SUM(T2:T184)</f>
        <v>3810043.4699999993</v>
      </c>
      <c r="W186" s="89">
        <f>SUBTOTAL(9,W2:W185)</f>
        <v>270340</v>
      </c>
      <c r="X186" s="90">
        <f>SUBTOTAL(9,X2:X185)</f>
        <v>238436766.59999996</v>
      </c>
      <c r="Y186" s="223">
        <f t="shared" ref="Y186:Z186" si="23">SUBTOTAL(9,Y2:Y185)</f>
        <v>265753173.62500009</v>
      </c>
      <c r="Z186" s="223">
        <f t="shared" si="23"/>
        <v>287699172.16000003</v>
      </c>
    </row>
    <row r="187" spans="1:29" x14ac:dyDescent="0.3">
      <c r="N187" s="109"/>
      <c r="O187" s="109"/>
      <c r="P187" s="109"/>
      <c r="Q187" s="97"/>
      <c r="R187" s="90"/>
      <c r="S187" s="90"/>
      <c r="T187" s="90"/>
    </row>
    <row r="188" spans="1:29" x14ac:dyDescent="0.3">
      <c r="N188" s="109"/>
      <c r="O188" s="109"/>
      <c r="P188" s="109"/>
      <c r="Q188" s="97"/>
      <c r="R188" s="90"/>
      <c r="S188" s="90"/>
      <c r="T188" s="90"/>
    </row>
    <row r="189" spans="1:29" x14ac:dyDescent="0.3">
      <c r="N189" s="109"/>
      <c r="O189" s="109"/>
      <c r="P189" s="109"/>
      <c r="Q189" s="97"/>
      <c r="R189" s="90"/>
      <c r="S189" s="90"/>
      <c r="T189" s="90"/>
      <c r="W189" s="118">
        <v>269716</v>
      </c>
    </row>
    <row r="190" spans="1:29" x14ac:dyDescent="0.3">
      <c r="N190" s="109"/>
      <c r="O190" s="109"/>
      <c r="P190" s="109"/>
      <c r="Q190" s="97"/>
      <c r="R190" s="90"/>
      <c r="S190" s="90"/>
      <c r="T190" s="90"/>
      <c r="W190" s="118">
        <f>+W186-W189</f>
        <v>624</v>
      </c>
    </row>
    <row r="191" spans="1:29" x14ac:dyDescent="0.3">
      <c r="N191" s="109"/>
      <c r="O191" s="109"/>
      <c r="P191" s="109"/>
      <c r="Q191" s="97"/>
      <c r="R191" s="90"/>
      <c r="S191" s="90"/>
      <c r="T191" s="90"/>
    </row>
    <row r="192" spans="1:29" x14ac:dyDescent="0.3">
      <c r="N192" s="109"/>
      <c r="O192" s="109"/>
      <c r="P192" s="109"/>
      <c r="Q192" s="97"/>
      <c r="R192" s="90"/>
      <c r="S192" s="90"/>
      <c r="T192" s="90"/>
    </row>
    <row r="193" spans="14:23" x14ac:dyDescent="0.3">
      <c r="N193" s="109"/>
      <c r="O193" s="109"/>
      <c r="P193" s="109"/>
      <c r="Q193" s="97"/>
      <c r="R193" s="90"/>
      <c r="S193" s="90"/>
      <c r="T193" s="90"/>
      <c r="V193" t="s">
        <v>12</v>
      </c>
      <c r="W193" s="118">
        <v>269996</v>
      </c>
    </row>
    <row r="194" spans="14:23" x14ac:dyDescent="0.3">
      <c r="N194" s="109"/>
      <c r="O194" s="109"/>
      <c r="P194" s="109"/>
      <c r="Q194" s="97"/>
      <c r="R194" s="90"/>
      <c r="S194" s="90"/>
      <c r="T194" s="90"/>
      <c r="V194" t="s">
        <v>1113</v>
      </c>
      <c r="W194" s="118">
        <f>101+5+11+163</f>
        <v>280</v>
      </c>
    </row>
    <row r="195" spans="14:23" x14ac:dyDescent="0.3">
      <c r="N195" s="109"/>
      <c r="O195" s="109"/>
      <c r="P195" s="109"/>
      <c r="Q195" s="97"/>
      <c r="R195" s="90"/>
      <c r="S195" s="90"/>
      <c r="T195" s="90"/>
      <c r="W195" s="118">
        <f>+W193-W194</f>
        <v>269716</v>
      </c>
    </row>
    <row r="196" spans="14:23" x14ac:dyDescent="0.3">
      <c r="N196" s="109"/>
      <c r="O196" s="109"/>
      <c r="P196" s="109"/>
      <c r="Q196" s="97"/>
      <c r="R196" s="90"/>
      <c r="S196" s="90"/>
      <c r="T196" s="90"/>
      <c r="W196" s="118"/>
    </row>
    <row r="197" spans="14:23" x14ac:dyDescent="0.3">
      <c r="N197" s="109"/>
      <c r="O197" s="109"/>
      <c r="P197" s="109"/>
      <c r="Q197" s="97"/>
      <c r="R197" s="90"/>
      <c r="S197" s="90"/>
      <c r="T197" s="90"/>
    </row>
    <row r="198" spans="14:23" x14ac:dyDescent="0.3">
      <c r="N198" s="109"/>
      <c r="O198" s="109"/>
      <c r="P198" s="109"/>
      <c r="Q198" s="97"/>
      <c r="R198" s="90"/>
      <c r="S198" s="90"/>
      <c r="T198" s="90"/>
    </row>
    <row r="199" spans="14:23" x14ac:dyDescent="0.3">
      <c r="N199" s="109"/>
      <c r="O199" s="109"/>
      <c r="P199" s="109"/>
      <c r="Q199" s="97"/>
      <c r="R199" s="90"/>
      <c r="S199" s="90"/>
      <c r="T199" s="90"/>
    </row>
    <row r="200" spans="14:23" x14ac:dyDescent="0.3">
      <c r="N200" s="109"/>
      <c r="O200" s="109"/>
      <c r="P200" s="109"/>
      <c r="Q200" s="97"/>
      <c r="R200" s="90"/>
      <c r="S200" s="90"/>
      <c r="T200" s="90"/>
    </row>
    <row r="201" spans="14:23" x14ac:dyDescent="0.3">
      <c r="N201" s="109"/>
      <c r="O201" s="109"/>
      <c r="P201" s="109"/>
      <c r="Q201" s="97"/>
      <c r="R201" s="90"/>
      <c r="S201" s="90"/>
      <c r="T201" s="90"/>
    </row>
    <row r="202" spans="14:23" x14ac:dyDescent="0.3">
      <c r="N202" s="109"/>
      <c r="O202" s="109"/>
      <c r="P202" s="109"/>
      <c r="Q202" s="97"/>
      <c r="R202" s="90"/>
      <c r="S202" s="90"/>
      <c r="T202" s="90"/>
    </row>
    <row r="203" spans="14:23" x14ac:dyDescent="0.3">
      <c r="N203" s="109"/>
      <c r="O203" s="109"/>
      <c r="P203" s="109"/>
      <c r="Q203" s="97"/>
      <c r="R203" s="90"/>
      <c r="S203" s="90"/>
      <c r="T203" s="90"/>
    </row>
    <row r="204" spans="14:23" x14ac:dyDescent="0.3">
      <c r="N204" s="109"/>
      <c r="O204" s="109"/>
      <c r="P204" s="109"/>
      <c r="Q204" s="97"/>
      <c r="R204" s="90"/>
      <c r="S204" s="90"/>
      <c r="T204" s="90"/>
    </row>
    <row r="205" spans="14:23" x14ac:dyDescent="0.3">
      <c r="N205" s="109"/>
      <c r="O205" s="109"/>
      <c r="P205" s="109"/>
      <c r="Q205" s="97"/>
      <c r="R205" s="90"/>
      <c r="S205" s="90"/>
      <c r="T205" s="90"/>
    </row>
    <row r="206" spans="14:23" x14ac:dyDescent="0.3">
      <c r="N206" s="109"/>
      <c r="O206" s="109"/>
      <c r="P206" s="109"/>
      <c r="Q206" s="97"/>
      <c r="R206" s="90"/>
      <c r="S206" s="90"/>
      <c r="T206" s="90"/>
    </row>
    <row r="207" spans="14:23" x14ac:dyDescent="0.3">
      <c r="N207" s="109"/>
      <c r="O207" s="109"/>
      <c r="P207" s="109"/>
      <c r="Q207" s="97"/>
      <c r="R207" s="90"/>
      <c r="S207" s="90"/>
      <c r="T207" s="90"/>
    </row>
    <row r="208" spans="14:23" x14ac:dyDescent="0.3">
      <c r="N208" s="109"/>
      <c r="O208" s="109"/>
      <c r="P208" s="109"/>
      <c r="Q208" s="97"/>
      <c r="R208" s="90"/>
      <c r="S208" s="90"/>
      <c r="T208" s="90"/>
    </row>
    <row r="209" spans="14:20" x14ac:dyDescent="0.3">
      <c r="N209" s="109"/>
      <c r="O209" s="109"/>
      <c r="P209" s="109"/>
      <c r="Q209" s="97"/>
      <c r="R209" s="90"/>
      <c r="S209" s="90"/>
      <c r="T209" s="90"/>
    </row>
    <row r="210" spans="14:20" x14ac:dyDescent="0.3">
      <c r="N210" s="109"/>
      <c r="O210" s="109"/>
      <c r="P210" s="109"/>
      <c r="Q210" s="97"/>
      <c r="R210" s="90"/>
      <c r="S210" s="90"/>
      <c r="T210" s="90"/>
    </row>
    <row r="211" spans="14:20" x14ac:dyDescent="0.3">
      <c r="N211" s="109"/>
      <c r="O211" s="109"/>
      <c r="P211" s="109"/>
      <c r="Q211" s="97"/>
      <c r="R211" s="90"/>
      <c r="S211" s="90"/>
      <c r="T211" s="90"/>
    </row>
    <row r="212" spans="14:20" x14ac:dyDescent="0.3">
      <c r="N212" s="109"/>
      <c r="O212" s="109"/>
      <c r="P212" s="109"/>
      <c r="Q212" s="97"/>
      <c r="R212" s="90"/>
      <c r="S212" s="90"/>
      <c r="T212" s="90"/>
    </row>
    <row r="213" spans="14:20" x14ac:dyDescent="0.3">
      <c r="N213" s="109"/>
      <c r="O213" s="109"/>
      <c r="P213" s="109"/>
      <c r="Q213" s="97"/>
      <c r="R213" s="90"/>
      <c r="S213" s="90"/>
      <c r="T213" s="90"/>
    </row>
    <row r="214" spans="14:20" x14ac:dyDescent="0.3">
      <c r="N214" s="109"/>
      <c r="O214" s="109"/>
      <c r="P214" s="109"/>
      <c r="Q214" s="97"/>
      <c r="R214" s="90"/>
      <c r="S214" s="90"/>
      <c r="T214" s="90"/>
    </row>
    <row r="215" spans="14:20" x14ac:dyDescent="0.3">
      <c r="N215" s="109"/>
      <c r="O215" s="109"/>
      <c r="P215" s="109"/>
      <c r="Q215" s="97"/>
      <c r="R215" s="90"/>
      <c r="S215" s="90"/>
      <c r="T215" s="90"/>
    </row>
    <row r="216" spans="14:20" x14ac:dyDescent="0.3">
      <c r="N216" s="109"/>
      <c r="O216" s="109"/>
      <c r="P216" s="109"/>
      <c r="Q216" s="97"/>
      <c r="R216" s="90"/>
      <c r="S216" s="90"/>
      <c r="T216" s="90"/>
    </row>
    <row r="217" spans="14:20" x14ac:dyDescent="0.3">
      <c r="N217" s="109"/>
      <c r="O217" s="109"/>
      <c r="P217" s="109"/>
      <c r="Q217" s="97"/>
      <c r="R217" s="90"/>
      <c r="S217" s="90"/>
      <c r="T217" s="90"/>
    </row>
    <row r="218" spans="14:20" x14ac:dyDescent="0.3">
      <c r="N218" s="109"/>
      <c r="O218" s="109"/>
      <c r="P218" s="109"/>
      <c r="Q218" s="97"/>
      <c r="R218" s="90"/>
      <c r="S218" s="90"/>
      <c r="T218" s="90"/>
    </row>
    <row r="219" spans="14:20" x14ac:dyDescent="0.3">
      <c r="N219" s="109"/>
      <c r="O219" s="109"/>
      <c r="P219" s="109"/>
      <c r="Q219" s="97"/>
      <c r="R219" s="90"/>
      <c r="S219" s="90"/>
      <c r="T219" s="90"/>
    </row>
    <row r="220" spans="14:20" x14ac:dyDescent="0.3">
      <c r="N220" s="109"/>
      <c r="O220" s="109"/>
      <c r="P220" s="109"/>
      <c r="Q220" s="97"/>
      <c r="R220" s="90"/>
      <c r="S220" s="90"/>
      <c r="T220" s="90"/>
    </row>
    <row r="221" spans="14:20" x14ac:dyDescent="0.3">
      <c r="N221" s="109"/>
      <c r="O221" s="109"/>
      <c r="P221" s="109"/>
      <c r="Q221" s="97"/>
      <c r="R221" s="90"/>
      <c r="S221" s="90"/>
      <c r="T221" s="90"/>
    </row>
    <row r="222" spans="14:20" x14ac:dyDescent="0.3">
      <c r="N222" s="109"/>
      <c r="O222" s="109"/>
      <c r="P222" s="109"/>
      <c r="Q222" s="97"/>
      <c r="R222" s="90"/>
      <c r="S222" s="90"/>
      <c r="T222" s="90"/>
    </row>
    <row r="223" spans="14:20" x14ac:dyDescent="0.3">
      <c r="N223" s="109"/>
      <c r="O223" s="109"/>
      <c r="P223" s="109"/>
      <c r="Q223" s="97"/>
      <c r="R223" s="90"/>
      <c r="S223" s="90"/>
      <c r="T223" s="90"/>
    </row>
    <row r="224" spans="14:20" x14ac:dyDescent="0.3">
      <c r="N224" s="109"/>
      <c r="O224" s="109"/>
      <c r="P224" s="109"/>
      <c r="Q224" s="97"/>
      <c r="R224" s="90"/>
      <c r="S224" s="90"/>
      <c r="T224" s="90"/>
    </row>
    <row r="225" spans="14:20" x14ac:dyDescent="0.3">
      <c r="N225" s="109"/>
      <c r="O225" s="109"/>
      <c r="P225" s="109"/>
      <c r="Q225" s="97"/>
      <c r="R225" s="90"/>
      <c r="S225" s="90"/>
      <c r="T225" s="90"/>
    </row>
    <row r="226" spans="14:20" x14ac:dyDescent="0.3">
      <c r="N226" s="109"/>
      <c r="O226" s="109"/>
      <c r="P226" s="109"/>
      <c r="Q226" s="97"/>
      <c r="R226" s="90"/>
      <c r="S226" s="90"/>
      <c r="T226" s="90"/>
    </row>
    <row r="227" spans="14:20" x14ac:dyDescent="0.3">
      <c r="N227" s="109"/>
      <c r="O227" s="109"/>
      <c r="P227" s="109"/>
      <c r="Q227" s="97"/>
      <c r="R227" s="90"/>
      <c r="S227" s="90"/>
      <c r="T227" s="90"/>
    </row>
    <row r="228" spans="14:20" x14ac:dyDescent="0.3">
      <c r="N228" s="109"/>
      <c r="O228" s="109"/>
      <c r="P228" s="109"/>
      <c r="Q228" s="97"/>
      <c r="R228" s="90"/>
      <c r="S228" s="90"/>
      <c r="T228" s="90"/>
    </row>
    <row r="229" spans="14:20" x14ac:dyDescent="0.3">
      <c r="N229" s="109"/>
      <c r="O229" s="109"/>
      <c r="P229" s="109"/>
      <c r="Q229" s="97"/>
      <c r="R229" s="90"/>
      <c r="S229" s="90"/>
      <c r="T229" s="90"/>
    </row>
    <row r="230" spans="14:20" x14ac:dyDescent="0.3">
      <c r="N230" s="109"/>
      <c r="O230" s="109"/>
      <c r="P230" s="109"/>
      <c r="Q230" s="97"/>
      <c r="R230" s="90"/>
      <c r="S230" s="90"/>
      <c r="T230" s="90"/>
    </row>
    <row r="231" spans="14:20" x14ac:dyDescent="0.3">
      <c r="N231" s="109"/>
      <c r="O231" s="109"/>
      <c r="P231" s="109"/>
      <c r="Q231" s="97"/>
      <c r="R231" s="90"/>
      <c r="S231" s="90"/>
      <c r="T231" s="90"/>
    </row>
    <row r="232" spans="14:20" x14ac:dyDescent="0.3">
      <c r="N232" s="109"/>
      <c r="O232" s="109"/>
      <c r="P232" s="109"/>
      <c r="Q232" s="97"/>
      <c r="R232" s="90"/>
      <c r="S232" s="90"/>
      <c r="T232" s="90"/>
    </row>
    <row r="233" spans="14:20" x14ac:dyDescent="0.3">
      <c r="N233" s="109"/>
      <c r="O233" s="109"/>
      <c r="P233" s="109"/>
      <c r="Q233" s="97"/>
      <c r="R233" s="90"/>
      <c r="S233" s="90"/>
      <c r="T233" s="90"/>
    </row>
    <row r="234" spans="14:20" x14ac:dyDescent="0.3">
      <c r="N234" s="109"/>
      <c r="O234" s="109"/>
      <c r="P234" s="109"/>
      <c r="Q234" s="97"/>
      <c r="R234" s="90"/>
      <c r="S234" s="90"/>
      <c r="T234" s="90"/>
    </row>
    <row r="235" spans="14:20" x14ac:dyDescent="0.3">
      <c r="N235" s="109"/>
      <c r="O235" s="109"/>
      <c r="P235" s="109"/>
      <c r="Q235" s="97"/>
      <c r="R235" s="90"/>
      <c r="S235" s="90"/>
      <c r="T235" s="90"/>
    </row>
    <row r="236" spans="14:20" x14ac:dyDescent="0.3">
      <c r="N236" s="109"/>
      <c r="O236" s="109"/>
      <c r="P236" s="109"/>
      <c r="Q236" s="97"/>
      <c r="R236" s="90"/>
      <c r="S236" s="90"/>
      <c r="T236" s="90"/>
    </row>
    <row r="237" spans="14:20" x14ac:dyDescent="0.3">
      <c r="N237" s="109"/>
      <c r="O237" s="109"/>
      <c r="P237" s="109"/>
      <c r="Q237" s="97"/>
      <c r="R237" s="90"/>
      <c r="S237" s="90"/>
      <c r="T237" s="90"/>
    </row>
    <row r="238" spans="14:20" x14ac:dyDescent="0.3">
      <c r="N238" s="109"/>
      <c r="O238" s="109"/>
      <c r="P238" s="109"/>
      <c r="Q238" s="97"/>
      <c r="R238" s="90"/>
      <c r="S238" s="90"/>
      <c r="T238" s="90"/>
    </row>
    <row r="239" spans="14:20" x14ac:dyDescent="0.3">
      <c r="N239" s="109"/>
      <c r="O239" s="109"/>
      <c r="P239" s="109"/>
      <c r="Q239" s="97"/>
      <c r="R239" s="90"/>
      <c r="S239" s="90"/>
      <c r="T239" s="90"/>
    </row>
    <row r="240" spans="14:20" x14ac:dyDescent="0.3">
      <c r="N240" s="109"/>
      <c r="O240" s="109"/>
      <c r="P240" s="109"/>
      <c r="Q240" s="97"/>
      <c r="R240" s="90"/>
      <c r="S240" s="90"/>
      <c r="T240" s="90"/>
    </row>
    <row r="241" spans="14:20" x14ac:dyDescent="0.3">
      <c r="N241" s="109"/>
      <c r="O241" s="109"/>
      <c r="P241" s="109"/>
      <c r="Q241" s="97"/>
      <c r="R241" s="90"/>
      <c r="S241" s="90"/>
      <c r="T241" s="90"/>
    </row>
    <row r="242" spans="14:20" x14ac:dyDescent="0.3">
      <c r="N242" s="109"/>
      <c r="O242" s="109"/>
      <c r="P242" s="109"/>
      <c r="Q242" s="97"/>
      <c r="R242" s="90"/>
      <c r="S242" s="90"/>
      <c r="T242" s="90"/>
    </row>
    <row r="243" spans="14:20" x14ac:dyDescent="0.3">
      <c r="N243" s="109"/>
      <c r="O243" s="109"/>
      <c r="P243" s="109"/>
      <c r="Q243" s="97"/>
      <c r="R243" s="90"/>
      <c r="S243" s="90"/>
      <c r="T243" s="90"/>
    </row>
    <row r="244" spans="14:20" x14ac:dyDescent="0.3">
      <c r="N244" s="109"/>
      <c r="O244" s="109"/>
      <c r="P244" s="109"/>
      <c r="Q244" s="97"/>
      <c r="R244" s="90"/>
      <c r="S244" s="90"/>
      <c r="T244" s="90"/>
    </row>
    <row r="245" spans="14:20" x14ac:dyDescent="0.3">
      <c r="N245" s="109"/>
      <c r="O245" s="109"/>
      <c r="P245" s="109"/>
      <c r="Q245" s="97"/>
      <c r="R245" s="90"/>
      <c r="S245" s="90"/>
      <c r="T245" s="90"/>
    </row>
    <row r="246" spans="14:20" x14ac:dyDescent="0.3">
      <c r="N246" s="109"/>
      <c r="O246" s="109"/>
      <c r="P246" s="109"/>
      <c r="Q246" s="97"/>
      <c r="R246" s="90"/>
      <c r="S246" s="90"/>
      <c r="T246" s="90"/>
    </row>
    <row r="247" spans="14:20" x14ac:dyDescent="0.3">
      <c r="N247" s="109"/>
      <c r="O247" s="109"/>
      <c r="P247" s="109"/>
      <c r="Q247" s="97"/>
      <c r="R247" s="90"/>
      <c r="S247" s="90"/>
      <c r="T247" s="90"/>
    </row>
    <row r="248" spans="14:20" x14ac:dyDescent="0.3">
      <c r="N248" s="109"/>
      <c r="O248" s="109"/>
      <c r="P248" s="109"/>
      <c r="Q248" s="97"/>
      <c r="R248" s="90"/>
      <c r="S248" s="90"/>
      <c r="T248" s="90"/>
    </row>
    <row r="249" spans="14:20" x14ac:dyDescent="0.3">
      <c r="N249" s="109"/>
      <c r="O249" s="109"/>
      <c r="P249" s="109"/>
      <c r="Q249" s="97"/>
      <c r="R249" s="90"/>
      <c r="S249" s="90"/>
      <c r="T249" s="90"/>
    </row>
    <row r="250" spans="14:20" x14ac:dyDescent="0.3">
      <c r="N250" s="109"/>
      <c r="O250" s="109"/>
      <c r="P250" s="109"/>
      <c r="Q250" s="97"/>
      <c r="R250" s="90"/>
      <c r="S250" s="90"/>
      <c r="T250" s="90"/>
    </row>
    <row r="251" spans="14:20" x14ac:dyDescent="0.3">
      <c r="N251" s="109"/>
      <c r="O251" s="109"/>
      <c r="P251" s="109"/>
      <c r="Q251" s="97"/>
      <c r="R251" s="90"/>
      <c r="S251" s="90"/>
      <c r="T251" s="90"/>
    </row>
    <row r="252" spans="14:20" x14ac:dyDescent="0.3">
      <c r="N252" s="109"/>
      <c r="O252" s="109"/>
      <c r="P252" s="109"/>
      <c r="Q252" s="97"/>
      <c r="R252" s="90"/>
      <c r="S252" s="90"/>
      <c r="T252" s="90"/>
    </row>
    <row r="253" spans="14:20" x14ac:dyDescent="0.3">
      <c r="N253" s="109"/>
      <c r="O253" s="109"/>
      <c r="P253" s="109"/>
      <c r="Q253" s="97"/>
      <c r="R253" s="90"/>
      <c r="S253" s="90"/>
      <c r="T253" s="90"/>
    </row>
    <row r="254" spans="14:20" x14ac:dyDescent="0.3">
      <c r="N254" s="109"/>
      <c r="O254" s="109"/>
      <c r="P254" s="109"/>
      <c r="Q254" s="97"/>
      <c r="R254" s="90"/>
      <c r="S254" s="90"/>
      <c r="T254" s="90"/>
    </row>
    <row r="255" spans="14:20" x14ac:dyDescent="0.3">
      <c r="N255" s="109"/>
      <c r="O255" s="109"/>
      <c r="P255" s="109"/>
      <c r="Q255" s="97"/>
      <c r="R255" s="90"/>
      <c r="S255" s="90"/>
      <c r="T255" s="90"/>
    </row>
    <row r="256" spans="14:20" x14ac:dyDescent="0.3">
      <c r="N256" s="109"/>
      <c r="O256" s="109"/>
      <c r="P256" s="109"/>
      <c r="Q256" s="97"/>
      <c r="R256" s="90"/>
      <c r="S256" s="90"/>
      <c r="T256" s="90"/>
    </row>
    <row r="257" spans="14:20" x14ac:dyDescent="0.3">
      <c r="N257" s="109"/>
      <c r="O257" s="109"/>
      <c r="P257" s="109"/>
      <c r="Q257" s="97"/>
      <c r="R257" s="90"/>
      <c r="S257" s="90"/>
      <c r="T257" s="90"/>
    </row>
    <row r="258" spans="14:20" x14ac:dyDescent="0.3">
      <c r="N258" s="109"/>
      <c r="O258" s="109"/>
      <c r="P258" s="109"/>
    </row>
    <row r="259" spans="14:20" x14ac:dyDescent="0.3">
      <c r="N259" s="109"/>
      <c r="O259" s="109"/>
      <c r="P259" s="109"/>
    </row>
    <row r="260" spans="14:20" x14ac:dyDescent="0.3">
      <c r="N260" s="109"/>
      <c r="O260" s="109"/>
      <c r="P260" s="109"/>
    </row>
    <row r="261" spans="14:20" x14ac:dyDescent="0.3">
      <c r="N261" s="109"/>
      <c r="O261" s="109"/>
      <c r="P261" s="109"/>
    </row>
    <row r="262" spans="14:20" x14ac:dyDescent="0.3">
      <c r="N262" s="109"/>
      <c r="O262" s="109"/>
      <c r="P262" s="109"/>
    </row>
    <row r="263" spans="14:20" x14ac:dyDescent="0.3">
      <c r="N263" s="109"/>
      <c r="O263" s="109"/>
      <c r="P263" s="109"/>
    </row>
    <row r="264" spans="14:20" x14ac:dyDescent="0.3">
      <c r="N264" s="109"/>
      <c r="O264" s="109"/>
      <c r="P264" s="109"/>
    </row>
    <row r="265" spans="14:20" x14ac:dyDescent="0.3">
      <c r="N265" s="109"/>
      <c r="O265" s="109"/>
      <c r="P265" s="109"/>
    </row>
    <row r="266" spans="14:20" x14ac:dyDescent="0.3">
      <c r="N266" s="109"/>
      <c r="O266" s="109"/>
      <c r="P266" s="109"/>
    </row>
    <row r="267" spans="14:20" x14ac:dyDescent="0.3">
      <c r="N267" s="109"/>
      <c r="O267" s="109"/>
      <c r="P267" s="109"/>
    </row>
    <row r="268" spans="14:20" x14ac:dyDescent="0.3">
      <c r="N268" s="109"/>
      <c r="O268" s="109"/>
      <c r="P268" s="109"/>
    </row>
    <row r="269" spans="14:20" x14ac:dyDescent="0.3">
      <c r="N269" s="109"/>
      <c r="O269" s="109"/>
      <c r="P269" s="109"/>
    </row>
    <row r="270" spans="14:20" x14ac:dyDescent="0.3">
      <c r="N270" s="109"/>
      <c r="O270" s="109"/>
      <c r="P270" s="109"/>
    </row>
    <row r="271" spans="14:20" x14ac:dyDescent="0.3">
      <c r="N271" s="109"/>
      <c r="O271" s="109"/>
      <c r="P271" s="109"/>
    </row>
    <row r="272" spans="14:20" x14ac:dyDescent="0.3">
      <c r="N272" s="109"/>
      <c r="O272" s="109"/>
      <c r="P272" s="109"/>
    </row>
    <row r="273" spans="14:16" x14ac:dyDescent="0.3">
      <c r="N273" s="109"/>
      <c r="O273" s="109"/>
      <c r="P273" s="109"/>
    </row>
    <row r="274" spans="14:16" x14ac:dyDescent="0.3">
      <c r="N274" s="109"/>
      <c r="O274" s="109"/>
      <c r="P274" s="109"/>
    </row>
    <row r="275" spans="14:16" x14ac:dyDescent="0.3">
      <c r="N275" s="109"/>
      <c r="O275" s="109"/>
      <c r="P275" s="109"/>
    </row>
    <row r="276" spans="14:16" x14ac:dyDescent="0.3">
      <c r="N276" s="109"/>
      <c r="O276" s="109"/>
      <c r="P276" s="109"/>
    </row>
    <row r="277" spans="14:16" x14ac:dyDescent="0.3">
      <c r="N277" s="109"/>
      <c r="O277" s="109"/>
      <c r="P277" s="109"/>
    </row>
    <row r="278" spans="14:16" x14ac:dyDescent="0.3">
      <c r="N278" s="109"/>
      <c r="O278" s="109"/>
      <c r="P278" s="109"/>
    </row>
    <row r="279" spans="14:16" x14ac:dyDescent="0.3">
      <c r="N279" s="109"/>
      <c r="O279" s="109"/>
      <c r="P279" s="109"/>
    </row>
    <row r="280" spans="14:16" x14ac:dyDescent="0.3">
      <c r="N280" s="109"/>
      <c r="O280" s="109"/>
      <c r="P280" s="109"/>
    </row>
    <row r="281" spans="14:16" x14ac:dyDescent="0.3">
      <c r="N281" s="109"/>
      <c r="O281" s="109"/>
      <c r="P281" s="109"/>
    </row>
    <row r="282" spans="14:16" x14ac:dyDescent="0.3">
      <c r="N282" s="109"/>
      <c r="O282" s="109"/>
      <c r="P282" s="109"/>
    </row>
    <row r="283" spans="14:16" x14ac:dyDescent="0.3">
      <c r="N283" s="109"/>
      <c r="O283" s="109"/>
      <c r="P283" s="109"/>
    </row>
    <row r="284" spans="14:16" x14ac:dyDescent="0.3">
      <c r="N284" s="109"/>
      <c r="O284" s="109"/>
      <c r="P284" s="109"/>
    </row>
    <row r="285" spans="14:16" x14ac:dyDescent="0.3">
      <c r="N285" s="109"/>
      <c r="O285" s="109"/>
      <c r="P285" s="109"/>
    </row>
    <row r="286" spans="14:16" x14ac:dyDescent="0.3">
      <c r="N286" s="109"/>
      <c r="O286" s="109"/>
      <c r="P286" s="109"/>
    </row>
    <row r="287" spans="14:16" x14ac:dyDescent="0.3">
      <c r="N287" s="109"/>
      <c r="O287" s="109"/>
      <c r="P287" s="109"/>
    </row>
    <row r="288" spans="14:16" x14ac:dyDescent="0.3">
      <c r="N288" s="109"/>
      <c r="O288" s="109"/>
      <c r="P288" s="109"/>
    </row>
    <row r="289" spans="14:16" x14ac:dyDescent="0.3">
      <c r="N289" s="109"/>
      <c r="O289" s="109"/>
      <c r="P289" s="109"/>
    </row>
    <row r="290" spans="14:16" x14ac:dyDescent="0.3">
      <c r="N290" s="109"/>
      <c r="O290" s="109"/>
      <c r="P290" s="109"/>
    </row>
    <row r="291" spans="14:16" x14ac:dyDescent="0.3">
      <c r="N291" s="109"/>
      <c r="O291" s="109"/>
      <c r="P291" s="109"/>
    </row>
    <row r="292" spans="14:16" x14ac:dyDescent="0.3">
      <c r="N292" s="109"/>
      <c r="O292" s="109"/>
      <c r="P292" s="109"/>
    </row>
    <row r="293" spans="14:16" x14ac:dyDescent="0.3">
      <c r="N293" s="109"/>
      <c r="O293" s="109"/>
      <c r="P293" s="109"/>
    </row>
    <row r="294" spans="14:16" x14ac:dyDescent="0.3">
      <c r="N294" s="109"/>
      <c r="O294" s="109"/>
      <c r="P294" s="109"/>
    </row>
    <row r="295" spans="14:16" x14ac:dyDescent="0.3">
      <c r="N295" s="109"/>
      <c r="O295" s="109"/>
      <c r="P295" s="109"/>
    </row>
    <row r="296" spans="14:16" x14ac:dyDescent="0.3">
      <c r="N296" s="109"/>
      <c r="O296" s="109"/>
      <c r="P296" s="109"/>
    </row>
    <row r="297" spans="14:16" x14ac:dyDescent="0.3">
      <c r="N297" s="109"/>
      <c r="O297" s="109"/>
      <c r="P297" s="109"/>
    </row>
    <row r="298" spans="14:16" x14ac:dyDescent="0.3">
      <c r="N298" s="109"/>
      <c r="O298" s="109"/>
      <c r="P298" s="109"/>
    </row>
    <row r="299" spans="14:16" x14ac:dyDescent="0.3">
      <c r="N299" s="109"/>
      <c r="O299" s="109"/>
      <c r="P299" s="109"/>
    </row>
    <row r="300" spans="14:16" x14ac:dyDescent="0.3">
      <c r="N300" s="109"/>
      <c r="O300" s="109"/>
      <c r="P300" s="109"/>
    </row>
  </sheetData>
  <autoFilter ref="A1:AC184"/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3:D170"/>
  <sheetViews>
    <sheetView zoomScaleNormal="100" workbookViewId="0">
      <selection activeCell="C38" sqref="C38"/>
    </sheetView>
  </sheetViews>
  <sheetFormatPr defaultRowHeight="14.4" x14ac:dyDescent="0.3"/>
  <cols>
    <col min="1" max="1" width="13.109375" bestFit="1" customWidth="1"/>
    <col min="2" max="2" width="30" bestFit="1" customWidth="1"/>
  </cols>
  <sheetData>
    <row r="3" spans="1:4" x14ac:dyDescent="0.3">
      <c r="A3" s="116" t="s">
        <v>854</v>
      </c>
      <c r="B3" t="s">
        <v>999</v>
      </c>
    </row>
    <row r="4" spans="1:4" x14ac:dyDescent="0.3">
      <c r="A4" s="214" t="s">
        <v>852</v>
      </c>
      <c r="B4" s="117">
        <v>1</v>
      </c>
      <c r="D4" t="str">
        <f>VLOOKUP(A4,'Rate Code Detail'!$J$2:$J$184,1,FALSE)</f>
        <v>KT406</v>
      </c>
    </row>
    <row r="5" spans="1:4" x14ac:dyDescent="0.3">
      <c r="A5" s="214" t="s">
        <v>853</v>
      </c>
      <c r="B5" s="117">
        <v>2</v>
      </c>
      <c r="D5" t="str">
        <f>VLOOKUP(A5,'Rate Code Detail'!$J$2:$J$184,1,FALSE)</f>
        <v>KT428</v>
      </c>
    </row>
    <row r="6" spans="1:4" x14ac:dyDescent="0.3">
      <c r="A6" s="214" t="s">
        <v>855</v>
      </c>
      <c r="B6" s="117">
        <v>4</v>
      </c>
      <c r="D6" t="str">
        <f>VLOOKUP(A6,'Rate Code Detail'!$J$2:$J$184,1,FALSE)</f>
        <v>KU360</v>
      </c>
    </row>
    <row r="7" spans="1:4" x14ac:dyDescent="0.3">
      <c r="A7" s="214" t="s">
        <v>856</v>
      </c>
      <c r="B7" s="117">
        <v>65</v>
      </c>
      <c r="D7" t="str">
        <f>VLOOKUP(A7,'Rate Code Detail'!$J$2:$J$184,1,FALSE)</f>
        <v>KU401</v>
      </c>
    </row>
    <row r="8" spans="1:4" x14ac:dyDescent="0.3">
      <c r="A8" s="214" t="s">
        <v>857</v>
      </c>
      <c r="B8" s="117">
        <v>6300</v>
      </c>
      <c r="D8" t="str">
        <f>VLOOKUP(A8,'Rate Code Detail'!$J$2:$J$184,1,FALSE)</f>
        <v>KU404</v>
      </c>
    </row>
    <row r="9" spans="1:4" x14ac:dyDescent="0.3">
      <c r="A9" s="214" t="s">
        <v>858</v>
      </c>
      <c r="B9" s="117">
        <v>133</v>
      </c>
      <c r="D9" t="str">
        <f>VLOOKUP(A9,'Rate Code Detail'!$J$2:$J$184,1,FALSE)</f>
        <v>KU409</v>
      </c>
    </row>
    <row r="10" spans="1:4" x14ac:dyDescent="0.3">
      <c r="A10" s="214" t="s">
        <v>859</v>
      </c>
      <c r="B10" s="117">
        <v>240</v>
      </c>
      <c r="D10" t="str">
        <f>VLOOKUP(A10,'Rate Code Detail'!$J$2:$J$184,1,FALSE)</f>
        <v>KU410</v>
      </c>
    </row>
    <row r="11" spans="1:4" x14ac:dyDescent="0.3">
      <c r="A11" s="214" t="s">
        <v>860</v>
      </c>
      <c r="B11" s="117">
        <v>145</v>
      </c>
      <c r="D11" t="str">
        <f>VLOOKUP(A11,'Rate Code Detail'!$J$2:$J$184,1,FALSE)</f>
        <v>KU411</v>
      </c>
    </row>
    <row r="12" spans="1:4" x14ac:dyDescent="0.3">
      <c r="A12" s="214" t="s">
        <v>861</v>
      </c>
      <c r="B12" s="117">
        <v>29</v>
      </c>
      <c r="D12" t="str">
        <f>VLOOKUP(A12,'Rate Code Detail'!$J$2:$J$184,1,FALSE)</f>
        <v>KU412</v>
      </c>
    </row>
    <row r="13" spans="1:4" x14ac:dyDescent="0.3">
      <c r="A13" s="214" t="s">
        <v>862</v>
      </c>
      <c r="B13" s="117">
        <v>98</v>
      </c>
      <c r="D13" t="str">
        <f>VLOOKUP(A13,'Rate Code Detail'!$J$2:$J$184,1,FALSE)</f>
        <v>KU413</v>
      </c>
    </row>
    <row r="14" spans="1:4" x14ac:dyDescent="0.3">
      <c r="A14" s="214" t="s">
        <v>863</v>
      </c>
      <c r="B14" s="117">
        <v>21</v>
      </c>
      <c r="D14" t="str">
        <f>VLOOKUP(A14,'Rate Code Detail'!$J$2:$J$184,1,FALSE)</f>
        <v>KU414</v>
      </c>
    </row>
    <row r="15" spans="1:4" x14ac:dyDescent="0.3">
      <c r="A15" s="214" t="s">
        <v>864</v>
      </c>
      <c r="B15" s="117">
        <v>10</v>
      </c>
      <c r="D15" t="str">
        <f>VLOOKUP(A15,'Rate Code Detail'!$J$2:$J$184,1,FALSE)</f>
        <v>KU415</v>
      </c>
    </row>
    <row r="16" spans="1:4" x14ac:dyDescent="0.3">
      <c r="A16" s="214" t="s">
        <v>865</v>
      </c>
      <c r="B16" s="117">
        <v>537</v>
      </c>
      <c r="D16" t="str">
        <f>VLOOKUP(A16,'Rate Code Detail'!$J$2:$J$184,1,FALSE)</f>
        <v>KU420</v>
      </c>
    </row>
    <row r="17" spans="1:4" x14ac:dyDescent="0.3">
      <c r="A17" s="214" t="s">
        <v>866</v>
      </c>
      <c r="B17" s="117">
        <v>1</v>
      </c>
      <c r="D17" t="str">
        <f>VLOOKUP(A17,'Rate Code Detail'!$J$2:$J$184,1,FALSE)</f>
        <v>KU421</v>
      </c>
    </row>
    <row r="18" spans="1:4" x14ac:dyDescent="0.3">
      <c r="A18" s="214" t="s">
        <v>867</v>
      </c>
      <c r="B18" s="117">
        <v>436</v>
      </c>
      <c r="D18" t="str">
        <f>VLOOKUP(A18,'Rate Code Detail'!$J$2:$J$184,1,FALSE)</f>
        <v>KU422</v>
      </c>
    </row>
    <row r="19" spans="1:4" x14ac:dyDescent="0.3">
      <c r="A19" s="214" t="s">
        <v>868</v>
      </c>
      <c r="B19" s="117">
        <v>26</v>
      </c>
      <c r="D19" t="str">
        <f>VLOOKUP(A19,'Rate Code Detail'!$J$2:$J$184,1,FALSE)</f>
        <v>KU424</v>
      </c>
    </row>
    <row r="20" spans="1:4" x14ac:dyDescent="0.3">
      <c r="A20" s="214" t="s">
        <v>869</v>
      </c>
      <c r="B20" s="117">
        <v>2</v>
      </c>
      <c r="D20" t="str">
        <f>VLOOKUP(A20,'Rate Code Detail'!$J$2:$J$184,1,FALSE)</f>
        <v>KU425</v>
      </c>
    </row>
    <row r="21" spans="1:4" x14ac:dyDescent="0.3">
      <c r="A21" s="214" t="s">
        <v>870</v>
      </c>
      <c r="B21" s="117">
        <v>155</v>
      </c>
      <c r="D21" t="str">
        <f>VLOOKUP(A21,'Rate Code Detail'!$J$2:$J$184,1,FALSE)</f>
        <v>KU426</v>
      </c>
    </row>
    <row r="22" spans="1:4" x14ac:dyDescent="0.3">
      <c r="A22" s="214" t="s">
        <v>871</v>
      </c>
      <c r="B22" s="117">
        <v>36978</v>
      </c>
      <c r="D22" t="str">
        <f>VLOOKUP(A22,'Rate Code Detail'!$J$2:$J$184,1,FALSE)</f>
        <v>KU428</v>
      </c>
    </row>
    <row r="23" spans="1:4" x14ac:dyDescent="0.3">
      <c r="A23" s="214" t="s">
        <v>872</v>
      </c>
      <c r="B23" s="117">
        <v>1254</v>
      </c>
      <c r="D23" t="str">
        <f>VLOOKUP(A23,'Rate Code Detail'!$J$2:$J$184,1,FALSE)</f>
        <v>KU430</v>
      </c>
    </row>
    <row r="24" spans="1:4" x14ac:dyDescent="0.3">
      <c r="A24" s="214" t="s">
        <v>873</v>
      </c>
      <c r="B24" s="117">
        <v>2</v>
      </c>
      <c r="D24" t="str">
        <f>VLOOKUP(A24,'Rate Code Detail'!$J$2:$J$184,1,FALSE)</f>
        <v>KU440</v>
      </c>
    </row>
    <row r="25" spans="1:4" x14ac:dyDescent="0.3">
      <c r="A25" s="214" t="s">
        <v>874</v>
      </c>
      <c r="B25" s="117">
        <v>942</v>
      </c>
      <c r="D25" t="str">
        <f>VLOOKUP(A25,'Rate Code Detail'!$J$2:$J$184,1,FALSE)</f>
        <v>KU446</v>
      </c>
    </row>
    <row r="26" spans="1:4" x14ac:dyDescent="0.3">
      <c r="A26" s="214" t="s">
        <v>875</v>
      </c>
      <c r="B26" s="117">
        <v>673</v>
      </c>
      <c r="D26" t="str">
        <f>VLOOKUP(A26,'Rate Code Detail'!$J$2:$J$184,1,FALSE)</f>
        <v>KU447</v>
      </c>
    </row>
    <row r="27" spans="1:4" x14ac:dyDescent="0.3">
      <c r="A27" s="214" t="s">
        <v>876</v>
      </c>
      <c r="B27" s="117">
        <v>1381</v>
      </c>
      <c r="D27" t="str">
        <f>VLOOKUP(A27,'Rate Code Detail'!$J$2:$J$184,1,FALSE)</f>
        <v>KU448</v>
      </c>
    </row>
    <row r="28" spans="1:4" x14ac:dyDescent="0.3">
      <c r="A28" s="214" t="s">
        <v>877</v>
      </c>
      <c r="B28" s="117">
        <v>711</v>
      </c>
      <c r="D28" t="str">
        <f>VLOOKUP(A28,'Rate Code Detail'!$J$2:$J$184,1,FALSE)</f>
        <v>KU450</v>
      </c>
    </row>
    <row r="29" spans="1:4" x14ac:dyDescent="0.3">
      <c r="A29" s="214" t="s">
        <v>878</v>
      </c>
      <c r="B29" s="117">
        <v>5639</v>
      </c>
      <c r="D29" t="str">
        <f>VLOOKUP(A29,'Rate Code Detail'!$J$2:$J$184,1,FALSE)</f>
        <v>KU451</v>
      </c>
    </row>
    <row r="30" spans="1:4" x14ac:dyDescent="0.3">
      <c r="A30" s="214" t="s">
        <v>879</v>
      </c>
      <c r="B30" s="117">
        <v>967</v>
      </c>
      <c r="D30" t="str">
        <f>VLOOKUP(A30,'Rate Code Detail'!$J$2:$J$184,1,FALSE)</f>
        <v>KU452</v>
      </c>
    </row>
    <row r="31" spans="1:4" x14ac:dyDescent="0.3">
      <c r="A31" s="214" t="s">
        <v>880</v>
      </c>
      <c r="B31" s="117">
        <v>154</v>
      </c>
      <c r="D31" t="str">
        <f>VLOOKUP(A31,'Rate Code Detail'!$J$2:$J$184,1,FALSE)</f>
        <v>KU454</v>
      </c>
    </row>
    <row r="32" spans="1:4" x14ac:dyDescent="0.3">
      <c r="A32" s="214" t="s">
        <v>881</v>
      </c>
      <c r="B32" s="117">
        <v>1012</v>
      </c>
      <c r="D32" t="str">
        <f>VLOOKUP(A32,'Rate Code Detail'!$J$2:$J$184,1,FALSE)</f>
        <v>KU455</v>
      </c>
    </row>
    <row r="33" spans="1:4" x14ac:dyDescent="0.3">
      <c r="A33" s="214" t="s">
        <v>882</v>
      </c>
      <c r="B33" s="117">
        <v>133</v>
      </c>
      <c r="D33" t="str">
        <f>VLOOKUP(A33,'Rate Code Detail'!$J$2:$J$184,1,FALSE)</f>
        <v>KU456</v>
      </c>
    </row>
    <row r="34" spans="1:4" x14ac:dyDescent="0.3">
      <c r="A34" s="214" t="s">
        <v>883</v>
      </c>
      <c r="B34" s="117">
        <v>435</v>
      </c>
      <c r="D34" t="str">
        <f>VLOOKUP(A34,'Rate Code Detail'!$J$2:$J$184,1,FALSE)</f>
        <v>KU457</v>
      </c>
    </row>
    <row r="35" spans="1:4" x14ac:dyDescent="0.3">
      <c r="A35" s="214" t="s">
        <v>884</v>
      </c>
      <c r="B35" s="117">
        <v>1381</v>
      </c>
      <c r="D35" t="str">
        <f>VLOOKUP(A35,'Rate Code Detail'!$J$2:$J$184,1,FALSE)</f>
        <v>KU458</v>
      </c>
    </row>
    <row r="36" spans="1:4" x14ac:dyDescent="0.3">
      <c r="A36" s="214" t="s">
        <v>885</v>
      </c>
      <c r="B36" s="117">
        <v>188</v>
      </c>
      <c r="D36" t="str">
        <f>VLOOKUP(A36,'Rate Code Detail'!$J$2:$J$184,1,FALSE)</f>
        <v>KU459</v>
      </c>
    </row>
    <row r="37" spans="1:4" x14ac:dyDescent="0.3">
      <c r="A37" s="214" t="s">
        <v>886</v>
      </c>
      <c r="B37" s="117">
        <v>20</v>
      </c>
      <c r="D37" t="str">
        <f>VLOOKUP(A37,'Rate Code Detail'!$J$2:$J$184,1,FALSE)</f>
        <v>KU460</v>
      </c>
    </row>
    <row r="38" spans="1:4" x14ac:dyDescent="0.3">
      <c r="A38" s="214" t="s">
        <v>887</v>
      </c>
      <c r="B38" s="117">
        <v>6967</v>
      </c>
      <c r="D38" t="str">
        <f>VLOOKUP(A38,'Rate Code Detail'!$J$2:$J$184,1,FALSE)</f>
        <v>KU461</v>
      </c>
    </row>
    <row r="39" spans="1:4" x14ac:dyDescent="0.3">
      <c r="A39" s="214" t="s">
        <v>888</v>
      </c>
      <c r="B39" s="117">
        <v>8799</v>
      </c>
      <c r="D39" t="str">
        <f>VLOOKUP(A39,'Rate Code Detail'!$J$2:$J$184,1,FALSE)</f>
        <v>KU462</v>
      </c>
    </row>
    <row r="40" spans="1:4" x14ac:dyDescent="0.3">
      <c r="A40" s="214" t="s">
        <v>889</v>
      </c>
      <c r="B40" s="117">
        <v>21024</v>
      </c>
      <c r="D40" t="str">
        <f>VLOOKUP(A40,'Rate Code Detail'!$J$2:$J$184,1,FALSE)</f>
        <v>KU463</v>
      </c>
    </row>
    <row r="41" spans="1:4" x14ac:dyDescent="0.3">
      <c r="A41" s="214" t="s">
        <v>890</v>
      </c>
      <c r="B41" s="117">
        <v>7722</v>
      </c>
      <c r="D41" t="str">
        <f>VLOOKUP(A41,'Rate Code Detail'!$J$2:$J$184,1,FALSE)</f>
        <v>KU464</v>
      </c>
    </row>
    <row r="42" spans="1:4" x14ac:dyDescent="0.3">
      <c r="A42" s="214" t="s">
        <v>891</v>
      </c>
      <c r="B42" s="117">
        <v>2749</v>
      </c>
      <c r="D42" t="str">
        <f>VLOOKUP(A42,'Rate Code Detail'!$J$2:$J$184,1,FALSE)</f>
        <v>KU465</v>
      </c>
    </row>
    <row r="43" spans="1:4" x14ac:dyDescent="0.3">
      <c r="A43" s="214" t="s">
        <v>892</v>
      </c>
      <c r="B43" s="117">
        <v>852</v>
      </c>
      <c r="D43" t="str">
        <f>VLOOKUP(A43,'Rate Code Detail'!$J$2:$J$184,1,FALSE)</f>
        <v>KU466</v>
      </c>
    </row>
    <row r="44" spans="1:4" x14ac:dyDescent="0.3">
      <c r="A44" s="214" t="s">
        <v>893</v>
      </c>
      <c r="B44" s="117">
        <v>1481</v>
      </c>
      <c r="D44" t="str">
        <f>VLOOKUP(A44,'Rate Code Detail'!$J$2:$J$184,1,FALSE)</f>
        <v>KU467</v>
      </c>
    </row>
    <row r="45" spans="1:4" x14ac:dyDescent="0.3">
      <c r="A45" s="214" t="s">
        <v>894</v>
      </c>
      <c r="B45" s="117">
        <v>4129</v>
      </c>
      <c r="D45" t="str">
        <f>VLOOKUP(A45,'Rate Code Detail'!$J$2:$J$184,1,FALSE)</f>
        <v>KU468</v>
      </c>
    </row>
    <row r="46" spans="1:4" x14ac:dyDescent="0.3">
      <c r="A46" s="214" t="s">
        <v>895</v>
      </c>
      <c r="B46" s="117">
        <v>296</v>
      </c>
      <c r="D46" t="str">
        <f>VLOOKUP(A46,'Rate Code Detail'!$J$2:$J$184,1,FALSE)</f>
        <v>KU469</v>
      </c>
    </row>
    <row r="47" spans="1:4" x14ac:dyDescent="0.3">
      <c r="A47" s="214" t="s">
        <v>896</v>
      </c>
      <c r="B47" s="117">
        <v>46</v>
      </c>
      <c r="D47" t="str">
        <f>VLOOKUP(A47,'Rate Code Detail'!$J$2:$J$184,1,FALSE)</f>
        <v>KU470</v>
      </c>
    </row>
    <row r="48" spans="1:4" x14ac:dyDescent="0.3">
      <c r="A48" s="214" t="s">
        <v>897</v>
      </c>
      <c r="B48" s="117">
        <v>3611</v>
      </c>
      <c r="D48" t="str">
        <f>VLOOKUP(A48,'Rate Code Detail'!$J$2:$J$184,1,FALSE)</f>
        <v>KU471</v>
      </c>
    </row>
    <row r="49" spans="1:4" x14ac:dyDescent="0.3">
      <c r="A49" s="214" t="s">
        <v>898</v>
      </c>
      <c r="B49" s="117">
        <v>9046</v>
      </c>
      <c r="D49" t="str">
        <f>VLOOKUP(A49,'Rate Code Detail'!$J$2:$J$184,1,FALSE)</f>
        <v>KU472</v>
      </c>
    </row>
    <row r="50" spans="1:4" x14ac:dyDescent="0.3">
      <c r="A50" s="214" t="s">
        <v>899</v>
      </c>
      <c r="B50" s="117">
        <v>3311</v>
      </c>
      <c r="D50" t="str">
        <f>VLOOKUP(A50,'Rate Code Detail'!$J$2:$J$184,1,FALSE)</f>
        <v>KU473</v>
      </c>
    </row>
    <row r="51" spans="1:4" x14ac:dyDescent="0.3">
      <c r="A51" s="214" t="s">
        <v>900</v>
      </c>
      <c r="B51" s="117">
        <v>5349</v>
      </c>
      <c r="D51" t="str">
        <f>VLOOKUP(A51,'Rate Code Detail'!$J$2:$J$184,1,FALSE)</f>
        <v>KU474</v>
      </c>
    </row>
    <row r="52" spans="1:4" x14ac:dyDescent="0.3">
      <c r="A52" s="214" t="s">
        <v>901</v>
      </c>
      <c r="B52" s="117">
        <v>553</v>
      </c>
      <c r="D52" t="str">
        <f>VLOOKUP(A52,'Rate Code Detail'!$J$2:$J$184,1,FALSE)</f>
        <v>KU475</v>
      </c>
    </row>
    <row r="53" spans="1:4" x14ac:dyDescent="0.3">
      <c r="A53" s="214" t="s">
        <v>902</v>
      </c>
      <c r="B53" s="117">
        <v>4834</v>
      </c>
      <c r="D53" t="str">
        <f>VLOOKUP(A53,'Rate Code Detail'!$J$2:$J$184,1,FALSE)</f>
        <v>KU476</v>
      </c>
    </row>
    <row r="54" spans="1:4" x14ac:dyDescent="0.3">
      <c r="A54" s="214" t="s">
        <v>903</v>
      </c>
      <c r="B54" s="117">
        <v>1069</v>
      </c>
      <c r="D54" t="str">
        <f>VLOOKUP(A54,'Rate Code Detail'!$J$2:$J$184,1,FALSE)</f>
        <v>KU477</v>
      </c>
    </row>
    <row r="55" spans="1:4" x14ac:dyDescent="0.3">
      <c r="A55" s="214" t="s">
        <v>904</v>
      </c>
      <c r="B55" s="117">
        <v>1428</v>
      </c>
      <c r="D55" t="str">
        <f>VLOOKUP(A55,'Rate Code Detail'!$J$2:$J$184,1,FALSE)</f>
        <v>KU478</v>
      </c>
    </row>
    <row r="56" spans="1:4" x14ac:dyDescent="0.3">
      <c r="A56" s="214" t="s">
        <v>905</v>
      </c>
      <c r="B56" s="117">
        <v>935</v>
      </c>
      <c r="D56" t="str">
        <f>VLOOKUP(A56,'Rate Code Detail'!$J$2:$J$184,1,FALSE)</f>
        <v>KU479</v>
      </c>
    </row>
    <row r="57" spans="1:4" x14ac:dyDescent="0.3">
      <c r="A57" s="214" t="s">
        <v>906</v>
      </c>
      <c r="B57" s="117">
        <v>11173</v>
      </c>
      <c r="D57" t="str">
        <f>VLOOKUP(A57,'Rate Code Detail'!$J$2:$J$184,1,FALSE)</f>
        <v>KU487</v>
      </c>
    </row>
    <row r="58" spans="1:4" x14ac:dyDescent="0.3">
      <c r="A58" s="214" t="s">
        <v>907</v>
      </c>
      <c r="B58" s="117">
        <v>6675</v>
      </c>
      <c r="D58" t="str">
        <f>VLOOKUP(A58,'Rate Code Detail'!$J$2:$J$184,1,FALSE)</f>
        <v>KU488</v>
      </c>
    </row>
    <row r="59" spans="1:4" x14ac:dyDescent="0.3">
      <c r="A59" s="214" t="s">
        <v>908</v>
      </c>
      <c r="B59" s="117">
        <v>8626</v>
      </c>
      <c r="D59" t="str">
        <f>VLOOKUP(A59,'Rate Code Detail'!$J$2:$J$184,1,FALSE)</f>
        <v>KU489</v>
      </c>
    </row>
    <row r="60" spans="1:4" x14ac:dyDescent="0.3">
      <c r="A60" s="214" t="s">
        <v>909</v>
      </c>
      <c r="B60" s="117">
        <v>59</v>
      </c>
      <c r="D60" t="str">
        <f>VLOOKUP(A60,'Rate Code Detail'!$J$2:$J$184,1,FALSE)</f>
        <v>KU490</v>
      </c>
    </row>
    <row r="61" spans="1:4" x14ac:dyDescent="0.3">
      <c r="A61" s="214" t="s">
        <v>910</v>
      </c>
      <c r="B61" s="117">
        <v>298</v>
      </c>
      <c r="D61" t="str">
        <f>VLOOKUP(A61,'Rate Code Detail'!$J$2:$J$184,1,FALSE)</f>
        <v>KU491</v>
      </c>
    </row>
    <row r="62" spans="1:4" x14ac:dyDescent="0.3">
      <c r="A62" s="214" t="s">
        <v>911</v>
      </c>
      <c r="B62" s="117">
        <v>2</v>
      </c>
      <c r="D62" t="str">
        <f>VLOOKUP(A62,'Rate Code Detail'!$J$2:$J$184,1,FALSE)</f>
        <v>KU492</v>
      </c>
    </row>
    <row r="63" spans="1:4" x14ac:dyDescent="0.3">
      <c r="A63" s="214" t="s">
        <v>912</v>
      </c>
      <c r="B63" s="117">
        <v>43</v>
      </c>
      <c r="D63" t="str">
        <f>VLOOKUP(A63,'Rate Code Detail'!$J$2:$J$184,1,FALSE)</f>
        <v>KU493</v>
      </c>
    </row>
    <row r="64" spans="1:4" x14ac:dyDescent="0.3">
      <c r="A64" s="214" t="s">
        <v>913</v>
      </c>
      <c r="B64" s="117">
        <v>184</v>
      </c>
      <c r="D64" t="str">
        <f>VLOOKUP(A64,'Rate Code Detail'!$J$2:$J$184,1,FALSE)</f>
        <v>KU494</v>
      </c>
    </row>
    <row r="65" spans="1:4" x14ac:dyDescent="0.3">
      <c r="A65" s="214" t="s">
        <v>914</v>
      </c>
      <c r="B65" s="117">
        <v>685</v>
      </c>
      <c r="D65" t="str">
        <f>VLOOKUP(A65,'Rate Code Detail'!$J$2:$J$184,1,FALSE)</f>
        <v>KU495</v>
      </c>
    </row>
    <row r="66" spans="1:4" x14ac:dyDescent="0.3">
      <c r="A66" s="214" t="s">
        <v>915</v>
      </c>
      <c r="B66" s="117">
        <v>137</v>
      </c>
      <c r="D66" t="str">
        <f>VLOOKUP(A66,'Rate Code Detail'!$J$2:$J$184,1,FALSE)</f>
        <v>KU496</v>
      </c>
    </row>
    <row r="67" spans="1:4" x14ac:dyDescent="0.3">
      <c r="A67" s="214" t="s">
        <v>916</v>
      </c>
      <c r="B67" s="117">
        <v>18</v>
      </c>
      <c r="D67" t="str">
        <f>VLOOKUP(A67,'Rate Code Detail'!$J$2:$J$184,1,FALSE)</f>
        <v>KU497</v>
      </c>
    </row>
    <row r="68" spans="1:4" x14ac:dyDescent="0.3">
      <c r="A68" s="214" t="s">
        <v>917</v>
      </c>
      <c r="B68" s="117">
        <v>31</v>
      </c>
      <c r="D68" t="str">
        <f>VLOOKUP(A68,'Rate Code Detail'!$J$2:$J$184,1,FALSE)</f>
        <v>KU498</v>
      </c>
    </row>
    <row r="69" spans="1:4" x14ac:dyDescent="0.3">
      <c r="A69" s="214" t="s">
        <v>918</v>
      </c>
      <c r="B69" s="117">
        <v>35</v>
      </c>
      <c r="D69" t="str">
        <f>VLOOKUP(A69,'Rate Code Detail'!$J$2:$J$184,1,FALSE)</f>
        <v>KU499</v>
      </c>
    </row>
    <row r="70" spans="1:4" x14ac:dyDescent="0.3">
      <c r="A70" s="214" t="s">
        <v>919</v>
      </c>
      <c r="B70" s="117">
        <v>0</v>
      </c>
      <c r="D70" t="e">
        <f>VLOOKUP(A70,'Rate Code Detail'!$J$2:$J$184,1,FALSE)</f>
        <v>#N/A</v>
      </c>
    </row>
    <row r="71" spans="1:4" x14ac:dyDescent="0.3">
      <c r="A71" s="214" t="s">
        <v>920</v>
      </c>
      <c r="B71" s="117">
        <v>0</v>
      </c>
      <c r="D71" t="e">
        <f>VLOOKUP(A71,'Rate Code Detail'!$J$2:$J$184,1,FALSE)</f>
        <v>#N/A</v>
      </c>
    </row>
    <row r="72" spans="1:4" x14ac:dyDescent="0.3">
      <c r="A72" s="214" t="s">
        <v>921</v>
      </c>
      <c r="B72" s="117">
        <v>0</v>
      </c>
      <c r="D72" t="e">
        <f>VLOOKUP(A72,'Rate Code Detail'!$J$2:$J$184,1,FALSE)</f>
        <v>#N/A</v>
      </c>
    </row>
    <row r="73" spans="1:4" x14ac:dyDescent="0.3">
      <c r="A73" s="214" t="s">
        <v>922</v>
      </c>
      <c r="B73" s="117">
        <v>0</v>
      </c>
      <c r="D73" t="e">
        <f>VLOOKUP(A73,'Rate Code Detail'!$J$2:$J$184,1,FALSE)</f>
        <v>#N/A</v>
      </c>
    </row>
    <row r="74" spans="1:4" x14ac:dyDescent="0.3">
      <c r="A74" s="214" t="s">
        <v>923</v>
      </c>
      <c r="B74" s="117">
        <v>0</v>
      </c>
      <c r="D74" t="e">
        <f>VLOOKUP(A74,'Rate Code Detail'!$J$2:$J$184,1,FALSE)</f>
        <v>#N/A</v>
      </c>
    </row>
    <row r="75" spans="1:4" x14ac:dyDescent="0.3">
      <c r="A75" s="214" t="s">
        <v>924</v>
      </c>
      <c r="B75" s="117">
        <v>72</v>
      </c>
      <c r="D75" t="str">
        <f>VLOOKUP(A75,'Rate Code Detail'!$J$2:$J$184,1,FALSE)</f>
        <v>LGE201</v>
      </c>
    </row>
    <row r="76" spans="1:4" x14ac:dyDescent="0.3">
      <c r="A76" s="214" t="s">
        <v>925</v>
      </c>
      <c r="B76" s="117">
        <v>3197</v>
      </c>
      <c r="D76" t="str">
        <f>VLOOKUP(A76,'Rate Code Detail'!$J$2:$J$184,1,FALSE)</f>
        <v>LGE203</v>
      </c>
    </row>
    <row r="77" spans="1:4" x14ac:dyDescent="0.3">
      <c r="A77" s="214" t="s">
        <v>926</v>
      </c>
      <c r="B77" s="117">
        <v>3266</v>
      </c>
      <c r="D77" t="str">
        <f>VLOOKUP(A77,'Rate Code Detail'!$J$2:$J$184,1,FALSE)</f>
        <v>LGE204</v>
      </c>
    </row>
    <row r="78" spans="1:4" x14ac:dyDescent="0.3">
      <c r="A78" s="214" t="s">
        <v>927</v>
      </c>
      <c r="B78" s="117">
        <v>72</v>
      </c>
      <c r="D78" t="str">
        <f>VLOOKUP(A78,'Rate Code Detail'!$J$2:$J$184,1,FALSE)</f>
        <v>LGE206</v>
      </c>
    </row>
    <row r="79" spans="1:4" x14ac:dyDescent="0.3">
      <c r="A79" s="214" t="s">
        <v>928</v>
      </c>
      <c r="B79" s="117">
        <v>665</v>
      </c>
      <c r="D79" t="str">
        <f>VLOOKUP(A79,'Rate Code Detail'!$J$2:$J$184,1,FALSE)</f>
        <v>LGE207</v>
      </c>
    </row>
    <row r="80" spans="1:4" x14ac:dyDescent="0.3">
      <c r="A80" s="214" t="s">
        <v>929</v>
      </c>
      <c r="B80" s="117">
        <v>1336</v>
      </c>
      <c r="D80" t="str">
        <f>VLOOKUP(A80,'Rate Code Detail'!$J$2:$J$184,1,FALSE)</f>
        <v>LGE208</v>
      </c>
    </row>
    <row r="81" spans="1:4" x14ac:dyDescent="0.3">
      <c r="A81" s="214" t="s">
        <v>930</v>
      </c>
      <c r="B81" s="117">
        <v>31</v>
      </c>
      <c r="D81" t="str">
        <f>VLOOKUP(A81,'Rate Code Detail'!$J$2:$J$184,1,FALSE)</f>
        <v>LGE209</v>
      </c>
    </row>
    <row r="82" spans="1:4" x14ac:dyDescent="0.3">
      <c r="A82" s="214" t="s">
        <v>931</v>
      </c>
      <c r="B82" s="117">
        <v>305</v>
      </c>
      <c r="D82" t="str">
        <f>VLOOKUP(A82,'Rate Code Detail'!$J$2:$J$184,1,FALSE)</f>
        <v>LGE210</v>
      </c>
    </row>
    <row r="83" spans="1:4" x14ac:dyDescent="0.3">
      <c r="A83" s="214" t="s">
        <v>932</v>
      </c>
      <c r="B83" s="117">
        <v>3624</v>
      </c>
      <c r="D83" t="str">
        <f>VLOOKUP(A83,'Rate Code Detail'!$J$2:$J$184,1,FALSE)</f>
        <v>LGE252</v>
      </c>
    </row>
    <row r="84" spans="1:4" x14ac:dyDescent="0.3">
      <c r="A84" s="214" t="s">
        <v>933</v>
      </c>
      <c r="B84" s="117">
        <v>2065</v>
      </c>
      <c r="D84" t="str">
        <f>VLOOKUP(A84,'Rate Code Detail'!$J$2:$J$184,1,FALSE)</f>
        <v>LGE266</v>
      </c>
    </row>
    <row r="85" spans="1:4" x14ac:dyDescent="0.3">
      <c r="A85" s="214" t="s">
        <v>934</v>
      </c>
      <c r="B85" s="117">
        <v>2291</v>
      </c>
      <c r="D85" t="str">
        <f>VLOOKUP(A85,'Rate Code Detail'!$J$2:$J$184,1,FALSE)</f>
        <v>LGE267</v>
      </c>
    </row>
    <row r="86" spans="1:4" x14ac:dyDescent="0.3">
      <c r="A86" s="214" t="s">
        <v>935</v>
      </c>
      <c r="B86" s="117">
        <v>16995</v>
      </c>
      <c r="D86" t="str">
        <f>VLOOKUP(A86,'Rate Code Detail'!$J$2:$J$184,1,FALSE)</f>
        <v>LGE274</v>
      </c>
    </row>
    <row r="87" spans="1:4" x14ac:dyDescent="0.3">
      <c r="A87" s="214" t="s">
        <v>936</v>
      </c>
      <c r="B87" s="117">
        <v>477</v>
      </c>
      <c r="D87" t="str">
        <f>VLOOKUP(A87,'Rate Code Detail'!$J$2:$J$184,1,FALSE)</f>
        <v>LGE275</v>
      </c>
    </row>
    <row r="88" spans="1:4" x14ac:dyDescent="0.3">
      <c r="A88" s="214" t="s">
        <v>937</v>
      </c>
      <c r="B88" s="117">
        <v>1361</v>
      </c>
      <c r="D88" t="str">
        <f>VLOOKUP(A88,'Rate Code Detail'!$J$2:$J$184,1,FALSE)</f>
        <v>LGE276</v>
      </c>
    </row>
    <row r="89" spans="1:4" x14ac:dyDescent="0.3">
      <c r="A89" s="214" t="s">
        <v>938</v>
      </c>
      <c r="B89" s="117">
        <v>2334</v>
      </c>
      <c r="D89" t="str">
        <f>VLOOKUP(A89,'Rate Code Detail'!$J$2:$J$184,1,FALSE)</f>
        <v>LGE277</v>
      </c>
    </row>
    <row r="90" spans="1:4" x14ac:dyDescent="0.3">
      <c r="A90" s="214" t="s">
        <v>939</v>
      </c>
      <c r="B90" s="117">
        <v>12</v>
      </c>
      <c r="D90" t="str">
        <f>VLOOKUP(A90,'Rate Code Detail'!$J$2:$J$184,1,FALSE)</f>
        <v>LGE278</v>
      </c>
    </row>
    <row r="91" spans="1:4" x14ac:dyDescent="0.3">
      <c r="A91" s="214" t="s">
        <v>940</v>
      </c>
      <c r="B91" s="117">
        <v>8</v>
      </c>
      <c r="D91" t="str">
        <f>VLOOKUP(A91,'Rate Code Detail'!$J$2:$J$184,1,FALSE)</f>
        <v>LGE279</v>
      </c>
    </row>
    <row r="92" spans="1:4" x14ac:dyDescent="0.3">
      <c r="A92" s="214" t="s">
        <v>941</v>
      </c>
      <c r="B92" s="117">
        <v>46</v>
      </c>
      <c r="D92" t="str">
        <f>VLOOKUP(A92,'Rate Code Detail'!$J$2:$J$184,1,FALSE)</f>
        <v>LGE280</v>
      </c>
    </row>
    <row r="93" spans="1:4" x14ac:dyDescent="0.3">
      <c r="A93" s="214" t="s">
        <v>942</v>
      </c>
      <c r="B93" s="117">
        <v>245</v>
      </c>
      <c r="D93" t="str">
        <f>VLOOKUP(A93,'Rate Code Detail'!$J$2:$J$184,1,FALSE)</f>
        <v>LGE281</v>
      </c>
    </row>
    <row r="94" spans="1:4" x14ac:dyDescent="0.3">
      <c r="A94" s="214" t="s">
        <v>943</v>
      </c>
      <c r="B94" s="117">
        <v>106</v>
      </c>
      <c r="D94" t="str">
        <f>VLOOKUP(A94,'Rate Code Detail'!$J$2:$J$184,1,FALSE)</f>
        <v>LGE282</v>
      </c>
    </row>
    <row r="95" spans="1:4" x14ac:dyDescent="0.3">
      <c r="A95" s="214" t="s">
        <v>944</v>
      </c>
      <c r="B95" s="117">
        <v>99</v>
      </c>
      <c r="D95" t="str">
        <f>VLOOKUP(A95,'Rate Code Detail'!$J$2:$J$184,1,FALSE)</f>
        <v>LGE283</v>
      </c>
    </row>
    <row r="96" spans="1:4" x14ac:dyDescent="0.3">
      <c r="A96" s="214" t="s">
        <v>945</v>
      </c>
      <c r="B96" s="117">
        <v>451</v>
      </c>
      <c r="D96" t="str">
        <f>VLOOKUP(A96,'Rate Code Detail'!$J$2:$J$184,1,FALSE)</f>
        <v>LGE314</v>
      </c>
    </row>
    <row r="97" spans="1:4" x14ac:dyDescent="0.3">
      <c r="A97" s="214" t="s">
        <v>946</v>
      </c>
      <c r="B97" s="117">
        <v>453</v>
      </c>
      <c r="D97" t="str">
        <f>VLOOKUP(A97,'Rate Code Detail'!$J$2:$J$184,1,FALSE)</f>
        <v>LGE315</v>
      </c>
    </row>
    <row r="98" spans="1:4" x14ac:dyDescent="0.3">
      <c r="A98" s="214" t="s">
        <v>947</v>
      </c>
      <c r="B98" s="117">
        <v>48</v>
      </c>
      <c r="D98" t="str">
        <f>VLOOKUP(A98,'Rate Code Detail'!$J$2:$J$184,1,FALSE)</f>
        <v>LGE318</v>
      </c>
    </row>
    <row r="99" spans="1:4" x14ac:dyDescent="0.3">
      <c r="A99" s="214" t="s">
        <v>948</v>
      </c>
      <c r="B99" s="117">
        <v>39</v>
      </c>
      <c r="D99" t="str">
        <f>VLOOKUP(A99,'Rate Code Detail'!$J$2:$J$184,1,FALSE)</f>
        <v>LGE348</v>
      </c>
    </row>
    <row r="100" spans="1:4" x14ac:dyDescent="0.3">
      <c r="A100" s="214" t="s">
        <v>949</v>
      </c>
      <c r="B100" s="117">
        <v>17</v>
      </c>
      <c r="D100" t="str">
        <f>VLOOKUP(A100,'Rate Code Detail'!$J$2:$J$184,1,FALSE)</f>
        <v>LGE349</v>
      </c>
    </row>
    <row r="101" spans="1:4" x14ac:dyDescent="0.3">
      <c r="A101" s="214" t="s">
        <v>950</v>
      </c>
      <c r="B101" s="117">
        <v>56</v>
      </c>
      <c r="D101" t="str">
        <f>VLOOKUP(A101,'Rate Code Detail'!$J$2:$J$184,1,FALSE)</f>
        <v>LGE400</v>
      </c>
    </row>
    <row r="102" spans="1:4" x14ac:dyDescent="0.3">
      <c r="A102" s="214" t="s">
        <v>951</v>
      </c>
      <c r="B102" s="117">
        <v>20</v>
      </c>
      <c r="D102" t="str">
        <f>VLOOKUP(A102,'Rate Code Detail'!$J$2:$J$184,1,FALSE)</f>
        <v>LGE401</v>
      </c>
    </row>
    <row r="103" spans="1:4" x14ac:dyDescent="0.3">
      <c r="A103" s="214" t="s">
        <v>952</v>
      </c>
      <c r="B103" s="117">
        <v>220</v>
      </c>
      <c r="D103" t="str">
        <f>VLOOKUP(A103,'Rate Code Detail'!$J$2:$J$184,1,FALSE)</f>
        <v>LGE412</v>
      </c>
    </row>
    <row r="104" spans="1:4" x14ac:dyDescent="0.3">
      <c r="A104" s="214" t="s">
        <v>953</v>
      </c>
      <c r="B104" s="117">
        <v>2664</v>
      </c>
      <c r="D104" t="str">
        <f>VLOOKUP(A104,'Rate Code Detail'!$J$2:$J$184,1,FALSE)</f>
        <v>LGE413</v>
      </c>
    </row>
    <row r="105" spans="1:4" x14ac:dyDescent="0.3">
      <c r="A105" s="214" t="s">
        <v>954</v>
      </c>
      <c r="B105" s="117">
        <v>47</v>
      </c>
      <c r="D105" t="str">
        <f>VLOOKUP(A105,'Rate Code Detail'!$J$2:$J$184,1,FALSE)</f>
        <v>LGE415</v>
      </c>
    </row>
    <row r="106" spans="1:4" x14ac:dyDescent="0.3">
      <c r="A106" s="214" t="s">
        <v>955</v>
      </c>
      <c r="B106" s="117">
        <v>2011</v>
      </c>
      <c r="D106" t="str">
        <f>VLOOKUP(A106,'Rate Code Detail'!$J$2:$J$184,1,FALSE)</f>
        <v>LGE416</v>
      </c>
    </row>
    <row r="107" spans="1:4" x14ac:dyDescent="0.3">
      <c r="A107" s="214" t="s">
        <v>956</v>
      </c>
      <c r="B107" s="117">
        <v>49</v>
      </c>
      <c r="D107" t="str">
        <f>VLOOKUP(A107,'Rate Code Detail'!$J$2:$J$184,1,FALSE)</f>
        <v>LGE417</v>
      </c>
    </row>
    <row r="108" spans="1:4" x14ac:dyDescent="0.3">
      <c r="A108" s="214" t="s">
        <v>957</v>
      </c>
      <c r="B108" s="117">
        <v>119</v>
      </c>
      <c r="D108" t="str">
        <f>VLOOKUP(A108,'Rate Code Detail'!$J$2:$J$184,1,FALSE)</f>
        <v>LGE419</v>
      </c>
    </row>
    <row r="109" spans="1:4" x14ac:dyDescent="0.3">
      <c r="A109" s="214" t="s">
        <v>958</v>
      </c>
      <c r="B109" s="117">
        <v>62</v>
      </c>
      <c r="D109" t="str">
        <f>VLOOKUP(A109,'Rate Code Detail'!$J$2:$J$184,1,FALSE)</f>
        <v>LGE420</v>
      </c>
    </row>
    <row r="110" spans="1:4" x14ac:dyDescent="0.3">
      <c r="A110" s="214" t="s">
        <v>959</v>
      </c>
      <c r="B110" s="117">
        <v>215</v>
      </c>
      <c r="D110" t="str">
        <f>VLOOKUP(A110,'Rate Code Detail'!$J$2:$J$184,1,FALSE)</f>
        <v>LGE421</v>
      </c>
    </row>
    <row r="111" spans="1:4" x14ac:dyDescent="0.3">
      <c r="A111" s="214" t="s">
        <v>960</v>
      </c>
      <c r="B111" s="117">
        <v>443</v>
      </c>
      <c r="D111" t="str">
        <f>VLOOKUP(A111,'Rate Code Detail'!$J$2:$J$184,1,FALSE)</f>
        <v>LGE422</v>
      </c>
    </row>
    <row r="112" spans="1:4" x14ac:dyDescent="0.3">
      <c r="A112" s="214" t="s">
        <v>961</v>
      </c>
      <c r="B112" s="117">
        <v>21</v>
      </c>
      <c r="D112" t="str">
        <f>VLOOKUP(A112,'Rate Code Detail'!$J$2:$J$184,1,FALSE)</f>
        <v>LGE423</v>
      </c>
    </row>
    <row r="113" spans="1:4" x14ac:dyDescent="0.3">
      <c r="A113" s="214" t="s">
        <v>962</v>
      </c>
      <c r="B113" s="117">
        <v>616</v>
      </c>
      <c r="D113" t="str">
        <f>VLOOKUP(A113,'Rate Code Detail'!$J$2:$J$184,1,FALSE)</f>
        <v>LGE424</v>
      </c>
    </row>
    <row r="114" spans="1:4" x14ac:dyDescent="0.3">
      <c r="A114" s="214" t="s">
        <v>963</v>
      </c>
      <c r="B114" s="117">
        <v>32</v>
      </c>
      <c r="D114" t="str">
        <f>VLOOKUP(A114,'Rate Code Detail'!$J$2:$J$184,1,FALSE)</f>
        <v>LGE425</v>
      </c>
    </row>
    <row r="115" spans="1:4" x14ac:dyDescent="0.3">
      <c r="A115" s="214" t="s">
        <v>964</v>
      </c>
      <c r="B115" s="117">
        <v>34</v>
      </c>
      <c r="D115" t="str">
        <f>VLOOKUP(A115,'Rate Code Detail'!$J$2:$J$184,1,FALSE)</f>
        <v>LGE426</v>
      </c>
    </row>
    <row r="116" spans="1:4" x14ac:dyDescent="0.3">
      <c r="A116" s="214" t="s">
        <v>965</v>
      </c>
      <c r="B116" s="117">
        <v>54</v>
      </c>
      <c r="D116" t="str">
        <f>VLOOKUP(A116,'Rate Code Detail'!$J$2:$J$184,1,FALSE)</f>
        <v>LGE427</v>
      </c>
    </row>
    <row r="117" spans="1:4" x14ac:dyDescent="0.3">
      <c r="A117" s="214" t="s">
        <v>966</v>
      </c>
      <c r="B117" s="117">
        <v>299</v>
      </c>
      <c r="D117" t="str">
        <f>VLOOKUP(A117,'Rate Code Detail'!$J$2:$J$184,1,FALSE)</f>
        <v>LGE428</v>
      </c>
    </row>
    <row r="118" spans="1:4" x14ac:dyDescent="0.3">
      <c r="A118" s="214" t="s">
        <v>967</v>
      </c>
      <c r="B118" s="117">
        <v>259</v>
      </c>
      <c r="D118" t="str">
        <f>VLOOKUP(A118,'Rate Code Detail'!$J$2:$J$184,1,FALSE)</f>
        <v>LGE429</v>
      </c>
    </row>
    <row r="119" spans="1:4" x14ac:dyDescent="0.3">
      <c r="A119" s="214" t="s">
        <v>968</v>
      </c>
      <c r="B119" s="117">
        <v>13</v>
      </c>
      <c r="D119" t="str">
        <f>VLOOKUP(A119,'Rate Code Detail'!$J$2:$J$184,1,FALSE)</f>
        <v>LGE430</v>
      </c>
    </row>
    <row r="120" spans="1:4" x14ac:dyDescent="0.3">
      <c r="A120" s="214" t="s">
        <v>969</v>
      </c>
      <c r="B120" s="117">
        <v>51</v>
      </c>
      <c r="D120" t="str">
        <f>VLOOKUP(A120,'Rate Code Detail'!$J$2:$J$184,1,FALSE)</f>
        <v>LGE431</v>
      </c>
    </row>
    <row r="121" spans="1:4" x14ac:dyDescent="0.3">
      <c r="A121" s="214" t="s">
        <v>970</v>
      </c>
      <c r="B121" s="117">
        <v>10</v>
      </c>
      <c r="D121" t="str">
        <f>VLOOKUP(A121,'Rate Code Detail'!$J$2:$J$184,1,FALSE)</f>
        <v>LGE432</v>
      </c>
    </row>
    <row r="122" spans="1:4" x14ac:dyDescent="0.3">
      <c r="A122" s="214" t="s">
        <v>971</v>
      </c>
      <c r="B122" s="117">
        <v>237</v>
      </c>
      <c r="D122" t="str">
        <f>VLOOKUP(A122,'Rate Code Detail'!$J$2:$J$184,1,FALSE)</f>
        <v>LGE433</v>
      </c>
    </row>
    <row r="123" spans="1:4" x14ac:dyDescent="0.3">
      <c r="A123" s="214" t="s">
        <v>972</v>
      </c>
      <c r="B123" s="117">
        <v>23</v>
      </c>
      <c r="D123" t="str">
        <f>VLOOKUP(A123,'Rate Code Detail'!$J$2:$J$184,1,FALSE)</f>
        <v>LGE440</v>
      </c>
    </row>
    <row r="124" spans="1:4" x14ac:dyDescent="0.3">
      <c r="A124" s="214" t="s">
        <v>973</v>
      </c>
      <c r="B124" s="117">
        <v>51</v>
      </c>
      <c r="D124" t="str">
        <f>VLOOKUP(A124,'Rate Code Detail'!$J$2:$J$184,1,FALSE)</f>
        <v>LGE441</v>
      </c>
    </row>
    <row r="125" spans="1:4" x14ac:dyDescent="0.3">
      <c r="A125" s="214" t="s">
        <v>974</v>
      </c>
      <c r="B125" s="117">
        <v>10</v>
      </c>
      <c r="D125" t="str">
        <f>VLOOKUP(A125,'Rate Code Detail'!$J$2:$J$184,1,FALSE)</f>
        <v>LGE444</v>
      </c>
    </row>
    <row r="126" spans="1:4" x14ac:dyDescent="0.3">
      <c r="A126" s="214" t="s">
        <v>975</v>
      </c>
      <c r="B126" s="117">
        <v>19</v>
      </c>
      <c r="D126" t="str">
        <f>VLOOKUP(A126,'Rate Code Detail'!$J$2:$J$184,1,FALSE)</f>
        <v>LGE445</v>
      </c>
    </row>
    <row r="127" spans="1:4" x14ac:dyDescent="0.3">
      <c r="A127" s="214" t="s">
        <v>976</v>
      </c>
      <c r="B127" s="117">
        <v>6855</v>
      </c>
      <c r="D127" t="str">
        <f>VLOOKUP(A127,'Rate Code Detail'!$J$2:$J$184,1,FALSE)</f>
        <v>LGE452</v>
      </c>
    </row>
    <row r="128" spans="1:4" x14ac:dyDescent="0.3">
      <c r="A128" s="214" t="s">
        <v>977</v>
      </c>
      <c r="B128" s="117">
        <v>10421</v>
      </c>
      <c r="D128" t="str">
        <f>VLOOKUP(A128,'Rate Code Detail'!$J$2:$J$184,1,FALSE)</f>
        <v>LGE453</v>
      </c>
    </row>
    <row r="129" spans="1:4" x14ac:dyDescent="0.3">
      <c r="A129" s="214" t="s">
        <v>978</v>
      </c>
      <c r="B129" s="117">
        <v>5516</v>
      </c>
      <c r="D129" t="str">
        <f>VLOOKUP(A129,'Rate Code Detail'!$J$2:$J$184,1,FALSE)</f>
        <v>LGE454</v>
      </c>
    </row>
    <row r="130" spans="1:4" x14ac:dyDescent="0.3">
      <c r="A130" s="214" t="s">
        <v>979</v>
      </c>
      <c r="B130" s="117">
        <v>402</v>
      </c>
      <c r="D130" t="str">
        <f>VLOOKUP(A130,'Rate Code Detail'!$J$2:$J$184,1,FALSE)</f>
        <v>LGE455</v>
      </c>
    </row>
    <row r="131" spans="1:4" x14ac:dyDescent="0.3">
      <c r="A131" s="214" t="s">
        <v>980</v>
      </c>
      <c r="B131" s="117">
        <v>12896</v>
      </c>
      <c r="D131" t="str">
        <f>VLOOKUP(A131,'Rate Code Detail'!$J$2:$J$184,1,FALSE)</f>
        <v>LGE456</v>
      </c>
    </row>
    <row r="132" spans="1:4" x14ac:dyDescent="0.3">
      <c r="A132" s="214" t="s">
        <v>981</v>
      </c>
      <c r="B132" s="117">
        <v>3607</v>
      </c>
      <c r="D132" t="str">
        <f>VLOOKUP(A132,'Rate Code Detail'!$J$2:$J$184,1,FALSE)</f>
        <v>LGE457</v>
      </c>
    </row>
    <row r="133" spans="1:4" x14ac:dyDescent="0.3">
      <c r="A133" s="214" t="s">
        <v>982</v>
      </c>
      <c r="B133" s="117"/>
      <c r="D133" t="e">
        <f>VLOOKUP(A133,'Rate Code Detail'!$J$2:$J$184,1,FALSE)</f>
        <v>#N/A</v>
      </c>
    </row>
    <row r="134" spans="1:4" x14ac:dyDescent="0.3">
      <c r="A134" s="214" t="s">
        <v>983</v>
      </c>
      <c r="B134" s="117">
        <v>42</v>
      </c>
      <c r="D134" t="str">
        <f>VLOOKUP(A134,'Rate Code Detail'!$J$2:$J$184,1,FALSE)</f>
        <v>LGE470</v>
      </c>
    </row>
    <row r="135" spans="1:4" x14ac:dyDescent="0.3">
      <c r="A135" s="214" t="s">
        <v>984</v>
      </c>
      <c r="B135" s="117">
        <v>8</v>
      </c>
      <c r="D135" t="str">
        <f>VLOOKUP(A135,'Rate Code Detail'!$J$2:$J$184,1,FALSE)</f>
        <v>LGE471</v>
      </c>
    </row>
    <row r="136" spans="1:4" x14ac:dyDescent="0.3">
      <c r="A136" s="214" t="s">
        <v>985</v>
      </c>
      <c r="B136" s="117">
        <v>749</v>
      </c>
      <c r="D136" t="str">
        <f>VLOOKUP(A136,'Rate Code Detail'!$J$2:$J$184,1,FALSE)</f>
        <v>LGE473</v>
      </c>
    </row>
    <row r="137" spans="1:4" x14ac:dyDescent="0.3">
      <c r="A137" s="214" t="s">
        <v>986</v>
      </c>
      <c r="B137" s="117">
        <v>47</v>
      </c>
      <c r="D137" t="str">
        <f>VLOOKUP(A137,'Rate Code Detail'!$J$2:$J$184,1,FALSE)</f>
        <v>LGE474</v>
      </c>
    </row>
    <row r="138" spans="1:4" x14ac:dyDescent="0.3">
      <c r="A138" s="214" t="s">
        <v>987</v>
      </c>
      <c r="B138" s="117">
        <v>2</v>
      </c>
      <c r="D138" t="str">
        <f>VLOOKUP(A138,'Rate Code Detail'!$J$2:$J$184,1,FALSE)</f>
        <v>LGE475</v>
      </c>
    </row>
    <row r="139" spans="1:4" x14ac:dyDescent="0.3">
      <c r="A139" s="214" t="s">
        <v>988</v>
      </c>
      <c r="B139" s="117">
        <v>611</v>
      </c>
      <c r="D139" t="str">
        <f>VLOOKUP(A139,'Rate Code Detail'!$J$2:$J$184,1,FALSE)</f>
        <v>LGE476</v>
      </c>
    </row>
    <row r="140" spans="1:4" x14ac:dyDescent="0.3">
      <c r="A140" s="214" t="s">
        <v>989</v>
      </c>
      <c r="B140" s="117">
        <v>58</v>
      </c>
      <c r="D140" t="str">
        <f>VLOOKUP(A140,'Rate Code Detail'!$J$2:$J$184,1,FALSE)</f>
        <v>LGE477</v>
      </c>
    </row>
    <row r="141" spans="1:4" x14ac:dyDescent="0.3">
      <c r="A141" s="214" t="s">
        <v>990</v>
      </c>
      <c r="B141" s="117">
        <v>20</v>
      </c>
      <c r="D141" t="str">
        <f>VLOOKUP(A141,'Rate Code Detail'!$J$2:$J$184,1,FALSE)</f>
        <v>LGE480</v>
      </c>
    </row>
    <row r="142" spans="1:4" x14ac:dyDescent="0.3">
      <c r="A142" s="214" t="s">
        <v>991</v>
      </c>
      <c r="B142" s="117">
        <v>6</v>
      </c>
      <c r="D142" t="str">
        <f>VLOOKUP(A142,'Rate Code Detail'!$J$2:$J$184,1,FALSE)</f>
        <v>LGE481</v>
      </c>
    </row>
    <row r="143" spans="1:4" x14ac:dyDescent="0.3">
      <c r="A143" s="214" t="s">
        <v>992</v>
      </c>
      <c r="B143" s="117">
        <v>98</v>
      </c>
      <c r="D143" t="str">
        <f>VLOOKUP(A143,'Rate Code Detail'!$J$2:$J$184,1,FALSE)</f>
        <v>LGE482</v>
      </c>
    </row>
    <row r="144" spans="1:4" x14ac:dyDescent="0.3">
      <c r="A144" s="214" t="s">
        <v>993</v>
      </c>
      <c r="B144" s="117">
        <v>5</v>
      </c>
      <c r="D144" t="str">
        <f>VLOOKUP(A144,'Rate Code Detail'!$J$2:$J$184,1,FALSE)</f>
        <v>LGE483</v>
      </c>
    </row>
    <row r="145" spans="1:4" x14ac:dyDescent="0.3">
      <c r="A145" s="214" t="s">
        <v>994</v>
      </c>
      <c r="B145" s="117">
        <v>65</v>
      </c>
      <c r="D145" t="str">
        <f>VLOOKUP(A145,'Rate Code Detail'!$J$2:$J$184,1,FALSE)</f>
        <v>LGE484</v>
      </c>
    </row>
    <row r="146" spans="1:4" x14ac:dyDescent="0.3">
      <c r="A146" s="214" t="s">
        <v>995</v>
      </c>
      <c r="B146" s="117">
        <v>0</v>
      </c>
      <c r="D146" t="e">
        <f>VLOOKUP(A146,'Rate Code Detail'!$J$2:$J$184,1,FALSE)</f>
        <v>#N/A</v>
      </c>
    </row>
    <row r="147" spans="1:4" x14ac:dyDescent="0.3">
      <c r="A147" s="214" t="s">
        <v>996</v>
      </c>
      <c r="B147" s="117">
        <v>0</v>
      </c>
      <c r="D147" t="e">
        <f>VLOOKUP(A147,'Rate Code Detail'!$J$2:$J$184,1,FALSE)</f>
        <v>#N/A</v>
      </c>
    </row>
    <row r="148" spans="1:4" x14ac:dyDescent="0.3">
      <c r="A148" s="214" t="s">
        <v>997</v>
      </c>
      <c r="B148" s="117">
        <v>0</v>
      </c>
      <c r="D148" t="e">
        <f>VLOOKUP(A148,'Rate Code Detail'!$J$2:$J$184,1,FALSE)</f>
        <v>#N/A</v>
      </c>
    </row>
    <row r="149" spans="1:4" x14ac:dyDescent="0.3">
      <c r="A149" s="214" t="s">
        <v>998</v>
      </c>
      <c r="B149" s="117">
        <v>0</v>
      </c>
      <c r="D149" t="e">
        <f>VLOOKUP(A149,'Rate Code Detail'!$J$2:$J$184,1,FALSE)</f>
        <v>#N/A</v>
      </c>
    </row>
    <row r="150" spans="1:4" x14ac:dyDescent="0.3">
      <c r="A150" s="214" t="s">
        <v>832</v>
      </c>
      <c r="B150" s="117">
        <v>1815</v>
      </c>
      <c r="D150" t="str">
        <f>VLOOKUP(A150,'Rate Code Detail'!$J$2:$J$184,1,FALSE)</f>
        <v>ODP406</v>
      </c>
    </row>
    <row r="151" spans="1:4" x14ac:dyDescent="0.3">
      <c r="A151" s="214" t="s">
        <v>833</v>
      </c>
      <c r="B151" s="117">
        <v>2</v>
      </c>
      <c r="D151" t="str">
        <f>VLOOKUP(A151,'Rate Code Detail'!$J$2:$J$184,1,FALSE)</f>
        <v>ODP407</v>
      </c>
    </row>
    <row r="152" spans="1:4" x14ac:dyDescent="0.3">
      <c r="A152" s="214" t="s">
        <v>834</v>
      </c>
      <c r="B152" s="117">
        <v>3352</v>
      </c>
      <c r="D152" t="str">
        <f>VLOOKUP(A152,'Rate Code Detail'!$J$2:$J$184,1,FALSE)</f>
        <v>ODP428</v>
      </c>
    </row>
    <row r="153" spans="1:4" x14ac:dyDescent="0.3">
      <c r="A153" s="214" t="s">
        <v>836</v>
      </c>
      <c r="B153" s="117">
        <v>19</v>
      </c>
      <c r="D153" t="str">
        <f>VLOOKUP(A153,'Rate Code Detail'!$J$2:$J$184,1,FALSE)</f>
        <v>ODP429</v>
      </c>
    </row>
    <row r="154" spans="1:4" x14ac:dyDescent="0.3">
      <c r="A154" s="214" t="s">
        <v>837</v>
      </c>
      <c r="B154" s="117">
        <v>43</v>
      </c>
      <c r="D154" t="str">
        <f>VLOOKUP(A154,'Rate Code Detail'!$J$2:$J$184,1,FALSE)</f>
        <v>ODP446</v>
      </c>
    </row>
    <row r="155" spans="1:4" x14ac:dyDescent="0.3">
      <c r="A155" s="214" t="s">
        <v>838</v>
      </c>
      <c r="B155" s="117">
        <v>7</v>
      </c>
      <c r="D155" t="str">
        <f>VLOOKUP(A155,'Rate Code Detail'!$J$2:$J$184,1,FALSE)</f>
        <v>ODP456</v>
      </c>
    </row>
    <row r="156" spans="1:4" x14ac:dyDescent="0.3">
      <c r="A156" s="214" t="s">
        <v>839</v>
      </c>
      <c r="B156" s="117">
        <v>336</v>
      </c>
      <c r="D156" t="str">
        <f>VLOOKUP(A156,'Rate Code Detail'!$J$2:$J$184,1,FALSE)</f>
        <v>ODP462</v>
      </c>
    </row>
    <row r="157" spans="1:4" x14ac:dyDescent="0.3">
      <c r="A157" s="214" t="s">
        <v>840</v>
      </c>
      <c r="B157" s="117">
        <v>1973</v>
      </c>
      <c r="D157" t="str">
        <f>VLOOKUP(A157,'Rate Code Detail'!$J$2:$J$184,1,FALSE)</f>
        <v>ODP463</v>
      </c>
    </row>
    <row r="158" spans="1:4" x14ac:dyDescent="0.3">
      <c r="A158" s="214" t="s">
        <v>841</v>
      </c>
      <c r="B158" s="117">
        <v>191</v>
      </c>
      <c r="D158" t="str">
        <f>VLOOKUP(A158,'Rate Code Detail'!$J$2:$J$184,1,FALSE)</f>
        <v>ODP464</v>
      </c>
    </row>
    <row r="159" spans="1:4" x14ac:dyDescent="0.3">
      <c r="A159" s="214" t="s">
        <v>842</v>
      </c>
      <c r="B159" s="117">
        <v>51</v>
      </c>
      <c r="D159" t="str">
        <f>VLOOKUP(A159,'Rate Code Detail'!$J$2:$J$184,1,FALSE)</f>
        <v>ODP465</v>
      </c>
    </row>
    <row r="160" spans="1:4" x14ac:dyDescent="0.3">
      <c r="A160" s="214" t="s">
        <v>843</v>
      </c>
      <c r="B160" s="117">
        <v>9</v>
      </c>
      <c r="D160" t="str">
        <f>VLOOKUP(A160,'Rate Code Detail'!$J$2:$J$184,1,FALSE)</f>
        <v>ODP472</v>
      </c>
    </row>
    <row r="161" spans="1:4" x14ac:dyDescent="0.3">
      <c r="A161" s="214" t="s">
        <v>844</v>
      </c>
      <c r="B161" s="117">
        <v>67</v>
      </c>
      <c r="D161" t="str">
        <f>VLOOKUP(A161,'Rate Code Detail'!$J$2:$J$184,1,FALSE)</f>
        <v>ODP473</v>
      </c>
    </row>
    <row r="162" spans="1:4" x14ac:dyDescent="0.3">
      <c r="A162" s="214" t="s">
        <v>845</v>
      </c>
      <c r="B162" s="117">
        <v>225</v>
      </c>
      <c r="D162" t="str">
        <f>VLOOKUP(A162,'Rate Code Detail'!$J$2:$J$184,1,FALSE)</f>
        <v>ODP474</v>
      </c>
    </row>
    <row r="163" spans="1:4" x14ac:dyDescent="0.3">
      <c r="A163" s="214" t="s">
        <v>846</v>
      </c>
      <c r="B163" s="117">
        <v>9</v>
      </c>
      <c r="D163" t="str">
        <f>VLOOKUP(A163,'Rate Code Detail'!$J$2:$J$184,1,FALSE)</f>
        <v>ODP475</v>
      </c>
    </row>
    <row r="164" spans="1:4" x14ac:dyDescent="0.3">
      <c r="A164" s="214" t="s">
        <v>847</v>
      </c>
      <c r="B164" s="117">
        <v>237</v>
      </c>
      <c r="D164" t="str">
        <f>VLOOKUP(A164,'Rate Code Detail'!$J$2:$J$184,1,FALSE)</f>
        <v>ODP487</v>
      </c>
    </row>
    <row r="165" spans="1:4" x14ac:dyDescent="0.3">
      <c r="A165" s="214" t="s">
        <v>848</v>
      </c>
      <c r="B165" s="117">
        <v>404</v>
      </c>
      <c r="D165" t="str">
        <f>VLOOKUP(A165,'Rate Code Detail'!$J$2:$J$184,1,FALSE)</f>
        <v>ODP488</v>
      </c>
    </row>
    <row r="166" spans="1:4" x14ac:dyDescent="0.3">
      <c r="A166" s="214" t="s">
        <v>849</v>
      </c>
      <c r="B166" s="117">
        <v>700</v>
      </c>
      <c r="D166" t="str">
        <f>VLOOKUP(A166,'Rate Code Detail'!$J$2:$J$184,1,FALSE)</f>
        <v>ODP489</v>
      </c>
    </row>
    <row r="167" spans="1:4" x14ac:dyDescent="0.3">
      <c r="A167" s="214" t="s">
        <v>850</v>
      </c>
      <c r="B167" s="117">
        <v>0</v>
      </c>
      <c r="D167" t="e">
        <f>VLOOKUP(A167,'Rate Code Detail'!$J$2:$J$184,1,FALSE)</f>
        <v>#N/A</v>
      </c>
    </row>
    <row r="168" spans="1:4" x14ac:dyDescent="0.3">
      <c r="A168" s="214" t="s">
        <v>851</v>
      </c>
      <c r="B168" s="117">
        <v>0</v>
      </c>
      <c r="D168" t="e">
        <f>VLOOKUP(A168,'Rate Code Detail'!$J$2:$J$184,1,FALSE)</f>
        <v>#N/A</v>
      </c>
    </row>
    <row r="169" spans="1:4" x14ac:dyDescent="0.3">
      <c r="A169" s="214" t="s">
        <v>1000</v>
      </c>
      <c r="B169" s="117"/>
      <c r="D169" t="e">
        <f>VLOOKUP(A169,'Rate Code Detail'!$J$2:$J$184,1,FALSE)</f>
        <v>#N/A</v>
      </c>
    </row>
    <row r="170" spans="1:4" x14ac:dyDescent="0.3">
      <c r="A170" s="214" t="s">
        <v>657</v>
      </c>
      <c r="B170" s="117">
        <v>270340</v>
      </c>
    </row>
  </sheetData>
  <pageMargins left="0.7" right="0.7" top="0.75" bottom="0.75" header="0.3" footer="0.3"/>
  <pageSetup scale="76" orientation="portrait" r:id="rId2"/>
  <headerFooter>
    <oddHeader>&amp;R&amp;"times,Bold"&amp;12Attachment to Response to LFUCG-2 Question No. 4 - Att  7
&amp;P of &amp;N
Malloy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191"/>
  <sheetViews>
    <sheetView showGridLines="0" zoomScaleNormal="100" workbookViewId="0">
      <selection activeCell="C38" sqref="C38"/>
    </sheetView>
  </sheetViews>
  <sheetFormatPr defaultRowHeight="14.4" x14ac:dyDescent="0.3"/>
  <cols>
    <col min="1" max="1" width="30.6640625" bestFit="1" customWidth="1"/>
    <col min="2" max="2" width="18.5546875" bestFit="1" customWidth="1"/>
    <col min="3" max="3" width="18.5546875" customWidth="1"/>
    <col min="4" max="4" width="34" bestFit="1" customWidth="1"/>
    <col min="5" max="5" width="18.5546875" bestFit="1" customWidth="1"/>
    <col min="6" max="6" width="12.6640625" bestFit="1" customWidth="1"/>
    <col min="7" max="7" width="10.88671875" bestFit="1" customWidth="1"/>
    <col min="8" max="8" width="14.109375" bestFit="1" customWidth="1"/>
    <col min="9" max="9" width="18.5546875" bestFit="1" customWidth="1"/>
    <col min="10" max="10" width="14.33203125" bestFit="1" customWidth="1"/>
    <col min="11" max="11" width="15.33203125" bestFit="1" customWidth="1"/>
    <col min="12" max="12" width="14.109375" bestFit="1" customWidth="1"/>
    <col min="13" max="13" width="9.5546875" bestFit="1" customWidth="1"/>
    <col min="14" max="14" width="16.6640625" customWidth="1"/>
    <col min="15" max="15" width="13.88671875" customWidth="1"/>
    <col min="16" max="18" width="13.33203125" bestFit="1" customWidth="1"/>
  </cols>
  <sheetData>
    <row r="1" spans="1:12" ht="15" thickBot="1" x14ac:dyDescent="0.35">
      <c r="A1" s="271"/>
      <c r="B1" s="272"/>
      <c r="C1" s="209"/>
      <c r="D1" s="82" t="s">
        <v>541</v>
      </c>
      <c r="E1" s="75" t="s">
        <v>559</v>
      </c>
      <c r="F1" s="75" t="s">
        <v>559</v>
      </c>
      <c r="G1" s="75" t="s">
        <v>559</v>
      </c>
      <c r="H1" s="75" t="s">
        <v>559</v>
      </c>
      <c r="I1" s="88" t="s">
        <v>163</v>
      </c>
      <c r="J1" s="88" t="s">
        <v>163</v>
      </c>
      <c r="K1" s="88" t="s">
        <v>163</v>
      </c>
      <c r="L1" s="88" t="s">
        <v>163</v>
      </c>
    </row>
    <row r="2" spans="1:12" ht="15" thickBot="1" x14ac:dyDescent="0.35">
      <c r="A2" s="273"/>
      <c r="B2" s="274"/>
      <c r="C2" s="210"/>
      <c r="D2" s="82"/>
    </row>
    <row r="3" spans="1:12" ht="15" thickBot="1" x14ac:dyDescent="0.35">
      <c r="A3" s="75" t="s">
        <v>535</v>
      </c>
      <c r="B3" s="75" t="s">
        <v>534</v>
      </c>
      <c r="C3" s="75" t="s">
        <v>704</v>
      </c>
      <c r="D3" s="83" t="s">
        <v>571</v>
      </c>
      <c r="E3" s="75" t="s">
        <v>539</v>
      </c>
      <c r="F3" s="75" t="s">
        <v>538</v>
      </c>
      <c r="G3" s="75" t="s">
        <v>537</v>
      </c>
      <c r="H3" s="75" t="s">
        <v>536</v>
      </c>
      <c r="I3" s="88" t="s">
        <v>539</v>
      </c>
      <c r="J3" s="88" t="s">
        <v>538</v>
      </c>
      <c r="K3" s="88" t="s">
        <v>537</v>
      </c>
      <c r="L3" s="88" t="s">
        <v>536</v>
      </c>
    </row>
    <row r="4" spans="1:12" ht="15" thickBot="1" x14ac:dyDescent="0.35">
      <c r="A4" s="75" t="s">
        <v>13</v>
      </c>
      <c r="B4" s="75" t="s">
        <v>531</v>
      </c>
      <c r="C4" s="213" t="str">
        <f>CONCATENATE("KT",RIGHT(B4,3))</f>
        <v>KT406</v>
      </c>
      <c r="D4" s="75" t="s">
        <v>530</v>
      </c>
      <c r="E4" s="81">
        <v>1</v>
      </c>
      <c r="F4" s="80"/>
      <c r="G4" s="79">
        <v>54</v>
      </c>
      <c r="H4" s="79">
        <v>9.52</v>
      </c>
      <c r="I4" s="74">
        <v>14</v>
      </c>
      <c r="J4" s="73"/>
      <c r="K4" s="72">
        <v>942</v>
      </c>
      <c r="L4" s="72">
        <v>133.27999999999997</v>
      </c>
    </row>
    <row r="5" spans="1:12" ht="15" thickBot="1" x14ac:dyDescent="0.35">
      <c r="A5" s="75" t="s">
        <v>13</v>
      </c>
      <c r="B5" s="75" t="s">
        <v>529</v>
      </c>
      <c r="C5" s="213" t="str">
        <f>CONCATENATE("KT",RIGHT(B5,3))</f>
        <v>KT428</v>
      </c>
      <c r="D5" s="75" t="s">
        <v>528</v>
      </c>
      <c r="E5" s="78">
        <v>2</v>
      </c>
      <c r="F5" s="77"/>
      <c r="G5" s="76">
        <v>60</v>
      </c>
      <c r="H5" s="76">
        <v>13.8</v>
      </c>
      <c r="I5" s="74">
        <v>22</v>
      </c>
      <c r="J5" s="73"/>
      <c r="K5" s="72">
        <v>867</v>
      </c>
      <c r="L5" s="72">
        <v>151.80000000000001</v>
      </c>
    </row>
    <row r="6" spans="1:12" ht="15" thickBot="1" x14ac:dyDescent="0.35">
      <c r="A6" s="75" t="s">
        <v>13</v>
      </c>
      <c r="B6" s="75" t="s">
        <v>527</v>
      </c>
      <c r="C6" s="213" t="str">
        <f t="shared" ref="C6:C69" si="0">CONCATENATE("KU",RIGHT(B6,3))</f>
        <v>KU360</v>
      </c>
      <c r="D6" s="75" t="s">
        <v>526</v>
      </c>
      <c r="E6" s="81">
        <v>4</v>
      </c>
      <c r="F6" s="80"/>
      <c r="G6" s="79">
        <v>211</v>
      </c>
      <c r="H6" s="79">
        <v>271.83</v>
      </c>
      <c r="I6" s="74">
        <v>48</v>
      </c>
      <c r="J6" s="73"/>
      <c r="K6" s="72">
        <v>2889</v>
      </c>
      <c r="L6" s="72">
        <v>3223.4299999999994</v>
      </c>
    </row>
    <row r="7" spans="1:12" ht="15" thickBot="1" x14ac:dyDescent="0.35">
      <c r="A7" s="75" t="s">
        <v>13</v>
      </c>
      <c r="B7" s="75" t="s">
        <v>525</v>
      </c>
      <c r="C7" s="213" t="str">
        <f t="shared" si="0"/>
        <v>KU401</v>
      </c>
      <c r="D7" s="75" t="s">
        <v>524</v>
      </c>
      <c r="E7" s="78">
        <v>65</v>
      </c>
      <c r="F7" s="77"/>
      <c r="G7" s="76">
        <v>1540</v>
      </c>
      <c r="H7" s="76">
        <v>1172.5</v>
      </c>
      <c r="I7" s="74">
        <v>689</v>
      </c>
      <c r="J7" s="74">
        <v>42</v>
      </c>
      <c r="K7" s="72">
        <v>19185</v>
      </c>
      <c r="L7" s="72">
        <v>12498.06</v>
      </c>
    </row>
    <row r="8" spans="1:12" ht="15" thickBot="1" x14ac:dyDescent="0.35">
      <c r="A8" s="75" t="s">
        <v>13</v>
      </c>
      <c r="B8" s="75" t="s">
        <v>523</v>
      </c>
      <c r="C8" s="213" t="str">
        <f t="shared" si="0"/>
        <v>KU404</v>
      </c>
      <c r="D8" s="75" t="s">
        <v>522</v>
      </c>
      <c r="E8" s="81">
        <v>6300</v>
      </c>
      <c r="F8" s="81">
        <v>0</v>
      </c>
      <c r="G8" s="79">
        <v>359937</v>
      </c>
      <c r="H8" s="79">
        <v>79368.95</v>
      </c>
      <c r="I8" s="74">
        <v>77621</v>
      </c>
      <c r="J8" s="74">
        <v>25</v>
      </c>
      <c r="K8" s="72">
        <v>5309164</v>
      </c>
      <c r="L8" s="72">
        <v>969250.7</v>
      </c>
    </row>
    <row r="9" spans="1:12" ht="15" thickBot="1" x14ac:dyDescent="0.35">
      <c r="A9" s="75" t="s">
        <v>13</v>
      </c>
      <c r="B9" s="75" t="s">
        <v>521</v>
      </c>
      <c r="C9" s="213" t="str">
        <f t="shared" si="0"/>
        <v>KU409</v>
      </c>
      <c r="D9" s="75" t="s">
        <v>520</v>
      </c>
      <c r="E9" s="78">
        <v>133</v>
      </c>
      <c r="F9" s="78">
        <v>15</v>
      </c>
      <c r="G9" s="76">
        <v>16729</v>
      </c>
      <c r="H9" s="76">
        <v>1901.67</v>
      </c>
      <c r="I9" s="74">
        <v>1615</v>
      </c>
      <c r="J9" s="74">
        <v>15</v>
      </c>
      <c r="K9" s="72">
        <v>252380</v>
      </c>
      <c r="L9" s="72">
        <v>22617.910000000003</v>
      </c>
    </row>
    <row r="10" spans="1:12" ht="15" thickBot="1" x14ac:dyDescent="0.35">
      <c r="A10" s="75" t="s">
        <v>13</v>
      </c>
      <c r="B10" s="75" t="s">
        <v>519</v>
      </c>
      <c r="C10" s="213" t="str">
        <f t="shared" si="0"/>
        <v>KU410</v>
      </c>
      <c r="D10" s="75" t="s">
        <v>518</v>
      </c>
      <c r="E10" s="78">
        <v>240</v>
      </c>
      <c r="F10" s="77"/>
      <c r="G10" s="76">
        <v>3980</v>
      </c>
      <c r="H10" s="76">
        <v>5826.48</v>
      </c>
      <c r="I10" s="74">
        <v>2880</v>
      </c>
      <c r="J10" s="73"/>
      <c r="K10" s="72">
        <v>57500</v>
      </c>
      <c r="L10" s="72">
        <v>69865.56</v>
      </c>
    </row>
    <row r="11" spans="1:12" ht="15" thickBot="1" x14ac:dyDescent="0.35">
      <c r="A11" s="75" t="s">
        <v>13</v>
      </c>
      <c r="B11" s="75" t="s">
        <v>517</v>
      </c>
      <c r="C11" s="213" t="str">
        <f t="shared" si="0"/>
        <v>KU411</v>
      </c>
      <c r="D11" s="75" t="s">
        <v>516</v>
      </c>
      <c r="E11" s="81">
        <v>145</v>
      </c>
      <c r="F11" s="80"/>
      <c r="G11" s="79">
        <v>3398</v>
      </c>
      <c r="H11" s="79">
        <v>3791.4</v>
      </c>
      <c r="I11" s="74">
        <v>1771</v>
      </c>
      <c r="J11" s="73"/>
      <c r="K11" s="72">
        <v>48740</v>
      </c>
      <c r="L11" s="72">
        <v>46242.62</v>
      </c>
    </row>
    <row r="12" spans="1:12" ht="15" thickBot="1" x14ac:dyDescent="0.35">
      <c r="A12" s="75" t="s">
        <v>13</v>
      </c>
      <c r="B12" s="75" t="s">
        <v>515</v>
      </c>
      <c r="C12" s="213" t="str">
        <f t="shared" si="0"/>
        <v>KU412</v>
      </c>
      <c r="D12" s="75" t="s">
        <v>514</v>
      </c>
      <c r="E12" s="78">
        <v>29</v>
      </c>
      <c r="F12" s="77"/>
      <c r="G12" s="76">
        <v>700</v>
      </c>
      <c r="H12" s="76">
        <v>1144.45</v>
      </c>
      <c r="I12" s="74">
        <v>348</v>
      </c>
      <c r="J12" s="73"/>
      <c r="K12" s="72">
        <v>9603</v>
      </c>
      <c r="L12" s="72">
        <v>13722.700000000003</v>
      </c>
    </row>
    <row r="13" spans="1:12" ht="15" thickBot="1" x14ac:dyDescent="0.35">
      <c r="A13" s="75" t="s">
        <v>13</v>
      </c>
      <c r="B13" s="75" t="s">
        <v>513</v>
      </c>
      <c r="C13" s="213" t="str">
        <f t="shared" si="0"/>
        <v>KU413</v>
      </c>
      <c r="D13" s="75" t="s">
        <v>512</v>
      </c>
      <c r="E13" s="81">
        <v>98</v>
      </c>
      <c r="F13" s="80"/>
      <c r="G13" s="79">
        <v>3164</v>
      </c>
      <c r="H13" s="79">
        <v>3789.21</v>
      </c>
      <c r="I13" s="74">
        <v>1176</v>
      </c>
      <c r="J13" s="73"/>
      <c r="K13" s="72">
        <v>45809</v>
      </c>
      <c r="L13" s="72">
        <v>45588.3</v>
      </c>
    </row>
    <row r="14" spans="1:12" ht="15" thickBot="1" x14ac:dyDescent="0.35">
      <c r="A14" s="75" t="s">
        <v>13</v>
      </c>
      <c r="B14" s="75" t="s">
        <v>511</v>
      </c>
      <c r="C14" s="213" t="str">
        <f t="shared" si="0"/>
        <v>KU414</v>
      </c>
      <c r="D14" s="75" t="s">
        <v>510</v>
      </c>
      <c r="E14" s="78">
        <v>21</v>
      </c>
      <c r="F14" s="77"/>
      <c r="G14" s="76">
        <v>462</v>
      </c>
      <c r="H14" s="76">
        <v>753.22</v>
      </c>
      <c r="I14" s="74">
        <v>252</v>
      </c>
      <c r="J14" s="73"/>
      <c r="K14" s="72">
        <v>6956</v>
      </c>
      <c r="L14" s="72">
        <v>9153.66</v>
      </c>
    </row>
    <row r="15" spans="1:12" ht="15" thickBot="1" x14ac:dyDescent="0.35">
      <c r="A15" s="75" t="s">
        <v>13</v>
      </c>
      <c r="B15" s="75" t="s">
        <v>509</v>
      </c>
      <c r="C15" s="213" t="str">
        <f t="shared" si="0"/>
        <v>KU415</v>
      </c>
      <c r="D15" s="75" t="s">
        <v>508</v>
      </c>
      <c r="E15" s="81">
        <v>10</v>
      </c>
      <c r="F15" s="80"/>
      <c r="G15" s="79">
        <v>310</v>
      </c>
      <c r="H15" s="79">
        <v>361.43</v>
      </c>
      <c r="I15" s="74">
        <v>120</v>
      </c>
      <c r="J15" s="73"/>
      <c r="K15" s="72">
        <v>4668</v>
      </c>
      <c r="L15" s="72">
        <v>4403.5200000000004</v>
      </c>
    </row>
    <row r="16" spans="1:12" ht="15" thickBot="1" x14ac:dyDescent="0.35">
      <c r="A16" s="75" t="s">
        <v>13</v>
      </c>
      <c r="B16" s="75" t="s">
        <v>507</v>
      </c>
      <c r="C16" s="213" t="str">
        <f t="shared" si="0"/>
        <v>KU420</v>
      </c>
      <c r="D16" s="75" t="s">
        <v>506</v>
      </c>
      <c r="E16" s="78">
        <v>537</v>
      </c>
      <c r="F16" s="77"/>
      <c r="G16" s="76">
        <v>17406</v>
      </c>
      <c r="H16" s="76">
        <v>9756.41</v>
      </c>
      <c r="I16" s="74">
        <v>6246</v>
      </c>
      <c r="J16" s="74">
        <v>23</v>
      </c>
      <c r="K16" s="72">
        <v>242875</v>
      </c>
      <c r="L16" s="72">
        <v>115072.3</v>
      </c>
    </row>
    <row r="17" spans="1:12" ht="15" thickBot="1" x14ac:dyDescent="0.35">
      <c r="A17" s="75" t="s">
        <v>13</v>
      </c>
      <c r="B17" s="75" t="s">
        <v>505</v>
      </c>
      <c r="C17" s="213" t="str">
        <f t="shared" si="0"/>
        <v>KU421</v>
      </c>
      <c r="D17" s="75" t="s">
        <v>504</v>
      </c>
      <c r="E17" s="81">
        <v>1</v>
      </c>
      <c r="F17" s="80"/>
      <c r="G17" s="79">
        <v>28</v>
      </c>
      <c r="H17" s="79">
        <v>4.1100000000000003</v>
      </c>
      <c r="I17" s="74">
        <v>22</v>
      </c>
      <c r="J17" s="74">
        <v>2</v>
      </c>
      <c r="K17" s="72">
        <v>693</v>
      </c>
      <c r="L17" s="72">
        <v>88.250000000000014</v>
      </c>
    </row>
    <row r="18" spans="1:12" ht="15" thickBot="1" x14ac:dyDescent="0.35">
      <c r="A18" s="75" t="s">
        <v>13</v>
      </c>
      <c r="B18" s="75" t="s">
        <v>503</v>
      </c>
      <c r="C18" s="213" t="str">
        <f t="shared" si="0"/>
        <v>KU422</v>
      </c>
      <c r="D18" s="75" t="s">
        <v>502</v>
      </c>
      <c r="E18" s="78">
        <v>436</v>
      </c>
      <c r="F18" s="78">
        <v>258</v>
      </c>
      <c r="G18" s="76">
        <v>24047</v>
      </c>
      <c r="H18" s="76">
        <v>2241.17</v>
      </c>
      <c r="I18" s="74">
        <v>6086</v>
      </c>
      <c r="J18" s="74">
        <v>4258</v>
      </c>
      <c r="K18" s="72">
        <v>403431</v>
      </c>
      <c r="L18" s="72">
        <v>31076.829999999994</v>
      </c>
    </row>
    <row r="19" spans="1:12" ht="15" thickBot="1" x14ac:dyDescent="0.35">
      <c r="A19" s="75" t="s">
        <v>13</v>
      </c>
      <c r="B19" s="75" t="s">
        <v>501</v>
      </c>
      <c r="C19" s="213" t="str">
        <f t="shared" si="0"/>
        <v>KU424</v>
      </c>
      <c r="D19" s="75" t="s">
        <v>500</v>
      </c>
      <c r="E19" s="81">
        <v>26</v>
      </c>
      <c r="F19" s="80"/>
      <c r="G19" s="79">
        <v>2359</v>
      </c>
      <c r="H19" s="79">
        <v>203.8</v>
      </c>
      <c r="I19" s="74">
        <v>337</v>
      </c>
      <c r="J19" s="74">
        <v>3</v>
      </c>
      <c r="K19" s="72">
        <v>36567</v>
      </c>
      <c r="L19" s="72">
        <v>2619.77</v>
      </c>
    </row>
    <row r="20" spans="1:12" ht="15" thickBot="1" x14ac:dyDescent="0.35">
      <c r="A20" s="75" t="s">
        <v>13</v>
      </c>
      <c r="B20" s="75" t="s">
        <v>499</v>
      </c>
      <c r="C20" s="213" t="str">
        <f t="shared" si="0"/>
        <v>KU425</v>
      </c>
      <c r="D20" s="75" t="s">
        <v>498</v>
      </c>
      <c r="E20" s="78">
        <v>2</v>
      </c>
      <c r="F20" s="77"/>
      <c r="G20" s="76">
        <v>240</v>
      </c>
      <c r="H20" s="76">
        <v>20.61</v>
      </c>
      <c r="I20" s="74">
        <v>24</v>
      </c>
      <c r="J20" s="73"/>
      <c r="K20" s="72">
        <v>3568</v>
      </c>
      <c r="L20" s="72">
        <v>245.61</v>
      </c>
    </row>
    <row r="21" spans="1:12" ht="15" thickBot="1" x14ac:dyDescent="0.35">
      <c r="A21" s="75" t="s">
        <v>13</v>
      </c>
      <c r="B21" s="75" t="s">
        <v>497</v>
      </c>
      <c r="C21" s="213" t="str">
        <f t="shared" si="0"/>
        <v>KU426</v>
      </c>
      <c r="D21" s="75" t="s">
        <v>496</v>
      </c>
      <c r="E21" s="81">
        <v>155</v>
      </c>
      <c r="F21" s="80"/>
      <c r="G21" s="79">
        <v>3522</v>
      </c>
      <c r="H21" s="79">
        <v>1405.45</v>
      </c>
      <c r="I21" s="74">
        <v>1896</v>
      </c>
      <c r="J21" s="74">
        <v>0</v>
      </c>
      <c r="K21" s="72">
        <v>51831</v>
      </c>
      <c r="L21" s="72">
        <v>16761.75</v>
      </c>
    </row>
    <row r="22" spans="1:12" ht="15" thickBot="1" x14ac:dyDescent="0.35">
      <c r="A22" s="75" t="s">
        <v>13</v>
      </c>
      <c r="B22" s="75" t="s">
        <v>495</v>
      </c>
      <c r="C22" s="213" t="str">
        <f t="shared" si="0"/>
        <v>KU428</v>
      </c>
      <c r="D22" s="75" t="s">
        <v>494</v>
      </c>
      <c r="E22" s="78">
        <v>36978</v>
      </c>
      <c r="F22" s="78">
        <v>173</v>
      </c>
      <c r="G22" s="76">
        <v>1192948</v>
      </c>
      <c r="H22" s="76">
        <v>344499.37</v>
      </c>
      <c r="I22" s="74">
        <v>441711</v>
      </c>
      <c r="J22" s="74">
        <v>1315</v>
      </c>
      <c r="K22" s="72">
        <v>17058615</v>
      </c>
      <c r="L22" s="72">
        <v>4063030.9099999997</v>
      </c>
    </row>
    <row r="23" spans="1:12" ht="15" thickBot="1" x14ac:dyDescent="0.35">
      <c r="A23" s="75" t="s">
        <v>13</v>
      </c>
      <c r="B23" s="75" t="s">
        <v>493</v>
      </c>
      <c r="C23" s="213" t="str">
        <f t="shared" si="0"/>
        <v>KU430</v>
      </c>
      <c r="D23" s="75" t="s">
        <v>492</v>
      </c>
      <c r="E23" s="81">
        <v>1254</v>
      </c>
      <c r="F23" s="80"/>
      <c r="G23" s="79">
        <v>40574</v>
      </c>
      <c r="H23" s="79">
        <v>33671.19</v>
      </c>
      <c r="I23" s="74">
        <v>14936</v>
      </c>
      <c r="J23" s="74">
        <v>85</v>
      </c>
      <c r="K23" s="72">
        <v>591107</v>
      </c>
      <c r="L23" s="72">
        <v>407778.19999999995</v>
      </c>
    </row>
    <row r="24" spans="1:12" ht="15" thickBot="1" x14ac:dyDescent="0.35">
      <c r="A24" s="75" t="s">
        <v>13</v>
      </c>
      <c r="B24" s="75" t="s">
        <v>491</v>
      </c>
      <c r="C24" s="213" t="str">
        <f t="shared" si="0"/>
        <v>KU440</v>
      </c>
      <c r="D24" s="75" t="s">
        <v>490</v>
      </c>
      <c r="E24" s="78">
        <v>2</v>
      </c>
      <c r="F24" s="77"/>
      <c r="G24" s="76">
        <v>33</v>
      </c>
      <c r="H24" s="76">
        <v>34.58</v>
      </c>
      <c r="I24" s="74">
        <v>25</v>
      </c>
      <c r="J24" s="73"/>
      <c r="K24" s="72">
        <v>480</v>
      </c>
      <c r="L24" s="72">
        <v>413.78999999999996</v>
      </c>
    </row>
    <row r="25" spans="1:12" ht="15" thickBot="1" x14ac:dyDescent="0.35">
      <c r="A25" s="75" t="s">
        <v>13</v>
      </c>
      <c r="B25" s="75" t="s">
        <v>489</v>
      </c>
      <c r="C25" s="213" t="str">
        <f t="shared" si="0"/>
        <v>KU446</v>
      </c>
      <c r="D25" s="75" t="s">
        <v>488</v>
      </c>
      <c r="E25" s="81">
        <v>942</v>
      </c>
      <c r="F25" s="81">
        <v>14</v>
      </c>
      <c r="G25" s="79">
        <v>53555</v>
      </c>
      <c r="H25" s="79">
        <v>10641.84</v>
      </c>
      <c r="I25" s="74">
        <v>11880</v>
      </c>
      <c r="J25" s="74">
        <v>458</v>
      </c>
      <c r="K25" s="72">
        <v>817743</v>
      </c>
      <c r="L25" s="72">
        <v>133258.98000000001</v>
      </c>
    </row>
    <row r="26" spans="1:12" ht="15" thickBot="1" x14ac:dyDescent="0.35">
      <c r="A26" s="75" t="s">
        <v>13</v>
      </c>
      <c r="B26" s="75" t="s">
        <v>487</v>
      </c>
      <c r="C26" s="213" t="str">
        <f t="shared" si="0"/>
        <v>KU447</v>
      </c>
      <c r="D26" s="75" t="s">
        <v>486</v>
      </c>
      <c r="E26" s="78">
        <v>673</v>
      </c>
      <c r="F26" s="78">
        <v>642</v>
      </c>
      <c r="G26" s="76">
        <v>58727</v>
      </c>
      <c r="H26" s="76">
        <v>8674.0400000000009</v>
      </c>
      <c r="I26" s="74">
        <v>8017</v>
      </c>
      <c r="J26" s="74">
        <v>3893</v>
      </c>
      <c r="K26" s="72">
        <v>788236</v>
      </c>
      <c r="L26" s="72">
        <v>103608.03</v>
      </c>
    </row>
    <row r="27" spans="1:12" ht="15" thickBot="1" x14ac:dyDescent="0.35">
      <c r="A27" s="75" t="s">
        <v>13</v>
      </c>
      <c r="B27" s="75" t="s">
        <v>485</v>
      </c>
      <c r="C27" s="213" t="str">
        <f t="shared" si="0"/>
        <v>KU448</v>
      </c>
      <c r="D27" s="75" t="s">
        <v>484</v>
      </c>
      <c r="E27" s="81">
        <v>1381</v>
      </c>
      <c r="F27" s="81">
        <v>392</v>
      </c>
      <c r="G27" s="79">
        <v>173186</v>
      </c>
      <c r="H27" s="79">
        <v>20503.810000000001</v>
      </c>
      <c r="I27" s="74">
        <v>17103</v>
      </c>
      <c r="J27" s="74">
        <v>1710</v>
      </c>
      <c r="K27" s="72">
        <v>2575647</v>
      </c>
      <c r="L27" s="72">
        <v>253051.3</v>
      </c>
    </row>
    <row r="28" spans="1:12" ht="15" thickBot="1" x14ac:dyDescent="0.35">
      <c r="A28" s="75" t="s">
        <v>13</v>
      </c>
      <c r="B28" s="75" t="s">
        <v>483</v>
      </c>
      <c r="C28" s="213" t="str">
        <f t="shared" si="0"/>
        <v>KU450</v>
      </c>
      <c r="D28" s="75" t="s">
        <v>482</v>
      </c>
      <c r="E28" s="81">
        <v>711</v>
      </c>
      <c r="F28" s="81">
        <v>0</v>
      </c>
      <c r="G28" s="79">
        <v>29202</v>
      </c>
      <c r="H28" s="79">
        <v>12464.81</v>
      </c>
      <c r="I28" s="74">
        <v>8515</v>
      </c>
      <c r="J28" s="74">
        <v>25</v>
      </c>
      <c r="K28" s="72">
        <v>423037</v>
      </c>
      <c r="L28" s="72">
        <v>148688.91999999998</v>
      </c>
    </row>
    <row r="29" spans="1:12" ht="15" thickBot="1" x14ac:dyDescent="0.35">
      <c r="A29" s="75" t="s">
        <v>13</v>
      </c>
      <c r="B29" s="75" t="s">
        <v>481</v>
      </c>
      <c r="C29" s="213" t="str">
        <f t="shared" si="0"/>
        <v>KU451</v>
      </c>
      <c r="D29" s="75" t="s">
        <v>480</v>
      </c>
      <c r="E29" s="81">
        <v>5639</v>
      </c>
      <c r="F29" s="81">
        <v>25</v>
      </c>
      <c r="G29" s="79">
        <v>547452</v>
      </c>
      <c r="H29" s="79">
        <v>141330.06</v>
      </c>
      <c r="I29" s="74">
        <v>65852</v>
      </c>
      <c r="J29" s="74">
        <v>301</v>
      </c>
      <c r="K29" s="72">
        <v>7651149</v>
      </c>
      <c r="L29" s="72">
        <v>1633011.85</v>
      </c>
    </row>
    <row r="30" spans="1:12" ht="15" thickBot="1" x14ac:dyDescent="0.35">
      <c r="A30" s="75" t="s">
        <v>13</v>
      </c>
      <c r="B30" s="75" t="s">
        <v>479</v>
      </c>
      <c r="C30" s="213" t="str">
        <f t="shared" si="0"/>
        <v>KU452</v>
      </c>
      <c r="D30" s="75" t="s">
        <v>478</v>
      </c>
      <c r="E30" s="81">
        <v>967</v>
      </c>
      <c r="F30" s="81">
        <v>4</v>
      </c>
      <c r="G30" s="79">
        <v>288194</v>
      </c>
      <c r="H30" s="79">
        <v>49702.080000000002</v>
      </c>
      <c r="I30" s="74">
        <v>11838</v>
      </c>
      <c r="J30" s="74">
        <v>91</v>
      </c>
      <c r="K30" s="72">
        <v>4225620</v>
      </c>
      <c r="L30" s="72">
        <v>606889.81999999995</v>
      </c>
    </row>
    <row r="31" spans="1:12" ht="15" thickBot="1" x14ac:dyDescent="0.35">
      <c r="A31" s="75" t="s">
        <v>13</v>
      </c>
      <c r="B31" s="75" t="s">
        <v>477</v>
      </c>
      <c r="C31" s="213" t="str">
        <f t="shared" si="0"/>
        <v>KU454</v>
      </c>
      <c r="D31" s="75" t="s">
        <v>476</v>
      </c>
      <c r="E31" s="81">
        <v>154</v>
      </c>
      <c r="F31" s="80"/>
      <c r="G31" s="79">
        <v>6403</v>
      </c>
      <c r="H31" s="79">
        <v>3525.12</v>
      </c>
      <c r="I31" s="74">
        <v>1773</v>
      </c>
      <c r="J31" s="74">
        <v>0</v>
      </c>
      <c r="K31" s="72">
        <v>88116</v>
      </c>
      <c r="L31" s="72">
        <v>40276.79</v>
      </c>
    </row>
    <row r="32" spans="1:12" ht="15" thickBot="1" x14ac:dyDescent="0.35">
      <c r="A32" s="75" t="s">
        <v>13</v>
      </c>
      <c r="B32" s="75" t="s">
        <v>475</v>
      </c>
      <c r="C32" s="213" t="str">
        <f t="shared" si="0"/>
        <v>KU455</v>
      </c>
      <c r="D32" s="75" t="s">
        <v>474</v>
      </c>
      <c r="E32" s="81">
        <v>1012</v>
      </c>
      <c r="F32" s="80"/>
      <c r="G32" s="79">
        <v>98911</v>
      </c>
      <c r="H32" s="79">
        <v>30997.94</v>
      </c>
      <c r="I32" s="74">
        <v>12239</v>
      </c>
      <c r="J32" s="74">
        <v>10</v>
      </c>
      <c r="K32" s="72">
        <v>1421012</v>
      </c>
      <c r="L32" s="72">
        <v>369639.40000000008</v>
      </c>
    </row>
    <row r="33" spans="1:12" ht="15" thickBot="1" x14ac:dyDescent="0.35">
      <c r="A33" s="75" t="s">
        <v>13</v>
      </c>
      <c r="B33" s="75" t="s">
        <v>473</v>
      </c>
      <c r="C33" s="213" t="str">
        <f t="shared" si="0"/>
        <v>KU456</v>
      </c>
      <c r="D33" s="75" t="s">
        <v>472</v>
      </c>
      <c r="E33" s="78">
        <v>133</v>
      </c>
      <c r="F33" s="77"/>
      <c r="G33" s="76">
        <v>7802</v>
      </c>
      <c r="H33" s="76">
        <v>1854.14</v>
      </c>
      <c r="I33" s="74">
        <v>1628</v>
      </c>
      <c r="J33" s="73"/>
      <c r="K33" s="72">
        <v>112045</v>
      </c>
      <c r="L33" s="72">
        <v>22626.46</v>
      </c>
    </row>
    <row r="34" spans="1:12" ht="15" thickBot="1" x14ac:dyDescent="0.35">
      <c r="A34" s="75" t="s">
        <v>13</v>
      </c>
      <c r="B34" s="75" t="s">
        <v>471</v>
      </c>
      <c r="C34" s="213" t="str">
        <f t="shared" si="0"/>
        <v>KU457</v>
      </c>
      <c r="D34" s="75" t="s">
        <v>470</v>
      </c>
      <c r="E34" s="81">
        <v>435</v>
      </c>
      <c r="F34" s="80"/>
      <c r="G34" s="79">
        <v>37916</v>
      </c>
      <c r="H34" s="79">
        <v>6634.41</v>
      </c>
      <c r="I34" s="74">
        <v>5287</v>
      </c>
      <c r="J34" s="74">
        <v>1207</v>
      </c>
      <c r="K34" s="72">
        <v>519951</v>
      </c>
      <c r="L34" s="72">
        <v>80902.810000000012</v>
      </c>
    </row>
    <row r="35" spans="1:12" ht="15" thickBot="1" x14ac:dyDescent="0.35">
      <c r="A35" s="75" t="s">
        <v>13</v>
      </c>
      <c r="B35" s="75" t="s">
        <v>469</v>
      </c>
      <c r="C35" s="213" t="str">
        <f t="shared" si="0"/>
        <v>KU458</v>
      </c>
      <c r="D35" s="75" t="s">
        <v>468</v>
      </c>
      <c r="E35" s="78">
        <v>1381</v>
      </c>
      <c r="F35" s="78">
        <v>0</v>
      </c>
      <c r="G35" s="76">
        <v>179591</v>
      </c>
      <c r="H35" s="76">
        <v>24033.33</v>
      </c>
      <c r="I35" s="74">
        <v>16754</v>
      </c>
      <c r="J35" s="74">
        <v>2137</v>
      </c>
      <c r="K35" s="72">
        <v>2529921</v>
      </c>
      <c r="L35" s="72">
        <v>292390.69000000006</v>
      </c>
    </row>
    <row r="36" spans="1:12" ht="15" thickBot="1" x14ac:dyDescent="0.35">
      <c r="A36" s="75" t="s">
        <v>13</v>
      </c>
      <c r="B36" s="75" t="s">
        <v>467</v>
      </c>
      <c r="C36" s="213" t="str">
        <f t="shared" si="0"/>
        <v>KU459</v>
      </c>
      <c r="D36" s="75" t="s">
        <v>466</v>
      </c>
      <c r="E36" s="81">
        <v>188</v>
      </c>
      <c r="F36" s="80"/>
      <c r="G36" s="79">
        <v>56568</v>
      </c>
      <c r="H36" s="79">
        <v>10762.91</v>
      </c>
      <c r="I36" s="74">
        <v>2366</v>
      </c>
      <c r="J36" s="74">
        <v>0</v>
      </c>
      <c r="K36" s="72">
        <v>845502</v>
      </c>
      <c r="L36" s="72">
        <v>133973.65999999997</v>
      </c>
    </row>
    <row r="37" spans="1:12" ht="15" thickBot="1" x14ac:dyDescent="0.35">
      <c r="A37" s="75" t="s">
        <v>13</v>
      </c>
      <c r="B37" s="75" t="s">
        <v>465</v>
      </c>
      <c r="C37" s="213" t="str">
        <f t="shared" si="0"/>
        <v>KU460</v>
      </c>
      <c r="D37" s="75" t="s">
        <v>464</v>
      </c>
      <c r="E37" s="81">
        <v>20</v>
      </c>
      <c r="F37" s="80"/>
      <c r="G37" s="79">
        <v>822</v>
      </c>
      <c r="H37" s="79">
        <v>672.71</v>
      </c>
      <c r="I37" s="74">
        <v>268</v>
      </c>
      <c r="J37" s="74">
        <v>0</v>
      </c>
      <c r="K37" s="72">
        <v>13342</v>
      </c>
      <c r="L37" s="72">
        <v>8960.57</v>
      </c>
    </row>
    <row r="38" spans="1:12" ht="15" thickBot="1" x14ac:dyDescent="0.35">
      <c r="A38" s="75" t="s">
        <v>13</v>
      </c>
      <c r="B38" s="75" t="s">
        <v>463</v>
      </c>
      <c r="C38" s="213" t="str">
        <f t="shared" si="0"/>
        <v>KU461</v>
      </c>
      <c r="D38" s="75" t="s">
        <v>462</v>
      </c>
      <c r="E38" s="78">
        <v>6967</v>
      </c>
      <c r="F38" s="78">
        <v>241</v>
      </c>
      <c r="G38" s="76">
        <v>115561</v>
      </c>
      <c r="H38" s="76">
        <v>63606.01</v>
      </c>
      <c r="I38" s="74">
        <v>83389</v>
      </c>
      <c r="J38" s="74">
        <v>7793</v>
      </c>
      <c r="K38" s="72">
        <v>1665803</v>
      </c>
      <c r="L38" s="72">
        <v>750514.12</v>
      </c>
    </row>
    <row r="39" spans="1:12" ht="15" thickBot="1" x14ac:dyDescent="0.35">
      <c r="A39" s="75" t="s">
        <v>13</v>
      </c>
      <c r="B39" s="75" t="s">
        <v>461</v>
      </c>
      <c r="C39" s="213" t="str">
        <f t="shared" si="0"/>
        <v>KU462</v>
      </c>
      <c r="D39" s="75" t="s">
        <v>460</v>
      </c>
      <c r="E39" s="81">
        <v>8799</v>
      </c>
      <c r="F39" s="81">
        <v>1875</v>
      </c>
      <c r="G39" s="79">
        <v>204176</v>
      </c>
      <c r="H39" s="79">
        <v>92392.85</v>
      </c>
      <c r="I39" s="74">
        <v>105441</v>
      </c>
      <c r="J39" s="74">
        <v>19517</v>
      </c>
      <c r="K39" s="72">
        <v>2915625</v>
      </c>
      <c r="L39" s="72">
        <v>1089207.45</v>
      </c>
    </row>
    <row r="40" spans="1:12" ht="15" thickBot="1" x14ac:dyDescent="0.35">
      <c r="A40" s="75" t="s">
        <v>13</v>
      </c>
      <c r="B40" s="75" t="s">
        <v>459</v>
      </c>
      <c r="C40" s="213" t="str">
        <f t="shared" si="0"/>
        <v>KU463</v>
      </c>
      <c r="D40" s="75" t="s">
        <v>458</v>
      </c>
      <c r="E40" s="78">
        <v>21024</v>
      </c>
      <c r="F40" s="78">
        <v>85</v>
      </c>
      <c r="G40" s="76">
        <v>686803</v>
      </c>
      <c r="H40" s="76">
        <v>230276.65</v>
      </c>
      <c r="I40" s="74">
        <v>251398</v>
      </c>
      <c r="J40" s="74">
        <v>18581</v>
      </c>
      <c r="K40" s="72">
        <v>9797572</v>
      </c>
      <c r="L40" s="72">
        <v>2730024.21</v>
      </c>
    </row>
    <row r="41" spans="1:12" ht="15" thickBot="1" x14ac:dyDescent="0.35">
      <c r="A41" s="75" t="s">
        <v>13</v>
      </c>
      <c r="B41" s="75" t="s">
        <v>457</v>
      </c>
      <c r="C41" s="213" t="str">
        <f t="shared" si="0"/>
        <v>KU464</v>
      </c>
      <c r="D41" s="75" t="s">
        <v>456</v>
      </c>
      <c r="E41" s="78">
        <v>7722</v>
      </c>
      <c r="F41" s="78">
        <v>449</v>
      </c>
      <c r="G41" s="76">
        <v>520059</v>
      </c>
      <c r="H41" s="76">
        <v>132069.82</v>
      </c>
      <c r="I41" s="74">
        <v>92590</v>
      </c>
      <c r="J41" s="74">
        <v>5320</v>
      </c>
      <c r="K41" s="72">
        <v>7457714</v>
      </c>
      <c r="L41" s="72">
        <v>1566819.6199999999</v>
      </c>
    </row>
    <row r="42" spans="1:12" ht="15" thickBot="1" x14ac:dyDescent="0.35">
      <c r="A42" s="75" t="s">
        <v>13</v>
      </c>
      <c r="B42" s="75" t="s">
        <v>455</v>
      </c>
      <c r="C42" s="213" t="str">
        <f t="shared" si="0"/>
        <v>KU465</v>
      </c>
      <c r="D42" s="75" t="s">
        <v>454</v>
      </c>
      <c r="E42" s="78">
        <v>2749</v>
      </c>
      <c r="F42" s="78">
        <v>1</v>
      </c>
      <c r="G42" s="76">
        <v>359885</v>
      </c>
      <c r="H42" s="76">
        <v>75467.31</v>
      </c>
      <c r="I42" s="74">
        <v>32622</v>
      </c>
      <c r="J42" s="74">
        <v>449</v>
      </c>
      <c r="K42" s="72">
        <v>5106473</v>
      </c>
      <c r="L42" s="72">
        <v>890011.75</v>
      </c>
    </row>
    <row r="43" spans="1:12" ht="15" thickBot="1" x14ac:dyDescent="0.35">
      <c r="A43" s="75" t="s">
        <v>13</v>
      </c>
      <c r="B43" s="75" t="s">
        <v>453</v>
      </c>
      <c r="C43" s="213" t="str">
        <f t="shared" si="0"/>
        <v>KU466</v>
      </c>
      <c r="D43" s="75" t="s">
        <v>452</v>
      </c>
      <c r="E43" s="78">
        <v>852</v>
      </c>
      <c r="F43" s="77"/>
      <c r="G43" s="76">
        <v>14175</v>
      </c>
      <c r="H43" s="76">
        <v>10002.44</v>
      </c>
      <c r="I43" s="74">
        <v>10244</v>
      </c>
      <c r="J43" s="74">
        <v>1</v>
      </c>
      <c r="K43" s="72">
        <v>204623</v>
      </c>
      <c r="L43" s="72">
        <v>118996.03000000001</v>
      </c>
    </row>
    <row r="44" spans="1:12" ht="15" thickBot="1" x14ac:dyDescent="0.35">
      <c r="A44" s="75" t="s">
        <v>13</v>
      </c>
      <c r="B44" s="75" t="s">
        <v>451</v>
      </c>
      <c r="C44" s="213" t="str">
        <f t="shared" si="0"/>
        <v>KU467</v>
      </c>
      <c r="D44" s="75" t="s">
        <v>450</v>
      </c>
      <c r="E44" s="81">
        <v>1481</v>
      </c>
      <c r="F44" s="81">
        <v>39</v>
      </c>
      <c r="G44" s="79">
        <v>34471</v>
      </c>
      <c r="H44" s="79">
        <v>19413.330000000002</v>
      </c>
      <c r="I44" s="74">
        <v>17365</v>
      </c>
      <c r="J44" s="74">
        <v>2401</v>
      </c>
      <c r="K44" s="72">
        <v>480462</v>
      </c>
      <c r="L44" s="72">
        <v>225324.27999999997</v>
      </c>
    </row>
    <row r="45" spans="1:12" ht="15" thickBot="1" x14ac:dyDescent="0.35">
      <c r="A45" s="75" t="s">
        <v>13</v>
      </c>
      <c r="B45" s="75" t="s">
        <v>449</v>
      </c>
      <c r="C45" s="213" t="str">
        <f t="shared" si="0"/>
        <v>KU468</v>
      </c>
      <c r="D45" s="75" t="s">
        <v>448</v>
      </c>
      <c r="E45" s="78">
        <v>4129</v>
      </c>
      <c r="F45" s="78">
        <v>802</v>
      </c>
      <c r="G45" s="76">
        <v>134668</v>
      </c>
      <c r="H45" s="76">
        <v>56256.04</v>
      </c>
      <c r="I45" s="74">
        <v>49303</v>
      </c>
      <c r="J45" s="74">
        <v>2224</v>
      </c>
      <c r="K45" s="72">
        <v>1926442</v>
      </c>
      <c r="L45" s="72">
        <v>664971.52000000002</v>
      </c>
    </row>
    <row r="46" spans="1:12" ht="15" thickBot="1" x14ac:dyDescent="0.35">
      <c r="A46" s="75" t="s">
        <v>13</v>
      </c>
      <c r="B46" s="75" t="s">
        <v>447</v>
      </c>
      <c r="C46" s="213" t="str">
        <f t="shared" si="0"/>
        <v>KU469</v>
      </c>
      <c r="D46" s="75" t="s">
        <v>446</v>
      </c>
      <c r="E46" s="78">
        <v>296</v>
      </c>
      <c r="F46" s="77"/>
      <c r="G46" s="76">
        <v>28318</v>
      </c>
      <c r="H46" s="76">
        <v>11807.08</v>
      </c>
      <c r="I46" s="74">
        <v>3469</v>
      </c>
      <c r="J46" s="74">
        <v>16</v>
      </c>
      <c r="K46" s="72">
        <v>403002</v>
      </c>
      <c r="L46" s="72">
        <v>140740.41999999998</v>
      </c>
    </row>
    <row r="47" spans="1:12" ht="15" thickBot="1" x14ac:dyDescent="0.35">
      <c r="A47" s="75" t="s">
        <v>13</v>
      </c>
      <c r="B47" s="75" t="s">
        <v>445</v>
      </c>
      <c r="C47" s="213" t="str">
        <f t="shared" si="0"/>
        <v>KU470</v>
      </c>
      <c r="D47" s="75" t="s">
        <v>444</v>
      </c>
      <c r="E47" s="81">
        <v>46</v>
      </c>
      <c r="F47" s="80"/>
      <c r="G47" s="79">
        <v>14004</v>
      </c>
      <c r="H47" s="79">
        <v>3149.92</v>
      </c>
      <c r="I47" s="74">
        <v>660</v>
      </c>
      <c r="J47" s="74">
        <v>5</v>
      </c>
      <c r="K47" s="72">
        <v>237664</v>
      </c>
      <c r="L47" s="72">
        <v>44807.34</v>
      </c>
    </row>
    <row r="48" spans="1:12" ht="15" thickBot="1" x14ac:dyDescent="0.35">
      <c r="A48" s="75" t="s">
        <v>13</v>
      </c>
      <c r="B48" s="75" t="s">
        <v>443</v>
      </c>
      <c r="C48" s="213" t="str">
        <f t="shared" si="0"/>
        <v>KU471</v>
      </c>
      <c r="D48" s="75" t="s">
        <v>442</v>
      </c>
      <c r="E48" s="78">
        <v>3611</v>
      </c>
      <c r="F48" s="77"/>
      <c r="G48" s="76">
        <v>64470</v>
      </c>
      <c r="H48" s="76">
        <v>44384.95</v>
      </c>
      <c r="I48" s="74">
        <v>43406</v>
      </c>
      <c r="J48" s="74">
        <v>17769</v>
      </c>
      <c r="K48" s="72">
        <v>871796</v>
      </c>
      <c r="L48" s="72">
        <v>531072.03999999992</v>
      </c>
    </row>
    <row r="49" spans="1:12" ht="15" thickBot="1" x14ac:dyDescent="0.35">
      <c r="A49" s="75" t="s">
        <v>13</v>
      </c>
      <c r="B49" s="75" t="s">
        <v>441</v>
      </c>
      <c r="C49" s="213" t="str">
        <f t="shared" si="0"/>
        <v>KU472</v>
      </c>
      <c r="D49" s="75" t="s">
        <v>440</v>
      </c>
      <c r="E49" s="81">
        <v>9046</v>
      </c>
      <c r="F49" s="81">
        <v>8816</v>
      </c>
      <c r="G49" s="79">
        <v>223327</v>
      </c>
      <c r="H49" s="79">
        <v>123278.5</v>
      </c>
      <c r="I49" s="74">
        <v>108407</v>
      </c>
      <c r="J49" s="74">
        <v>61661</v>
      </c>
      <c r="K49" s="72">
        <v>3013181</v>
      </c>
      <c r="L49" s="72">
        <v>1467310.81</v>
      </c>
    </row>
    <row r="50" spans="1:12" ht="15" thickBot="1" x14ac:dyDescent="0.35">
      <c r="A50" s="75" t="s">
        <v>13</v>
      </c>
      <c r="B50" s="75" t="s">
        <v>439</v>
      </c>
      <c r="C50" s="213" t="str">
        <f t="shared" si="0"/>
        <v>KU473</v>
      </c>
      <c r="D50" s="75" t="s">
        <v>438</v>
      </c>
      <c r="E50" s="78">
        <v>3311</v>
      </c>
      <c r="F50" s="78">
        <v>3696</v>
      </c>
      <c r="G50" s="76">
        <v>112112</v>
      </c>
      <c r="H50" s="76">
        <v>47864.29</v>
      </c>
      <c r="I50" s="74">
        <v>40650</v>
      </c>
      <c r="J50" s="74">
        <v>23893</v>
      </c>
      <c r="K50" s="72">
        <v>1588081</v>
      </c>
      <c r="L50" s="72">
        <v>585917.1100000001</v>
      </c>
    </row>
    <row r="51" spans="1:12" ht="15" thickBot="1" x14ac:dyDescent="0.35">
      <c r="A51" s="75" t="s">
        <v>13</v>
      </c>
      <c r="B51" s="75" t="s">
        <v>437</v>
      </c>
      <c r="C51" s="213" t="str">
        <f t="shared" si="0"/>
        <v>KU474</v>
      </c>
      <c r="D51" s="75" t="s">
        <v>436</v>
      </c>
      <c r="E51" s="81">
        <v>5349</v>
      </c>
      <c r="F51" s="81">
        <v>2855</v>
      </c>
      <c r="G51" s="79">
        <v>373609</v>
      </c>
      <c r="H51" s="79">
        <v>109098.71</v>
      </c>
      <c r="I51" s="74">
        <v>63086</v>
      </c>
      <c r="J51" s="74">
        <v>32202</v>
      </c>
      <c r="K51" s="72">
        <v>5105733</v>
      </c>
      <c r="L51" s="72">
        <v>1284232.7899999998</v>
      </c>
    </row>
    <row r="52" spans="1:12" ht="15" thickBot="1" x14ac:dyDescent="0.35">
      <c r="A52" s="75" t="s">
        <v>13</v>
      </c>
      <c r="B52" s="75" t="s">
        <v>435</v>
      </c>
      <c r="C52" s="213" t="str">
        <f t="shared" si="0"/>
        <v>KU475</v>
      </c>
      <c r="D52" s="75" t="s">
        <v>434</v>
      </c>
      <c r="E52" s="78">
        <v>553</v>
      </c>
      <c r="F52" s="77"/>
      <c r="G52" s="76">
        <v>74481</v>
      </c>
      <c r="H52" s="76">
        <v>15742.09</v>
      </c>
      <c r="I52" s="74">
        <v>6430</v>
      </c>
      <c r="J52" s="74">
        <v>1298</v>
      </c>
      <c r="K52" s="72">
        <v>1011770</v>
      </c>
      <c r="L52" s="72">
        <v>183338.27</v>
      </c>
    </row>
    <row r="53" spans="1:12" ht="15" thickBot="1" x14ac:dyDescent="0.35">
      <c r="A53" s="75" t="s">
        <v>13</v>
      </c>
      <c r="B53" s="75" t="s">
        <v>433</v>
      </c>
      <c r="C53" s="213" t="str">
        <f t="shared" si="0"/>
        <v>KU476</v>
      </c>
      <c r="D53" s="75" t="s">
        <v>432</v>
      </c>
      <c r="E53" s="78">
        <v>4834</v>
      </c>
      <c r="F53" s="78">
        <v>4772</v>
      </c>
      <c r="G53" s="76">
        <v>119378</v>
      </c>
      <c r="H53" s="76">
        <v>94670.28</v>
      </c>
      <c r="I53" s="74">
        <v>57454</v>
      </c>
      <c r="J53" s="74">
        <v>56594</v>
      </c>
      <c r="K53" s="72">
        <v>1599366</v>
      </c>
      <c r="L53" s="72">
        <v>1125430.9899999998</v>
      </c>
    </row>
    <row r="54" spans="1:12" ht="15" thickBot="1" x14ac:dyDescent="0.35">
      <c r="A54" s="75" t="s">
        <v>13</v>
      </c>
      <c r="B54" s="75" t="s">
        <v>431</v>
      </c>
      <c r="C54" s="213" t="str">
        <f t="shared" si="0"/>
        <v>KU477</v>
      </c>
      <c r="D54" s="75" t="s">
        <v>430</v>
      </c>
      <c r="E54" s="81">
        <v>1069</v>
      </c>
      <c r="F54" s="81">
        <v>11</v>
      </c>
      <c r="G54" s="79">
        <v>35560</v>
      </c>
      <c r="H54" s="79">
        <v>26609.31</v>
      </c>
      <c r="I54" s="74">
        <v>12651</v>
      </c>
      <c r="J54" s="74">
        <v>16</v>
      </c>
      <c r="K54" s="72">
        <v>492028</v>
      </c>
      <c r="L54" s="72">
        <v>314685.15000000002</v>
      </c>
    </row>
    <row r="55" spans="1:12" ht="15" thickBot="1" x14ac:dyDescent="0.35">
      <c r="A55" s="75" t="s">
        <v>13</v>
      </c>
      <c r="B55" s="75" t="s">
        <v>429</v>
      </c>
      <c r="C55" s="213" t="str">
        <f t="shared" si="0"/>
        <v>KU478</v>
      </c>
      <c r="D55" s="75" t="s">
        <v>428</v>
      </c>
      <c r="E55" s="78">
        <v>1428</v>
      </c>
      <c r="F55" s="77"/>
      <c r="G55" s="76">
        <v>98179</v>
      </c>
      <c r="H55" s="76">
        <v>45555.17</v>
      </c>
      <c r="I55" s="74">
        <v>17157</v>
      </c>
      <c r="J55" s="74">
        <v>518</v>
      </c>
      <c r="K55" s="72">
        <v>1383585</v>
      </c>
      <c r="L55" s="72">
        <v>547066.64</v>
      </c>
    </row>
    <row r="56" spans="1:12" ht="15" thickBot="1" x14ac:dyDescent="0.35">
      <c r="A56" s="75" t="s">
        <v>13</v>
      </c>
      <c r="B56" s="75" t="s">
        <v>427</v>
      </c>
      <c r="C56" s="213" t="str">
        <f t="shared" si="0"/>
        <v>KU479</v>
      </c>
      <c r="D56" s="75" t="s">
        <v>426</v>
      </c>
      <c r="E56" s="81">
        <v>935</v>
      </c>
      <c r="F56" s="80"/>
      <c r="G56" s="79">
        <v>123021</v>
      </c>
      <c r="H56" s="79">
        <v>37321.96</v>
      </c>
      <c r="I56" s="74">
        <v>11236</v>
      </c>
      <c r="J56" s="74">
        <v>80</v>
      </c>
      <c r="K56" s="72">
        <v>1761335</v>
      </c>
      <c r="L56" s="72">
        <v>447671.06000000006</v>
      </c>
    </row>
    <row r="57" spans="1:12" ht="15" thickBot="1" x14ac:dyDescent="0.35">
      <c r="A57" s="75" t="s">
        <v>13</v>
      </c>
      <c r="B57" s="75" t="s">
        <v>425</v>
      </c>
      <c r="C57" s="213" t="s">
        <v>1000</v>
      </c>
      <c r="D57" s="75" t="s">
        <v>424</v>
      </c>
      <c r="E57" s="77"/>
      <c r="F57" s="77"/>
      <c r="G57" s="77"/>
      <c r="H57" s="77"/>
      <c r="I57" s="74">
        <v>0</v>
      </c>
      <c r="J57" s="73"/>
      <c r="K57" s="72">
        <v>2047</v>
      </c>
      <c r="L57" s="72">
        <v>0</v>
      </c>
    </row>
    <row r="58" spans="1:12" ht="15" thickBot="1" x14ac:dyDescent="0.35">
      <c r="A58" s="75" t="s">
        <v>13</v>
      </c>
      <c r="B58" s="75" t="s">
        <v>423</v>
      </c>
      <c r="C58" s="213" t="str">
        <f t="shared" si="0"/>
        <v>KU487</v>
      </c>
      <c r="D58" s="75" t="s">
        <v>422</v>
      </c>
      <c r="E58" s="81">
        <v>11173</v>
      </c>
      <c r="F58" s="81">
        <v>-3</v>
      </c>
      <c r="G58" s="79">
        <v>360076</v>
      </c>
      <c r="H58" s="79">
        <v>120436.89</v>
      </c>
      <c r="I58" s="74">
        <v>132188</v>
      </c>
      <c r="J58" s="74">
        <v>149</v>
      </c>
      <c r="K58" s="72">
        <v>5148591</v>
      </c>
      <c r="L58" s="72">
        <v>1424308.5099999998</v>
      </c>
    </row>
    <row r="59" spans="1:12" ht="15" thickBot="1" x14ac:dyDescent="0.35">
      <c r="A59" s="75" t="s">
        <v>13</v>
      </c>
      <c r="B59" s="75" t="s">
        <v>421</v>
      </c>
      <c r="C59" s="213" t="str">
        <f t="shared" si="0"/>
        <v>KU488</v>
      </c>
      <c r="D59" s="75" t="s">
        <v>420</v>
      </c>
      <c r="E59" s="81">
        <v>6675</v>
      </c>
      <c r="F59" s="81">
        <v>11</v>
      </c>
      <c r="G59" s="79">
        <v>447470</v>
      </c>
      <c r="H59" s="79">
        <v>111470.22</v>
      </c>
      <c r="I59" s="74">
        <v>79944</v>
      </c>
      <c r="J59" s="74">
        <v>100</v>
      </c>
      <c r="K59" s="72">
        <v>6412222</v>
      </c>
      <c r="L59" s="72">
        <v>1319570.31</v>
      </c>
    </row>
    <row r="60" spans="1:12" ht="15" thickBot="1" x14ac:dyDescent="0.35">
      <c r="A60" s="75" t="s">
        <v>13</v>
      </c>
      <c r="B60" s="75" t="s">
        <v>419</v>
      </c>
      <c r="C60" s="213" t="str">
        <f t="shared" si="0"/>
        <v>KU489</v>
      </c>
      <c r="D60" s="75" t="s">
        <v>418</v>
      </c>
      <c r="E60" s="81">
        <v>8626</v>
      </c>
      <c r="F60" s="81">
        <v>21</v>
      </c>
      <c r="G60" s="79">
        <v>1122594</v>
      </c>
      <c r="H60" s="79">
        <v>204931.3</v>
      </c>
      <c r="I60" s="74">
        <v>102285</v>
      </c>
      <c r="J60" s="74">
        <v>320</v>
      </c>
      <c r="K60" s="72">
        <v>16031603</v>
      </c>
      <c r="L60" s="72">
        <v>2418941.54</v>
      </c>
    </row>
    <row r="61" spans="1:12" ht="15" thickBot="1" x14ac:dyDescent="0.35">
      <c r="A61" s="75" t="s">
        <v>13</v>
      </c>
      <c r="B61" s="75" t="s">
        <v>417</v>
      </c>
      <c r="C61" s="213" t="str">
        <f t="shared" si="0"/>
        <v>KU490</v>
      </c>
      <c r="D61" s="75" t="s">
        <v>416</v>
      </c>
      <c r="E61" s="81">
        <v>59</v>
      </c>
      <c r="F61" s="80"/>
      <c r="G61" s="79">
        <v>2423</v>
      </c>
      <c r="H61" s="79">
        <v>1148.49</v>
      </c>
      <c r="I61" s="74">
        <v>708</v>
      </c>
      <c r="J61" s="73"/>
      <c r="K61" s="72">
        <v>35353</v>
      </c>
      <c r="L61" s="72">
        <v>13603.24</v>
      </c>
    </row>
    <row r="62" spans="1:12" ht="15" thickBot="1" x14ac:dyDescent="0.35">
      <c r="A62" s="75" t="s">
        <v>13</v>
      </c>
      <c r="B62" s="75" t="s">
        <v>415</v>
      </c>
      <c r="C62" s="213" t="str">
        <f t="shared" si="0"/>
        <v>KU491</v>
      </c>
      <c r="D62" s="75" t="s">
        <v>414</v>
      </c>
      <c r="E62" s="78">
        <v>298</v>
      </c>
      <c r="F62" s="77"/>
      <c r="G62" s="76">
        <v>28322</v>
      </c>
      <c r="H62" s="76">
        <v>8119.27</v>
      </c>
      <c r="I62" s="74">
        <v>3581</v>
      </c>
      <c r="J62" s="74">
        <v>13</v>
      </c>
      <c r="K62" s="72">
        <v>411826</v>
      </c>
      <c r="L62" s="72">
        <v>96737.450000000012</v>
      </c>
    </row>
    <row r="63" spans="1:12" ht="15" thickBot="1" x14ac:dyDescent="0.35">
      <c r="A63" s="75" t="s">
        <v>13</v>
      </c>
      <c r="B63" s="75" t="s">
        <v>413</v>
      </c>
      <c r="C63" s="213" t="str">
        <f t="shared" si="0"/>
        <v>KU492</v>
      </c>
      <c r="D63" s="75" t="s">
        <v>412</v>
      </c>
      <c r="E63" s="81">
        <v>2</v>
      </c>
      <c r="F63" s="80"/>
      <c r="G63" s="79">
        <v>48</v>
      </c>
      <c r="H63" s="79">
        <v>37.57</v>
      </c>
      <c r="I63" s="74">
        <v>24</v>
      </c>
      <c r="J63" s="73"/>
      <c r="K63" s="72">
        <v>662</v>
      </c>
      <c r="L63" s="72">
        <v>449.28000000000003</v>
      </c>
    </row>
    <row r="64" spans="1:12" ht="15" thickBot="1" x14ac:dyDescent="0.35">
      <c r="A64" s="75" t="s">
        <v>13</v>
      </c>
      <c r="B64" s="75" t="s">
        <v>411</v>
      </c>
      <c r="C64" s="213" t="str">
        <f t="shared" si="0"/>
        <v>KU493</v>
      </c>
      <c r="D64" s="75" t="s">
        <v>410</v>
      </c>
      <c r="E64" s="78">
        <v>43</v>
      </c>
      <c r="F64" s="77"/>
      <c r="G64" s="76">
        <v>12665</v>
      </c>
      <c r="H64" s="76">
        <v>2412.6</v>
      </c>
      <c r="I64" s="74">
        <v>516</v>
      </c>
      <c r="J64" s="73"/>
      <c r="K64" s="72">
        <v>185402</v>
      </c>
      <c r="L64" s="72">
        <v>28718.219999999998</v>
      </c>
    </row>
    <row r="65" spans="1:12" ht="15" thickBot="1" x14ac:dyDescent="0.35">
      <c r="A65" s="75" t="s">
        <v>13</v>
      </c>
      <c r="B65" s="75" t="s">
        <v>409</v>
      </c>
      <c r="C65" s="213" t="str">
        <f t="shared" si="0"/>
        <v>KU494</v>
      </c>
      <c r="D65" s="75" t="s">
        <v>408</v>
      </c>
      <c r="E65" s="81">
        <v>184</v>
      </c>
      <c r="F65" s="80"/>
      <c r="G65" s="79">
        <v>7630</v>
      </c>
      <c r="H65" s="79">
        <v>6447.52</v>
      </c>
      <c r="I65" s="74">
        <v>2194</v>
      </c>
      <c r="J65" s="73"/>
      <c r="K65" s="72">
        <v>109519</v>
      </c>
      <c r="L65" s="72">
        <v>76694.080000000002</v>
      </c>
    </row>
    <row r="66" spans="1:12" ht="15" thickBot="1" x14ac:dyDescent="0.35">
      <c r="A66" s="75" t="s">
        <v>13</v>
      </c>
      <c r="B66" s="75" t="s">
        <v>407</v>
      </c>
      <c r="C66" s="213" t="str">
        <f t="shared" si="0"/>
        <v>KU495</v>
      </c>
      <c r="D66" s="75" t="s">
        <v>406</v>
      </c>
      <c r="E66" s="78">
        <v>685</v>
      </c>
      <c r="F66" s="78">
        <v>9</v>
      </c>
      <c r="G66" s="76">
        <v>65798</v>
      </c>
      <c r="H66" s="76">
        <v>29496.22</v>
      </c>
      <c r="I66" s="74">
        <v>8189</v>
      </c>
      <c r="J66" s="74">
        <v>21</v>
      </c>
      <c r="K66" s="72">
        <v>947545</v>
      </c>
      <c r="L66" s="72">
        <v>351174.57999999996</v>
      </c>
    </row>
    <row r="67" spans="1:12" ht="15" thickBot="1" x14ac:dyDescent="0.35">
      <c r="A67" s="75" t="s">
        <v>13</v>
      </c>
      <c r="B67" s="75" t="s">
        <v>405</v>
      </c>
      <c r="C67" s="213" t="str">
        <f t="shared" si="0"/>
        <v>KU496</v>
      </c>
      <c r="D67" s="75" t="s">
        <v>404</v>
      </c>
      <c r="E67" s="78">
        <v>137</v>
      </c>
      <c r="F67" s="77"/>
      <c r="G67" s="76">
        <v>40902</v>
      </c>
      <c r="H67" s="76">
        <v>9926.76</v>
      </c>
      <c r="I67" s="74">
        <v>1627</v>
      </c>
      <c r="J67" s="74">
        <v>8</v>
      </c>
      <c r="K67" s="72">
        <v>594396</v>
      </c>
      <c r="L67" s="72">
        <v>119614.95999999999</v>
      </c>
    </row>
    <row r="68" spans="1:12" ht="15" thickBot="1" x14ac:dyDescent="0.35">
      <c r="A68" s="75" t="s">
        <v>13</v>
      </c>
      <c r="B68" s="75" t="s">
        <v>403</v>
      </c>
      <c r="C68" s="213" t="str">
        <f t="shared" si="0"/>
        <v>KU497</v>
      </c>
      <c r="D68" s="75" t="s">
        <v>402</v>
      </c>
      <c r="E68" s="81">
        <v>18</v>
      </c>
      <c r="F68" s="80"/>
      <c r="G68" s="79">
        <v>558</v>
      </c>
      <c r="H68" s="79">
        <v>333.37</v>
      </c>
      <c r="I68" s="74">
        <v>206</v>
      </c>
      <c r="J68" s="73"/>
      <c r="K68" s="72">
        <v>7908</v>
      </c>
      <c r="L68" s="72">
        <v>3767.2299999999996</v>
      </c>
    </row>
    <row r="69" spans="1:12" ht="15" thickBot="1" x14ac:dyDescent="0.35">
      <c r="A69" s="75" t="s">
        <v>13</v>
      </c>
      <c r="B69" s="75" t="s">
        <v>401</v>
      </c>
      <c r="C69" s="213" t="str">
        <f t="shared" si="0"/>
        <v>KU498</v>
      </c>
      <c r="D69" s="75" t="s">
        <v>400</v>
      </c>
      <c r="E69" s="78">
        <v>31</v>
      </c>
      <c r="F69" s="77"/>
      <c r="G69" s="76">
        <v>2081</v>
      </c>
      <c r="H69" s="76">
        <v>683.65</v>
      </c>
      <c r="I69" s="74">
        <v>361</v>
      </c>
      <c r="J69" s="73"/>
      <c r="K69" s="72">
        <v>29095</v>
      </c>
      <c r="L69" s="72">
        <v>7883.2800000000007</v>
      </c>
    </row>
    <row r="70" spans="1:12" ht="15" thickBot="1" x14ac:dyDescent="0.35">
      <c r="A70" s="75" t="s">
        <v>13</v>
      </c>
      <c r="B70" s="75" t="s">
        <v>399</v>
      </c>
      <c r="C70" s="213" t="str">
        <f t="shared" ref="C70:C75" si="1">CONCATENATE("KU",RIGHT(B70,3))</f>
        <v>KU499</v>
      </c>
      <c r="D70" s="75" t="s">
        <v>398</v>
      </c>
      <c r="E70" s="81">
        <v>35</v>
      </c>
      <c r="F70" s="80"/>
      <c r="G70" s="79">
        <v>4398</v>
      </c>
      <c r="H70" s="79">
        <v>927.2</v>
      </c>
      <c r="I70" s="74">
        <v>420</v>
      </c>
      <c r="J70" s="73"/>
      <c r="K70" s="72">
        <v>65816</v>
      </c>
      <c r="L70" s="72">
        <v>11030.42</v>
      </c>
    </row>
    <row r="71" spans="1:12" ht="15" thickBot="1" x14ac:dyDescent="0.35">
      <c r="A71" s="75" t="s">
        <v>13</v>
      </c>
      <c r="B71" s="75" t="s">
        <v>397</v>
      </c>
      <c r="C71" s="213" t="str">
        <f t="shared" si="1"/>
        <v>KU820</v>
      </c>
      <c r="D71" s="75" t="s">
        <v>396</v>
      </c>
      <c r="E71" s="78">
        <v>0</v>
      </c>
      <c r="F71" s="77"/>
      <c r="G71" s="77"/>
      <c r="H71" s="76">
        <v>0</v>
      </c>
      <c r="I71" s="74">
        <v>0</v>
      </c>
      <c r="J71" s="73"/>
      <c r="K71" s="73"/>
      <c r="L71" s="72">
        <v>-10.48</v>
      </c>
    </row>
    <row r="72" spans="1:12" ht="15" thickBot="1" x14ac:dyDescent="0.35">
      <c r="A72" s="75" t="s">
        <v>13</v>
      </c>
      <c r="B72" s="75" t="s">
        <v>395</v>
      </c>
      <c r="C72" s="213" t="str">
        <f t="shared" si="1"/>
        <v>KU825</v>
      </c>
      <c r="D72" s="75" t="s">
        <v>167</v>
      </c>
      <c r="E72" s="81">
        <v>0</v>
      </c>
      <c r="F72" s="80"/>
      <c r="G72" s="80"/>
      <c r="H72" s="79">
        <v>87452.59</v>
      </c>
      <c r="I72" s="74">
        <v>0</v>
      </c>
      <c r="J72" s="73"/>
      <c r="K72" s="73"/>
      <c r="L72" s="72">
        <v>1025638.1900000001</v>
      </c>
    </row>
    <row r="73" spans="1:12" ht="15" thickBot="1" x14ac:dyDescent="0.35">
      <c r="A73" s="75" t="s">
        <v>13</v>
      </c>
      <c r="B73" s="75" t="s">
        <v>394</v>
      </c>
      <c r="C73" s="213" t="str">
        <f t="shared" si="1"/>
        <v>KU826</v>
      </c>
      <c r="D73" s="75" t="s">
        <v>388</v>
      </c>
      <c r="E73" s="78">
        <v>0</v>
      </c>
      <c r="F73" s="77"/>
      <c r="G73" s="77"/>
      <c r="H73" s="76">
        <v>9737.08</v>
      </c>
      <c r="I73" s="74">
        <v>0</v>
      </c>
      <c r="J73" s="73"/>
      <c r="K73" s="73"/>
      <c r="L73" s="72">
        <v>116475.07</v>
      </c>
    </row>
    <row r="74" spans="1:12" ht="15" thickBot="1" x14ac:dyDescent="0.35">
      <c r="A74" s="75" t="s">
        <v>13</v>
      </c>
      <c r="B74" s="75" t="s">
        <v>393</v>
      </c>
      <c r="C74" s="213" t="str">
        <f t="shared" si="1"/>
        <v>KU827</v>
      </c>
      <c r="D74" s="75" t="s">
        <v>392</v>
      </c>
      <c r="E74" s="81">
        <v>0</v>
      </c>
      <c r="F74" s="80"/>
      <c r="G74" s="80"/>
      <c r="H74" s="79">
        <v>34795.65</v>
      </c>
      <c r="I74" s="74">
        <v>0</v>
      </c>
      <c r="J74" s="73"/>
      <c r="K74" s="73"/>
      <c r="L74" s="72">
        <v>419123.39000000007</v>
      </c>
    </row>
    <row r="75" spans="1:12" ht="15" thickBot="1" x14ac:dyDescent="0.35">
      <c r="A75" s="75" t="s">
        <v>13</v>
      </c>
      <c r="B75" s="75" t="s">
        <v>391</v>
      </c>
      <c r="C75" s="213" t="str">
        <f t="shared" si="1"/>
        <v>KU828</v>
      </c>
      <c r="D75" s="75" t="s">
        <v>165</v>
      </c>
      <c r="E75" s="78">
        <v>0</v>
      </c>
      <c r="F75" s="77"/>
      <c r="G75" s="77"/>
      <c r="H75" s="76">
        <v>33468.949999999997</v>
      </c>
      <c r="I75" s="74">
        <v>0</v>
      </c>
      <c r="J75" s="73"/>
      <c r="K75" s="73"/>
      <c r="L75" s="72">
        <v>398588.55</v>
      </c>
    </row>
    <row r="76" spans="1:12" ht="15" thickBot="1" x14ac:dyDescent="0.35">
      <c r="A76" s="75" t="s">
        <v>155</v>
      </c>
      <c r="B76" s="75" t="s">
        <v>390</v>
      </c>
      <c r="C76" s="213" t="str">
        <f>CONCATENATE("LGE",RIGHT(B76,3))</f>
        <v>LGE825</v>
      </c>
      <c r="D76" s="75" t="s">
        <v>167</v>
      </c>
      <c r="E76" s="78">
        <v>0</v>
      </c>
      <c r="F76" s="77"/>
      <c r="G76" s="77"/>
      <c r="H76" s="76">
        <v>48365.64</v>
      </c>
      <c r="I76" s="74">
        <v>0</v>
      </c>
      <c r="J76" s="73"/>
      <c r="K76" s="73"/>
      <c r="L76" s="72">
        <v>580387.68000000005</v>
      </c>
    </row>
    <row r="77" spans="1:12" ht="15" thickBot="1" x14ac:dyDescent="0.35">
      <c r="A77" s="75" t="s">
        <v>155</v>
      </c>
      <c r="B77" s="75" t="s">
        <v>389</v>
      </c>
      <c r="C77" s="213" t="str">
        <f t="shared" ref="C77:C140" si="2">CONCATENATE("LGE",RIGHT(B77,3))</f>
        <v>LGE826</v>
      </c>
      <c r="D77" s="75" t="s">
        <v>388</v>
      </c>
      <c r="E77" s="81">
        <v>0</v>
      </c>
      <c r="F77" s="80"/>
      <c r="G77" s="80"/>
      <c r="H77" s="79">
        <v>872.16</v>
      </c>
      <c r="I77" s="74">
        <v>0</v>
      </c>
      <c r="J77" s="73"/>
      <c r="K77" s="73"/>
      <c r="L77" s="72">
        <v>9401.7199999999993</v>
      </c>
    </row>
    <row r="78" spans="1:12" ht="15" thickBot="1" x14ac:dyDescent="0.35">
      <c r="A78" s="75" t="s">
        <v>155</v>
      </c>
      <c r="B78" s="75" t="s">
        <v>387</v>
      </c>
      <c r="C78" s="213" t="str">
        <f t="shared" si="2"/>
        <v>LGE828</v>
      </c>
      <c r="D78" s="75" t="s">
        <v>165</v>
      </c>
      <c r="E78" s="78">
        <v>0</v>
      </c>
      <c r="F78" s="77"/>
      <c r="G78" s="77"/>
      <c r="H78" s="76">
        <v>2810.46</v>
      </c>
      <c r="I78" s="74">
        <v>0</v>
      </c>
      <c r="J78" s="73"/>
      <c r="K78" s="73"/>
      <c r="L78" s="72">
        <v>28898.26</v>
      </c>
    </row>
    <row r="79" spans="1:12" ht="15" thickBot="1" x14ac:dyDescent="0.35">
      <c r="A79" s="75" t="s">
        <v>155</v>
      </c>
      <c r="B79" s="75" t="s">
        <v>386</v>
      </c>
      <c r="C79" s="213" t="str">
        <f t="shared" si="2"/>
        <v>LGE829</v>
      </c>
      <c r="D79" s="75" t="s">
        <v>385</v>
      </c>
      <c r="E79" s="81">
        <v>0</v>
      </c>
      <c r="F79" s="80"/>
      <c r="G79" s="80"/>
      <c r="H79" s="79">
        <v>5</v>
      </c>
      <c r="I79" s="74">
        <v>0</v>
      </c>
      <c r="J79" s="73"/>
      <c r="K79" s="73"/>
      <c r="L79" s="72">
        <v>60</v>
      </c>
    </row>
    <row r="80" spans="1:12" ht="15" thickBot="1" x14ac:dyDescent="0.35">
      <c r="A80" s="75" t="s">
        <v>155</v>
      </c>
      <c r="B80" s="75" t="s">
        <v>384</v>
      </c>
      <c r="C80" s="213" t="str">
        <f t="shared" si="2"/>
        <v>LGE201</v>
      </c>
      <c r="D80" s="75" t="s">
        <v>383</v>
      </c>
      <c r="E80" s="81">
        <v>72</v>
      </c>
      <c r="F80" s="80"/>
      <c r="G80" s="79">
        <v>2467</v>
      </c>
      <c r="H80" s="79">
        <v>690.74</v>
      </c>
      <c r="I80" s="74">
        <v>883</v>
      </c>
      <c r="J80" s="73"/>
      <c r="K80" s="72">
        <v>36159</v>
      </c>
      <c r="L80" s="72">
        <v>8578.3900000000012</v>
      </c>
    </row>
    <row r="81" spans="1:12" ht="15" thickBot="1" x14ac:dyDescent="0.35">
      <c r="A81" s="75" t="s">
        <v>155</v>
      </c>
      <c r="B81" s="75" t="s">
        <v>382</v>
      </c>
      <c r="C81" s="213" t="str">
        <f t="shared" si="2"/>
        <v>LGE203</v>
      </c>
      <c r="D81" s="75" t="s">
        <v>381</v>
      </c>
      <c r="E81" s="78">
        <v>3197</v>
      </c>
      <c r="F81" s="78">
        <v>920</v>
      </c>
      <c r="G81" s="76">
        <v>269015</v>
      </c>
      <c r="H81" s="76">
        <v>38936.449999999997</v>
      </c>
      <c r="I81" s="74">
        <v>39758</v>
      </c>
      <c r="J81" s="74">
        <v>11868</v>
      </c>
      <c r="K81" s="72">
        <v>3972335</v>
      </c>
      <c r="L81" s="72">
        <v>493543.06</v>
      </c>
    </row>
    <row r="82" spans="1:12" ht="15" thickBot="1" x14ac:dyDescent="0.35">
      <c r="A82" s="75" t="s">
        <v>155</v>
      </c>
      <c r="B82" s="75" t="s">
        <v>380</v>
      </c>
      <c r="C82" s="213" t="str">
        <f t="shared" si="2"/>
        <v>LGE204</v>
      </c>
      <c r="D82" s="75" t="s">
        <v>379</v>
      </c>
      <c r="E82" s="81">
        <v>3266</v>
      </c>
      <c r="F82" s="81">
        <v>1741</v>
      </c>
      <c r="G82" s="79">
        <v>426633</v>
      </c>
      <c r="H82" s="79">
        <v>48834.77</v>
      </c>
      <c r="I82" s="74">
        <v>40673</v>
      </c>
      <c r="J82" s="74">
        <v>30263</v>
      </c>
      <c r="K82" s="72">
        <v>6246853</v>
      </c>
      <c r="L82" s="72">
        <v>616363.62</v>
      </c>
    </row>
    <row r="83" spans="1:12" ht="15" thickBot="1" x14ac:dyDescent="0.35">
      <c r="A83" s="75" t="s">
        <v>155</v>
      </c>
      <c r="B83" s="75" t="s">
        <v>378</v>
      </c>
      <c r="C83" s="213" t="str">
        <f t="shared" si="2"/>
        <v>LGE206</v>
      </c>
      <c r="D83" s="75" t="s">
        <v>377</v>
      </c>
      <c r="E83" s="81">
        <v>72</v>
      </c>
      <c r="F83" s="80"/>
      <c r="G83" s="79">
        <v>2478</v>
      </c>
      <c r="H83" s="79">
        <v>994.18</v>
      </c>
      <c r="I83" s="74">
        <v>866</v>
      </c>
      <c r="J83" s="74">
        <v>11</v>
      </c>
      <c r="K83" s="72">
        <v>35773</v>
      </c>
      <c r="L83" s="72">
        <v>12089.97</v>
      </c>
    </row>
    <row r="84" spans="1:12" ht="15" thickBot="1" x14ac:dyDescent="0.35">
      <c r="A84" s="75" t="s">
        <v>155</v>
      </c>
      <c r="B84" s="75" t="s">
        <v>376</v>
      </c>
      <c r="C84" s="213" t="str">
        <f t="shared" si="2"/>
        <v>LGE207</v>
      </c>
      <c r="D84" s="75" t="s">
        <v>375</v>
      </c>
      <c r="E84" s="78">
        <v>665</v>
      </c>
      <c r="F84" s="77"/>
      <c r="G84" s="76">
        <v>85022</v>
      </c>
      <c r="H84" s="76">
        <v>12232.07</v>
      </c>
      <c r="I84" s="74">
        <v>8211</v>
      </c>
      <c r="J84" s="74">
        <v>11</v>
      </c>
      <c r="K84" s="72">
        <v>1248760</v>
      </c>
      <c r="L84" s="72">
        <v>152141.06</v>
      </c>
    </row>
    <row r="85" spans="1:12" ht="15" thickBot="1" x14ac:dyDescent="0.35">
      <c r="A85" s="75" t="s">
        <v>155</v>
      </c>
      <c r="B85" s="75" t="s">
        <v>374</v>
      </c>
      <c r="C85" s="213" t="str">
        <f t="shared" si="2"/>
        <v>LGE208</v>
      </c>
      <c r="D85" s="75" t="s">
        <v>373</v>
      </c>
      <c r="E85" s="81">
        <v>1336</v>
      </c>
      <c r="F85" s="81">
        <v>4</v>
      </c>
      <c r="G85" s="79">
        <v>78048</v>
      </c>
      <c r="H85" s="79">
        <v>20976.34</v>
      </c>
      <c r="I85" s="74">
        <v>16231</v>
      </c>
      <c r="J85" s="74">
        <v>726</v>
      </c>
      <c r="K85" s="72">
        <v>1130056</v>
      </c>
      <c r="L85" s="72">
        <v>258697.84</v>
      </c>
    </row>
    <row r="86" spans="1:12" ht="15" thickBot="1" x14ac:dyDescent="0.35">
      <c r="A86" s="75" t="s">
        <v>155</v>
      </c>
      <c r="B86" s="75" t="s">
        <v>372</v>
      </c>
      <c r="C86" s="213" t="str">
        <f t="shared" si="2"/>
        <v>LGE209</v>
      </c>
      <c r="D86" s="75" t="s">
        <v>371</v>
      </c>
      <c r="E86" s="78">
        <v>31</v>
      </c>
      <c r="F86" s="77"/>
      <c r="G86" s="76">
        <v>9371</v>
      </c>
      <c r="H86" s="76">
        <v>1018.74</v>
      </c>
      <c r="I86" s="74">
        <v>426</v>
      </c>
      <c r="J86" s="74">
        <v>8</v>
      </c>
      <c r="K86" s="72">
        <v>154078</v>
      </c>
      <c r="L86" s="72">
        <v>13969.39</v>
      </c>
    </row>
    <row r="87" spans="1:12" ht="15" thickBot="1" x14ac:dyDescent="0.35">
      <c r="A87" s="75" t="s">
        <v>155</v>
      </c>
      <c r="B87" s="75" t="s">
        <v>370</v>
      </c>
      <c r="C87" s="213" t="str">
        <f t="shared" si="2"/>
        <v>LGE210</v>
      </c>
      <c r="D87" s="75" t="s">
        <v>369</v>
      </c>
      <c r="E87" s="78">
        <v>305</v>
      </c>
      <c r="F87" s="77"/>
      <c r="G87" s="76">
        <v>91603</v>
      </c>
      <c r="H87" s="76">
        <v>10154.709999999999</v>
      </c>
      <c r="I87" s="74">
        <v>3805</v>
      </c>
      <c r="J87" s="74">
        <v>6</v>
      </c>
      <c r="K87" s="72">
        <v>1372571</v>
      </c>
      <c r="L87" s="72">
        <v>128010.34</v>
      </c>
    </row>
    <row r="88" spans="1:12" ht="15" thickBot="1" x14ac:dyDescent="0.35">
      <c r="A88" s="75" t="s">
        <v>155</v>
      </c>
      <c r="B88" s="75" t="s">
        <v>368</v>
      </c>
      <c r="C88" s="213" t="str">
        <f t="shared" si="2"/>
        <v>LGE252</v>
      </c>
      <c r="D88" s="75" t="s">
        <v>367</v>
      </c>
      <c r="E88" s="81">
        <v>3624</v>
      </c>
      <c r="F88" s="81">
        <v>369</v>
      </c>
      <c r="G88" s="79">
        <v>210769</v>
      </c>
      <c r="H88" s="79">
        <v>39905.68</v>
      </c>
      <c r="I88" s="74">
        <v>44496</v>
      </c>
      <c r="J88" s="74">
        <v>2754</v>
      </c>
      <c r="K88" s="72">
        <v>3090805</v>
      </c>
      <c r="L88" s="72">
        <v>493510.73</v>
      </c>
    </row>
    <row r="89" spans="1:12" ht="15" thickBot="1" x14ac:dyDescent="0.35">
      <c r="A89" s="75" t="s">
        <v>155</v>
      </c>
      <c r="B89" s="75" t="s">
        <v>366</v>
      </c>
      <c r="C89" s="213" t="str">
        <f t="shared" si="2"/>
        <v>LGE266</v>
      </c>
      <c r="D89" s="75" t="s">
        <v>365</v>
      </c>
      <c r="E89" s="78">
        <v>2065</v>
      </c>
      <c r="F89" s="77"/>
      <c r="G89" s="76">
        <v>181420</v>
      </c>
      <c r="H89" s="76">
        <v>61426.12</v>
      </c>
      <c r="I89" s="74">
        <v>24832</v>
      </c>
      <c r="J89" s="74">
        <v>40</v>
      </c>
      <c r="K89" s="72">
        <v>2579959</v>
      </c>
      <c r="L89" s="72">
        <v>751886.62999999989</v>
      </c>
    </row>
    <row r="90" spans="1:12" ht="15" thickBot="1" x14ac:dyDescent="0.35">
      <c r="A90" s="75" t="s">
        <v>155</v>
      </c>
      <c r="B90" s="75" t="s">
        <v>364</v>
      </c>
      <c r="C90" s="213" t="str">
        <f t="shared" si="2"/>
        <v>LGE267</v>
      </c>
      <c r="D90" s="75" t="s">
        <v>363</v>
      </c>
      <c r="E90" s="81">
        <v>2291</v>
      </c>
      <c r="F90" s="81">
        <v>1</v>
      </c>
      <c r="G90" s="79">
        <v>312612</v>
      </c>
      <c r="H90" s="79">
        <v>79140.539999999994</v>
      </c>
      <c r="I90" s="74">
        <v>27588</v>
      </c>
      <c r="J90" s="74">
        <v>661</v>
      </c>
      <c r="K90" s="72">
        <v>4537570</v>
      </c>
      <c r="L90" s="72">
        <v>976396.14</v>
      </c>
    </row>
    <row r="91" spans="1:12" ht="15" thickBot="1" x14ac:dyDescent="0.35">
      <c r="A91" s="75" t="s">
        <v>155</v>
      </c>
      <c r="B91" s="75" t="s">
        <v>362</v>
      </c>
      <c r="C91" s="213" t="str">
        <f t="shared" si="2"/>
        <v>LGE274</v>
      </c>
      <c r="D91" s="75" t="s">
        <v>361</v>
      </c>
      <c r="E91" s="78">
        <v>16995</v>
      </c>
      <c r="F91" s="78">
        <v>14</v>
      </c>
      <c r="G91" s="76">
        <v>681127</v>
      </c>
      <c r="H91" s="76">
        <v>332850.39</v>
      </c>
      <c r="I91" s="74">
        <v>204706</v>
      </c>
      <c r="J91" s="74">
        <v>141</v>
      </c>
      <c r="K91" s="72">
        <v>9870127</v>
      </c>
      <c r="L91" s="72">
        <v>4023387.31</v>
      </c>
    </row>
    <row r="92" spans="1:12" ht="15" thickBot="1" x14ac:dyDescent="0.35">
      <c r="A92" s="75" t="s">
        <v>155</v>
      </c>
      <c r="B92" s="75" t="s">
        <v>360</v>
      </c>
      <c r="C92" s="213" t="str">
        <f t="shared" si="2"/>
        <v>LGE275</v>
      </c>
      <c r="D92" s="75" t="s">
        <v>359</v>
      </c>
      <c r="E92" s="81">
        <v>477</v>
      </c>
      <c r="F92" s="80"/>
      <c r="G92" s="79">
        <v>27103</v>
      </c>
      <c r="H92" s="79">
        <v>13004.97</v>
      </c>
      <c r="I92" s="74">
        <v>6052</v>
      </c>
      <c r="J92" s="73"/>
      <c r="K92" s="72">
        <v>403477</v>
      </c>
      <c r="L92" s="72">
        <v>167752.63</v>
      </c>
    </row>
    <row r="93" spans="1:12" ht="15" thickBot="1" x14ac:dyDescent="0.35">
      <c r="A93" s="75" t="s">
        <v>155</v>
      </c>
      <c r="B93" s="75" t="s">
        <v>358</v>
      </c>
      <c r="C93" s="213" t="str">
        <f t="shared" si="2"/>
        <v>LGE276</v>
      </c>
      <c r="D93" s="75" t="s">
        <v>357</v>
      </c>
      <c r="E93" s="78">
        <v>1361</v>
      </c>
      <c r="F93" s="77"/>
      <c r="G93" s="76">
        <v>41723</v>
      </c>
      <c r="H93" s="76">
        <v>22267.31</v>
      </c>
      <c r="I93" s="74">
        <v>16978</v>
      </c>
      <c r="J93" s="74">
        <v>2</v>
      </c>
      <c r="K93" s="72">
        <v>620344</v>
      </c>
      <c r="L93" s="72">
        <v>275896.15999999997</v>
      </c>
    </row>
    <row r="94" spans="1:12" ht="15" thickBot="1" x14ac:dyDescent="0.35">
      <c r="A94" s="75" t="s">
        <v>155</v>
      </c>
      <c r="B94" s="75" t="s">
        <v>356</v>
      </c>
      <c r="C94" s="213" t="str">
        <f t="shared" si="2"/>
        <v>LGE277</v>
      </c>
      <c r="D94" s="75" t="s">
        <v>355</v>
      </c>
      <c r="E94" s="81">
        <v>2334</v>
      </c>
      <c r="F94" s="80"/>
      <c r="G94" s="79">
        <v>129461</v>
      </c>
      <c r="H94" s="79">
        <v>57900.69</v>
      </c>
      <c r="I94" s="74">
        <v>28061</v>
      </c>
      <c r="J94" s="74">
        <v>1</v>
      </c>
      <c r="K94" s="72">
        <v>1865258</v>
      </c>
      <c r="L94" s="72">
        <v>705274.86999999988</v>
      </c>
    </row>
    <row r="95" spans="1:12" ht="15" thickBot="1" x14ac:dyDescent="0.35">
      <c r="A95" s="75" t="s">
        <v>155</v>
      </c>
      <c r="B95" s="75" t="s">
        <v>354</v>
      </c>
      <c r="C95" s="213" t="str">
        <f t="shared" si="2"/>
        <v>LGE278</v>
      </c>
      <c r="D95" s="75" t="s">
        <v>353</v>
      </c>
      <c r="E95" s="78">
        <v>12</v>
      </c>
      <c r="F95" s="77"/>
      <c r="G95" s="76">
        <v>3120</v>
      </c>
      <c r="H95" s="76">
        <v>843.55</v>
      </c>
      <c r="I95" s="74">
        <v>164</v>
      </c>
      <c r="J95" s="73"/>
      <c r="K95" s="72">
        <v>58063</v>
      </c>
      <c r="L95" s="72">
        <v>13361.900000000001</v>
      </c>
    </row>
    <row r="96" spans="1:12" ht="15" thickBot="1" x14ac:dyDescent="0.35">
      <c r="A96" s="75" t="s">
        <v>155</v>
      </c>
      <c r="B96" s="75" t="s">
        <v>352</v>
      </c>
      <c r="C96" s="213" t="str">
        <f t="shared" si="2"/>
        <v>LGE279</v>
      </c>
      <c r="D96" s="75" t="s">
        <v>351</v>
      </c>
      <c r="E96" s="81">
        <v>8</v>
      </c>
      <c r="F96" s="80"/>
      <c r="G96" s="79">
        <v>1854</v>
      </c>
      <c r="H96" s="79">
        <v>299.36</v>
      </c>
      <c r="I96" s="74">
        <v>108</v>
      </c>
      <c r="J96" s="73"/>
      <c r="K96" s="72">
        <v>38091</v>
      </c>
      <c r="L96" s="72">
        <v>5030.0600000000004</v>
      </c>
    </row>
    <row r="97" spans="1:12" ht="15" thickBot="1" x14ac:dyDescent="0.35">
      <c r="A97" s="75" t="s">
        <v>155</v>
      </c>
      <c r="B97" s="75" t="s">
        <v>350</v>
      </c>
      <c r="C97" s="213" t="str">
        <f t="shared" si="2"/>
        <v>LGE280</v>
      </c>
      <c r="D97" s="75" t="s">
        <v>349</v>
      </c>
      <c r="E97" s="78">
        <v>46</v>
      </c>
      <c r="F97" s="77"/>
      <c r="G97" s="76">
        <v>1365</v>
      </c>
      <c r="H97" s="76">
        <v>1824.91</v>
      </c>
      <c r="I97" s="74">
        <v>570</v>
      </c>
      <c r="J97" s="73"/>
      <c r="K97" s="72">
        <v>20198</v>
      </c>
      <c r="L97" s="72">
        <v>22314.229999999996</v>
      </c>
    </row>
    <row r="98" spans="1:12" ht="15" thickBot="1" x14ac:dyDescent="0.35">
      <c r="A98" s="75" t="s">
        <v>155</v>
      </c>
      <c r="B98" s="75" t="s">
        <v>348</v>
      </c>
      <c r="C98" s="213" t="str">
        <f t="shared" si="2"/>
        <v>LGE281</v>
      </c>
      <c r="D98" s="75" t="s">
        <v>347</v>
      </c>
      <c r="E98" s="81">
        <v>245</v>
      </c>
      <c r="F98" s="80"/>
      <c r="G98" s="79">
        <v>9637</v>
      </c>
      <c r="H98" s="79">
        <v>9690.58</v>
      </c>
      <c r="I98" s="74">
        <v>2923</v>
      </c>
      <c r="J98" s="74">
        <v>17</v>
      </c>
      <c r="K98" s="72">
        <v>140368</v>
      </c>
      <c r="L98" s="72">
        <v>117639.92999999998</v>
      </c>
    </row>
    <row r="99" spans="1:12" ht="15" thickBot="1" x14ac:dyDescent="0.35">
      <c r="A99" s="75" t="s">
        <v>155</v>
      </c>
      <c r="B99" s="75" t="s">
        <v>346</v>
      </c>
      <c r="C99" s="213" t="str">
        <f t="shared" si="2"/>
        <v>LGE282</v>
      </c>
      <c r="D99" s="75" t="s">
        <v>345</v>
      </c>
      <c r="E99" s="78">
        <v>106</v>
      </c>
      <c r="F99" s="77"/>
      <c r="G99" s="76">
        <v>3197</v>
      </c>
      <c r="H99" s="76">
        <v>3441.01</v>
      </c>
      <c r="I99" s="74">
        <v>1272</v>
      </c>
      <c r="J99" s="73"/>
      <c r="K99" s="72">
        <v>46560</v>
      </c>
      <c r="L99" s="72">
        <v>42012.54</v>
      </c>
    </row>
    <row r="100" spans="1:12" ht="15" thickBot="1" x14ac:dyDescent="0.35">
      <c r="A100" s="75" t="s">
        <v>155</v>
      </c>
      <c r="B100" s="75" t="s">
        <v>344</v>
      </c>
      <c r="C100" s="213" t="str">
        <f t="shared" si="2"/>
        <v>LGE283</v>
      </c>
      <c r="D100" s="75" t="s">
        <v>343</v>
      </c>
      <c r="E100" s="81">
        <v>99</v>
      </c>
      <c r="F100" s="80"/>
      <c r="G100" s="79">
        <v>4071</v>
      </c>
      <c r="H100" s="79">
        <v>3787.09</v>
      </c>
      <c r="I100" s="74">
        <v>1086</v>
      </c>
      <c r="J100" s="73"/>
      <c r="K100" s="72">
        <v>52679</v>
      </c>
      <c r="L100" s="72">
        <v>43939.069999999992</v>
      </c>
    </row>
    <row r="101" spans="1:12" ht="15" thickBot="1" x14ac:dyDescent="0.35">
      <c r="A101" s="75" t="s">
        <v>155</v>
      </c>
      <c r="B101" s="75" t="s">
        <v>342</v>
      </c>
      <c r="C101" s="213" t="str">
        <f t="shared" si="2"/>
        <v>LGE314</v>
      </c>
      <c r="D101" s="75" t="s">
        <v>341</v>
      </c>
      <c r="E101" s="78">
        <v>451</v>
      </c>
      <c r="F101" s="77"/>
      <c r="G101" s="76">
        <v>38010</v>
      </c>
      <c r="H101" s="76">
        <v>9302.86</v>
      </c>
      <c r="I101" s="74">
        <v>5576</v>
      </c>
      <c r="J101" s="74">
        <v>1020</v>
      </c>
      <c r="K101" s="72">
        <v>553049</v>
      </c>
      <c r="L101" s="72">
        <v>117321.36</v>
      </c>
    </row>
    <row r="102" spans="1:12" ht="15" thickBot="1" x14ac:dyDescent="0.35">
      <c r="A102" s="75" t="s">
        <v>155</v>
      </c>
      <c r="B102" s="75" t="s">
        <v>340</v>
      </c>
      <c r="C102" s="213" t="str">
        <f t="shared" si="2"/>
        <v>LGE315</v>
      </c>
      <c r="D102" s="75" t="s">
        <v>339</v>
      </c>
      <c r="E102" s="81">
        <v>453</v>
      </c>
      <c r="F102" s="80"/>
      <c r="G102" s="79">
        <v>59367</v>
      </c>
      <c r="H102" s="79">
        <v>11101.43</v>
      </c>
      <c r="I102" s="74">
        <v>5562</v>
      </c>
      <c r="J102" s="74">
        <v>2084</v>
      </c>
      <c r="K102" s="72">
        <v>854630</v>
      </c>
      <c r="L102" s="72">
        <v>139206.99000000002</v>
      </c>
    </row>
    <row r="103" spans="1:12" ht="15" thickBot="1" x14ac:dyDescent="0.35">
      <c r="A103" s="75" t="s">
        <v>155</v>
      </c>
      <c r="B103" s="75" t="s">
        <v>338</v>
      </c>
      <c r="C103" s="213" t="str">
        <f t="shared" si="2"/>
        <v>LGE318</v>
      </c>
      <c r="D103" s="75" t="s">
        <v>337</v>
      </c>
      <c r="E103" s="78">
        <v>48</v>
      </c>
      <c r="F103" s="77"/>
      <c r="G103" s="76">
        <v>2870</v>
      </c>
      <c r="H103" s="76">
        <v>897.5</v>
      </c>
      <c r="I103" s="74">
        <v>586</v>
      </c>
      <c r="J103" s="74">
        <v>7</v>
      </c>
      <c r="K103" s="72">
        <v>40953</v>
      </c>
      <c r="L103" s="72">
        <v>11154.879999999997</v>
      </c>
    </row>
    <row r="104" spans="1:12" ht="15" thickBot="1" x14ac:dyDescent="0.35">
      <c r="A104" s="75" t="s">
        <v>155</v>
      </c>
      <c r="B104" s="75" t="s">
        <v>336</v>
      </c>
      <c r="C104" s="213" t="str">
        <f t="shared" si="2"/>
        <v>LGE348</v>
      </c>
      <c r="D104" s="75" t="s">
        <v>335</v>
      </c>
      <c r="E104" s="81">
        <v>39</v>
      </c>
      <c r="F104" s="80"/>
      <c r="G104" s="79">
        <v>3331</v>
      </c>
      <c r="H104" s="79">
        <v>556.59</v>
      </c>
      <c r="I104" s="74">
        <v>468</v>
      </c>
      <c r="J104" s="73"/>
      <c r="K104" s="72">
        <v>46805</v>
      </c>
      <c r="L104" s="72">
        <v>6760.8</v>
      </c>
    </row>
    <row r="105" spans="1:12" ht="15" thickBot="1" x14ac:dyDescent="0.35">
      <c r="A105" s="75" t="s">
        <v>155</v>
      </c>
      <c r="B105" s="75" t="s">
        <v>334</v>
      </c>
      <c r="C105" s="213" t="str">
        <f t="shared" si="2"/>
        <v>LGE349</v>
      </c>
      <c r="D105" s="75" t="s">
        <v>333</v>
      </c>
      <c r="E105" s="78">
        <v>17</v>
      </c>
      <c r="F105" s="77"/>
      <c r="G105" s="76">
        <v>484</v>
      </c>
      <c r="H105" s="76">
        <v>168.33</v>
      </c>
      <c r="I105" s="74">
        <v>204</v>
      </c>
      <c r="J105" s="73"/>
      <c r="K105" s="72">
        <v>6800</v>
      </c>
      <c r="L105" s="72">
        <v>2034.6499999999996</v>
      </c>
    </row>
    <row r="106" spans="1:12" ht="15" thickBot="1" x14ac:dyDescent="0.35">
      <c r="A106" s="75" t="s">
        <v>155</v>
      </c>
      <c r="B106" s="75" t="s">
        <v>332</v>
      </c>
      <c r="C106" s="213" t="str">
        <f t="shared" si="2"/>
        <v>LGE400</v>
      </c>
      <c r="D106" s="75" t="s">
        <v>331</v>
      </c>
      <c r="E106" s="81">
        <v>56</v>
      </c>
      <c r="F106" s="80"/>
      <c r="G106" s="79">
        <v>796</v>
      </c>
      <c r="H106" s="79">
        <v>1662.56</v>
      </c>
      <c r="I106" s="74">
        <v>631</v>
      </c>
      <c r="J106" s="73"/>
      <c r="K106" s="72">
        <v>10202</v>
      </c>
      <c r="L106" s="72">
        <v>18204.740000000002</v>
      </c>
    </row>
    <row r="107" spans="1:12" ht="15" thickBot="1" x14ac:dyDescent="0.35">
      <c r="A107" s="75" t="s">
        <v>155</v>
      </c>
      <c r="B107" s="75" t="s">
        <v>330</v>
      </c>
      <c r="C107" s="213" t="str">
        <f t="shared" si="2"/>
        <v>LGE401</v>
      </c>
      <c r="D107" s="75" t="s">
        <v>329</v>
      </c>
      <c r="E107" s="78">
        <v>20</v>
      </c>
      <c r="F107" s="77"/>
      <c r="G107" s="76">
        <v>579</v>
      </c>
      <c r="H107" s="76">
        <v>604.71</v>
      </c>
      <c r="I107" s="74">
        <v>158</v>
      </c>
      <c r="J107" s="73"/>
      <c r="K107" s="72">
        <v>5289</v>
      </c>
      <c r="L107" s="72">
        <v>4787.1899999999996</v>
      </c>
    </row>
    <row r="108" spans="1:12" ht="15" thickBot="1" x14ac:dyDescent="0.35">
      <c r="A108" s="75" t="s">
        <v>155</v>
      </c>
      <c r="B108" s="75" t="s">
        <v>328</v>
      </c>
      <c r="C108" s="213" t="str">
        <f t="shared" si="2"/>
        <v>LGE412</v>
      </c>
      <c r="D108" s="75" t="s">
        <v>327</v>
      </c>
      <c r="E108" s="81">
        <v>220</v>
      </c>
      <c r="F108" s="80"/>
      <c r="G108" s="79">
        <v>5247</v>
      </c>
      <c r="H108" s="79">
        <v>5008.8599999999997</v>
      </c>
      <c r="I108" s="74">
        <v>2629</v>
      </c>
      <c r="J108" s="74">
        <v>0</v>
      </c>
      <c r="K108" s="72">
        <v>72743</v>
      </c>
      <c r="L108" s="72">
        <v>60329.73</v>
      </c>
    </row>
    <row r="109" spans="1:12" ht="15" thickBot="1" x14ac:dyDescent="0.35">
      <c r="A109" s="75" t="s">
        <v>155</v>
      </c>
      <c r="B109" s="75" t="s">
        <v>326</v>
      </c>
      <c r="C109" s="213" t="str">
        <f t="shared" si="2"/>
        <v>LGE413</v>
      </c>
      <c r="D109" s="75" t="s">
        <v>325</v>
      </c>
      <c r="E109" s="78">
        <v>2664</v>
      </c>
      <c r="F109" s="78">
        <v>4</v>
      </c>
      <c r="G109" s="76">
        <v>86713</v>
      </c>
      <c r="H109" s="76">
        <v>62354.85</v>
      </c>
      <c r="I109" s="74">
        <v>31755</v>
      </c>
      <c r="J109" s="74">
        <v>342</v>
      </c>
      <c r="K109" s="72">
        <v>1231362</v>
      </c>
      <c r="L109" s="72">
        <v>746826.34</v>
      </c>
    </row>
    <row r="110" spans="1:12" ht="15" thickBot="1" x14ac:dyDescent="0.35">
      <c r="A110" s="75" t="s">
        <v>155</v>
      </c>
      <c r="B110" s="75" t="s">
        <v>324</v>
      </c>
      <c r="C110" s="213" t="str">
        <f t="shared" si="2"/>
        <v>LGE415</v>
      </c>
      <c r="D110" s="75" t="s">
        <v>323</v>
      </c>
      <c r="E110" s="81">
        <v>47</v>
      </c>
      <c r="F110" s="80"/>
      <c r="G110" s="79">
        <v>1088</v>
      </c>
      <c r="H110" s="79">
        <v>1089.04</v>
      </c>
      <c r="I110" s="74">
        <v>564</v>
      </c>
      <c r="J110" s="73"/>
      <c r="K110" s="72">
        <v>15583</v>
      </c>
      <c r="L110" s="72">
        <v>13184.86</v>
      </c>
    </row>
    <row r="111" spans="1:12" ht="15" thickBot="1" x14ac:dyDescent="0.35">
      <c r="A111" s="75" t="s">
        <v>155</v>
      </c>
      <c r="B111" s="75" t="s">
        <v>322</v>
      </c>
      <c r="C111" s="213" t="str">
        <f t="shared" si="2"/>
        <v>LGE416</v>
      </c>
      <c r="D111" s="75" t="s">
        <v>321</v>
      </c>
      <c r="E111" s="78">
        <v>2011</v>
      </c>
      <c r="F111" s="78">
        <v>12</v>
      </c>
      <c r="G111" s="76">
        <v>65634</v>
      </c>
      <c r="H111" s="76">
        <v>52257.65</v>
      </c>
      <c r="I111" s="74">
        <v>23981</v>
      </c>
      <c r="J111" s="74">
        <v>102</v>
      </c>
      <c r="K111" s="72">
        <v>931531</v>
      </c>
      <c r="L111" s="72">
        <v>628540.92000000004</v>
      </c>
    </row>
    <row r="112" spans="1:12" ht="15" thickBot="1" x14ac:dyDescent="0.35">
      <c r="A112" s="75" t="s">
        <v>155</v>
      </c>
      <c r="B112" s="75" t="s">
        <v>320</v>
      </c>
      <c r="C112" s="213" t="str">
        <f t="shared" si="2"/>
        <v>LGE417</v>
      </c>
      <c r="D112" s="75" t="s">
        <v>319</v>
      </c>
      <c r="E112" s="81">
        <v>49</v>
      </c>
      <c r="F112" s="80"/>
      <c r="G112" s="79">
        <v>1615</v>
      </c>
      <c r="H112" s="79">
        <v>1332</v>
      </c>
      <c r="I112" s="74">
        <v>579</v>
      </c>
      <c r="J112" s="73"/>
      <c r="K112" s="72">
        <v>22316</v>
      </c>
      <c r="L112" s="72">
        <v>15757.68</v>
      </c>
    </row>
    <row r="113" spans="1:12" ht="15" thickBot="1" x14ac:dyDescent="0.35">
      <c r="A113" s="75" t="s">
        <v>155</v>
      </c>
      <c r="B113" s="75" t="s">
        <v>318</v>
      </c>
      <c r="C113" s="213" t="str">
        <f t="shared" si="2"/>
        <v>LGE419</v>
      </c>
      <c r="D113" s="75" t="s">
        <v>317</v>
      </c>
      <c r="E113" s="78">
        <v>119</v>
      </c>
      <c r="F113" s="77"/>
      <c r="G113" s="76">
        <v>5893</v>
      </c>
      <c r="H113" s="76">
        <v>3298.47</v>
      </c>
      <c r="I113" s="74">
        <v>1428</v>
      </c>
      <c r="J113" s="73"/>
      <c r="K113" s="72">
        <v>85974</v>
      </c>
      <c r="L113" s="72">
        <v>39759.599999999999</v>
      </c>
    </row>
    <row r="114" spans="1:12" ht="15" thickBot="1" x14ac:dyDescent="0.35">
      <c r="A114" s="75" t="s">
        <v>155</v>
      </c>
      <c r="B114" s="75" t="s">
        <v>316</v>
      </c>
      <c r="C114" s="213" t="str">
        <f t="shared" si="2"/>
        <v>LGE420</v>
      </c>
      <c r="D114" s="75" t="s">
        <v>315</v>
      </c>
      <c r="E114" s="81">
        <v>62</v>
      </c>
      <c r="F114" s="80"/>
      <c r="G114" s="79">
        <v>3192</v>
      </c>
      <c r="H114" s="79">
        <v>2012.84</v>
      </c>
      <c r="I114" s="74">
        <v>746</v>
      </c>
      <c r="J114" s="73"/>
      <c r="K114" s="72">
        <v>44762</v>
      </c>
      <c r="L114" s="72">
        <v>24614.309999999998</v>
      </c>
    </row>
    <row r="115" spans="1:12" ht="15" thickBot="1" x14ac:dyDescent="0.35">
      <c r="A115" s="75" t="s">
        <v>155</v>
      </c>
      <c r="B115" s="75" t="s">
        <v>314</v>
      </c>
      <c r="C115" s="213" t="str">
        <f t="shared" si="2"/>
        <v>LGE421</v>
      </c>
      <c r="D115" s="75" t="s">
        <v>313</v>
      </c>
      <c r="E115" s="78">
        <v>215</v>
      </c>
      <c r="F115" s="78">
        <v>1</v>
      </c>
      <c r="G115" s="76">
        <v>17683</v>
      </c>
      <c r="H115" s="76">
        <v>7974.15</v>
      </c>
      <c r="I115" s="74">
        <v>2490</v>
      </c>
      <c r="J115" s="74">
        <v>4</v>
      </c>
      <c r="K115" s="72">
        <v>244116</v>
      </c>
      <c r="L115" s="72">
        <v>94171.889999999985</v>
      </c>
    </row>
    <row r="116" spans="1:12" ht="15" thickBot="1" x14ac:dyDescent="0.35">
      <c r="A116" s="75" t="s">
        <v>155</v>
      </c>
      <c r="B116" s="75" t="s">
        <v>312</v>
      </c>
      <c r="C116" s="213" t="str">
        <f t="shared" si="2"/>
        <v>LGE422</v>
      </c>
      <c r="D116" s="75" t="s">
        <v>311</v>
      </c>
      <c r="E116" s="81">
        <v>443</v>
      </c>
      <c r="F116" s="80"/>
      <c r="G116" s="79">
        <v>57369</v>
      </c>
      <c r="H116" s="79">
        <v>18972.3</v>
      </c>
      <c r="I116" s="74">
        <v>5341</v>
      </c>
      <c r="J116" s="74">
        <v>18</v>
      </c>
      <c r="K116" s="72">
        <v>833172</v>
      </c>
      <c r="L116" s="72">
        <v>233150.44999999998</v>
      </c>
    </row>
    <row r="117" spans="1:12" ht="15" thickBot="1" x14ac:dyDescent="0.35">
      <c r="A117" s="75" t="s">
        <v>155</v>
      </c>
      <c r="B117" s="75" t="s">
        <v>310</v>
      </c>
      <c r="C117" s="213" t="str">
        <f t="shared" si="2"/>
        <v>LGE423</v>
      </c>
      <c r="D117" s="75" t="s">
        <v>309</v>
      </c>
      <c r="E117" s="78">
        <v>21</v>
      </c>
      <c r="F117" s="77"/>
      <c r="G117" s="76">
        <v>1080</v>
      </c>
      <c r="H117" s="76">
        <v>608.44000000000005</v>
      </c>
      <c r="I117" s="74">
        <v>259</v>
      </c>
      <c r="J117" s="73"/>
      <c r="K117" s="72">
        <v>15491</v>
      </c>
      <c r="L117" s="72">
        <v>7595.1399999999994</v>
      </c>
    </row>
    <row r="118" spans="1:12" ht="15" thickBot="1" x14ac:dyDescent="0.35">
      <c r="A118" s="75" t="s">
        <v>155</v>
      </c>
      <c r="B118" s="75" t="s">
        <v>308</v>
      </c>
      <c r="C118" s="213" t="str">
        <f t="shared" si="2"/>
        <v>LGE424</v>
      </c>
      <c r="D118" s="75" t="s">
        <v>307</v>
      </c>
      <c r="E118" s="81">
        <v>616</v>
      </c>
      <c r="F118" s="80"/>
      <c r="G118" s="79">
        <v>51426</v>
      </c>
      <c r="H118" s="79">
        <v>18862.72</v>
      </c>
      <c r="I118" s="74">
        <v>6990</v>
      </c>
      <c r="J118" s="74">
        <v>2321</v>
      </c>
      <c r="K118" s="72">
        <v>687990</v>
      </c>
      <c r="L118" s="72">
        <v>219059.20000000004</v>
      </c>
    </row>
    <row r="119" spans="1:12" ht="15" thickBot="1" x14ac:dyDescent="0.35">
      <c r="A119" s="75" t="s">
        <v>155</v>
      </c>
      <c r="B119" s="75" t="s">
        <v>306</v>
      </c>
      <c r="C119" s="213" t="str">
        <f t="shared" si="2"/>
        <v>LGE425</v>
      </c>
      <c r="D119" s="75" t="s">
        <v>305</v>
      </c>
      <c r="E119" s="78">
        <v>32</v>
      </c>
      <c r="F119" s="77"/>
      <c r="G119" s="76">
        <v>4132</v>
      </c>
      <c r="H119" s="76">
        <v>1201.5999999999999</v>
      </c>
      <c r="I119" s="74">
        <v>384</v>
      </c>
      <c r="J119" s="74">
        <v>4</v>
      </c>
      <c r="K119" s="72">
        <v>60153</v>
      </c>
      <c r="L119" s="72">
        <v>14712.17</v>
      </c>
    </row>
    <row r="120" spans="1:12" ht="15" thickBot="1" x14ac:dyDescent="0.35">
      <c r="A120" s="75" t="s">
        <v>155</v>
      </c>
      <c r="B120" s="75" t="s">
        <v>304</v>
      </c>
      <c r="C120" s="213" t="str">
        <f t="shared" si="2"/>
        <v>LGE426</v>
      </c>
      <c r="D120" s="75" t="s">
        <v>303</v>
      </c>
      <c r="E120" s="81">
        <v>34</v>
      </c>
      <c r="F120" s="80"/>
      <c r="G120" s="79">
        <v>755</v>
      </c>
      <c r="H120" s="79">
        <v>1286.8499999999999</v>
      </c>
      <c r="I120" s="74">
        <v>408</v>
      </c>
      <c r="J120" s="73"/>
      <c r="K120" s="72">
        <v>11264</v>
      </c>
      <c r="L120" s="72">
        <v>15740.960000000001</v>
      </c>
    </row>
    <row r="121" spans="1:12" ht="15" thickBot="1" x14ac:dyDescent="0.35">
      <c r="A121" s="75" t="s">
        <v>155</v>
      </c>
      <c r="B121" s="75" t="s">
        <v>302</v>
      </c>
      <c r="C121" s="213" t="str">
        <f t="shared" si="2"/>
        <v>LGE427</v>
      </c>
      <c r="D121" s="75" t="s">
        <v>301</v>
      </c>
      <c r="E121" s="78">
        <v>54</v>
      </c>
      <c r="F121" s="77"/>
      <c r="G121" s="76">
        <v>1219</v>
      </c>
      <c r="H121" s="76">
        <v>2217.33</v>
      </c>
      <c r="I121" s="74">
        <v>640</v>
      </c>
      <c r="J121" s="73"/>
      <c r="K121" s="72">
        <v>17652</v>
      </c>
      <c r="L121" s="72">
        <v>26783.11</v>
      </c>
    </row>
    <row r="122" spans="1:12" ht="15" thickBot="1" x14ac:dyDescent="0.35">
      <c r="A122" s="75" t="s">
        <v>155</v>
      </c>
      <c r="B122" s="75" t="s">
        <v>300</v>
      </c>
      <c r="C122" s="213" t="str">
        <f t="shared" si="2"/>
        <v>LGE428</v>
      </c>
      <c r="D122" s="75" t="s">
        <v>299</v>
      </c>
      <c r="E122" s="81">
        <v>299</v>
      </c>
      <c r="F122" s="80"/>
      <c r="G122" s="79">
        <v>9447</v>
      </c>
      <c r="H122" s="79">
        <v>11925.59</v>
      </c>
      <c r="I122" s="74">
        <v>3427</v>
      </c>
      <c r="J122" s="74">
        <v>185</v>
      </c>
      <c r="K122" s="72">
        <v>133790</v>
      </c>
      <c r="L122" s="72">
        <v>139878.06</v>
      </c>
    </row>
    <row r="123" spans="1:12" ht="15" thickBot="1" x14ac:dyDescent="0.35">
      <c r="A123" s="75" t="s">
        <v>155</v>
      </c>
      <c r="B123" s="75" t="s">
        <v>298</v>
      </c>
      <c r="C123" s="213" t="str">
        <f t="shared" si="2"/>
        <v>LGE429</v>
      </c>
      <c r="D123" s="75" t="s">
        <v>297</v>
      </c>
      <c r="E123" s="78">
        <v>259</v>
      </c>
      <c r="F123" s="77"/>
      <c r="G123" s="76">
        <v>8229</v>
      </c>
      <c r="H123" s="76">
        <v>11507.27</v>
      </c>
      <c r="I123" s="74">
        <v>3398</v>
      </c>
      <c r="J123" s="73"/>
      <c r="K123" s="72">
        <v>131455</v>
      </c>
      <c r="L123" s="72">
        <v>153081.06999999998</v>
      </c>
    </row>
    <row r="124" spans="1:12" ht="15" thickBot="1" x14ac:dyDescent="0.35">
      <c r="A124" s="75" t="s">
        <v>155</v>
      </c>
      <c r="B124" s="75" t="s">
        <v>296</v>
      </c>
      <c r="C124" s="213" t="str">
        <f t="shared" si="2"/>
        <v>LGE430</v>
      </c>
      <c r="D124" s="75" t="s">
        <v>295</v>
      </c>
      <c r="E124" s="81">
        <v>13</v>
      </c>
      <c r="F124" s="80"/>
      <c r="G124" s="79">
        <v>308</v>
      </c>
      <c r="H124" s="79">
        <v>453.17</v>
      </c>
      <c r="I124" s="74">
        <v>156</v>
      </c>
      <c r="J124" s="73"/>
      <c r="K124" s="72">
        <v>4315</v>
      </c>
      <c r="L124" s="72">
        <v>5541.5199999999995</v>
      </c>
    </row>
    <row r="125" spans="1:12" ht="15" thickBot="1" x14ac:dyDescent="0.35">
      <c r="A125" s="75" t="s">
        <v>155</v>
      </c>
      <c r="B125" s="75" t="s">
        <v>294</v>
      </c>
      <c r="C125" s="213" t="str">
        <f t="shared" si="2"/>
        <v>LGE431</v>
      </c>
      <c r="D125" s="75" t="s">
        <v>293</v>
      </c>
      <c r="E125" s="78">
        <v>51</v>
      </c>
      <c r="F125" s="77"/>
      <c r="G125" s="76">
        <v>1175</v>
      </c>
      <c r="H125" s="76">
        <v>2079.9</v>
      </c>
      <c r="I125" s="74">
        <v>626</v>
      </c>
      <c r="J125" s="74">
        <v>10</v>
      </c>
      <c r="K125" s="72">
        <v>16651</v>
      </c>
      <c r="L125" s="72">
        <v>24997.720000000005</v>
      </c>
    </row>
    <row r="126" spans="1:12" ht="15" thickBot="1" x14ac:dyDescent="0.35">
      <c r="A126" s="75" t="s">
        <v>155</v>
      </c>
      <c r="B126" s="75" t="s">
        <v>292</v>
      </c>
      <c r="C126" s="213" t="str">
        <f t="shared" si="2"/>
        <v>LGE432</v>
      </c>
      <c r="D126" s="75" t="s">
        <v>291</v>
      </c>
      <c r="E126" s="81">
        <v>10</v>
      </c>
      <c r="F126" s="80"/>
      <c r="G126" s="79">
        <v>333</v>
      </c>
      <c r="H126" s="79">
        <v>394.68</v>
      </c>
      <c r="I126" s="74">
        <v>120</v>
      </c>
      <c r="J126" s="73"/>
      <c r="K126" s="72">
        <v>4669</v>
      </c>
      <c r="L126" s="72">
        <v>4830.63</v>
      </c>
    </row>
    <row r="127" spans="1:12" ht="15" thickBot="1" x14ac:dyDescent="0.35">
      <c r="A127" s="75" t="s">
        <v>155</v>
      </c>
      <c r="B127" s="75" t="s">
        <v>290</v>
      </c>
      <c r="C127" s="213" t="str">
        <f t="shared" si="2"/>
        <v>LGE433</v>
      </c>
      <c r="D127" s="75" t="s">
        <v>289</v>
      </c>
      <c r="E127" s="78">
        <v>237</v>
      </c>
      <c r="F127" s="77"/>
      <c r="G127" s="76">
        <v>7738</v>
      </c>
      <c r="H127" s="76">
        <v>10219.120000000001</v>
      </c>
      <c r="I127" s="74">
        <v>3484</v>
      </c>
      <c r="J127" s="73"/>
      <c r="K127" s="72">
        <v>135638</v>
      </c>
      <c r="L127" s="72">
        <v>149201.72</v>
      </c>
    </row>
    <row r="128" spans="1:12" ht="15" thickBot="1" x14ac:dyDescent="0.35">
      <c r="A128" s="75" t="s">
        <v>155</v>
      </c>
      <c r="B128" s="75" t="s">
        <v>288</v>
      </c>
      <c r="C128" s="213" t="str">
        <f t="shared" si="2"/>
        <v>LGE440</v>
      </c>
      <c r="D128" s="75" t="s">
        <v>287</v>
      </c>
      <c r="E128" s="81">
        <v>23</v>
      </c>
      <c r="F128" s="80"/>
      <c r="G128" s="79">
        <v>1794</v>
      </c>
      <c r="H128" s="79">
        <v>487.03</v>
      </c>
      <c r="I128" s="74">
        <v>237</v>
      </c>
      <c r="J128" s="73"/>
      <c r="K128" s="72">
        <v>23363</v>
      </c>
      <c r="L128" s="72">
        <v>5077.2499999999991</v>
      </c>
    </row>
    <row r="129" spans="1:12" ht="15" thickBot="1" x14ac:dyDescent="0.35">
      <c r="A129" s="75" t="s">
        <v>155</v>
      </c>
      <c r="B129" s="75" t="s">
        <v>286</v>
      </c>
      <c r="C129" s="213" t="str">
        <f t="shared" si="2"/>
        <v>LGE441</v>
      </c>
      <c r="D129" s="75" t="s">
        <v>285</v>
      </c>
      <c r="E129" s="78">
        <v>51</v>
      </c>
      <c r="F129" s="77"/>
      <c r="G129" s="76">
        <v>6511</v>
      </c>
      <c r="H129" s="76">
        <v>1287.76</v>
      </c>
      <c r="I129" s="74">
        <v>524</v>
      </c>
      <c r="J129" s="73"/>
      <c r="K129" s="72">
        <v>85248</v>
      </c>
      <c r="L129" s="72">
        <v>14029.860000000002</v>
      </c>
    </row>
    <row r="130" spans="1:12" ht="15" thickBot="1" x14ac:dyDescent="0.35">
      <c r="A130" s="75" t="s">
        <v>155</v>
      </c>
      <c r="B130" s="75" t="s">
        <v>284</v>
      </c>
      <c r="C130" s="213" t="str">
        <f t="shared" si="2"/>
        <v>LGE444</v>
      </c>
      <c r="D130" s="75" t="s">
        <v>283</v>
      </c>
      <c r="E130" s="81">
        <v>10</v>
      </c>
      <c r="F130" s="80"/>
      <c r="G130" s="79">
        <v>507</v>
      </c>
      <c r="H130" s="79">
        <v>234.3</v>
      </c>
      <c r="I130" s="74">
        <v>57</v>
      </c>
      <c r="J130" s="74">
        <v>6</v>
      </c>
      <c r="K130" s="72">
        <v>3691</v>
      </c>
      <c r="L130" s="72">
        <v>1435.4799999999998</v>
      </c>
    </row>
    <row r="131" spans="1:12" ht="15" thickBot="1" x14ac:dyDescent="0.35">
      <c r="A131" s="75" t="s">
        <v>155</v>
      </c>
      <c r="B131" s="75" t="s">
        <v>282</v>
      </c>
      <c r="C131" s="213" t="str">
        <f t="shared" si="2"/>
        <v>LGE445</v>
      </c>
      <c r="D131" s="75" t="s">
        <v>281</v>
      </c>
      <c r="E131" s="78">
        <v>19</v>
      </c>
      <c r="F131" s="77"/>
      <c r="G131" s="76">
        <v>919</v>
      </c>
      <c r="H131" s="76">
        <v>471.04</v>
      </c>
      <c r="I131" s="74">
        <v>129</v>
      </c>
      <c r="J131" s="74">
        <v>3</v>
      </c>
      <c r="K131" s="72">
        <v>7704</v>
      </c>
      <c r="L131" s="72">
        <v>3291.77</v>
      </c>
    </row>
    <row r="132" spans="1:12" ht="15" thickBot="1" x14ac:dyDescent="0.35">
      <c r="A132" s="75" t="s">
        <v>155</v>
      </c>
      <c r="B132" s="75" t="s">
        <v>280</v>
      </c>
      <c r="C132" s="213" t="str">
        <f t="shared" si="2"/>
        <v>LGE452</v>
      </c>
      <c r="D132" s="75" t="s">
        <v>279</v>
      </c>
      <c r="E132" s="81">
        <v>6855</v>
      </c>
      <c r="F132" s="81">
        <v>751</v>
      </c>
      <c r="G132" s="79">
        <v>349427</v>
      </c>
      <c r="H132" s="79">
        <v>99769.600000000006</v>
      </c>
      <c r="I132" s="74">
        <v>81617</v>
      </c>
      <c r="J132" s="74">
        <v>6707</v>
      </c>
      <c r="K132" s="72">
        <v>4913060</v>
      </c>
      <c r="L132" s="72">
        <v>1189014.98</v>
      </c>
    </row>
    <row r="133" spans="1:12" ht="15" thickBot="1" x14ac:dyDescent="0.35">
      <c r="A133" s="75" t="s">
        <v>155</v>
      </c>
      <c r="B133" s="75" t="s">
        <v>278</v>
      </c>
      <c r="C133" s="213" t="str">
        <f t="shared" si="2"/>
        <v>LGE453</v>
      </c>
      <c r="D133" s="75" t="s">
        <v>277</v>
      </c>
      <c r="E133" s="81">
        <v>10421</v>
      </c>
      <c r="F133" s="81">
        <v>3862</v>
      </c>
      <c r="G133" s="79">
        <v>869031</v>
      </c>
      <c r="H133" s="79">
        <v>175595.37</v>
      </c>
      <c r="I133" s="74">
        <v>121224</v>
      </c>
      <c r="J133" s="74">
        <v>44154</v>
      </c>
      <c r="K133" s="72">
        <v>11899268</v>
      </c>
      <c r="L133" s="72">
        <v>2056775.6</v>
      </c>
    </row>
    <row r="134" spans="1:12" ht="15" thickBot="1" x14ac:dyDescent="0.35">
      <c r="A134" s="75" t="s">
        <v>155</v>
      </c>
      <c r="B134" s="75" t="s">
        <v>276</v>
      </c>
      <c r="C134" s="213" t="str">
        <f t="shared" si="2"/>
        <v>LGE454</v>
      </c>
      <c r="D134" s="75" t="s">
        <v>275</v>
      </c>
      <c r="E134" s="81">
        <v>5516</v>
      </c>
      <c r="F134" s="81">
        <v>204</v>
      </c>
      <c r="G134" s="79">
        <v>724364</v>
      </c>
      <c r="H134" s="79">
        <v>110487.66</v>
      </c>
      <c r="I134" s="74">
        <v>66934</v>
      </c>
      <c r="J134" s="74">
        <v>13865</v>
      </c>
      <c r="K134" s="72">
        <v>10642511</v>
      </c>
      <c r="L134" s="72">
        <v>1375695.95</v>
      </c>
    </row>
    <row r="135" spans="1:12" ht="15" thickBot="1" x14ac:dyDescent="0.35">
      <c r="A135" s="75" t="s">
        <v>155</v>
      </c>
      <c r="B135" s="75" t="s">
        <v>274</v>
      </c>
      <c r="C135" s="213" t="str">
        <f t="shared" si="2"/>
        <v>LGE455</v>
      </c>
      <c r="D135" s="75" t="s">
        <v>273</v>
      </c>
      <c r="E135" s="81">
        <v>402</v>
      </c>
      <c r="F135" s="80"/>
      <c r="G135" s="79">
        <v>20237</v>
      </c>
      <c r="H135" s="79">
        <v>6590.94</v>
      </c>
      <c r="I135" s="74">
        <v>4910</v>
      </c>
      <c r="J135" s="74">
        <v>4</v>
      </c>
      <c r="K135" s="72">
        <v>293563</v>
      </c>
      <c r="L135" s="72">
        <v>80151.45</v>
      </c>
    </row>
    <row r="136" spans="1:12" ht="15" thickBot="1" x14ac:dyDescent="0.35">
      <c r="A136" s="75" t="s">
        <v>155</v>
      </c>
      <c r="B136" s="75" t="s">
        <v>272</v>
      </c>
      <c r="C136" s="213" t="str">
        <f t="shared" si="2"/>
        <v>LGE456</v>
      </c>
      <c r="D136" s="75" t="s">
        <v>271</v>
      </c>
      <c r="E136" s="78">
        <v>12896</v>
      </c>
      <c r="F136" s="78">
        <v>3</v>
      </c>
      <c r="G136" s="76">
        <v>1678557</v>
      </c>
      <c r="H136" s="76">
        <v>275119.11</v>
      </c>
      <c r="I136" s="74">
        <v>156721</v>
      </c>
      <c r="J136" s="74">
        <v>250</v>
      </c>
      <c r="K136" s="72">
        <v>24462829</v>
      </c>
      <c r="L136" s="72">
        <v>3369469.59</v>
      </c>
    </row>
    <row r="137" spans="1:12" ht="15" thickBot="1" x14ac:dyDescent="0.35">
      <c r="A137" s="75" t="s">
        <v>155</v>
      </c>
      <c r="B137" s="75" t="s">
        <v>270</v>
      </c>
      <c r="C137" s="213" t="str">
        <f t="shared" si="2"/>
        <v>LGE457</v>
      </c>
      <c r="D137" s="75" t="s">
        <v>269</v>
      </c>
      <c r="E137" s="78">
        <v>3607</v>
      </c>
      <c r="F137" s="78">
        <v>27</v>
      </c>
      <c r="G137" s="76">
        <v>116757</v>
      </c>
      <c r="H137" s="76">
        <v>46964.45</v>
      </c>
      <c r="I137" s="74">
        <v>42915</v>
      </c>
      <c r="J137" s="74">
        <v>554</v>
      </c>
      <c r="K137" s="72">
        <v>1650518</v>
      </c>
      <c r="L137" s="72">
        <v>548966.65</v>
      </c>
    </row>
    <row r="138" spans="1:12" ht="15" thickBot="1" x14ac:dyDescent="0.35">
      <c r="A138" s="75" t="s">
        <v>155</v>
      </c>
      <c r="B138" s="75" t="s">
        <v>268</v>
      </c>
      <c r="C138" s="213" t="str">
        <f t="shared" si="2"/>
        <v>LGE458</v>
      </c>
      <c r="D138" s="75" t="s">
        <v>267</v>
      </c>
      <c r="E138" s="80"/>
      <c r="F138" s="80"/>
      <c r="G138" s="80"/>
      <c r="H138" s="80"/>
      <c r="I138" s="74">
        <v>5</v>
      </c>
      <c r="J138" s="73"/>
      <c r="K138" s="72">
        <v>102</v>
      </c>
      <c r="L138" s="72">
        <v>23.54</v>
      </c>
    </row>
    <row r="139" spans="1:12" ht="15" thickBot="1" x14ac:dyDescent="0.35">
      <c r="A139" s="75" t="s">
        <v>155</v>
      </c>
      <c r="B139" s="75" t="s">
        <v>266</v>
      </c>
      <c r="C139" s="213" t="str">
        <f t="shared" si="2"/>
        <v>LGE470</v>
      </c>
      <c r="D139" s="75" t="s">
        <v>265</v>
      </c>
      <c r="E139" s="78">
        <v>42</v>
      </c>
      <c r="F139" s="77"/>
      <c r="G139" s="76">
        <v>1740</v>
      </c>
      <c r="H139" s="76">
        <v>623.04999999999995</v>
      </c>
      <c r="I139" s="74">
        <v>458</v>
      </c>
      <c r="J139" s="73"/>
      <c r="K139" s="72">
        <v>22674</v>
      </c>
      <c r="L139" s="72">
        <v>6741.7300000000005</v>
      </c>
    </row>
    <row r="140" spans="1:12" ht="15" thickBot="1" x14ac:dyDescent="0.35">
      <c r="A140" s="75" t="s">
        <v>155</v>
      </c>
      <c r="B140" s="75" t="s">
        <v>264</v>
      </c>
      <c r="C140" s="213" t="str">
        <f t="shared" si="2"/>
        <v>LGE471</v>
      </c>
      <c r="D140" s="75" t="s">
        <v>263</v>
      </c>
      <c r="E140" s="81">
        <v>8</v>
      </c>
      <c r="F140" s="80"/>
      <c r="G140" s="79">
        <v>345</v>
      </c>
      <c r="H140" s="79">
        <v>135.84</v>
      </c>
      <c r="I140" s="74">
        <v>96</v>
      </c>
      <c r="J140" s="73"/>
      <c r="K140" s="72">
        <v>4795</v>
      </c>
      <c r="L140" s="72">
        <v>1634.52</v>
      </c>
    </row>
    <row r="141" spans="1:12" ht="15" thickBot="1" x14ac:dyDescent="0.35">
      <c r="A141" s="75" t="s">
        <v>155</v>
      </c>
      <c r="B141" s="75" t="s">
        <v>262</v>
      </c>
      <c r="C141" s="213" t="str">
        <f t="shared" ref="C141:C150" si="3">CONCATENATE("LGE",RIGHT(B141,3))</f>
        <v>LGE473</v>
      </c>
      <c r="D141" s="75" t="s">
        <v>261</v>
      </c>
      <c r="E141" s="78">
        <v>749</v>
      </c>
      <c r="F141" s="78">
        <v>8</v>
      </c>
      <c r="G141" s="76">
        <v>71807</v>
      </c>
      <c r="H141" s="76">
        <v>16052.19</v>
      </c>
      <c r="I141" s="74">
        <v>8087</v>
      </c>
      <c r="J141" s="74">
        <v>55</v>
      </c>
      <c r="K141" s="72">
        <v>936526</v>
      </c>
      <c r="L141" s="72">
        <v>176412.97999999998</v>
      </c>
    </row>
    <row r="142" spans="1:12" ht="15" thickBot="1" x14ac:dyDescent="0.35">
      <c r="A142" s="75" t="s">
        <v>155</v>
      </c>
      <c r="B142" s="75" t="s">
        <v>260</v>
      </c>
      <c r="C142" s="213" t="str">
        <f t="shared" si="3"/>
        <v>LGE474</v>
      </c>
      <c r="D142" s="75" t="s">
        <v>259</v>
      </c>
      <c r="E142" s="81">
        <v>47</v>
      </c>
      <c r="F142" s="80"/>
      <c r="G142" s="79">
        <v>4451</v>
      </c>
      <c r="H142" s="79">
        <v>1167.49</v>
      </c>
      <c r="I142" s="74">
        <v>587</v>
      </c>
      <c r="J142" s="73"/>
      <c r="K142" s="72">
        <v>67121</v>
      </c>
      <c r="L142" s="72">
        <v>14547.889999999998</v>
      </c>
    </row>
    <row r="143" spans="1:12" ht="15" thickBot="1" x14ac:dyDescent="0.35">
      <c r="A143" s="75" t="s">
        <v>155</v>
      </c>
      <c r="B143" s="75" t="s">
        <v>258</v>
      </c>
      <c r="C143" s="213" t="str">
        <f t="shared" si="3"/>
        <v>LGE475</v>
      </c>
      <c r="D143" s="75" t="s">
        <v>257</v>
      </c>
      <c r="E143" s="78">
        <v>2</v>
      </c>
      <c r="F143" s="77"/>
      <c r="G143" s="76">
        <v>187</v>
      </c>
      <c r="H143" s="76">
        <v>64.98</v>
      </c>
      <c r="I143" s="74">
        <v>24</v>
      </c>
      <c r="J143" s="73"/>
      <c r="K143" s="72">
        <v>2795</v>
      </c>
      <c r="L143" s="72">
        <v>792.95</v>
      </c>
    </row>
    <row r="144" spans="1:12" ht="15" thickBot="1" x14ac:dyDescent="0.35">
      <c r="A144" s="75" t="s">
        <v>155</v>
      </c>
      <c r="B144" s="75" t="s">
        <v>256</v>
      </c>
      <c r="C144" s="213" t="str">
        <f t="shared" si="3"/>
        <v>LGE476</v>
      </c>
      <c r="D144" s="75" t="s">
        <v>255</v>
      </c>
      <c r="E144" s="81">
        <v>611</v>
      </c>
      <c r="F144" s="81">
        <v>3</v>
      </c>
      <c r="G144" s="79">
        <v>179937</v>
      </c>
      <c r="H144" s="79">
        <v>27776.36</v>
      </c>
      <c r="I144" s="74">
        <v>6711</v>
      </c>
      <c r="J144" s="74">
        <v>98</v>
      </c>
      <c r="K144" s="72">
        <v>2407510</v>
      </c>
      <c r="L144" s="72">
        <v>310484.63999999996</v>
      </c>
    </row>
    <row r="145" spans="1:12" ht="15" thickBot="1" x14ac:dyDescent="0.35">
      <c r="A145" s="75" t="s">
        <v>155</v>
      </c>
      <c r="B145" s="75" t="s">
        <v>254</v>
      </c>
      <c r="C145" s="213" t="str">
        <f t="shared" si="3"/>
        <v>LGE477</v>
      </c>
      <c r="D145" s="75" t="s">
        <v>253</v>
      </c>
      <c r="E145" s="78">
        <v>58</v>
      </c>
      <c r="F145" s="77"/>
      <c r="G145" s="76">
        <v>17289</v>
      </c>
      <c r="H145" s="76">
        <v>2870.11</v>
      </c>
      <c r="I145" s="74">
        <v>731</v>
      </c>
      <c r="J145" s="73"/>
      <c r="K145" s="72">
        <v>262216</v>
      </c>
      <c r="L145" s="72">
        <v>36560.19</v>
      </c>
    </row>
    <row r="146" spans="1:12" ht="15" thickBot="1" x14ac:dyDescent="0.35">
      <c r="A146" s="75" t="s">
        <v>155</v>
      </c>
      <c r="B146" s="75" t="s">
        <v>252</v>
      </c>
      <c r="C146" s="213" t="str">
        <f t="shared" si="3"/>
        <v>LGE480</v>
      </c>
      <c r="D146" s="75" t="s">
        <v>251</v>
      </c>
      <c r="E146" s="81">
        <v>20</v>
      </c>
      <c r="F146" s="80"/>
      <c r="G146" s="79">
        <v>790</v>
      </c>
      <c r="H146" s="79">
        <v>519.57000000000005</v>
      </c>
      <c r="I146" s="74">
        <v>240</v>
      </c>
      <c r="J146" s="73"/>
      <c r="K146" s="72">
        <v>11979</v>
      </c>
      <c r="L146" s="72">
        <v>6323.63</v>
      </c>
    </row>
    <row r="147" spans="1:12" ht="15" thickBot="1" x14ac:dyDescent="0.35">
      <c r="A147" s="75" t="s">
        <v>155</v>
      </c>
      <c r="B147" s="75" t="s">
        <v>250</v>
      </c>
      <c r="C147" s="213" t="str">
        <f t="shared" si="3"/>
        <v>LGE481</v>
      </c>
      <c r="D147" s="75" t="s">
        <v>249</v>
      </c>
      <c r="E147" s="78">
        <v>6</v>
      </c>
      <c r="F147" s="78">
        <v>2</v>
      </c>
      <c r="G147" s="76">
        <v>771</v>
      </c>
      <c r="H147" s="76">
        <v>186.5</v>
      </c>
      <c r="I147" s="74">
        <v>72</v>
      </c>
      <c r="J147" s="74">
        <v>2</v>
      </c>
      <c r="K147" s="72">
        <v>8581</v>
      </c>
      <c r="L147" s="72">
        <v>1796.62</v>
      </c>
    </row>
    <row r="148" spans="1:12" ht="15" thickBot="1" x14ac:dyDescent="0.35">
      <c r="A148" s="75" t="s">
        <v>155</v>
      </c>
      <c r="B148" s="75" t="s">
        <v>248</v>
      </c>
      <c r="C148" s="213" t="str">
        <f t="shared" si="3"/>
        <v>LGE482</v>
      </c>
      <c r="D148" s="75" t="s">
        <v>247</v>
      </c>
      <c r="E148" s="81">
        <v>98</v>
      </c>
      <c r="F148" s="81">
        <v>11</v>
      </c>
      <c r="G148" s="79">
        <v>10525</v>
      </c>
      <c r="H148" s="79">
        <v>3718.57</v>
      </c>
      <c r="I148" s="74">
        <v>1134</v>
      </c>
      <c r="J148" s="74">
        <v>13</v>
      </c>
      <c r="K148" s="72">
        <v>132997</v>
      </c>
      <c r="L148" s="72">
        <v>40171.949999999997</v>
      </c>
    </row>
    <row r="149" spans="1:12" ht="15" thickBot="1" x14ac:dyDescent="0.35">
      <c r="A149" s="75" t="s">
        <v>155</v>
      </c>
      <c r="B149" s="75" t="s">
        <v>246</v>
      </c>
      <c r="C149" s="213" t="str">
        <f t="shared" si="3"/>
        <v>LGE483</v>
      </c>
      <c r="D149" s="75" t="s">
        <v>245</v>
      </c>
      <c r="E149" s="78">
        <v>5</v>
      </c>
      <c r="F149" s="78">
        <v>2</v>
      </c>
      <c r="G149" s="76">
        <v>2064</v>
      </c>
      <c r="H149" s="76">
        <v>330.12</v>
      </c>
      <c r="I149" s="74">
        <v>56</v>
      </c>
      <c r="J149" s="74">
        <v>2</v>
      </c>
      <c r="K149" s="72">
        <v>20621</v>
      </c>
      <c r="L149" s="72">
        <v>2861.94</v>
      </c>
    </row>
    <row r="150" spans="1:12" ht="15" thickBot="1" x14ac:dyDescent="0.35">
      <c r="A150" s="75" t="s">
        <v>155</v>
      </c>
      <c r="B150" s="75" t="s">
        <v>244</v>
      </c>
      <c r="C150" s="213" t="str">
        <f t="shared" si="3"/>
        <v>LGE484</v>
      </c>
      <c r="D150" s="75" t="s">
        <v>243</v>
      </c>
      <c r="E150" s="81">
        <v>65</v>
      </c>
      <c r="F150" s="81">
        <v>2</v>
      </c>
      <c r="G150" s="79">
        <v>20175</v>
      </c>
      <c r="H150" s="79">
        <v>3968.08</v>
      </c>
      <c r="I150" s="74">
        <v>590</v>
      </c>
      <c r="J150" s="74">
        <v>2</v>
      </c>
      <c r="K150" s="72">
        <v>210946</v>
      </c>
      <c r="L150" s="72">
        <v>36005.26</v>
      </c>
    </row>
    <row r="151" spans="1:12" ht="15" thickBot="1" x14ac:dyDescent="0.35">
      <c r="A151" s="75" t="s">
        <v>153</v>
      </c>
      <c r="B151" s="75" t="s">
        <v>242</v>
      </c>
      <c r="C151" s="213" t="s">
        <v>832</v>
      </c>
      <c r="D151" s="75" t="s">
        <v>241</v>
      </c>
      <c r="E151" s="81">
        <v>1503</v>
      </c>
      <c r="F151" s="80"/>
      <c r="G151" s="79">
        <v>85852</v>
      </c>
      <c r="H151" s="79">
        <v>19262.580000000002</v>
      </c>
      <c r="I151" s="74">
        <v>18653</v>
      </c>
      <c r="J151" s="74">
        <v>16</v>
      </c>
      <c r="K151" s="72">
        <v>1276798</v>
      </c>
      <c r="L151" s="72">
        <v>240635.76</v>
      </c>
    </row>
    <row r="152" spans="1:12" ht="15" thickBot="1" x14ac:dyDescent="0.35">
      <c r="A152" s="75" t="s">
        <v>153</v>
      </c>
      <c r="B152" s="75" t="s">
        <v>240</v>
      </c>
      <c r="C152" s="213" t="s">
        <v>832</v>
      </c>
      <c r="D152" s="75" t="s">
        <v>239</v>
      </c>
      <c r="E152" s="78">
        <v>203</v>
      </c>
      <c r="F152" s="77"/>
      <c r="G152" s="76">
        <v>11719</v>
      </c>
      <c r="H152" s="76">
        <v>2629.43</v>
      </c>
      <c r="I152" s="74">
        <v>2567</v>
      </c>
      <c r="J152" s="74">
        <v>8</v>
      </c>
      <c r="K152" s="72">
        <v>175574</v>
      </c>
      <c r="L152" s="72">
        <v>33152.469999999994</v>
      </c>
    </row>
    <row r="153" spans="1:12" ht="15" thickBot="1" x14ac:dyDescent="0.35">
      <c r="A153" s="75" t="s">
        <v>153</v>
      </c>
      <c r="B153" s="75" t="s">
        <v>238</v>
      </c>
      <c r="C153" s="213" t="s">
        <v>832</v>
      </c>
      <c r="D153" s="75" t="s">
        <v>237</v>
      </c>
      <c r="E153" s="78">
        <v>1</v>
      </c>
      <c r="F153" s="77"/>
      <c r="G153" s="76">
        <v>60</v>
      </c>
      <c r="H153" s="76">
        <v>12.97</v>
      </c>
      <c r="I153" s="74">
        <v>36</v>
      </c>
      <c r="J153" s="73"/>
      <c r="K153" s="72">
        <v>2426</v>
      </c>
      <c r="L153" s="72">
        <v>454.11</v>
      </c>
    </row>
    <row r="154" spans="1:12" ht="15" thickBot="1" x14ac:dyDescent="0.35">
      <c r="A154" s="75" t="s">
        <v>153</v>
      </c>
      <c r="B154" s="75" t="s">
        <v>236</v>
      </c>
      <c r="C154" s="213" t="s">
        <v>832</v>
      </c>
      <c r="D154" s="75" t="s">
        <v>235</v>
      </c>
      <c r="E154" s="81">
        <v>107</v>
      </c>
      <c r="F154" s="80"/>
      <c r="G154" s="79">
        <v>6151</v>
      </c>
      <c r="H154" s="79">
        <v>1372.13</v>
      </c>
      <c r="I154" s="74">
        <v>1347</v>
      </c>
      <c r="J154" s="74">
        <v>8</v>
      </c>
      <c r="K154" s="72">
        <v>92611</v>
      </c>
      <c r="L154" s="72">
        <v>17289.570000000003</v>
      </c>
    </row>
    <row r="155" spans="1:12" ht="15" thickBot="1" x14ac:dyDescent="0.35">
      <c r="A155" s="75" t="s">
        <v>153</v>
      </c>
      <c r="B155" s="75" t="s">
        <v>234</v>
      </c>
      <c r="C155" s="213" t="s">
        <v>832</v>
      </c>
      <c r="D155" s="75" t="s">
        <v>233</v>
      </c>
      <c r="E155" s="78">
        <v>1</v>
      </c>
      <c r="F155" s="77"/>
      <c r="G155" s="76">
        <v>59</v>
      </c>
      <c r="H155" s="76">
        <v>12.95</v>
      </c>
      <c r="I155" s="74">
        <v>12</v>
      </c>
      <c r="J155" s="73"/>
      <c r="K155" s="72">
        <v>831</v>
      </c>
      <c r="L155" s="72">
        <v>156.04999999999998</v>
      </c>
    </row>
    <row r="156" spans="1:12" ht="15" thickBot="1" x14ac:dyDescent="0.35">
      <c r="A156" s="75" t="s">
        <v>153</v>
      </c>
      <c r="B156" s="75" t="s">
        <v>232</v>
      </c>
      <c r="C156" s="213" t="s">
        <v>833</v>
      </c>
      <c r="D156" s="75" t="s">
        <v>231</v>
      </c>
      <c r="E156" s="81">
        <v>1</v>
      </c>
      <c r="F156" s="80"/>
      <c r="G156" s="79">
        <v>136</v>
      </c>
      <c r="H156" s="79">
        <v>38.5</v>
      </c>
      <c r="I156" s="74">
        <v>12</v>
      </c>
      <c r="J156" s="73"/>
      <c r="K156" s="72">
        <v>1889</v>
      </c>
      <c r="L156" s="72">
        <v>457.60999999999996</v>
      </c>
    </row>
    <row r="157" spans="1:12" ht="15" thickBot="1" x14ac:dyDescent="0.35">
      <c r="A157" s="75" t="s">
        <v>153</v>
      </c>
      <c r="B157" s="75" t="s">
        <v>230</v>
      </c>
      <c r="C157" s="213" t="s">
        <v>833</v>
      </c>
      <c r="D157" s="75" t="s">
        <v>229</v>
      </c>
      <c r="E157" s="78">
        <v>1</v>
      </c>
      <c r="F157" s="77"/>
      <c r="G157" s="76">
        <v>129</v>
      </c>
      <c r="H157" s="76">
        <v>38.130000000000003</v>
      </c>
      <c r="I157" s="74">
        <v>12</v>
      </c>
      <c r="J157" s="73"/>
      <c r="K157" s="72">
        <v>1876</v>
      </c>
      <c r="L157" s="72">
        <v>453.04</v>
      </c>
    </row>
    <row r="158" spans="1:12" ht="15" thickBot="1" x14ac:dyDescent="0.35">
      <c r="A158" s="75" t="s">
        <v>153</v>
      </c>
      <c r="B158" s="75" t="s">
        <v>228</v>
      </c>
      <c r="C158" s="213" t="s">
        <v>834</v>
      </c>
      <c r="D158" s="75" t="s">
        <v>227</v>
      </c>
      <c r="E158" s="81">
        <v>3071</v>
      </c>
      <c r="F158" s="81">
        <v>11</v>
      </c>
      <c r="G158" s="79">
        <v>99307</v>
      </c>
      <c r="H158" s="79">
        <v>39130.639999999999</v>
      </c>
      <c r="I158" s="74">
        <v>35854</v>
      </c>
      <c r="J158" s="74">
        <v>121</v>
      </c>
      <c r="K158" s="72">
        <v>1389226</v>
      </c>
      <c r="L158" s="72">
        <v>449906.65</v>
      </c>
    </row>
    <row r="159" spans="1:12" ht="15" thickBot="1" x14ac:dyDescent="0.35">
      <c r="A159" s="75" t="s">
        <v>153</v>
      </c>
      <c r="B159" s="75" t="s">
        <v>226</v>
      </c>
      <c r="C159" s="213" t="s">
        <v>834</v>
      </c>
      <c r="D159" s="75" t="s">
        <v>225</v>
      </c>
      <c r="E159" s="78">
        <v>177</v>
      </c>
      <c r="F159" s="77"/>
      <c r="G159" s="76">
        <v>5778</v>
      </c>
      <c r="H159" s="76">
        <v>2267.73</v>
      </c>
      <c r="I159" s="74">
        <v>2092</v>
      </c>
      <c r="J159" s="74">
        <v>10</v>
      </c>
      <c r="K159" s="72">
        <v>81361</v>
      </c>
      <c r="L159" s="72">
        <v>26336.220000000005</v>
      </c>
    </row>
    <row r="160" spans="1:12" ht="15" thickBot="1" x14ac:dyDescent="0.35">
      <c r="A160" s="75" t="s">
        <v>153</v>
      </c>
      <c r="B160" s="75" t="s">
        <v>224</v>
      </c>
      <c r="C160" s="213" t="s">
        <v>834</v>
      </c>
      <c r="D160" s="75" t="s">
        <v>223</v>
      </c>
      <c r="E160" s="78">
        <v>5</v>
      </c>
      <c r="F160" s="77"/>
      <c r="G160" s="76">
        <v>164</v>
      </c>
      <c r="H160" s="76">
        <v>63.99</v>
      </c>
      <c r="I160" s="74">
        <v>33</v>
      </c>
      <c r="J160" s="73"/>
      <c r="K160" s="72">
        <v>1250</v>
      </c>
      <c r="L160" s="72">
        <v>417.58</v>
      </c>
    </row>
    <row r="161" spans="1:12" ht="15" thickBot="1" x14ac:dyDescent="0.35">
      <c r="A161" s="75" t="s">
        <v>153</v>
      </c>
      <c r="B161" s="75" t="s">
        <v>222</v>
      </c>
      <c r="C161" s="213" t="s">
        <v>834</v>
      </c>
      <c r="D161" s="75" t="s">
        <v>221</v>
      </c>
      <c r="E161" s="81">
        <v>95</v>
      </c>
      <c r="F161" s="80"/>
      <c r="G161" s="79">
        <v>3136</v>
      </c>
      <c r="H161" s="79">
        <v>1211.67</v>
      </c>
      <c r="I161" s="74">
        <v>1117</v>
      </c>
      <c r="J161" s="74">
        <v>6</v>
      </c>
      <c r="K161" s="72">
        <v>43916</v>
      </c>
      <c r="L161" s="72">
        <v>13992.29</v>
      </c>
    </row>
    <row r="162" spans="1:12" ht="15" thickBot="1" x14ac:dyDescent="0.35">
      <c r="A162" s="75" t="s">
        <v>153</v>
      </c>
      <c r="B162" s="75" t="s">
        <v>220</v>
      </c>
      <c r="C162" s="213" t="s">
        <v>834</v>
      </c>
      <c r="D162" s="75" t="s">
        <v>219</v>
      </c>
      <c r="E162" s="78">
        <v>4</v>
      </c>
      <c r="F162" s="77"/>
      <c r="G162" s="76">
        <v>131</v>
      </c>
      <c r="H162" s="76">
        <v>51.19</v>
      </c>
      <c r="I162" s="74">
        <v>48</v>
      </c>
      <c r="J162" s="73"/>
      <c r="K162" s="72">
        <v>1871</v>
      </c>
      <c r="L162" s="72">
        <v>603.25</v>
      </c>
    </row>
    <row r="163" spans="1:12" ht="15" thickBot="1" x14ac:dyDescent="0.35">
      <c r="A163" s="75" t="s">
        <v>153</v>
      </c>
      <c r="B163" s="75" t="s">
        <v>218</v>
      </c>
      <c r="C163" s="213" t="s">
        <v>836</v>
      </c>
      <c r="D163" s="75" t="s">
        <v>217</v>
      </c>
      <c r="E163" s="81">
        <v>4</v>
      </c>
      <c r="F163" s="80"/>
      <c r="G163" s="79">
        <v>262</v>
      </c>
      <c r="H163" s="79">
        <v>91.63</v>
      </c>
      <c r="I163" s="74">
        <v>48</v>
      </c>
      <c r="J163" s="73"/>
      <c r="K163" s="72">
        <v>3866</v>
      </c>
      <c r="L163" s="72">
        <v>1085.95</v>
      </c>
    </row>
    <row r="164" spans="1:12" ht="15" thickBot="1" x14ac:dyDescent="0.35">
      <c r="A164" s="75" t="s">
        <v>153</v>
      </c>
      <c r="B164" s="75" t="s">
        <v>216</v>
      </c>
      <c r="C164" s="213" t="s">
        <v>836</v>
      </c>
      <c r="D164" s="75" t="s">
        <v>215</v>
      </c>
      <c r="E164" s="78">
        <v>9</v>
      </c>
      <c r="F164" s="77"/>
      <c r="G164" s="76">
        <v>619</v>
      </c>
      <c r="H164" s="76">
        <v>206.88</v>
      </c>
      <c r="I164" s="74">
        <v>108</v>
      </c>
      <c r="J164" s="73"/>
      <c r="K164" s="72">
        <v>8739</v>
      </c>
      <c r="L164" s="72">
        <v>2449.16</v>
      </c>
    </row>
    <row r="165" spans="1:12" ht="15" thickBot="1" x14ac:dyDescent="0.35">
      <c r="A165" s="75" t="s">
        <v>153</v>
      </c>
      <c r="B165" s="75" t="s">
        <v>214</v>
      </c>
      <c r="C165" s="213" t="s">
        <v>836</v>
      </c>
      <c r="D165" s="75" t="s">
        <v>213</v>
      </c>
      <c r="E165" s="81">
        <v>1</v>
      </c>
      <c r="F165" s="80"/>
      <c r="G165" s="79">
        <v>66</v>
      </c>
      <c r="H165" s="79">
        <v>22.92</v>
      </c>
      <c r="I165" s="74">
        <v>3</v>
      </c>
      <c r="J165" s="73"/>
      <c r="K165" s="72">
        <v>214</v>
      </c>
      <c r="L165" s="72">
        <v>69.37</v>
      </c>
    </row>
    <row r="166" spans="1:12" ht="15" thickBot="1" x14ac:dyDescent="0.35">
      <c r="A166" s="75" t="s">
        <v>153</v>
      </c>
      <c r="B166" s="75" t="s">
        <v>212</v>
      </c>
      <c r="C166" s="213" t="s">
        <v>836</v>
      </c>
      <c r="D166" s="75" t="s">
        <v>211</v>
      </c>
      <c r="E166" s="78">
        <v>5</v>
      </c>
      <c r="F166" s="77"/>
      <c r="G166" s="76">
        <v>341</v>
      </c>
      <c r="H166" s="76">
        <v>114.35</v>
      </c>
      <c r="I166" s="74">
        <v>60</v>
      </c>
      <c r="J166" s="73"/>
      <c r="K166" s="72">
        <v>4818</v>
      </c>
      <c r="L166" s="72">
        <v>1352.5799999999997</v>
      </c>
    </row>
    <row r="167" spans="1:12" ht="15" thickBot="1" x14ac:dyDescent="0.35">
      <c r="A167" s="75" t="s">
        <v>153</v>
      </c>
      <c r="B167" s="75" t="s">
        <v>210</v>
      </c>
      <c r="C167" s="213" t="s">
        <v>837</v>
      </c>
      <c r="D167" s="75" t="s">
        <v>209</v>
      </c>
      <c r="E167" s="81">
        <v>43</v>
      </c>
      <c r="F167" s="80"/>
      <c r="G167" s="79">
        <v>2427</v>
      </c>
      <c r="H167" s="79">
        <v>445.05</v>
      </c>
      <c r="I167" s="74">
        <v>516</v>
      </c>
      <c r="J167" s="73"/>
      <c r="K167" s="72">
        <v>35529</v>
      </c>
      <c r="L167" s="72">
        <v>5034.87</v>
      </c>
    </row>
    <row r="168" spans="1:12" ht="15" thickBot="1" x14ac:dyDescent="0.35">
      <c r="A168" s="75" t="s">
        <v>153</v>
      </c>
      <c r="B168" s="75" t="s">
        <v>208</v>
      </c>
      <c r="C168" s="213" t="s">
        <v>838</v>
      </c>
      <c r="D168" s="75" t="s">
        <v>207</v>
      </c>
      <c r="E168" s="78">
        <v>7</v>
      </c>
      <c r="F168" s="77"/>
      <c r="G168" s="76">
        <v>377</v>
      </c>
      <c r="H168" s="76">
        <v>89.95</v>
      </c>
      <c r="I168" s="74">
        <v>84</v>
      </c>
      <c r="J168" s="73"/>
      <c r="K168" s="72">
        <v>5785</v>
      </c>
      <c r="L168" s="72">
        <v>1024.5200000000002</v>
      </c>
    </row>
    <row r="169" spans="1:12" ht="15" thickBot="1" x14ac:dyDescent="0.35">
      <c r="A169" s="75" t="s">
        <v>153</v>
      </c>
      <c r="B169" s="75" t="s">
        <v>206</v>
      </c>
      <c r="C169" s="213" t="s">
        <v>839</v>
      </c>
      <c r="D169" s="75" t="s">
        <v>205</v>
      </c>
      <c r="E169" s="81">
        <v>336</v>
      </c>
      <c r="F169" s="80"/>
      <c r="G169" s="79">
        <v>7630</v>
      </c>
      <c r="H169" s="79">
        <v>3151.68</v>
      </c>
      <c r="I169" s="74">
        <v>4032</v>
      </c>
      <c r="J169" s="73"/>
      <c r="K169" s="72">
        <v>111301</v>
      </c>
      <c r="L169" s="72">
        <v>35642.880000000005</v>
      </c>
    </row>
    <row r="170" spans="1:12" ht="15" thickBot="1" x14ac:dyDescent="0.35">
      <c r="A170" s="75" t="s">
        <v>153</v>
      </c>
      <c r="B170" s="75" t="s">
        <v>204</v>
      </c>
      <c r="C170" s="213" t="s">
        <v>840</v>
      </c>
      <c r="D170" s="75" t="s">
        <v>203</v>
      </c>
      <c r="E170" s="78">
        <v>1973</v>
      </c>
      <c r="F170" s="78">
        <v>2</v>
      </c>
      <c r="G170" s="76">
        <v>62844</v>
      </c>
      <c r="H170" s="76">
        <v>19534.02</v>
      </c>
      <c r="I170" s="74">
        <v>23665</v>
      </c>
      <c r="J170" s="74">
        <v>59</v>
      </c>
      <c r="K170" s="72">
        <v>922682</v>
      </c>
      <c r="L170" s="72">
        <v>221975.28</v>
      </c>
    </row>
    <row r="171" spans="1:12" ht="15" thickBot="1" x14ac:dyDescent="0.35">
      <c r="A171" s="75" t="s">
        <v>153</v>
      </c>
      <c r="B171" s="75" t="s">
        <v>202</v>
      </c>
      <c r="C171" s="213" t="s">
        <v>841</v>
      </c>
      <c r="D171" s="75" t="s">
        <v>201</v>
      </c>
      <c r="E171" s="81">
        <v>191</v>
      </c>
      <c r="F171" s="80"/>
      <c r="G171" s="79">
        <v>12813</v>
      </c>
      <c r="H171" s="79">
        <v>2947.13</v>
      </c>
      <c r="I171" s="74">
        <v>2304</v>
      </c>
      <c r="J171" s="74">
        <v>10</v>
      </c>
      <c r="K171" s="72">
        <v>185757</v>
      </c>
      <c r="L171" s="72">
        <v>33654.18</v>
      </c>
    </row>
    <row r="172" spans="1:12" ht="15" thickBot="1" x14ac:dyDescent="0.35">
      <c r="A172" s="75" t="s">
        <v>153</v>
      </c>
      <c r="B172" s="75" t="s">
        <v>200</v>
      </c>
      <c r="C172" s="213" t="s">
        <v>842</v>
      </c>
      <c r="D172" s="75" t="s">
        <v>199</v>
      </c>
      <c r="E172" s="78">
        <v>51</v>
      </c>
      <c r="F172" s="77"/>
      <c r="G172" s="76">
        <v>6804</v>
      </c>
      <c r="H172" s="76">
        <v>1261.23</v>
      </c>
      <c r="I172" s="74">
        <v>612</v>
      </c>
      <c r="J172" s="73"/>
      <c r="K172" s="72">
        <v>98783</v>
      </c>
      <c r="L172" s="72">
        <v>14278.589999999998</v>
      </c>
    </row>
    <row r="173" spans="1:12" ht="15" thickBot="1" x14ac:dyDescent="0.35">
      <c r="A173" s="75" t="s">
        <v>153</v>
      </c>
      <c r="B173" s="75" t="s">
        <v>198</v>
      </c>
      <c r="C173" s="213" t="s">
        <v>843</v>
      </c>
      <c r="D173" s="75" t="s">
        <v>197</v>
      </c>
      <c r="E173" s="81">
        <v>9</v>
      </c>
      <c r="F173" s="80"/>
      <c r="G173" s="79">
        <v>204</v>
      </c>
      <c r="H173" s="79">
        <v>113.04</v>
      </c>
      <c r="I173" s="74">
        <v>108</v>
      </c>
      <c r="J173" s="73"/>
      <c r="K173" s="72">
        <v>2980</v>
      </c>
      <c r="L173" s="72">
        <v>1278.7199999999998</v>
      </c>
    </row>
    <row r="174" spans="1:12" ht="15" thickBot="1" x14ac:dyDescent="0.35">
      <c r="A174" s="75" t="s">
        <v>153</v>
      </c>
      <c r="B174" s="75" t="s">
        <v>196</v>
      </c>
      <c r="C174" s="213" t="s">
        <v>844</v>
      </c>
      <c r="D174" s="75" t="s">
        <v>195</v>
      </c>
      <c r="E174" s="78">
        <v>67</v>
      </c>
      <c r="F174" s="77"/>
      <c r="G174" s="76">
        <v>2206</v>
      </c>
      <c r="H174" s="76">
        <v>892.44</v>
      </c>
      <c r="I174" s="74">
        <v>822</v>
      </c>
      <c r="J174" s="73"/>
      <c r="K174" s="72">
        <v>32076</v>
      </c>
      <c r="L174" s="72">
        <v>10384.980000000001</v>
      </c>
    </row>
    <row r="175" spans="1:12" ht="15" thickBot="1" x14ac:dyDescent="0.35">
      <c r="A175" s="75" t="s">
        <v>153</v>
      </c>
      <c r="B175" s="75" t="s">
        <v>194</v>
      </c>
      <c r="C175" s="213" t="s">
        <v>845</v>
      </c>
      <c r="D175" s="75" t="s">
        <v>193</v>
      </c>
      <c r="E175" s="81">
        <v>225</v>
      </c>
      <c r="F175" s="80"/>
      <c r="G175" s="79">
        <v>14807</v>
      </c>
      <c r="H175" s="79">
        <v>4241.25</v>
      </c>
      <c r="I175" s="74">
        <v>2700</v>
      </c>
      <c r="J175" s="73"/>
      <c r="K175" s="72">
        <v>217636</v>
      </c>
      <c r="L175" s="72">
        <v>48164.76</v>
      </c>
    </row>
    <row r="176" spans="1:12" ht="15" thickBot="1" x14ac:dyDescent="0.35">
      <c r="A176" s="75" t="s">
        <v>153</v>
      </c>
      <c r="B176" s="75" t="s">
        <v>192</v>
      </c>
      <c r="C176" s="213" t="s">
        <v>846</v>
      </c>
      <c r="D176" s="75" t="s">
        <v>191</v>
      </c>
      <c r="E176" s="78">
        <v>9</v>
      </c>
      <c r="F176" s="77"/>
      <c r="G176" s="76">
        <v>1187</v>
      </c>
      <c r="H176" s="76">
        <v>238.41</v>
      </c>
      <c r="I176" s="74">
        <v>108</v>
      </c>
      <c r="J176" s="73"/>
      <c r="K176" s="72">
        <v>17419</v>
      </c>
      <c r="L176" s="72">
        <v>2698.5199999999991</v>
      </c>
    </row>
    <row r="177" spans="1:12" ht="15" thickBot="1" x14ac:dyDescent="0.35">
      <c r="A177" s="75" t="s">
        <v>153</v>
      </c>
      <c r="B177" s="75" t="s">
        <v>190</v>
      </c>
      <c r="C177" s="213" t="s">
        <v>847</v>
      </c>
      <c r="D177" s="75" t="s">
        <v>189</v>
      </c>
      <c r="E177" s="81">
        <v>169</v>
      </c>
      <c r="F177" s="80"/>
      <c r="G177" s="79">
        <v>5542</v>
      </c>
      <c r="H177" s="79">
        <v>2991.16</v>
      </c>
      <c r="I177" s="74">
        <v>2076</v>
      </c>
      <c r="J177" s="74">
        <v>2</v>
      </c>
      <c r="K177" s="72">
        <v>80843</v>
      </c>
      <c r="L177" s="72">
        <v>35670.97</v>
      </c>
    </row>
    <row r="178" spans="1:12" ht="15" thickBot="1" x14ac:dyDescent="0.35">
      <c r="A178" s="75" t="s">
        <v>153</v>
      </c>
      <c r="B178" s="75" t="s">
        <v>188</v>
      </c>
      <c r="C178" s="213" t="s">
        <v>847</v>
      </c>
      <c r="D178" s="75" t="s">
        <v>187</v>
      </c>
      <c r="E178" s="78">
        <v>30</v>
      </c>
      <c r="F178" s="77"/>
      <c r="G178" s="76">
        <v>995</v>
      </c>
      <c r="H178" s="76">
        <v>530.72</v>
      </c>
      <c r="I178" s="74">
        <v>356</v>
      </c>
      <c r="J178" s="74">
        <v>1</v>
      </c>
      <c r="K178" s="72">
        <v>13879</v>
      </c>
      <c r="L178" s="72">
        <v>6137.6800000000012</v>
      </c>
    </row>
    <row r="179" spans="1:12" ht="15" thickBot="1" x14ac:dyDescent="0.35">
      <c r="A179" s="75" t="s">
        <v>153</v>
      </c>
      <c r="B179" s="75" t="s">
        <v>186</v>
      </c>
      <c r="C179" s="213" t="s">
        <v>847</v>
      </c>
      <c r="D179" s="75" t="s">
        <v>185</v>
      </c>
      <c r="E179" s="78">
        <v>38</v>
      </c>
      <c r="F179" s="77"/>
      <c r="G179" s="76">
        <v>1231</v>
      </c>
      <c r="H179" s="76">
        <v>669.2</v>
      </c>
      <c r="I179" s="74">
        <v>446</v>
      </c>
      <c r="J179" s="73"/>
      <c r="K179" s="72">
        <v>17334</v>
      </c>
      <c r="L179" s="72">
        <v>7645.8700000000008</v>
      </c>
    </row>
    <row r="180" spans="1:12" ht="15" thickBot="1" x14ac:dyDescent="0.35">
      <c r="A180" s="75" t="s">
        <v>153</v>
      </c>
      <c r="B180" s="75" t="s">
        <v>184</v>
      </c>
      <c r="C180" s="213" t="s">
        <v>848</v>
      </c>
      <c r="D180" s="75" t="s">
        <v>183</v>
      </c>
      <c r="E180" s="81">
        <v>171</v>
      </c>
      <c r="F180" s="81">
        <v>0</v>
      </c>
      <c r="G180" s="79">
        <v>11490</v>
      </c>
      <c r="H180" s="79">
        <v>4236.76</v>
      </c>
      <c r="I180" s="74">
        <v>1975</v>
      </c>
      <c r="J180" s="74">
        <v>7</v>
      </c>
      <c r="K180" s="72">
        <v>158102</v>
      </c>
      <c r="L180" s="72">
        <v>48258.9</v>
      </c>
    </row>
    <row r="181" spans="1:12" ht="15" thickBot="1" x14ac:dyDescent="0.35">
      <c r="A181" s="75" t="s">
        <v>153</v>
      </c>
      <c r="B181" s="75" t="s">
        <v>182</v>
      </c>
      <c r="C181" s="213" t="s">
        <v>848</v>
      </c>
      <c r="D181" s="75" t="s">
        <v>181</v>
      </c>
      <c r="E181" s="78">
        <v>151</v>
      </c>
      <c r="F181" s="77"/>
      <c r="G181" s="76">
        <v>10082</v>
      </c>
      <c r="H181" s="76">
        <v>3714.35</v>
      </c>
      <c r="I181" s="74">
        <v>1801</v>
      </c>
      <c r="J181" s="73"/>
      <c r="K181" s="72">
        <v>144553</v>
      </c>
      <c r="L181" s="72">
        <v>44033.880000000005</v>
      </c>
    </row>
    <row r="182" spans="1:12" ht="15" thickBot="1" x14ac:dyDescent="0.35">
      <c r="A182" s="75" t="s">
        <v>153</v>
      </c>
      <c r="B182" s="75" t="s">
        <v>180</v>
      </c>
      <c r="C182" s="213" t="s">
        <v>848</v>
      </c>
      <c r="D182" s="75" t="s">
        <v>179</v>
      </c>
      <c r="E182" s="78">
        <v>82</v>
      </c>
      <c r="F182" s="77"/>
      <c r="G182" s="76">
        <v>5577</v>
      </c>
      <c r="H182" s="76">
        <v>2029.93</v>
      </c>
      <c r="I182" s="74">
        <v>966</v>
      </c>
      <c r="J182" s="73"/>
      <c r="K182" s="72">
        <v>77376</v>
      </c>
      <c r="L182" s="72">
        <v>23406.84</v>
      </c>
    </row>
    <row r="183" spans="1:12" ht="15" thickBot="1" x14ac:dyDescent="0.35">
      <c r="A183" s="75" t="s">
        <v>153</v>
      </c>
      <c r="B183" s="75" t="s">
        <v>178</v>
      </c>
      <c r="C183" s="213" t="s">
        <v>849</v>
      </c>
      <c r="D183" s="75" t="s">
        <v>177</v>
      </c>
      <c r="E183" s="81">
        <v>134</v>
      </c>
      <c r="F183" s="80"/>
      <c r="G183" s="79">
        <v>17618</v>
      </c>
      <c r="H183" s="79">
        <v>5121.82</v>
      </c>
      <c r="I183" s="74">
        <v>1616</v>
      </c>
      <c r="J183" s="74">
        <v>9</v>
      </c>
      <c r="K183" s="72">
        <v>252005</v>
      </c>
      <c r="L183" s="72">
        <v>61035.19</v>
      </c>
    </row>
    <row r="184" spans="1:12" ht="15" thickBot="1" x14ac:dyDescent="0.35">
      <c r="A184" s="75" t="s">
        <v>153</v>
      </c>
      <c r="B184" s="75" t="s">
        <v>176</v>
      </c>
      <c r="C184" s="213" t="s">
        <v>849</v>
      </c>
      <c r="D184" s="75" t="s">
        <v>175</v>
      </c>
      <c r="E184" s="78">
        <v>315</v>
      </c>
      <c r="F184" s="77"/>
      <c r="G184" s="76">
        <v>41416</v>
      </c>
      <c r="H184" s="76">
        <v>12016.6</v>
      </c>
      <c r="I184" s="74">
        <v>3789</v>
      </c>
      <c r="J184" s="74">
        <v>15</v>
      </c>
      <c r="K184" s="72">
        <v>592262</v>
      </c>
      <c r="L184" s="72">
        <v>143504.71000000002</v>
      </c>
    </row>
    <row r="185" spans="1:12" ht="15" thickBot="1" x14ac:dyDescent="0.35">
      <c r="A185" s="75" t="s">
        <v>153</v>
      </c>
      <c r="B185" s="75" t="s">
        <v>174</v>
      </c>
      <c r="C185" s="213" t="s">
        <v>849</v>
      </c>
      <c r="D185" s="75" t="s">
        <v>173</v>
      </c>
      <c r="E185" s="78">
        <v>10</v>
      </c>
      <c r="F185" s="77"/>
      <c r="G185" s="76">
        <v>1342</v>
      </c>
      <c r="H185" s="76">
        <v>382.61</v>
      </c>
      <c r="I185" s="74">
        <v>104</v>
      </c>
      <c r="J185" s="73"/>
      <c r="K185" s="72">
        <v>15656</v>
      </c>
      <c r="L185" s="72">
        <v>3647.5899999999997</v>
      </c>
    </row>
    <row r="186" spans="1:12" ht="15" thickBot="1" x14ac:dyDescent="0.35">
      <c r="A186" s="75" t="s">
        <v>153</v>
      </c>
      <c r="B186" s="75" t="s">
        <v>172</v>
      </c>
      <c r="C186" s="213" t="s">
        <v>849</v>
      </c>
      <c r="D186" s="75" t="s">
        <v>171</v>
      </c>
      <c r="E186" s="81">
        <v>240</v>
      </c>
      <c r="F186" s="80"/>
      <c r="G186" s="79">
        <v>31029</v>
      </c>
      <c r="H186" s="79">
        <v>9013.66</v>
      </c>
      <c r="I186" s="74">
        <v>2838</v>
      </c>
      <c r="J186" s="74">
        <v>8</v>
      </c>
      <c r="K186" s="72">
        <v>444383</v>
      </c>
      <c r="L186" s="72">
        <v>106859.7</v>
      </c>
    </row>
    <row r="187" spans="1:12" ht="15" thickBot="1" x14ac:dyDescent="0.35">
      <c r="A187" s="75" t="s">
        <v>153</v>
      </c>
      <c r="B187" s="75" t="s">
        <v>170</v>
      </c>
      <c r="C187" s="213" t="s">
        <v>849</v>
      </c>
      <c r="D187" s="75" t="s">
        <v>169</v>
      </c>
      <c r="E187" s="78">
        <v>1</v>
      </c>
      <c r="F187" s="77"/>
      <c r="G187" s="76">
        <v>128</v>
      </c>
      <c r="H187" s="76">
        <v>38.11</v>
      </c>
      <c r="I187" s="74">
        <v>12</v>
      </c>
      <c r="J187" s="73"/>
      <c r="K187" s="72">
        <v>1880</v>
      </c>
      <c r="L187" s="72">
        <v>454.29</v>
      </c>
    </row>
    <row r="188" spans="1:12" ht="15" thickBot="1" x14ac:dyDescent="0.35">
      <c r="A188" s="75" t="s">
        <v>153</v>
      </c>
      <c r="B188" s="75" t="s">
        <v>168</v>
      </c>
      <c r="C188" s="213" t="s">
        <v>850</v>
      </c>
      <c r="D188" s="75" t="s">
        <v>167</v>
      </c>
      <c r="E188" s="81">
        <v>0</v>
      </c>
      <c r="F188" s="80"/>
      <c r="G188" s="80"/>
      <c r="H188" s="79">
        <v>14772.82</v>
      </c>
      <c r="I188" s="74">
        <v>0</v>
      </c>
      <c r="J188" s="73"/>
      <c r="K188" s="73"/>
      <c r="L188" s="72">
        <v>179818.12999999998</v>
      </c>
    </row>
    <row r="189" spans="1:12" ht="15" thickBot="1" x14ac:dyDescent="0.35">
      <c r="A189" s="75" t="s">
        <v>153</v>
      </c>
      <c r="B189" s="75" t="s">
        <v>166</v>
      </c>
      <c r="C189" s="213" t="s">
        <v>851</v>
      </c>
      <c r="D189" s="75" t="s">
        <v>165</v>
      </c>
      <c r="E189" s="78">
        <v>0</v>
      </c>
      <c r="F189" s="77"/>
      <c r="G189" s="77"/>
      <c r="H189" s="76">
        <v>1325.32</v>
      </c>
      <c r="I189" s="74">
        <v>0</v>
      </c>
      <c r="J189" s="73"/>
      <c r="K189" s="73"/>
      <c r="L189" s="72">
        <v>16043.06</v>
      </c>
    </row>
    <row r="190" spans="1:12" x14ac:dyDescent="0.3">
      <c r="E190" s="91"/>
    </row>
    <row r="191" spans="1:12" x14ac:dyDescent="0.3">
      <c r="E191" s="91">
        <f>SUM(E4:E190)</f>
        <v>270340</v>
      </c>
    </row>
  </sheetData>
  <autoFilter ref="A3:L189"/>
  <mergeCells count="1">
    <mergeCell ref="A1:B2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3:O157"/>
  <sheetViews>
    <sheetView view="pageBreakPreview" zoomScale="60" zoomScaleNormal="100" workbookViewId="0">
      <selection activeCell="C38" sqref="C38"/>
    </sheetView>
  </sheetViews>
  <sheetFormatPr defaultRowHeight="14.4" x14ac:dyDescent="0.3"/>
  <cols>
    <col min="1" max="1" width="26.6640625" bestFit="1" customWidth="1"/>
    <col min="2" max="2" width="5.33203125" bestFit="1" customWidth="1"/>
    <col min="4" max="4" width="8.44140625" bestFit="1" customWidth="1"/>
    <col min="5" max="9" width="7.88671875" bestFit="1" customWidth="1"/>
    <col min="10" max="15" width="9" bestFit="1" customWidth="1"/>
  </cols>
  <sheetData>
    <row r="3" spans="1:15" x14ac:dyDescent="0.3">
      <c r="A3" t="s">
        <v>702</v>
      </c>
      <c r="B3" t="s">
        <v>703</v>
      </c>
      <c r="C3" t="s">
        <v>704</v>
      </c>
      <c r="D3" t="s">
        <v>705</v>
      </c>
      <c r="E3" t="s">
        <v>706</v>
      </c>
      <c r="F3" t="s">
        <v>707</v>
      </c>
      <c r="G3" t="s">
        <v>707</v>
      </c>
      <c r="H3" t="s">
        <v>707</v>
      </c>
      <c r="I3" t="s">
        <v>707</v>
      </c>
      <c r="J3" t="s">
        <v>708</v>
      </c>
      <c r="K3" t="s">
        <v>708</v>
      </c>
      <c r="L3" t="s">
        <v>708</v>
      </c>
      <c r="M3" t="s">
        <v>708</v>
      </c>
      <c r="N3" t="s">
        <v>708</v>
      </c>
      <c r="O3" t="s">
        <v>708</v>
      </c>
    </row>
    <row r="4" spans="1:15" x14ac:dyDescent="0.3">
      <c r="A4" t="s">
        <v>709</v>
      </c>
      <c r="B4" t="s">
        <v>710</v>
      </c>
      <c r="C4" s="117">
        <v>201</v>
      </c>
      <c r="D4" t="s">
        <v>688</v>
      </c>
      <c r="E4">
        <v>4000</v>
      </c>
      <c r="J4">
        <v>201</v>
      </c>
    </row>
    <row r="5" spans="1:15" x14ac:dyDescent="0.3">
      <c r="A5" t="s">
        <v>711</v>
      </c>
      <c r="B5" t="s">
        <v>710</v>
      </c>
      <c r="C5" s="117">
        <v>203</v>
      </c>
      <c r="D5" t="s">
        <v>695</v>
      </c>
      <c r="E5">
        <v>13000</v>
      </c>
      <c r="J5">
        <v>203</v>
      </c>
    </row>
    <row r="6" spans="1:15" x14ac:dyDescent="0.3">
      <c r="A6" t="s">
        <v>711</v>
      </c>
      <c r="B6" t="s">
        <v>710</v>
      </c>
      <c r="C6" s="117">
        <v>204</v>
      </c>
      <c r="D6" t="s">
        <v>691</v>
      </c>
      <c r="E6">
        <v>25000</v>
      </c>
      <c r="J6">
        <v>204</v>
      </c>
    </row>
    <row r="7" spans="1:15" x14ac:dyDescent="0.3">
      <c r="A7" t="s">
        <v>621</v>
      </c>
      <c r="B7" t="s">
        <v>710</v>
      </c>
      <c r="C7" s="117">
        <v>206</v>
      </c>
      <c r="D7" t="s">
        <v>688</v>
      </c>
      <c r="E7">
        <v>4000</v>
      </c>
      <c r="L7">
        <v>206</v>
      </c>
    </row>
    <row r="8" spans="1:15" x14ac:dyDescent="0.3">
      <c r="A8" t="s">
        <v>712</v>
      </c>
      <c r="B8" t="s">
        <v>710</v>
      </c>
      <c r="C8" s="117">
        <v>207</v>
      </c>
      <c r="D8" t="s">
        <v>691</v>
      </c>
      <c r="E8">
        <v>25000</v>
      </c>
      <c r="J8">
        <v>207</v>
      </c>
    </row>
    <row r="9" spans="1:15" x14ac:dyDescent="0.3">
      <c r="A9" t="s">
        <v>621</v>
      </c>
      <c r="B9" t="s">
        <v>710</v>
      </c>
      <c r="C9" s="117">
        <v>208</v>
      </c>
      <c r="D9" t="s">
        <v>690</v>
      </c>
      <c r="E9">
        <v>8000</v>
      </c>
      <c r="L9">
        <v>208</v>
      </c>
    </row>
    <row r="10" spans="1:15" x14ac:dyDescent="0.3">
      <c r="A10" t="s">
        <v>711</v>
      </c>
      <c r="B10" t="s">
        <v>710</v>
      </c>
      <c r="C10" s="117">
        <v>209</v>
      </c>
      <c r="D10" t="s">
        <v>694</v>
      </c>
      <c r="E10">
        <v>60000</v>
      </c>
      <c r="J10">
        <v>209</v>
      </c>
    </row>
    <row r="11" spans="1:15" x14ac:dyDescent="0.3">
      <c r="A11" t="s">
        <v>712</v>
      </c>
      <c r="B11" t="s">
        <v>710</v>
      </c>
      <c r="C11" s="117">
        <v>210</v>
      </c>
      <c r="D11" t="s">
        <v>694</v>
      </c>
      <c r="E11">
        <v>60000</v>
      </c>
      <c r="J11">
        <v>210</v>
      </c>
    </row>
    <row r="12" spans="1:15" x14ac:dyDescent="0.3">
      <c r="A12" t="s">
        <v>709</v>
      </c>
      <c r="B12" t="s">
        <v>710</v>
      </c>
      <c r="C12" s="117">
        <v>252</v>
      </c>
      <c r="D12" t="s">
        <v>690</v>
      </c>
      <c r="E12">
        <v>8000</v>
      </c>
      <c r="J12">
        <v>252</v>
      </c>
    </row>
    <row r="13" spans="1:15" x14ac:dyDescent="0.3">
      <c r="A13" t="s">
        <v>711</v>
      </c>
      <c r="B13" t="s">
        <v>710</v>
      </c>
      <c r="C13" s="117">
        <v>252</v>
      </c>
      <c r="D13" t="s">
        <v>690</v>
      </c>
      <c r="E13">
        <v>8000</v>
      </c>
      <c r="J13">
        <v>252</v>
      </c>
    </row>
    <row r="14" spans="1:15" x14ac:dyDescent="0.3">
      <c r="A14" t="s">
        <v>713</v>
      </c>
      <c r="B14" t="s">
        <v>714</v>
      </c>
      <c r="C14" s="117">
        <v>266</v>
      </c>
      <c r="D14" t="s">
        <v>695</v>
      </c>
      <c r="E14">
        <v>28500</v>
      </c>
      <c r="L14">
        <v>266</v>
      </c>
    </row>
    <row r="15" spans="1:15" x14ac:dyDescent="0.3">
      <c r="A15" t="s">
        <v>615</v>
      </c>
      <c r="B15" t="s">
        <v>714</v>
      </c>
      <c r="C15" s="117">
        <v>266</v>
      </c>
      <c r="D15" t="s">
        <v>695</v>
      </c>
      <c r="E15">
        <v>28500</v>
      </c>
      <c r="L15">
        <v>266</v>
      </c>
    </row>
    <row r="16" spans="1:15" x14ac:dyDescent="0.3">
      <c r="A16" t="s">
        <v>713</v>
      </c>
      <c r="B16" t="s">
        <v>714</v>
      </c>
      <c r="C16" s="117">
        <v>267</v>
      </c>
      <c r="D16" t="s">
        <v>691</v>
      </c>
      <c r="E16">
        <v>50000</v>
      </c>
      <c r="L16">
        <v>267</v>
      </c>
    </row>
    <row r="17" spans="1:12" x14ac:dyDescent="0.3">
      <c r="A17" t="s">
        <v>615</v>
      </c>
      <c r="B17" t="s">
        <v>714</v>
      </c>
      <c r="C17" s="117">
        <v>267</v>
      </c>
      <c r="D17" t="s">
        <v>691</v>
      </c>
      <c r="E17">
        <v>50000</v>
      </c>
      <c r="L17">
        <v>267</v>
      </c>
    </row>
    <row r="18" spans="1:12" x14ac:dyDescent="0.3">
      <c r="A18" t="s">
        <v>621</v>
      </c>
      <c r="B18" t="s">
        <v>714</v>
      </c>
      <c r="C18" s="117">
        <v>274</v>
      </c>
      <c r="D18" t="s">
        <v>688</v>
      </c>
      <c r="E18">
        <v>9500</v>
      </c>
      <c r="L18">
        <v>274</v>
      </c>
    </row>
    <row r="19" spans="1:12" x14ac:dyDescent="0.3">
      <c r="A19" t="s">
        <v>715</v>
      </c>
      <c r="B19" t="s">
        <v>714</v>
      </c>
      <c r="C19" s="117">
        <v>274</v>
      </c>
      <c r="D19" t="s">
        <v>688</v>
      </c>
      <c r="E19">
        <v>9500</v>
      </c>
      <c r="L19">
        <v>274</v>
      </c>
    </row>
    <row r="20" spans="1:12" x14ac:dyDescent="0.3">
      <c r="A20" t="s">
        <v>713</v>
      </c>
      <c r="B20" t="s">
        <v>714</v>
      </c>
      <c r="C20" s="117">
        <v>275</v>
      </c>
      <c r="D20" t="s">
        <v>687</v>
      </c>
      <c r="E20">
        <v>16000</v>
      </c>
      <c r="L20">
        <v>275</v>
      </c>
    </row>
    <row r="21" spans="1:12" x14ac:dyDescent="0.3">
      <c r="A21" t="s">
        <v>615</v>
      </c>
      <c r="B21" t="s">
        <v>714</v>
      </c>
      <c r="C21" s="117">
        <v>275</v>
      </c>
      <c r="D21" t="s">
        <v>687</v>
      </c>
      <c r="E21">
        <v>16000</v>
      </c>
      <c r="L21">
        <v>275</v>
      </c>
    </row>
    <row r="22" spans="1:12" x14ac:dyDescent="0.3">
      <c r="A22" t="s">
        <v>621</v>
      </c>
      <c r="B22" t="s">
        <v>714</v>
      </c>
      <c r="C22" s="117">
        <v>276</v>
      </c>
      <c r="D22" t="s">
        <v>686</v>
      </c>
      <c r="E22">
        <v>5800</v>
      </c>
      <c r="L22">
        <v>276</v>
      </c>
    </row>
    <row r="23" spans="1:12" x14ac:dyDescent="0.3">
      <c r="A23" t="s">
        <v>715</v>
      </c>
      <c r="B23" t="s">
        <v>714</v>
      </c>
      <c r="C23" s="117">
        <v>276</v>
      </c>
      <c r="D23" t="s">
        <v>686</v>
      </c>
      <c r="E23">
        <v>5800</v>
      </c>
      <c r="L23">
        <v>276</v>
      </c>
    </row>
    <row r="24" spans="1:12" x14ac:dyDescent="0.3">
      <c r="A24" t="s">
        <v>621</v>
      </c>
      <c r="B24" t="s">
        <v>714</v>
      </c>
      <c r="C24" s="117">
        <v>277</v>
      </c>
      <c r="D24" t="s">
        <v>687</v>
      </c>
      <c r="E24">
        <v>16000</v>
      </c>
      <c r="L24">
        <v>277</v>
      </c>
    </row>
    <row r="25" spans="1:12" x14ac:dyDescent="0.3">
      <c r="A25" t="s">
        <v>715</v>
      </c>
      <c r="B25" t="s">
        <v>714</v>
      </c>
      <c r="C25" s="117">
        <v>277</v>
      </c>
      <c r="D25" t="s">
        <v>687</v>
      </c>
      <c r="E25">
        <v>16000</v>
      </c>
      <c r="L25">
        <v>277</v>
      </c>
    </row>
    <row r="26" spans="1:12" x14ac:dyDescent="0.3">
      <c r="A26" t="s">
        <v>615</v>
      </c>
      <c r="B26" t="s">
        <v>714</v>
      </c>
      <c r="C26" s="117">
        <v>278</v>
      </c>
      <c r="D26" t="s">
        <v>694</v>
      </c>
      <c r="E26">
        <v>120000</v>
      </c>
      <c r="L26">
        <v>278</v>
      </c>
    </row>
    <row r="27" spans="1:12" x14ac:dyDescent="0.3">
      <c r="A27" t="s">
        <v>615</v>
      </c>
      <c r="B27" t="s">
        <v>714</v>
      </c>
      <c r="C27" s="117">
        <v>279</v>
      </c>
      <c r="D27" t="s">
        <v>694</v>
      </c>
      <c r="E27">
        <v>120000</v>
      </c>
      <c r="J27">
        <v>279</v>
      </c>
    </row>
    <row r="28" spans="1:12" x14ac:dyDescent="0.3">
      <c r="A28" t="s">
        <v>716</v>
      </c>
      <c r="B28" t="s">
        <v>714</v>
      </c>
      <c r="C28" s="117">
        <v>280</v>
      </c>
      <c r="D28" t="s">
        <v>686</v>
      </c>
      <c r="E28">
        <v>5800</v>
      </c>
      <c r="J28">
        <v>280</v>
      </c>
    </row>
    <row r="29" spans="1:12" x14ac:dyDescent="0.3">
      <c r="A29" t="s">
        <v>716</v>
      </c>
      <c r="B29" t="s">
        <v>714</v>
      </c>
      <c r="C29" s="117">
        <v>281</v>
      </c>
      <c r="D29" t="s">
        <v>688</v>
      </c>
      <c r="E29">
        <v>9500</v>
      </c>
      <c r="J29">
        <v>281</v>
      </c>
    </row>
    <row r="30" spans="1:12" x14ac:dyDescent="0.3">
      <c r="A30" t="s">
        <v>717</v>
      </c>
      <c r="B30" t="s">
        <v>714</v>
      </c>
      <c r="C30" s="117">
        <v>282</v>
      </c>
      <c r="D30" t="s">
        <v>686</v>
      </c>
      <c r="E30">
        <v>5800</v>
      </c>
      <c r="J30">
        <v>282</v>
      </c>
    </row>
    <row r="31" spans="1:12" x14ac:dyDescent="0.3">
      <c r="A31" t="s">
        <v>717</v>
      </c>
      <c r="B31" t="s">
        <v>714</v>
      </c>
      <c r="C31" s="117">
        <v>283</v>
      </c>
      <c r="D31" t="s">
        <v>688</v>
      </c>
      <c r="E31">
        <v>9500</v>
      </c>
      <c r="J31">
        <v>283</v>
      </c>
    </row>
    <row r="32" spans="1:12" x14ac:dyDescent="0.3">
      <c r="A32" t="s">
        <v>616</v>
      </c>
      <c r="B32" t="s">
        <v>714</v>
      </c>
      <c r="C32" s="117">
        <v>300</v>
      </c>
      <c r="D32" t="s">
        <v>689</v>
      </c>
      <c r="E32">
        <v>4000</v>
      </c>
      <c r="I32">
        <v>300</v>
      </c>
    </row>
    <row r="33" spans="1:15" x14ac:dyDescent="0.3">
      <c r="A33" t="s">
        <v>616</v>
      </c>
      <c r="B33" t="s">
        <v>714</v>
      </c>
      <c r="C33" s="117">
        <v>301</v>
      </c>
      <c r="D33" t="s">
        <v>688</v>
      </c>
      <c r="E33">
        <v>9500</v>
      </c>
      <c r="I33">
        <v>301</v>
      </c>
    </row>
    <row r="34" spans="1:15" x14ac:dyDescent="0.3">
      <c r="A34" t="s">
        <v>713</v>
      </c>
      <c r="B34" t="s">
        <v>710</v>
      </c>
      <c r="C34" s="117">
        <v>314</v>
      </c>
      <c r="D34" t="s">
        <v>695</v>
      </c>
      <c r="E34">
        <v>13000</v>
      </c>
      <c r="L34">
        <v>314</v>
      </c>
    </row>
    <row r="35" spans="1:15" x14ac:dyDescent="0.3">
      <c r="A35" t="s">
        <v>713</v>
      </c>
      <c r="B35" t="s">
        <v>710</v>
      </c>
      <c r="C35" s="117">
        <v>315</v>
      </c>
      <c r="D35" t="s">
        <v>691</v>
      </c>
      <c r="E35">
        <v>25000</v>
      </c>
      <c r="L35">
        <v>315</v>
      </c>
    </row>
    <row r="36" spans="1:15" x14ac:dyDescent="0.3">
      <c r="A36" t="s">
        <v>713</v>
      </c>
      <c r="B36" t="s">
        <v>710</v>
      </c>
      <c r="C36" s="117">
        <v>318</v>
      </c>
      <c r="D36" t="s">
        <v>690</v>
      </c>
      <c r="E36">
        <v>8000</v>
      </c>
      <c r="L36">
        <v>318</v>
      </c>
    </row>
    <row r="37" spans="1:15" x14ac:dyDescent="0.3">
      <c r="A37" t="s">
        <v>713</v>
      </c>
      <c r="B37" t="s">
        <v>710</v>
      </c>
      <c r="C37" s="117">
        <v>347</v>
      </c>
      <c r="D37" t="s">
        <v>691</v>
      </c>
      <c r="E37">
        <v>25000</v>
      </c>
      <c r="J37">
        <v>347</v>
      </c>
    </row>
    <row r="38" spans="1:15" x14ac:dyDescent="0.3">
      <c r="A38" t="s">
        <v>651</v>
      </c>
      <c r="B38" t="s">
        <v>718</v>
      </c>
      <c r="C38" s="117">
        <v>348</v>
      </c>
      <c r="D38" t="s">
        <v>698</v>
      </c>
      <c r="E38">
        <v>6000</v>
      </c>
      <c r="L38">
        <v>348</v>
      </c>
    </row>
    <row r="39" spans="1:15" x14ac:dyDescent="0.3">
      <c r="A39" t="s">
        <v>651</v>
      </c>
      <c r="B39" t="s">
        <v>718</v>
      </c>
      <c r="C39" s="117">
        <v>349</v>
      </c>
      <c r="D39" t="s">
        <v>701</v>
      </c>
      <c r="E39">
        <v>1500</v>
      </c>
      <c r="L39">
        <v>349</v>
      </c>
    </row>
    <row r="40" spans="1:15" x14ac:dyDescent="0.3">
      <c r="A40" t="s">
        <v>719</v>
      </c>
      <c r="B40" t="s">
        <v>714</v>
      </c>
      <c r="C40" s="117">
        <v>360</v>
      </c>
      <c r="D40" t="s">
        <v>687</v>
      </c>
      <c r="E40">
        <v>16000</v>
      </c>
      <c r="O40">
        <v>360</v>
      </c>
    </row>
    <row r="41" spans="1:15" x14ac:dyDescent="0.3">
      <c r="A41" t="s">
        <v>616</v>
      </c>
      <c r="B41" t="s">
        <v>714</v>
      </c>
      <c r="C41" s="117">
        <v>400</v>
      </c>
      <c r="D41" t="s">
        <v>689</v>
      </c>
      <c r="E41">
        <v>4000</v>
      </c>
      <c r="G41">
        <v>400</v>
      </c>
    </row>
    <row r="42" spans="1:15" x14ac:dyDescent="0.3">
      <c r="A42" t="s">
        <v>715</v>
      </c>
      <c r="B42" t="s">
        <v>714</v>
      </c>
      <c r="C42" s="117">
        <v>401</v>
      </c>
      <c r="D42" t="s">
        <v>686</v>
      </c>
      <c r="E42">
        <v>5800</v>
      </c>
      <c r="I42">
        <v>401</v>
      </c>
    </row>
    <row r="43" spans="1:15" x14ac:dyDescent="0.3">
      <c r="A43" t="s">
        <v>616</v>
      </c>
      <c r="B43" t="s">
        <v>714</v>
      </c>
      <c r="C43" s="117">
        <v>401</v>
      </c>
      <c r="D43" t="s">
        <v>688</v>
      </c>
      <c r="E43">
        <v>9500</v>
      </c>
      <c r="G43">
        <v>401</v>
      </c>
    </row>
    <row r="44" spans="1:15" x14ac:dyDescent="0.3">
      <c r="A44" t="s">
        <v>709</v>
      </c>
      <c r="B44" t="s">
        <v>710</v>
      </c>
      <c r="C44" s="117">
        <v>404</v>
      </c>
      <c r="D44" t="s">
        <v>690</v>
      </c>
      <c r="E44">
        <v>7000</v>
      </c>
      <c r="M44">
        <v>404</v>
      </c>
    </row>
    <row r="45" spans="1:15" x14ac:dyDescent="0.3">
      <c r="A45" t="s">
        <v>713</v>
      </c>
      <c r="B45" t="s">
        <v>714</v>
      </c>
      <c r="C45" s="117">
        <v>409</v>
      </c>
      <c r="D45" t="s">
        <v>691</v>
      </c>
      <c r="E45">
        <v>50000</v>
      </c>
      <c r="M45">
        <v>409</v>
      </c>
    </row>
    <row r="46" spans="1:15" x14ac:dyDescent="0.3">
      <c r="A46" t="s">
        <v>720</v>
      </c>
      <c r="B46" t="s">
        <v>714</v>
      </c>
      <c r="C46" s="117">
        <v>410</v>
      </c>
      <c r="D46" t="s">
        <v>689</v>
      </c>
      <c r="E46">
        <v>4000</v>
      </c>
      <c r="O46">
        <v>410</v>
      </c>
    </row>
    <row r="47" spans="1:15" x14ac:dyDescent="0.3">
      <c r="A47" t="s">
        <v>720</v>
      </c>
      <c r="B47" t="s">
        <v>714</v>
      </c>
      <c r="C47" s="117">
        <v>411</v>
      </c>
      <c r="D47" t="s">
        <v>686</v>
      </c>
      <c r="E47">
        <v>5800</v>
      </c>
      <c r="I47">
        <v>411</v>
      </c>
    </row>
    <row r="48" spans="1:15" x14ac:dyDescent="0.3">
      <c r="A48" t="s">
        <v>621</v>
      </c>
      <c r="B48" t="s">
        <v>714</v>
      </c>
      <c r="C48" s="117">
        <v>412</v>
      </c>
      <c r="D48" t="s">
        <v>686</v>
      </c>
      <c r="E48">
        <v>5800</v>
      </c>
      <c r="G48">
        <v>412</v>
      </c>
    </row>
    <row r="49" spans="1:15" x14ac:dyDescent="0.3">
      <c r="A49" t="s">
        <v>621</v>
      </c>
      <c r="B49" t="s">
        <v>714</v>
      </c>
      <c r="C49" s="117">
        <v>412</v>
      </c>
      <c r="D49" t="s">
        <v>686</v>
      </c>
      <c r="E49">
        <v>5800</v>
      </c>
      <c r="O49">
        <v>412</v>
      </c>
    </row>
    <row r="50" spans="1:15" x14ac:dyDescent="0.3">
      <c r="A50" t="s">
        <v>621</v>
      </c>
      <c r="B50" t="s">
        <v>714</v>
      </c>
      <c r="C50" s="117">
        <v>413</v>
      </c>
      <c r="D50" t="s">
        <v>688</v>
      </c>
      <c r="E50">
        <v>9500</v>
      </c>
      <c r="G50">
        <v>413</v>
      </c>
    </row>
    <row r="51" spans="1:15" x14ac:dyDescent="0.3">
      <c r="A51" t="s">
        <v>621</v>
      </c>
      <c r="B51" t="s">
        <v>714</v>
      </c>
      <c r="C51" s="117">
        <v>413</v>
      </c>
      <c r="D51" t="s">
        <v>688</v>
      </c>
      <c r="E51">
        <v>9500</v>
      </c>
      <c r="O51">
        <v>413</v>
      </c>
    </row>
    <row r="52" spans="1:15" x14ac:dyDescent="0.3">
      <c r="A52" t="s">
        <v>721</v>
      </c>
      <c r="B52" t="s">
        <v>714</v>
      </c>
      <c r="C52" s="117">
        <v>414</v>
      </c>
      <c r="D52" t="s">
        <v>686</v>
      </c>
      <c r="E52">
        <v>5800</v>
      </c>
      <c r="I52">
        <v>414</v>
      </c>
    </row>
    <row r="53" spans="1:15" x14ac:dyDescent="0.3">
      <c r="A53" t="s">
        <v>715</v>
      </c>
      <c r="B53" t="s">
        <v>714</v>
      </c>
      <c r="C53" s="117">
        <v>415</v>
      </c>
      <c r="D53" t="s">
        <v>686</v>
      </c>
      <c r="E53">
        <v>5800</v>
      </c>
      <c r="G53">
        <v>415</v>
      </c>
    </row>
    <row r="54" spans="1:15" x14ac:dyDescent="0.3">
      <c r="A54" t="s">
        <v>721</v>
      </c>
      <c r="B54" t="s">
        <v>714</v>
      </c>
      <c r="C54" s="117">
        <v>415</v>
      </c>
      <c r="D54" t="s">
        <v>688</v>
      </c>
      <c r="E54">
        <v>9500</v>
      </c>
      <c r="I54">
        <v>415</v>
      </c>
    </row>
    <row r="55" spans="1:15" x14ac:dyDescent="0.3">
      <c r="A55" t="s">
        <v>715</v>
      </c>
      <c r="B55" t="s">
        <v>714</v>
      </c>
      <c r="C55" s="117">
        <v>416</v>
      </c>
      <c r="D55" t="s">
        <v>688</v>
      </c>
      <c r="E55">
        <v>9500</v>
      </c>
      <c r="G55">
        <v>416</v>
      </c>
    </row>
    <row r="56" spans="1:15" x14ac:dyDescent="0.3">
      <c r="A56" t="s">
        <v>722</v>
      </c>
      <c r="B56" t="s">
        <v>714</v>
      </c>
      <c r="C56" s="117">
        <v>417</v>
      </c>
      <c r="D56" t="s">
        <v>688</v>
      </c>
      <c r="E56">
        <v>9500</v>
      </c>
      <c r="L56">
        <v>417</v>
      </c>
    </row>
    <row r="57" spans="1:15" x14ac:dyDescent="0.3">
      <c r="A57" t="s">
        <v>722</v>
      </c>
      <c r="B57" t="s">
        <v>714</v>
      </c>
      <c r="C57" s="117">
        <v>419</v>
      </c>
      <c r="D57" t="s">
        <v>687</v>
      </c>
      <c r="E57">
        <v>16000</v>
      </c>
      <c r="L57">
        <v>419</v>
      </c>
    </row>
    <row r="58" spans="1:15" x14ac:dyDescent="0.3">
      <c r="A58" t="s">
        <v>615</v>
      </c>
      <c r="B58" t="s">
        <v>714</v>
      </c>
      <c r="C58" s="117">
        <v>420</v>
      </c>
      <c r="D58" t="s">
        <v>687</v>
      </c>
      <c r="E58">
        <v>16000</v>
      </c>
      <c r="G58">
        <v>420</v>
      </c>
    </row>
    <row r="59" spans="1:15" x14ac:dyDescent="0.3">
      <c r="A59" t="s">
        <v>715</v>
      </c>
      <c r="B59" t="s">
        <v>714</v>
      </c>
      <c r="C59" s="117">
        <v>420</v>
      </c>
      <c r="D59" t="s">
        <v>688</v>
      </c>
      <c r="E59">
        <v>9500</v>
      </c>
      <c r="I59">
        <v>420</v>
      </c>
    </row>
    <row r="60" spans="1:15" x14ac:dyDescent="0.3">
      <c r="A60" t="s">
        <v>620</v>
      </c>
      <c r="B60" t="s">
        <v>718</v>
      </c>
      <c r="C60" s="117">
        <v>421</v>
      </c>
      <c r="D60" t="s">
        <v>696</v>
      </c>
      <c r="E60">
        <v>1000</v>
      </c>
      <c r="M60">
        <v>421</v>
      </c>
    </row>
    <row r="61" spans="1:15" x14ac:dyDescent="0.3">
      <c r="A61" t="s">
        <v>615</v>
      </c>
      <c r="B61" t="s">
        <v>714</v>
      </c>
      <c r="C61" s="117">
        <v>421</v>
      </c>
      <c r="D61" t="s">
        <v>695</v>
      </c>
      <c r="E61">
        <v>28500</v>
      </c>
      <c r="G61">
        <v>421</v>
      </c>
    </row>
    <row r="62" spans="1:15" x14ac:dyDescent="0.3">
      <c r="A62" t="s">
        <v>620</v>
      </c>
      <c r="B62" t="s">
        <v>718</v>
      </c>
      <c r="C62" s="117">
        <v>422</v>
      </c>
      <c r="D62" t="s">
        <v>690</v>
      </c>
      <c r="E62">
        <v>2500</v>
      </c>
      <c r="M62">
        <v>422</v>
      </c>
    </row>
    <row r="63" spans="1:15" x14ac:dyDescent="0.3">
      <c r="A63" t="s">
        <v>615</v>
      </c>
      <c r="B63" t="s">
        <v>714</v>
      </c>
      <c r="C63" s="117">
        <v>422</v>
      </c>
      <c r="D63" t="s">
        <v>691</v>
      </c>
      <c r="E63">
        <v>50000</v>
      </c>
      <c r="G63">
        <v>422</v>
      </c>
    </row>
    <row r="64" spans="1:15" x14ac:dyDescent="0.3">
      <c r="A64" t="s">
        <v>713</v>
      </c>
      <c r="B64" t="s">
        <v>714</v>
      </c>
      <c r="C64" s="117">
        <v>423</v>
      </c>
      <c r="D64" t="s">
        <v>687</v>
      </c>
      <c r="E64">
        <v>16000</v>
      </c>
      <c r="G64">
        <v>423</v>
      </c>
    </row>
    <row r="65" spans="1:14" x14ac:dyDescent="0.3">
      <c r="A65" t="s">
        <v>620</v>
      </c>
      <c r="B65" t="s">
        <v>718</v>
      </c>
      <c r="C65" s="117">
        <v>424</v>
      </c>
      <c r="D65" t="s">
        <v>697</v>
      </c>
      <c r="E65">
        <v>4000</v>
      </c>
      <c r="M65">
        <v>424</v>
      </c>
    </row>
    <row r="66" spans="1:14" x14ac:dyDescent="0.3">
      <c r="A66" t="s">
        <v>713</v>
      </c>
      <c r="B66" t="s">
        <v>714</v>
      </c>
      <c r="C66" s="117">
        <v>424</v>
      </c>
      <c r="D66" t="s">
        <v>695</v>
      </c>
      <c r="E66">
        <v>28500</v>
      </c>
      <c r="G66">
        <v>424</v>
      </c>
    </row>
    <row r="67" spans="1:14" x14ac:dyDescent="0.3">
      <c r="A67" t="s">
        <v>620</v>
      </c>
      <c r="B67" t="s">
        <v>718</v>
      </c>
      <c r="C67" s="117">
        <v>425</v>
      </c>
      <c r="D67" t="s">
        <v>698</v>
      </c>
      <c r="E67">
        <v>6000</v>
      </c>
      <c r="M67">
        <v>425</v>
      </c>
    </row>
    <row r="68" spans="1:14" x14ac:dyDescent="0.3">
      <c r="A68" t="s">
        <v>713</v>
      </c>
      <c r="B68" t="s">
        <v>714</v>
      </c>
      <c r="C68" s="117">
        <v>425</v>
      </c>
      <c r="D68" t="s">
        <v>691</v>
      </c>
      <c r="E68">
        <v>50000</v>
      </c>
      <c r="G68">
        <v>425</v>
      </c>
    </row>
    <row r="69" spans="1:14" x14ac:dyDescent="0.3">
      <c r="A69" t="s">
        <v>607</v>
      </c>
      <c r="B69" t="s">
        <v>714</v>
      </c>
      <c r="C69" s="117">
        <v>426</v>
      </c>
      <c r="D69" t="s">
        <v>688</v>
      </c>
      <c r="E69">
        <v>5800</v>
      </c>
      <c r="M69">
        <v>426</v>
      </c>
    </row>
    <row r="70" spans="1:14" x14ac:dyDescent="0.3">
      <c r="A70" t="s">
        <v>723</v>
      </c>
      <c r="B70" t="s">
        <v>714</v>
      </c>
      <c r="C70" s="117">
        <v>426</v>
      </c>
      <c r="D70" t="s">
        <v>686</v>
      </c>
      <c r="E70">
        <v>5800</v>
      </c>
      <c r="L70">
        <v>426</v>
      </c>
    </row>
    <row r="71" spans="1:14" x14ac:dyDescent="0.3">
      <c r="A71" t="s">
        <v>724</v>
      </c>
      <c r="B71" t="s">
        <v>714</v>
      </c>
      <c r="C71" s="117">
        <v>427</v>
      </c>
      <c r="D71" t="s">
        <v>686</v>
      </c>
      <c r="E71">
        <v>5800</v>
      </c>
      <c r="G71">
        <v>427</v>
      </c>
    </row>
    <row r="72" spans="1:14" x14ac:dyDescent="0.3">
      <c r="A72" t="s">
        <v>607</v>
      </c>
      <c r="B72" t="s">
        <v>714</v>
      </c>
      <c r="C72" s="117">
        <v>428</v>
      </c>
      <c r="D72" t="s">
        <v>688</v>
      </c>
      <c r="E72">
        <v>9500</v>
      </c>
      <c r="H72">
        <v>428</v>
      </c>
    </row>
    <row r="73" spans="1:14" x14ac:dyDescent="0.3">
      <c r="A73" t="s">
        <v>723</v>
      </c>
      <c r="B73" t="s">
        <v>714</v>
      </c>
      <c r="C73" s="117">
        <v>428</v>
      </c>
      <c r="D73" t="s">
        <v>688</v>
      </c>
      <c r="E73">
        <v>9500</v>
      </c>
      <c r="L73">
        <v>428</v>
      </c>
    </row>
    <row r="74" spans="1:14" x14ac:dyDescent="0.3">
      <c r="A74" t="s">
        <v>724</v>
      </c>
      <c r="B74" t="s">
        <v>714</v>
      </c>
      <c r="C74" s="117">
        <v>429</v>
      </c>
      <c r="D74" t="s">
        <v>688</v>
      </c>
      <c r="E74">
        <v>9500</v>
      </c>
      <c r="G74">
        <v>429</v>
      </c>
    </row>
    <row r="75" spans="1:14" x14ac:dyDescent="0.3">
      <c r="A75" t="s">
        <v>720</v>
      </c>
      <c r="B75" t="s">
        <v>714</v>
      </c>
      <c r="C75" s="117">
        <v>430</v>
      </c>
      <c r="D75" t="s">
        <v>688</v>
      </c>
      <c r="E75">
        <v>9500</v>
      </c>
      <c r="I75">
        <v>430</v>
      </c>
    </row>
    <row r="76" spans="1:14" x14ac:dyDescent="0.3">
      <c r="A76" t="s">
        <v>725</v>
      </c>
      <c r="B76" t="s">
        <v>714</v>
      </c>
      <c r="C76" s="117">
        <v>430</v>
      </c>
      <c r="D76" t="s">
        <v>686</v>
      </c>
      <c r="E76">
        <v>5800</v>
      </c>
      <c r="L76">
        <v>430</v>
      </c>
    </row>
    <row r="77" spans="1:14" x14ac:dyDescent="0.3">
      <c r="A77" t="s">
        <v>721</v>
      </c>
      <c r="B77" t="s">
        <v>714</v>
      </c>
      <c r="C77" s="117">
        <v>431</v>
      </c>
      <c r="D77" t="s">
        <v>686</v>
      </c>
      <c r="E77">
        <v>5800</v>
      </c>
      <c r="G77">
        <v>431</v>
      </c>
    </row>
    <row r="78" spans="1:14" x14ac:dyDescent="0.3">
      <c r="A78" t="s">
        <v>725</v>
      </c>
      <c r="B78" t="s">
        <v>714</v>
      </c>
      <c r="C78" s="117">
        <v>432</v>
      </c>
      <c r="D78" t="s">
        <v>688</v>
      </c>
      <c r="E78">
        <v>9500</v>
      </c>
      <c r="L78">
        <v>432</v>
      </c>
    </row>
    <row r="79" spans="1:14" x14ac:dyDescent="0.3">
      <c r="A79" t="s">
        <v>721</v>
      </c>
      <c r="B79" t="s">
        <v>714</v>
      </c>
      <c r="C79" s="117">
        <v>433</v>
      </c>
      <c r="D79" t="s">
        <v>688</v>
      </c>
      <c r="E79">
        <v>9500</v>
      </c>
      <c r="G79">
        <v>433</v>
      </c>
    </row>
    <row r="80" spans="1:14" x14ac:dyDescent="0.3">
      <c r="A80" t="s">
        <v>620</v>
      </c>
      <c r="B80" t="s">
        <v>718</v>
      </c>
      <c r="C80" s="117">
        <v>434</v>
      </c>
      <c r="D80" t="s">
        <v>697</v>
      </c>
      <c r="E80">
        <v>4000</v>
      </c>
      <c r="N80">
        <v>434</v>
      </c>
    </row>
    <row r="81" spans="1:15" x14ac:dyDescent="0.3">
      <c r="A81" t="s">
        <v>615</v>
      </c>
      <c r="B81" t="s">
        <v>714</v>
      </c>
      <c r="C81" s="117">
        <v>439</v>
      </c>
      <c r="D81" t="s">
        <v>687</v>
      </c>
      <c r="E81">
        <v>16000</v>
      </c>
      <c r="F81">
        <v>439</v>
      </c>
    </row>
    <row r="82" spans="1:15" x14ac:dyDescent="0.3">
      <c r="A82" t="s">
        <v>615</v>
      </c>
      <c r="B82" t="s">
        <v>714</v>
      </c>
      <c r="C82" s="117">
        <v>440</v>
      </c>
      <c r="D82" t="s">
        <v>695</v>
      </c>
      <c r="E82">
        <v>28500</v>
      </c>
      <c r="F82">
        <v>440</v>
      </c>
    </row>
    <row r="83" spans="1:15" x14ac:dyDescent="0.3">
      <c r="A83" t="s">
        <v>715</v>
      </c>
      <c r="B83" t="s">
        <v>714</v>
      </c>
      <c r="C83" s="117">
        <v>440</v>
      </c>
      <c r="D83" t="s">
        <v>689</v>
      </c>
      <c r="E83">
        <v>4000</v>
      </c>
      <c r="O83">
        <v>440</v>
      </c>
    </row>
    <row r="84" spans="1:15" x14ac:dyDescent="0.3">
      <c r="A84" t="s">
        <v>615</v>
      </c>
      <c r="B84" t="s">
        <v>714</v>
      </c>
      <c r="C84" s="117">
        <v>441</v>
      </c>
      <c r="D84" t="s">
        <v>691</v>
      </c>
      <c r="E84">
        <v>50000</v>
      </c>
      <c r="F84">
        <v>441</v>
      </c>
    </row>
    <row r="85" spans="1:15" x14ac:dyDescent="0.3">
      <c r="A85" t="s">
        <v>621</v>
      </c>
      <c r="B85" t="s">
        <v>714</v>
      </c>
      <c r="C85" s="117">
        <v>444</v>
      </c>
      <c r="D85" t="s">
        <v>687</v>
      </c>
      <c r="E85">
        <v>16000</v>
      </c>
      <c r="G85">
        <v>444</v>
      </c>
    </row>
    <row r="86" spans="1:15" x14ac:dyDescent="0.3">
      <c r="A86" t="s">
        <v>715</v>
      </c>
      <c r="B86" t="s">
        <v>714</v>
      </c>
      <c r="C86" s="117">
        <v>445</v>
      </c>
      <c r="D86" t="s">
        <v>687</v>
      </c>
      <c r="E86">
        <v>16000</v>
      </c>
      <c r="G86">
        <v>445</v>
      </c>
    </row>
    <row r="87" spans="1:15" x14ac:dyDescent="0.3">
      <c r="A87" t="s">
        <v>711</v>
      </c>
      <c r="B87" t="s">
        <v>710</v>
      </c>
      <c r="C87" s="117">
        <v>446</v>
      </c>
      <c r="D87" t="s">
        <v>690</v>
      </c>
      <c r="E87">
        <v>7000</v>
      </c>
      <c r="M87">
        <v>446</v>
      </c>
    </row>
    <row r="88" spans="1:15" x14ac:dyDescent="0.3">
      <c r="A88" t="s">
        <v>711</v>
      </c>
      <c r="B88" t="s">
        <v>710</v>
      </c>
      <c r="C88" s="117">
        <v>447</v>
      </c>
      <c r="D88" t="s">
        <v>690</v>
      </c>
      <c r="E88">
        <v>10000</v>
      </c>
      <c r="M88">
        <v>447</v>
      </c>
    </row>
    <row r="89" spans="1:15" x14ac:dyDescent="0.3">
      <c r="A89" t="s">
        <v>711</v>
      </c>
      <c r="B89" t="s">
        <v>710</v>
      </c>
      <c r="C89" s="117">
        <v>448</v>
      </c>
      <c r="D89" t="s">
        <v>695</v>
      </c>
      <c r="E89">
        <v>20000</v>
      </c>
      <c r="M89">
        <v>448</v>
      </c>
    </row>
    <row r="90" spans="1:15" x14ac:dyDescent="0.3">
      <c r="A90" t="s">
        <v>606</v>
      </c>
      <c r="B90" t="s">
        <v>726</v>
      </c>
      <c r="C90" s="117">
        <v>450</v>
      </c>
      <c r="D90" t="s">
        <v>687</v>
      </c>
      <c r="E90">
        <v>12000</v>
      </c>
      <c r="H90">
        <v>450</v>
      </c>
    </row>
    <row r="91" spans="1:15" x14ac:dyDescent="0.3">
      <c r="A91" t="s">
        <v>606</v>
      </c>
      <c r="B91" t="s">
        <v>726</v>
      </c>
      <c r="C91" s="117">
        <v>451</v>
      </c>
      <c r="D91" t="s">
        <v>693</v>
      </c>
      <c r="E91">
        <v>32000</v>
      </c>
      <c r="H91">
        <v>451</v>
      </c>
    </row>
    <row r="92" spans="1:15" x14ac:dyDescent="0.3">
      <c r="A92" t="s">
        <v>713</v>
      </c>
      <c r="B92" t="s">
        <v>714</v>
      </c>
      <c r="C92" s="117">
        <v>452</v>
      </c>
      <c r="D92" t="s">
        <v>687</v>
      </c>
      <c r="E92">
        <v>16000</v>
      </c>
      <c r="F92">
        <v>452</v>
      </c>
    </row>
    <row r="93" spans="1:15" x14ac:dyDescent="0.3">
      <c r="A93" t="s">
        <v>606</v>
      </c>
      <c r="B93" t="s">
        <v>726</v>
      </c>
      <c r="C93" s="117">
        <v>452</v>
      </c>
      <c r="D93" t="s">
        <v>694</v>
      </c>
      <c r="E93">
        <v>107800</v>
      </c>
      <c r="H93">
        <v>452</v>
      </c>
    </row>
    <row r="94" spans="1:15" x14ac:dyDescent="0.3">
      <c r="A94" t="s">
        <v>713</v>
      </c>
      <c r="B94" t="s">
        <v>714</v>
      </c>
      <c r="C94" s="117">
        <v>453</v>
      </c>
      <c r="D94" t="s">
        <v>695</v>
      </c>
      <c r="E94">
        <v>28500</v>
      </c>
      <c r="F94">
        <v>453</v>
      </c>
    </row>
    <row r="95" spans="1:15" x14ac:dyDescent="0.3">
      <c r="A95" t="s">
        <v>713</v>
      </c>
      <c r="B95" t="s">
        <v>714</v>
      </c>
      <c r="C95" s="117">
        <v>454</v>
      </c>
      <c r="D95" t="s">
        <v>691</v>
      </c>
      <c r="E95">
        <v>50000</v>
      </c>
      <c r="F95">
        <v>454</v>
      </c>
    </row>
    <row r="96" spans="1:15" x14ac:dyDescent="0.3">
      <c r="A96" t="s">
        <v>606</v>
      </c>
      <c r="B96" t="s">
        <v>726</v>
      </c>
      <c r="C96" s="117">
        <v>454</v>
      </c>
      <c r="D96" t="s">
        <v>687</v>
      </c>
      <c r="E96">
        <v>12000</v>
      </c>
      <c r="N96">
        <v>454</v>
      </c>
    </row>
    <row r="97" spans="1:15" x14ac:dyDescent="0.3">
      <c r="A97" t="s">
        <v>606</v>
      </c>
      <c r="B97" t="s">
        <v>714</v>
      </c>
      <c r="C97" s="117">
        <v>455</v>
      </c>
      <c r="D97" t="s">
        <v>687</v>
      </c>
      <c r="E97">
        <v>16000</v>
      </c>
      <c r="F97">
        <v>455</v>
      </c>
    </row>
    <row r="98" spans="1:15" x14ac:dyDescent="0.3">
      <c r="A98" t="s">
        <v>606</v>
      </c>
      <c r="B98" t="s">
        <v>726</v>
      </c>
      <c r="C98" s="117">
        <v>455</v>
      </c>
      <c r="D98" t="s">
        <v>693</v>
      </c>
      <c r="E98">
        <v>32000</v>
      </c>
      <c r="N98">
        <v>455</v>
      </c>
    </row>
    <row r="99" spans="1:15" x14ac:dyDescent="0.3">
      <c r="A99" t="s">
        <v>711</v>
      </c>
      <c r="B99" t="s">
        <v>710</v>
      </c>
      <c r="C99" s="117">
        <v>456</v>
      </c>
      <c r="D99" t="s">
        <v>690</v>
      </c>
      <c r="E99">
        <v>7000</v>
      </c>
      <c r="N99">
        <v>456</v>
      </c>
    </row>
    <row r="100" spans="1:15" x14ac:dyDescent="0.3">
      <c r="A100" t="s">
        <v>606</v>
      </c>
      <c r="B100" t="s">
        <v>714</v>
      </c>
      <c r="C100" s="117">
        <v>456</v>
      </c>
      <c r="D100" t="s">
        <v>691</v>
      </c>
      <c r="E100">
        <v>50000</v>
      </c>
      <c r="F100">
        <v>456</v>
      </c>
    </row>
    <row r="101" spans="1:15" x14ac:dyDescent="0.3">
      <c r="A101" t="s">
        <v>607</v>
      </c>
      <c r="B101" t="s">
        <v>714</v>
      </c>
      <c r="C101" s="117">
        <v>457</v>
      </c>
      <c r="D101" t="s">
        <v>688</v>
      </c>
      <c r="E101">
        <v>9500</v>
      </c>
      <c r="F101">
        <v>457</v>
      </c>
    </row>
    <row r="102" spans="1:15" x14ac:dyDescent="0.3">
      <c r="A102" t="s">
        <v>711</v>
      </c>
      <c r="B102" t="s">
        <v>710</v>
      </c>
      <c r="C102" s="117">
        <v>457</v>
      </c>
      <c r="D102" t="s">
        <v>690</v>
      </c>
      <c r="E102">
        <v>10000</v>
      </c>
      <c r="N102">
        <v>457</v>
      </c>
    </row>
    <row r="103" spans="1:15" x14ac:dyDescent="0.3">
      <c r="A103" t="s">
        <v>711</v>
      </c>
      <c r="B103" t="s">
        <v>710</v>
      </c>
      <c r="C103" s="117">
        <v>458</v>
      </c>
      <c r="D103" t="s">
        <v>695</v>
      </c>
      <c r="E103">
        <v>20000</v>
      </c>
      <c r="N103">
        <v>458</v>
      </c>
    </row>
    <row r="104" spans="1:15" x14ac:dyDescent="0.3">
      <c r="A104" t="s">
        <v>606</v>
      </c>
      <c r="B104" t="s">
        <v>726</v>
      </c>
      <c r="C104" s="117">
        <v>459</v>
      </c>
      <c r="D104" t="s">
        <v>694</v>
      </c>
      <c r="E104">
        <v>107800</v>
      </c>
      <c r="N104">
        <v>459</v>
      </c>
    </row>
    <row r="105" spans="1:15" x14ac:dyDescent="0.3">
      <c r="A105" t="s">
        <v>606</v>
      </c>
      <c r="B105" t="s">
        <v>726</v>
      </c>
      <c r="C105" s="117">
        <v>460</v>
      </c>
      <c r="D105" t="s">
        <v>695</v>
      </c>
      <c r="E105">
        <v>12000</v>
      </c>
      <c r="O105">
        <v>460</v>
      </c>
    </row>
    <row r="106" spans="1:15" x14ac:dyDescent="0.3">
      <c r="A106" t="s">
        <v>713</v>
      </c>
      <c r="B106" t="s">
        <v>714</v>
      </c>
      <c r="C106" s="117">
        <v>461</v>
      </c>
      <c r="D106" t="s">
        <v>689</v>
      </c>
      <c r="E106">
        <v>4000</v>
      </c>
      <c r="M106">
        <v>461</v>
      </c>
    </row>
    <row r="107" spans="1:15" x14ac:dyDescent="0.3">
      <c r="A107" t="s">
        <v>713</v>
      </c>
      <c r="B107" t="s">
        <v>714</v>
      </c>
      <c r="C107" s="117">
        <v>462</v>
      </c>
      <c r="D107" t="s">
        <v>686</v>
      </c>
      <c r="E107">
        <v>5800</v>
      </c>
      <c r="H107">
        <v>462</v>
      </c>
    </row>
    <row r="108" spans="1:15" x14ac:dyDescent="0.3">
      <c r="A108" t="s">
        <v>713</v>
      </c>
      <c r="B108" t="s">
        <v>714</v>
      </c>
      <c r="C108" s="117">
        <v>463</v>
      </c>
      <c r="D108" t="s">
        <v>688</v>
      </c>
      <c r="E108">
        <v>9500</v>
      </c>
      <c r="H108">
        <v>463</v>
      </c>
    </row>
    <row r="109" spans="1:15" x14ac:dyDescent="0.3">
      <c r="A109" t="s">
        <v>713</v>
      </c>
      <c r="B109" t="s">
        <v>714</v>
      </c>
      <c r="C109" s="117">
        <v>464</v>
      </c>
      <c r="D109" t="s">
        <v>692</v>
      </c>
      <c r="E109">
        <v>22000</v>
      </c>
      <c r="H109">
        <v>464</v>
      </c>
    </row>
    <row r="110" spans="1:15" x14ac:dyDescent="0.3">
      <c r="A110" t="s">
        <v>713</v>
      </c>
      <c r="B110" t="s">
        <v>714</v>
      </c>
      <c r="C110" s="117">
        <v>465</v>
      </c>
      <c r="D110" t="s">
        <v>691</v>
      </c>
      <c r="E110">
        <v>50000</v>
      </c>
      <c r="H110">
        <v>465</v>
      </c>
    </row>
    <row r="111" spans="1:15" x14ac:dyDescent="0.3">
      <c r="A111" t="s">
        <v>610</v>
      </c>
      <c r="B111" t="s">
        <v>714</v>
      </c>
      <c r="C111" s="117">
        <v>466</v>
      </c>
      <c r="D111" t="s">
        <v>699</v>
      </c>
      <c r="E111">
        <v>4000</v>
      </c>
      <c r="O111">
        <v>466</v>
      </c>
    </row>
    <row r="112" spans="1:15" x14ac:dyDescent="0.3">
      <c r="A112" t="s">
        <v>610</v>
      </c>
      <c r="B112" t="s">
        <v>714</v>
      </c>
      <c r="C112" s="117">
        <v>467</v>
      </c>
      <c r="D112" t="s">
        <v>686</v>
      </c>
      <c r="E112">
        <v>5800</v>
      </c>
      <c r="I112">
        <v>467</v>
      </c>
    </row>
    <row r="113" spans="1:15" x14ac:dyDescent="0.3">
      <c r="A113" t="s">
        <v>610</v>
      </c>
      <c r="B113" t="s">
        <v>714</v>
      </c>
      <c r="C113" s="117">
        <v>468</v>
      </c>
      <c r="D113" t="s">
        <v>688</v>
      </c>
      <c r="E113">
        <v>9500</v>
      </c>
      <c r="I113">
        <v>468</v>
      </c>
    </row>
    <row r="114" spans="1:15" x14ac:dyDescent="0.3">
      <c r="A114" t="s">
        <v>606</v>
      </c>
      <c r="B114" t="s">
        <v>726</v>
      </c>
      <c r="C114" s="117">
        <v>469</v>
      </c>
      <c r="D114" t="s">
        <v>700</v>
      </c>
      <c r="E114">
        <v>32000</v>
      </c>
      <c r="O114">
        <v>469</v>
      </c>
    </row>
    <row r="115" spans="1:15" x14ac:dyDescent="0.3">
      <c r="A115" t="s">
        <v>606</v>
      </c>
      <c r="B115" t="s">
        <v>726</v>
      </c>
      <c r="C115" s="117">
        <v>470</v>
      </c>
      <c r="D115" t="s">
        <v>687</v>
      </c>
      <c r="E115">
        <v>12000</v>
      </c>
      <c r="F115">
        <v>470</v>
      </c>
    </row>
    <row r="116" spans="1:15" x14ac:dyDescent="0.3">
      <c r="A116" t="s">
        <v>606</v>
      </c>
      <c r="B116" t="s">
        <v>726</v>
      </c>
      <c r="C116" s="117">
        <v>470</v>
      </c>
      <c r="D116" t="s">
        <v>694</v>
      </c>
      <c r="E116">
        <v>107800</v>
      </c>
      <c r="O116">
        <v>470</v>
      </c>
    </row>
    <row r="117" spans="1:15" x14ac:dyDescent="0.3">
      <c r="A117" t="s">
        <v>713</v>
      </c>
      <c r="B117" t="s">
        <v>714</v>
      </c>
      <c r="C117" s="117">
        <v>471</v>
      </c>
      <c r="D117" t="s">
        <v>689</v>
      </c>
      <c r="E117">
        <v>4000</v>
      </c>
      <c r="N117">
        <v>471</v>
      </c>
    </row>
    <row r="118" spans="1:15" x14ac:dyDescent="0.3">
      <c r="A118" t="s">
        <v>606</v>
      </c>
      <c r="B118" t="s">
        <v>726</v>
      </c>
      <c r="C118" s="117">
        <v>471</v>
      </c>
      <c r="D118" t="s">
        <v>687</v>
      </c>
      <c r="E118">
        <v>12000</v>
      </c>
      <c r="K118">
        <v>471</v>
      </c>
    </row>
    <row r="119" spans="1:15" x14ac:dyDescent="0.3">
      <c r="A119" t="s">
        <v>713</v>
      </c>
      <c r="B119" t="s">
        <v>714</v>
      </c>
      <c r="C119" s="117">
        <v>472</v>
      </c>
      <c r="D119" t="s">
        <v>686</v>
      </c>
      <c r="E119">
        <v>5800</v>
      </c>
      <c r="I119">
        <v>472</v>
      </c>
    </row>
    <row r="120" spans="1:15" x14ac:dyDescent="0.3">
      <c r="A120" t="s">
        <v>713</v>
      </c>
      <c r="B120" t="s">
        <v>714</v>
      </c>
      <c r="C120" s="117">
        <v>473</v>
      </c>
      <c r="D120" t="s">
        <v>688</v>
      </c>
      <c r="E120">
        <v>9500</v>
      </c>
      <c r="I120">
        <v>473</v>
      </c>
    </row>
    <row r="121" spans="1:15" x14ac:dyDescent="0.3">
      <c r="A121" t="s">
        <v>606</v>
      </c>
      <c r="B121" t="s">
        <v>726</v>
      </c>
      <c r="C121" s="117">
        <v>473</v>
      </c>
      <c r="D121" t="s">
        <v>693</v>
      </c>
      <c r="E121">
        <v>32000</v>
      </c>
      <c r="F121">
        <v>473</v>
      </c>
    </row>
    <row r="122" spans="1:15" x14ac:dyDescent="0.3">
      <c r="A122" t="s">
        <v>713</v>
      </c>
      <c r="B122" t="s">
        <v>714</v>
      </c>
      <c r="C122" s="117">
        <v>474</v>
      </c>
      <c r="D122" t="s">
        <v>692</v>
      </c>
      <c r="E122">
        <v>22000</v>
      </c>
      <c r="I122">
        <v>474</v>
      </c>
    </row>
    <row r="123" spans="1:15" x14ac:dyDescent="0.3">
      <c r="A123" t="s">
        <v>606</v>
      </c>
      <c r="B123" t="s">
        <v>726</v>
      </c>
      <c r="C123" s="117">
        <v>474</v>
      </c>
      <c r="D123" t="s">
        <v>693</v>
      </c>
      <c r="E123">
        <v>32000</v>
      </c>
      <c r="K123">
        <v>474</v>
      </c>
    </row>
    <row r="124" spans="1:15" x14ac:dyDescent="0.3">
      <c r="A124" t="s">
        <v>713</v>
      </c>
      <c r="B124" t="s">
        <v>714</v>
      </c>
      <c r="C124" s="117">
        <v>475</v>
      </c>
      <c r="D124" t="s">
        <v>691</v>
      </c>
      <c r="E124">
        <v>50000</v>
      </c>
      <c r="I124">
        <v>475</v>
      </c>
    </row>
    <row r="125" spans="1:15" x14ac:dyDescent="0.3">
      <c r="A125" t="s">
        <v>606</v>
      </c>
      <c r="B125" t="s">
        <v>726</v>
      </c>
      <c r="C125" s="117">
        <v>475</v>
      </c>
      <c r="D125" t="s">
        <v>693</v>
      </c>
      <c r="E125">
        <v>32000</v>
      </c>
      <c r="L125">
        <v>475</v>
      </c>
    </row>
    <row r="126" spans="1:15" x14ac:dyDescent="0.3">
      <c r="A126" t="s">
        <v>606</v>
      </c>
      <c r="B126" t="s">
        <v>726</v>
      </c>
      <c r="C126" s="117">
        <v>476</v>
      </c>
      <c r="D126" t="s">
        <v>694</v>
      </c>
      <c r="E126">
        <v>107800</v>
      </c>
      <c r="F126">
        <v>476</v>
      </c>
    </row>
    <row r="127" spans="1:15" x14ac:dyDescent="0.3">
      <c r="A127" t="s">
        <v>615</v>
      </c>
      <c r="B127" t="s">
        <v>714</v>
      </c>
      <c r="C127" s="117">
        <v>476</v>
      </c>
      <c r="D127" t="s">
        <v>686</v>
      </c>
      <c r="E127">
        <v>5800</v>
      </c>
      <c r="I127">
        <v>476</v>
      </c>
    </row>
    <row r="128" spans="1:15" x14ac:dyDescent="0.3">
      <c r="A128" t="s">
        <v>606</v>
      </c>
      <c r="B128" t="s">
        <v>726</v>
      </c>
      <c r="C128" s="117">
        <v>477</v>
      </c>
      <c r="D128" t="s">
        <v>694</v>
      </c>
      <c r="E128">
        <v>107800</v>
      </c>
      <c r="K128">
        <v>477</v>
      </c>
    </row>
    <row r="129" spans="1:9" x14ac:dyDescent="0.3">
      <c r="A129" t="s">
        <v>615</v>
      </c>
      <c r="B129" t="s">
        <v>714</v>
      </c>
      <c r="C129" s="117">
        <v>477</v>
      </c>
      <c r="D129" t="s">
        <v>688</v>
      </c>
      <c r="E129">
        <v>9500</v>
      </c>
      <c r="I129">
        <v>477</v>
      </c>
    </row>
    <row r="130" spans="1:9" x14ac:dyDescent="0.3">
      <c r="A130" t="s">
        <v>615</v>
      </c>
      <c r="B130" t="s">
        <v>714</v>
      </c>
      <c r="C130" s="117">
        <v>478</v>
      </c>
      <c r="D130" t="s">
        <v>692</v>
      </c>
      <c r="E130">
        <v>22000</v>
      </c>
      <c r="I130">
        <v>478</v>
      </c>
    </row>
    <row r="131" spans="1:9" x14ac:dyDescent="0.3">
      <c r="A131" t="s">
        <v>615</v>
      </c>
      <c r="B131" t="s">
        <v>714</v>
      </c>
      <c r="C131" s="117">
        <v>479</v>
      </c>
      <c r="D131" t="s">
        <v>691</v>
      </c>
      <c r="E131">
        <v>50000</v>
      </c>
      <c r="I131">
        <v>479</v>
      </c>
    </row>
    <row r="132" spans="1:9" x14ac:dyDescent="0.3">
      <c r="A132" t="s">
        <v>615</v>
      </c>
      <c r="B132" t="s">
        <v>726</v>
      </c>
      <c r="C132" s="117">
        <v>479</v>
      </c>
      <c r="D132" t="s">
        <v>687</v>
      </c>
      <c r="E132">
        <v>12000</v>
      </c>
      <c r="F132">
        <v>479</v>
      </c>
    </row>
    <row r="133" spans="1:9" x14ac:dyDescent="0.3">
      <c r="A133" t="s">
        <v>615</v>
      </c>
      <c r="B133" t="s">
        <v>726</v>
      </c>
      <c r="C133" s="117">
        <v>480</v>
      </c>
      <c r="D133" t="s">
        <v>687</v>
      </c>
      <c r="E133">
        <v>12000</v>
      </c>
      <c r="G133">
        <v>480</v>
      </c>
    </row>
    <row r="134" spans="1:9" x14ac:dyDescent="0.3">
      <c r="A134" t="s">
        <v>615</v>
      </c>
      <c r="B134" t="s">
        <v>726</v>
      </c>
      <c r="C134" s="117">
        <v>481</v>
      </c>
      <c r="D134" t="s">
        <v>693</v>
      </c>
      <c r="E134">
        <v>32000</v>
      </c>
      <c r="F134">
        <v>481</v>
      </c>
    </row>
    <row r="135" spans="1:9" x14ac:dyDescent="0.3">
      <c r="A135" t="s">
        <v>615</v>
      </c>
      <c r="B135" t="s">
        <v>726</v>
      </c>
      <c r="C135" s="117">
        <v>482</v>
      </c>
      <c r="D135" t="s">
        <v>693</v>
      </c>
      <c r="E135">
        <v>32000</v>
      </c>
      <c r="G135">
        <v>482</v>
      </c>
    </row>
    <row r="136" spans="1:9" x14ac:dyDescent="0.3">
      <c r="A136" t="s">
        <v>615</v>
      </c>
      <c r="B136" t="s">
        <v>726</v>
      </c>
      <c r="C136" s="117">
        <v>483</v>
      </c>
      <c r="D136" t="s">
        <v>694</v>
      </c>
      <c r="E136">
        <v>107800</v>
      </c>
      <c r="F136">
        <v>483</v>
      </c>
    </row>
    <row r="137" spans="1:9" x14ac:dyDescent="0.3">
      <c r="A137" t="s">
        <v>615</v>
      </c>
      <c r="B137" t="s">
        <v>726</v>
      </c>
      <c r="C137" s="117">
        <v>484</v>
      </c>
      <c r="D137" t="s">
        <v>694</v>
      </c>
      <c r="E137">
        <v>107800</v>
      </c>
      <c r="G137">
        <v>484</v>
      </c>
    </row>
    <row r="138" spans="1:9" x14ac:dyDescent="0.3">
      <c r="A138" t="s">
        <v>606</v>
      </c>
      <c r="B138" t="s">
        <v>714</v>
      </c>
      <c r="C138" s="117">
        <v>487</v>
      </c>
      <c r="D138" t="s">
        <v>687</v>
      </c>
      <c r="E138">
        <v>9500</v>
      </c>
      <c r="H138">
        <v>487</v>
      </c>
    </row>
    <row r="139" spans="1:9" x14ac:dyDescent="0.3">
      <c r="A139" t="s">
        <v>606</v>
      </c>
      <c r="B139" t="s">
        <v>714</v>
      </c>
      <c r="C139" s="117">
        <v>488</v>
      </c>
      <c r="D139" t="s">
        <v>692</v>
      </c>
      <c r="E139">
        <v>22000</v>
      </c>
      <c r="H139">
        <v>488</v>
      </c>
    </row>
    <row r="140" spans="1:9" x14ac:dyDescent="0.3">
      <c r="A140" t="s">
        <v>606</v>
      </c>
      <c r="B140" t="s">
        <v>714</v>
      </c>
      <c r="C140" s="117">
        <v>489</v>
      </c>
      <c r="D140" t="s">
        <v>691</v>
      </c>
      <c r="E140">
        <v>50000</v>
      </c>
      <c r="H140">
        <v>489</v>
      </c>
    </row>
    <row r="141" spans="1:9" x14ac:dyDescent="0.3">
      <c r="A141" t="s">
        <v>615</v>
      </c>
      <c r="B141" t="s">
        <v>726</v>
      </c>
      <c r="C141" s="117">
        <v>490</v>
      </c>
      <c r="D141" t="s">
        <v>687</v>
      </c>
      <c r="E141">
        <v>12000</v>
      </c>
      <c r="H141">
        <v>490</v>
      </c>
    </row>
    <row r="142" spans="1:9" x14ac:dyDescent="0.3">
      <c r="A142" t="s">
        <v>615</v>
      </c>
      <c r="B142" t="s">
        <v>726</v>
      </c>
      <c r="C142" s="117">
        <v>491</v>
      </c>
      <c r="D142" t="s">
        <v>693</v>
      </c>
      <c r="E142">
        <v>32000</v>
      </c>
      <c r="H142">
        <v>491</v>
      </c>
    </row>
    <row r="143" spans="1:9" x14ac:dyDescent="0.3">
      <c r="A143" t="s">
        <v>615</v>
      </c>
      <c r="B143" t="s">
        <v>714</v>
      </c>
      <c r="C143" s="117">
        <v>492</v>
      </c>
      <c r="D143" t="s">
        <v>686</v>
      </c>
      <c r="E143">
        <v>5800</v>
      </c>
      <c r="H143">
        <v>492</v>
      </c>
    </row>
    <row r="144" spans="1:9" x14ac:dyDescent="0.3">
      <c r="A144" t="s">
        <v>615</v>
      </c>
      <c r="B144" t="s">
        <v>726</v>
      </c>
      <c r="C144" s="117">
        <v>493</v>
      </c>
      <c r="D144" t="s">
        <v>694</v>
      </c>
      <c r="E144">
        <v>107800</v>
      </c>
      <c r="H144">
        <v>493</v>
      </c>
    </row>
    <row r="145" spans="1:10" x14ac:dyDescent="0.3">
      <c r="A145" t="s">
        <v>615</v>
      </c>
      <c r="B145" t="s">
        <v>726</v>
      </c>
      <c r="C145" s="117">
        <v>494</v>
      </c>
      <c r="D145" t="s">
        <v>687</v>
      </c>
      <c r="E145">
        <v>12000</v>
      </c>
      <c r="I145">
        <v>494</v>
      </c>
    </row>
    <row r="146" spans="1:10" x14ac:dyDescent="0.3">
      <c r="A146" t="s">
        <v>615</v>
      </c>
      <c r="B146" t="s">
        <v>726</v>
      </c>
      <c r="C146" s="117">
        <v>495</v>
      </c>
      <c r="D146" t="s">
        <v>693</v>
      </c>
      <c r="E146">
        <v>32000</v>
      </c>
      <c r="I146">
        <v>495</v>
      </c>
    </row>
    <row r="147" spans="1:10" x14ac:dyDescent="0.3">
      <c r="A147" t="s">
        <v>615</v>
      </c>
      <c r="B147" t="s">
        <v>726</v>
      </c>
      <c r="C147" s="117">
        <v>496</v>
      </c>
      <c r="D147" t="s">
        <v>694</v>
      </c>
      <c r="E147">
        <v>107800</v>
      </c>
      <c r="I147">
        <v>496</v>
      </c>
    </row>
    <row r="148" spans="1:10" x14ac:dyDescent="0.3">
      <c r="A148" t="s">
        <v>615</v>
      </c>
      <c r="B148" t="s">
        <v>714</v>
      </c>
      <c r="C148" s="117">
        <v>497</v>
      </c>
      <c r="D148" t="s">
        <v>688</v>
      </c>
      <c r="E148">
        <v>9500</v>
      </c>
      <c r="H148">
        <v>497</v>
      </c>
    </row>
    <row r="149" spans="1:10" x14ac:dyDescent="0.3">
      <c r="A149" t="s">
        <v>615</v>
      </c>
      <c r="B149" t="s">
        <v>714</v>
      </c>
      <c r="C149" s="117">
        <v>498</v>
      </c>
      <c r="D149" t="s">
        <v>692</v>
      </c>
      <c r="E149">
        <v>22000</v>
      </c>
      <c r="H149">
        <v>498</v>
      </c>
    </row>
    <row r="150" spans="1:10" x14ac:dyDescent="0.3">
      <c r="A150" t="s">
        <v>615</v>
      </c>
      <c r="B150" t="s">
        <v>714</v>
      </c>
      <c r="C150" s="117">
        <v>499</v>
      </c>
      <c r="D150" t="s">
        <v>691</v>
      </c>
      <c r="E150">
        <v>50000</v>
      </c>
      <c r="H150">
        <v>499</v>
      </c>
    </row>
    <row r="151" spans="1:10" x14ac:dyDescent="0.3">
      <c r="A151" t="s">
        <v>727</v>
      </c>
      <c r="C151" s="117">
        <v>900</v>
      </c>
      <c r="J151">
        <v>900</v>
      </c>
    </row>
    <row r="152" spans="1:10" x14ac:dyDescent="0.3">
      <c r="A152" t="s">
        <v>728</v>
      </c>
      <c r="C152" s="117">
        <v>901</v>
      </c>
      <c r="J152">
        <v>901</v>
      </c>
    </row>
    <row r="153" spans="1:10" x14ac:dyDescent="0.3">
      <c r="A153" t="s">
        <v>729</v>
      </c>
      <c r="C153" s="117">
        <v>902</v>
      </c>
      <c r="J153">
        <v>902</v>
      </c>
    </row>
    <row r="154" spans="1:10" x14ac:dyDescent="0.3">
      <c r="A154" t="s">
        <v>730</v>
      </c>
      <c r="C154" s="117">
        <v>950</v>
      </c>
      <c r="J154">
        <v>950</v>
      </c>
    </row>
    <row r="155" spans="1:10" x14ac:dyDescent="0.3">
      <c r="A155" t="s">
        <v>731</v>
      </c>
      <c r="C155" s="117">
        <v>951</v>
      </c>
      <c r="J155">
        <v>951</v>
      </c>
    </row>
    <row r="156" spans="1:10" x14ac:dyDescent="0.3">
      <c r="A156" t="s">
        <v>732</v>
      </c>
      <c r="C156" s="117">
        <v>956</v>
      </c>
      <c r="G156">
        <v>956</v>
      </c>
    </row>
    <row r="157" spans="1:10" x14ac:dyDescent="0.3">
      <c r="A157" t="s">
        <v>733</v>
      </c>
      <c r="C157" s="117">
        <v>958</v>
      </c>
      <c r="J157">
        <v>958</v>
      </c>
    </row>
  </sheetData>
  <autoFilter ref="A3:O157">
    <sortState ref="A4:O157">
      <sortCondition ref="C4:C157"/>
    </sortState>
  </autoFilter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view="pageBreakPreview" zoomScale="60" zoomScaleNormal="100" workbookViewId="0">
      <selection activeCell="C38" sqref="C38"/>
    </sheetView>
  </sheetViews>
  <sheetFormatPr defaultRowHeight="14.4" x14ac:dyDescent="0.3"/>
  <cols>
    <col min="1" max="1" width="86.6640625" bestFit="1" customWidth="1"/>
    <col min="2" max="2" width="71.88671875" bestFit="1" customWidth="1"/>
    <col min="3" max="3" width="11.109375" bestFit="1" customWidth="1"/>
    <col min="4" max="4" width="15.33203125" bestFit="1" customWidth="1"/>
  </cols>
  <sheetData>
    <row r="1" spans="1:2" ht="16.2" x14ac:dyDescent="0.45">
      <c r="A1" s="228" t="s">
        <v>1108</v>
      </c>
      <c r="B1" s="228" t="s">
        <v>684</v>
      </c>
    </row>
    <row r="2" spans="1:2" ht="33.75" customHeight="1" x14ac:dyDescent="0.3">
      <c r="A2" t="s">
        <v>1099</v>
      </c>
      <c r="B2" t="s">
        <v>1098</v>
      </c>
    </row>
    <row r="3" spans="1:2" ht="33.75" customHeight="1" x14ac:dyDescent="0.3">
      <c r="A3" t="s">
        <v>1100</v>
      </c>
      <c r="B3" t="s">
        <v>1101</v>
      </c>
    </row>
    <row r="4" spans="1:2" ht="33.75" customHeight="1" x14ac:dyDescent="0.3">
      <c r="A4" t="s">
        <v>1102</v>
      </c>
      <c r="B4" t="s">
        <v>1114</v>
      </c>
    </row>
    <row r="5" spans="1:2" ht="33.75" customHeight="1" x14ac:dyDescent="0.3">
      <c r="A5" t="s">
        <v>1103</v>
      </c>
      <c r="B5" t="s">
        <v>1115</v>
      </c>
    </row>
    <row r="6" spans="1:2" ht="33.75" customHeight="1" x14ac:dyDescent="0.3">
      <c r="A6" t="s">
        <v>1104</v>
      </c>
      <c r="B6" t="s">
        <v>1116</v>
      </c>
    </row>
    <row r="7" spans="1:2" ht="33.75" customHeight="1" x14ac:dyDescent="0.3">
      <c r="A7" t="s">
        <v>1105</v>
      </c>
      <c r="B7" t="s">
        <v>1117</v>
      </c>
    </row>
    <row r="8" spans="1:2" ht="33.75" customHeight="1" x14ac:dyDescent="0.3">
      <c r="A8" t="s">
        <v>1106</v>
      </c>
      <c r="B8" t="s">
        <v>1114</v>
      </c>
    </row>
    <row r="9" spans="1:2" ht="33.75" customHeight="1" x14ac:dyDescent="0.3">
      <c r="A9" t="s">
        <v>1107</v>
      </c>
      <c r="B9" t="s">
        <v>1114</v>
      </c>
    </row>
    <row r="10" spans="1:2" ht="33.75" customHeight="1" x14ac:dyDescent="0.3">
      <c r="A10" t="s">
        <v>1109</v>
      </c>
      <c r="B10" t="s">
        <v>1117</v>
      </c>
    </row>
    <row r="11" spans="1:2" ht="33.75" customHeight="1" x14ac:dyDescent="0.3">
      <c r="A11" t="s">
        <v>1110</v>
      </c>
      <c r="B11" t="s">
        <v>1117</v>
      </c>
    </row>
    <row r="12" spans="1:2" ht="33.75" customHeight="1" x14ac:dyDescent="0.3">
      <c r="A12" t="s">
        <v>1111</v>
      </c>
      <c r="B12" s="98" t="s">
        <v>1118</v>
      </c>
    </row>
    <row r="13" spans="1:2" x14ac:dyDescent="0.3">
      <c r="A13" s="128"/>
    </row>
  </sheetData>
  <pageMargins left="0.7" right="0.7" top="0.75" bottom="0.75" header="0.3" footer="0.3"/>
  <pageSetup scale="57" orientation="portrait" r:id="rId1"/>
  <headerFooter>
    <oddHeader>&amp;R&amp;"times,Bold"&amp;12Attachment to Response to LFUCG-2 Question No. 4 - Att  7
&amp;P of &amp;N
Malloy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4"/>
  <sheetViews>
    <sheetView showGridLines="0" workbookViewId="0">
      <selection activeCell="C38" sqref="C38"/>
    </sheetView>
  </sheetViews>
  <sheetFormatPr defaultRowHeight="14.4" x14ac:dyDescent="0.3"/>
  <cols>
    <col min="1" max="1" width="13" customWidth="1"/>
    <col min="2" max="2" width="16" customWidth="1"/>
    <col min="3" max="3" width="15" bestFit="1" customWidth="1"/>
    <col min="4" max="4" width="12.44140625" customWidth="1"/>
    <col min="5" max="5" width="13.33203125" customWidth="1"/>
    <col min="6" max="8" width="11.5546875" bestFit="1" customWidth="1"/>
    <col min="9" max="9" width="14.33203125" customWidth="1"/>
    <col min="10" max="10" width="15" customWidth="1"/>
    <col min="11" max="11" width="16.6640625" customWidth="1"/>
    <col min="12" max="12" width="15.33203125" bestFit="1" customWidth="1"/>
    <col min="13" max="13" width="20.88671875" bestFit="1" customWidth="1"/>
  </cols>
  <sheetData>
    <row r="1" spans="1:14" x14ac:dyDescent="0.3">
      <c r="A1" s="1" t="s">
        <v>0</v>
      </c>
    </row>
    <row r="2" spans="1:14" x14ac:dyDescent="0.3">
      <c r="A2" s="1" t="s">
        <v>1</v>
      </c>
    </row>
    <row r="3" spans="1:14" x14ac:dyDescent="0.3">
      <c r="A3" s="1" t="s">
        <v>2</v>
      </c>
    </row>
    <row r="4" spans="1:14" x14ac:dyDescent="0.3">
      <c r="A4" s="1" t="s">
        <v>3</v>
      </c>
    </row>
    <row r="6" spans="1:14" s="1" customFormat="1" ht="43.2" x14ac:dyDescent="0.3">
      <c r="C6" s="275" t="s">
        <v>4</v>
      </c>
      <c r="D6" s="275"/>
      <c r="E6" s="275"/>
      <c r="F6" s="276" t="s">
        <v>5</v>
      </c>
      <c r="G6" s="276"/>
      <c r="H6" s="276"/>
      <c r="I6" s="66" t="s">
        <v>161</v>
      </c>
      <c r="N6"/>
    </row>
    <row r="7" spans="1:14" s="1" customFormat="1" x14ac:dyDescent="0.3">
      <c r="A7" s="2" t="s">
        <v>6</v>
      </c>
      <c r="B7" s="2" t="s">
        <v>7</v>
      </c>
      <c r="C7" s="3">
        <v>2013</v>
      </c>
      <c r="D7" s="3">
        <v>2014</v>
      </c>
      <c r="E7" s="3">
        <v>2015</v>
      </c>
      <c r="F7" s="4">
        <v>2016</v>
      </c>
      <c r="G7" s="4">
        <v>2017</v>
      </c>
      <c r="H7" s="4">
        <v>2018</v>
      </c>
      <c r="I7" s="2"/>
      <c r="N7"/>
    </row>
    <row r="8" spans="1:14" x14ac:dyDescent="0.3">
      <c r="A8" s="5" t="s">
        <v>8</v>
      </c>
      <c r="B8" s="6" t="s">
        <v>9</v>
      </c>
      <c r="C8" s="70">
        <f>914+467</f>
        <v>1381</v>
      </c>
      <c r="D8" s="70">
        <f>70+1003</f>
        <v>1073</v>
      </c>
      <c r="E8" s="70">
        <f>17+1217</f>
        <v>1234</v>
      </c>
      <c r="F8" s="70">
        <v>1518</v>
      </c>
      <c r="G8" s="70">
        <v>1558</v>
      </c>
      <c r="H8" s="70">
        <v>1580</v>
      </c>
      <c r="I8" s="70">
        <f>AVERAGE(C8:H8)</f>
        <v>1390.6666666666667</v>
      </c>
    </row>
    <row r="9" spans="1:14" x14ac:dyDescent="0.3">
      <c r="A9" s="6" t="s">
        <v>10</v>
      </c>
      <c r="B9" s="6" t="s">
        <v>11</v>
      </c>
      <c r="C9" s="70">
        <f>3339+2080</f>
        <v>5419</v>
      </c>
      <c r="D9" s="70">
        <f>671+5038</f>
        <v>5709</v>
      </c>
      <c r="E9" s="70">
        <f>6092</f>
        <v>6092</v>
      </c>
      <c r="F9" s="70">
        <v>6061</v>
      </c>
      <c r="G9" s="70">
        <v>6364</v>
      </c>
      <c r="H9" s="70">
        <v>6681</v>
      </c>
      <c r="I9" s="70">
        <f>AVERAGE(C9:H9)</f>
        <v>6054.333333333333</v>
      </c>
    </row>
    <row r="10" spans="1:14" x14ac:dyDescent="0.3">
      <c r="A10" s="6" t="s">
        <v>10</v>
      </c>
      <c r="B10" s="6" t="s">
        <v>9</v>
      </c>
      <c r="C10" s="70">
        <f>1753+4638</f>
        <v>6391</v>
      </c>
      <c r="D10" s="70">
        <f>586+5952</f>
        <v>6538</v>
      </c>
      <c r="E10" s="70">
        <v>7033</v>
      </c>
      <c r="F10" s="70">
        <v>6702</v>
      </c>
      <c r="G10" s="70">
        <v>6904</v>
      </c>
      <c r="H10" s="70">
        <v>7112</v>
      </c>
      <c r="I10" s="70">
        <f>AVERAGE(C10:H10)</f>
        <v>6780</v>
      </c>
    </row>
    <row r="11" spans="1:14" s="1" customFormat="1" x14ac:dyDescent="0.3">
      <c r="A11" s="2" t="s">
        <v>12</v>
      </c>
      <c r="B11" s="2"/>
      <c r="C11" s="71">
        <f t="shared" ref="C11:I11" si="0">SUM(C8:C10)</f>
        <v>13191</v>
      </c>
      <c r="D11" s="71">
        <f t="shared" si="0"/>
        <v>13320</v>
      </c>
      <c r="E11" s="71">
        <f t="shared" si="0"/>
        <v>14359</v>
      </c>
      <c r="F11" s="71">
        <f t="shared" si="0"/>
        <v>14281</v>
      </c>
      <c r="G11" s="71">
        <f t="shared" si="0"/>
        <v>14826</v>
      </c>
      <c r="H11" s="71">
        <f t="shared" si="0"/>
        <v>15373</v>
      </c>
      <c r="I11" s="71">
        <f t="shared" si="0"/>
        <v>14225</v>
      </c>
      <c r="N11"/>
    </row>
    <row r="12" spans="1:14" x14ac:dyDescent="0.3">
      <c r="A12" s="64"/>
    </row>
    <row r="13" spans="1:14" ht="24.75" customHeight="1" x14ac:dyDescent="0.3"/>
    <row r="14" spans="1:14" ht="23.25" customHeight="1" x14ac:dyDescent="0.3"/>
  </sheetData>
  <mergeCells count="2">
    <mergeCell ref="C6:E6"/>
    <mergeCell ref="F6:H6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L49"/>
  <sheetViews>
    <sheetView zoomScaleNormal="100" workbookViewId="0">
      <selection activeCell="C38" sqref="C38"/>
    </sheetView>
  </sheetViews>
  <sheetFormatPr defaultRowHeight="14.4" x14ac:dyDescent="0.3"/>
  <cols>
    <col min="2" max="3" width="18.109375" customWidth="1"/>
    <col min="4" max="4" width="4.5546875" bestFit="1" customWidth="1"/>
    <col min="5" max="5" width="16.33203125" bestFit="1" customWidth="1"/>
    <col min="6" max="6" width="21" bestFit="1" customWidth="1"/>
    <col min="7" max="7" width="17.6640625" bestFit="1" customWidth="1"/>
    <col min="8" max="8" width="23.88671875" customWidth="1"/>
    <col min="9" max="9" width="20.33203125" customWidth="1"/>
    <col min="10" max="10" width="16.33203125" bestFit="1" customWidth="1"/>
  </cols>
  <sheetData>
    <row r="3" spans="2:12" x14ac:dyDescent="0.3">
      <c r="B3" s="7" t="s">
        <v>162</v>
      </c>
      <c r="C3" s="7"/>
      <c r="D3" s="7"/>
      <c r="E3" s="7"/>
      <c r="F3" s="8"/>
    </row>
    <row r="4" spans="2:12" x14ac:dyDescent="0.3">
      <c r="B4" s="7"/>
      <c r="C4" s="7"/>
      <c r="D4" s="7"/>
      <c r="E4" s="7"/>
      <c r="F4" s="8"/>
      <c r="J4" s="38" t="s">
        <v>17</v>
      </c>
    </row>
    <row r="5" spans="2:12" ht="16.2" x14ac:dyDescent="0.45">
      <c r="B5" s="67" t="s">
        <v>158</v>
      </c>
      <c r="C5" s="67"/>
      <c r="D5" s="67"/>
      <c r="E5" s="65" t="s">
        <v>156</v>
      </c>
      <c r="F5" s="65" t="s">
        <v>157</v>
      </c>
      <c r="G5" s="145" t="s">
        <v>775</v>
      </c>
      <c r="H5" s="145" t="s">
        <v>776</v>
      </c>
      <c r="J5" s="41" t="s">
        <v>19</v>
      </c>
    </row>
    <row r="6" spans="2:12" x14ac:dyDescent="0.3">
      <c r="B6" s="7" t="s">
        <v>13</v>
      </c>
      <c r="C6" s="64" t="s">
        <v>602</v>
      </c>
      <c r="D6" s="64"/>
      <c r="E6" s="68">
        <f>+'KY_PIS NVB P7 (REG)'!P24</f>
        <v>74195926.450000003</v>
      </c>
      <c r="F6" s="68">
        <f>+'KY_PIS NVB P7 (REG)'!Q24</f>
        <v>4440699.0728000002</v>
      </c>
      <c r="G6">
        <f>1.45749/100</f>
        <v>1.45749E-2</v>
      </c>
      <c r="H6" s="68">
        <f>+E6*G6</f>
        <v>1081398.208416105</v>
      </c>
      <c r="J6" s="184">
        <f>+'KY_PIS NVB P7 (REG)'!L24</f>
        <v>111017476.81999999</v>
      </c>
    </row>
    <row r="7" spans="2:12" x14ac:dyDescent="0.3">
      <c r="B7" s="7" t="s">
        <v>153</v>
      </c>
      <c r="C7" s="64" t="s">
        <v>602</v>
      </c>
      <c r="D7" s="64"/>
      <c r="E7" s="68">
        <f>+'VA_PIS NBV P9 (REG)'!P23</f>
        <v>1970967.9599999995</v>
      </c>
      <c r="F7" s="68">
        <f>+'VA_PIS NBV P9 (REG)'!Q23</f>
        <v>145675.05919999999</v>
      </c>
      <c r="G7">
        <f>1.45749/100</f>
        <v>1.45749E-2</v>
      </c>
      <c r="H7" s="68">
        <f>+E7*G7</f>
        <v>28726.660920203994</v>
      </c>
      <c r="J7" s="184">
        <f>+'VA_PIS NBV P9 (REG)'!L23</f>
        <v>3641876.4799999995</v>
      </c>
    </row>
    <row r="8" spans="2:12" x14ac:dyDescent="0.3">
      <c r="B8" s="64" t="s">
        <v>154</v>
      </c>
      <c r="C8" s="64" t="s">
        <v>602</v>
      </c>
      <c r="D8" s="64"/>
      <c r="E8" s="68">
        <v>0</v>
      </c>
      <c r="F8" s="68">
        <v>0</v>
      </c>
      <c r="H8" s="68"/>
    </row>
    <row r="9" spans="2:12" x14ac:dyDescent="0.3">
      <c r="B9" s="64" t="s">
        <v>159</v>
      </c>
      <c r="D9" s="246">
        <f>+E9/E15</f>
        <v>0.54690785301140443</v>
      </c>
      <c r="E9" s="69">
        <f>SUM(E6:E8)</f>
        <v>76166894.409999996</v>
      </c>
      <c r="F9" s="69">
        <f>SUM(F6:F8)</f>
        <v>4586374.1320000002</v>
      </c>
      <c r="H9" s="69">
        <f>SUM(H6:H8)</f>
        <v>1110124.8693363089</v>
      </c>
      <c r="I9" s="248"/>
      <c r="J9" s="69">
        <f>SUM(J6:J8)</f>
        <v>114659353.3</v>
      </c>
      <c r="K9" s="247">
        <f>+F9/J9</f>
        <v>0.04</v>
      </c>
      <c r="L9" s="247">
        <f>+J9/$J$15*K9</f>
        <v>2.1388741697432146E-2</v>
      </c>
    </row>
    <row r="10" spans="2:12" x14ac:dyDescent="0.3">
      <c r="B10" s="7"/>
      <c r="C10" s="7"/>
      <c r="D10" s="7"/>
      <c r="E10" s="68"/>
      <c r="F10" s="250"/>
      <c r="H10" s="68"/>
      <c r="I10" s="248"/>
      <c r="K10" s="252"/>
      <c r="L10" s="247"/>
    </row>
    <row r="11" spans="2:12" x14ac:dyDescent="0.3">
      <c r="B11" s="64" t="s">
        <v>155</v>
      </c>
      <c r="C11" s="64" t="s">
        <v>602</v>
      </c>
      <c r="D11" s="246">
        <f>+E11/E15</f>
        <v>0.2309950828860371</v>
      </c>
      <c r="E11" s="68">
        <f>+'Total Elec PIS_NBV-P11 (Reg)'!P24</f>
        <v>32170278.759999998</v>
      </c>
      <c r="F11" s="68">
        <f>+'Total Elec PIS_NBV-P11 (Reg)'!Q24</f>
        <v>1681192.8233159999</v>
      </c>
      <c r="G11" s="237">
        <f>1.676508/100</f>
        <v>1.6765080000000002E-2</v>
      </c>
      <c r="H11" s="68">
        <f>+E11*G11</f>
        <v>539337.29703370086</v>
      </c>
      <c r="I11" s="248"/>
      <c r="J11" s="184">
        <f>+'Total Elec PIS_NBV-P11 (Reg)'!L24</f>
        <v>42347426.280000001</v>
      </c>
      <c r="K11" s="247">
        <f>+F11/J11</f>
        <v>3.9699999999999999E-2</v>
      </c>
      <c r="L11" s="247">
        <f t="shared" ref="L11:L12" si="0">+J11/$J$15*K11</f>
        <v>7.8403108875467996E-3</v>
      </c>
    </row>
    <row r="12" spans="2:12" x14ac:dyDescent="0.3">
      <c r="B12" s="64"/>
      <c r="C12" s="64" t="s">
        <v>609</v>
      </c>
      <c r="D12" s="246">
        <f>+E12/E15</f>
        <v>0.22209706410255853</v>
      </c>
      <c r="E12" s="68">
        <f>+'Total Elec PIS_NBV-P11 (Reg)'!P25</f>
        <v>30931067.340000007</v>
      </c>
      <c r="F12" s="68">
        <f>+'Total Elec PIS_NBV-P11 (Reg)'!Q25</f>
        <v>1975336.6677200005</v>
      </c>
      <c r="G12">
        <f>1.19632/100</f>
        <v>1.19632E-2</v>
      </c>
      <c r="H12" s="68">
        <f>+E12*G12</f>
        <v>370034.54480188811</v>
      </c>
      <c r="I12" s="248"/>
      <c r="J12" s="184">
        <f>+'Total Elec PIS_NBV-P11 (Reg)'!L25</f>
        <v>57422577.550000012</v>
      </c>
      <c r="K12" s="247">
        <f>+F12/J12</f>
        <v>3.44E-2</v>
      </c>
      <c r="L12" s="247">
        <f t="shared" si="0"/>
        <v>9.2120626305960164E-3</v>
      </c>
    </row>
    <row r="13" spans="2:12" x14ac:dyDescent="0.3">
      <c r="B13" s="64" t="s">
        <v>12</v>
      </c>
      <c r="C13" s="64"/>
      <c r="D13" s="246"/>
      <c r="E13" s="69">
        <f>SUM(E11:E12)</f>
        <v>63101346.100000009</v>
      </c>
      <c r="F13" s="69">
        <f>SUM(F11:F12)</f>
        <v>3656529.4910360007</v>
      </c>
      <c r="H13" s="69">
        <f>SUM(H11:H12)</f>
        <v>909371.84183558892</v>
      </c>
      <c r="I13" s="248"/>
      <c r="J13" s="69">
        <f>SUM(J11:J12)</f>
        <v>99770003.830000013</v>
      </c>
      <c r="L13" s="253">
        <f>SUM(L11:L12)</f>
        <v>1.7052373518142816E-2</v>
      </c>
    </row>
    <row r="14" spans="2:12" x14ac:dyDescent="0.3">
      <c r="B14" s="7"/>
      <c r="C14" s="7"/>
      <c r="D14" s="246"/>
      <c r="E14" s="68"/>
      <c r="F14" s="68"/>
      <c r="H14" s="68"/>
      <c r="I14" s="248"/>
      <c r="L14" s="247"/>
    </row>
    <row r="15" spans="2:12" x14ac:dyDescent="0.3">
      <c r="B15" s="64" t="s">
        <v>160</v>
      </c>
      <c r="C15" s="64"/>
      <c r="D15" s="246"/>
      <c r="E15" s="69">
        <f>+E9+E13</f>
        <v>139268240.50999999</v>
      </c>
      <c r="F15" s="69">
        <f>+F9+F13</f>
        <v>8242903.6230360009</v>
      </c>
      <c r="H15" s="69">
        <f>+H9+H13</f>
        <v>2019496.7111718978</v>
      </c>
      <c r="J15" s="69">
        <f>+J9+J13</f>
        <v>214429357.13</v>
      </c>
      <c r="L15" s="253">
        <f>+L9+L13</f>
        <v>3.8441115215574959E-2</v>
      </c>
    </row>
    <row r="16" spans="2:12" x14ac:dyDescent="0.3">
      <c r="F16" s="247"/>
      <c r="H16" s="249">
        <f>+H15/E15</f>
        <v>1.450076990831869E-2</v>
      </c>
      <c r="I16" s="128"/>
    </row>
    <row r="20" spans="2:2" x14ac:dyDescent="0.3">
      <c r="B20" s="146"/>
    </row>
    <row r="21" spans="2:2" x14ac:dyDescent="0.3">
      <c r="B21" s="146"/>
    </row>
    <row r="22" spans="2:2" x14ac:dyDescent="0.3">
      <c r="B22" s="146"/>
    </row>
    <row r="23" spans="2:2" x14ac:dyDescent="0.3">
      <c r="B23" s="146"/>
    </row>
    <row r="24" spans="2:2" x14ac:dyDescent="0.3">
      <c r="B24" s="147" t="s">
        <v>1121</v>
      </c>
    </row>
    <row r="25" spans="2:2" x14ac:dyDescent="0.3">
      <c r="B25" s="146"/>
    </row>
    <row r="26" spans="2:2" x14ac:dyDescent="0.3">
      <c r="B26" s="146" t="s">
        <v>777</v>
      </c>
    </row>
    <row r="27" spans="2:2" x14ac:dyDescent="0.3">
      <c r="B27" s="146"/>
    </row>
    <row r="28" spans="2:2" x14ac:dyDescent="0.3">
      <c r="B28" s="146" t="s">
        <v>778</v>
      </c>
    </row>
    <row r="29" spans="2:2" x14ac:dyDescent="0.3">
      <c r="B29" s="146"/>
    </row>
    <row r="30" spans="2:2" x14ac:dyDescent="0.3">
      <c r="B30" s="146" t="s">
        <v>779</v>
      </c>
    </row>
    <row r="31" spans="2:2" x14ac:dyDescent="0.3">
      <c r="B31" s="146"/>
    </row>
    <row r="32" spans="2:2" x14ac:dyDescent="0.3">
      <c r="B32" s="146" t="s">
        <v>780</v>
      </c>
    </row>
    <row r="33" spans="2:2" x14ac:dyDescent="0.3">
      <c r="B33" s="146"/>
    </row>
    <row r="34" spans="2:2" x14ac:dyDescent="0.3">
      <c r="B34" s="147" t="s">
        <v>1122</v>
      </c>
    </row>
    <row r="35" spans="2:2" x14ac:dyDescent="0.3">
      <c r="B35" s="146"/>
    </row>
    <row r="36" spans="2:2" x14ac:dyDescent="0.3">
      <c r="B36" s="146" t="s">
        <v>781</v>
      </c>
    </row>
    <row r="37" spans="2:2" x14ac:dyDescent="0.3">
      <c r="B37" s="146"/>
    </row>
    <row r="38" spans="2:2" x14ac:dyDescent="0.3">
      <c r="B38" s="146" t="s">
        <v>782</v>
      </c>
    </row>
    <row r="39" spans="2:2" x14ac:dyDescent="0.3">
      <c r="B39" s="146"/>
    </row>
    <row r="40" spans="2:2" x14ac:dyDescent="0.3">
      <c r="B40" s="146" t="s">
        <v>783</v>
      </c>
    </row>
    <row r="41" spans="2:2" x14ac:dyDescent="0.3">
      <c r="B41" s="146"/>
    </row>
    <row r="42" spans="2:2" x14ac:dyDescent="0.3">
      <c r="B42" s="146"/>
    </row>
    <row r="43" spans="2:2" x14ac:dyDescent="0.3">
      <c r="B43" s="146"/>
    </row>
    <row r="44" spans="2:2" x14ac:dyDescent="0.3">
      <c r="B44" s="146"/>
    </row>
    <row r="45" spans="2:2" x14ac:dyDescent="0.3">
      <c r="B45" s="146"/>
    </row>
    <row r="46" spans="2:2" x14ac:dyDescent="0.3">
      <c r="B46" s="146"/>
    </row>
    <row r="47" spans="2:2" x14ac:dyDescent="0.3">
      <c r="B47" s="146"/>
    </row>
    <row r="48" spans="2:2" x14ac:dyDescent="0.3">
      <c r="B48" s="146"/>
    </row>
    <row r="49" spans="2:2" x14ac:dyDescent="0.3">
      <c r="B49" s="146"/>
    </row>
  </sheetData>
  <pageMargins left="0.7" right="0.7" top="0.75" bottom="0.75" header="0.3" footer="0.3"/>
  <pageSetup scale="76" fitToHeight="0" orientation="portrait" r:id="rId1"/>
  <headerFooter>
    <oddHeader>&amp;R&amp;"times,Bold"&amp;12Attachment to Response to LFUCG-2 Question No. 4 - Att  7
&amp;P of &amp;N
Malloy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F27"/>
  <sheetViews>
    <sheetView showGridLines="0" zoomScaleNormal="100" workbookViewId="0">
      <selection activeCell="C38" sqref="C38"/>
    </sheetView>
  </sheetViews>
  <sheetFormatPr defaultRowHeight="14.4" x14ac:dyDescent="0.3"/>
  <cols>
    <col min="2" max="2" width="66.33203125" customWidth="1"/>
    <col min="3" max="3" width="13.44140625" style="94" bestFit="1" customWidth="1"/>
    <col min="4" max="4" width="13.6640625" style="94" bestFit="1" customWidth="1"/>
    <col min="5" max="5" width="13.6640625" bestFit="1" customWidth="1"/>
    <col min="6" max="6" width="15" bestFit="1" customWidth="1"/>
  </cols>
  <sheetData>
    <row r="1" spans="2:5" ht="30" customHeight="1" x14ac:dyDescent="0.3">
      <c r="B1" s="278"/>
      <c r="C1" s="278"/>
      <c r="D1" s="278"/>
      <c r="E1" s="278"/>
    </row>
    <row r="2" spans="2:5" ht="32.25" customHeight="1" x14ac:dyDescent="0.45">
      <c r="C2" s="65" t="s">
        <v>773</v>
      </c>
      <c r="D2" s="277" t="s">
        <v>768</v>
      </c>
      <c r="E2" s="277"/>
    </row>
    <row r="3" spans="2:5" ht="32.4" x14ac:dyDescent="0.45">
      <c r="D3" s="244" t="s">
        <v>766</v>
      </c>
      <c r="E3" s="238" t="s">
        <v>767</v>
      </c>
    </row>
    <row r="4" spans="2:5" ht="16.2" x14ac:dyDescent="0.45">
      <c r="B4" s="138"/>
      <c r="C4" s="137" t="s">
        <v>565</v>
      </c>
      <c r="D4" s="239" t="s">
        <v>565</v>
      </c>
      <c r="E4" s="137" t="s">
        <v>565</v>
      </c>
    </row>
    <row r="5" spans="2:5" ht="15" customHeight="1" x14ac:dyDescent="0.45">
      <c r="B5" t="s">
        <v>1085</v>
      </c>
      <c r="C5" s="137"/>
      <c r="D5" s="239"/>
      <c r="E5" s="137"/>
    </row>
    <row r="6" spans="2:5" ht="15" customHeight="1" x14ac:dyDescent="0.3">
      <c r="B6" t="s">
        <v>1081</v>
      </c>
      <c r="C6" s="94">
        <f>+'Revenue with Month -slide 8,22'!BD208</f>
        <v>56177171.060000002</v>
      </c>
      <c r="D6" s="240">
        <v>0</v>
      </c>
      <c r="E6" s="94">
        <v>0</v>
      </c>
    </row>
    <row r="7" spans="2:5" x14ac:dyDescent="0.3">
      <c r="B7" t="s">
        <v>1082</v>
      </c>
      <c r="C7" s="94">
        <v>0</v>
      </c>
      <c r="D7" s="240">
        <f>+'Revenue with Month -slide 8,22'!BC216</f>
        <v>16562311.123419998</v>
      </c>
      <c r="E7" s="94">
        <f>+D7</f>
        <v>16562311.123419998</v>
      </c>
    </row>
    <row r="8" spans="2:5" x14ac:dyDescent="0.3">
      <c r="B8" t="s">
        <v>1083</v>
      </c>
      <c r="C8" s="94">
        <v>0</v>
      </c>
      <c r="D8" s="240">
        <v>0</v>
      </c>
      <c r="E8" s="94">
        <f>+'Expense- slide 8,22'!F10*1000+('Expense- slide 8,22'!F8*1000)</f>
        <v>8220000</v>
      </c>
    </row>
    <row r="9" spans="2:5" x14ac:dyDescent="0.3">
      <c r="B9" t="s">
        <v>1077</v>
      </c>
      <c r="C9" s="95">
        <f>SUM(C6:C8)</f>
        <v>56177171.060000002</v>
      </c>
      <c r="D9" s="241">
        <f t="shared" ref="D9:E9" si="0">SUM(D6:D8)</f>
        <v>16562311.123419998</v>
      </c>
      <c r="E9" s="95">
        <f t="shared" si="0"/>
        <v>24782311.12342</v>
      </c>
    </row>
    <row r="10" spans="2:5" x14ac:dyDescent="0.3">
      <c r="D10" s="240"/>
    </row>
    <row r="11" spans="2:5" x14ac:dyDescent="0.3">
      <c r="B11" t="s">
        <v>1084</v>
      </c>
      <c r="D11" s="240"/>
    </row>
    <row r="12" spans="2:5" x14ac:dyDescent="0.3">
      <c r="B12" t="s">
        <v>1086</v>
      </c>
      <c r="C12" s="136">
        <f>-+'Revenue with Month -slide 8,22'!BC208*'Energy Savings -slide 8,22'!D4</f>
        <v>-6465266.235104166</v>
      </c>
      <c r="D12" s="242">
        <f>+C12</f>
        <v>-6465266.235104166</v>
      </c>
      <c r="E12" s="136">
        <f>+C12</f>
        <v>-6465266.235104166</v>
      </c>
    </row>
    <row r="13" spans="2:5" x14ac:dyDescent="0.3">
      <c r="B13" t="s">
        <v>1087</v>
      </c>
      <c r="C13" s="136">
        <f>-'Plant Data - slide 8,22'!H15</f>
        <v>-2019496.7111718978</v>
      </c>
      <c r="D13" s="242">
        <v>0</v>
      </c>
      <c r="E13" s="136">
        <v>0</v>
      </c>
    </row>
    <row r="14" spans="2:5" x14ac:dyDescent="0.3">
      <c r="B14" s="98" t="s">
        <v>1088</v>
      </c>
      <c r="C14" s="136">
        <f>-+'Plant Data - slide 8,22'!F15</f>
        <v>-8242903.6230360009</v>
      </c>
      <c r="D14" s="242">
        <v>0</v>
      </c>
      <c r="E14" s="136">
        <v>0</v>
      </c>
    </row>
    <row r="15" spans="2:5" x14ac:dyDescent="0.3">
      <c r="B15" t="s">
        <v>1089</v>
      </c>
      <c r="C15" s="136">
        <f>-'Expense- slide 8,22'!F8*1000</f>
        <v>-1518000</v>
      </c>
      <c r="D15" s="242">
        <v>0</v>
      </c>
      <c r="E15" s="136">
        <f>+C15</f>
        <v>-1518000</v>
      </c>
    </row>
    <row r="16" spans="2:5" x14ac:dyDescent="0.3">
      <c r="B16" s="98" t="s">
        <v>1090</v>
      </c>
      <c r="C16" s="136">
        <v>0</v>
      </c>
      <c r="D16" s="242">
        <v>0</v>
      </c>
      <c r="E16" s="136">
        <f>-'Expense- slide 8,22'!F10*1000</f>
        <v>-6702000</v>
      </c>
    </row>
    <row r="17" spans="2:6" x14ac:dyDescent="0.3">
      <c r="B17" t="s">
        <v>1091</v>
      </c>
      <c r="C17" s="95">
        <f>SUM(C12:C16)</f>
        <v>-18245666.569312066</v>
      </c>
      <c r="D17" s="241">
        <f>SUM(D12:D16)</f>
        <v>-6465266.235104166</v>
      </c>
      <c r="E17" s="95">
        <f>SUM(E12:E16)</f>
        <v>-14685266.235104166</v>
      </c>
    </row>
    <row r="18" spans="2:6" x14ac:dyDescent="0.3">
      <c r="B18" s="98"/>
      <c r="D18" s="243"/>
      <c r="E18" s="121"/>
      <c r="F18" s="221"/>
    </row>
    <row r="19" spans="2:6" x14ac:dyDescent="0.3">
      <c r="B19" t="s">
        <v>765</v>
      </c>
      <c r="C19" s="95">
        <f>+C9+C17</f>
        <v>37931504.490687937</v>
      </c>
      <c r="D19" s="241">
        <f>+D9+D17</f>
        <v>10097044.888315832</v>
      </c>
      <c r="E19" s="95">
        <f>+E9+E17</f>
        <v>10097044.888315834</v>
      </c>
      <c r="F19" s="90"/>
    </row>
    <row r="20" spans="2:6" x14ac:dyDescent="0.3">
      <c r="B20" s="245" t="s">
        <v>1078</v>
      </c>
      <c r="C20" s="122"/>
      <c r="D20" s="122">
        <f>+D19-C19</f>
        <v>-27834459.602372102</v>
      </c>
      <c r="E20" s="121">
        <f>+E19-C19</f>
        <v>-27834459.602372102</v>
      </c>
    </row>
    <row r="22" spans="2:6" x14ac:dyDescent="0.3">
      <c r="B22" s="138" t="s">
        <v>768</v>
      </c>
      <c r="C22" s="139"/>
      <c r="D22" s="139"/>
    </row>
    <row r="23" spans="2:6" x14ac:dyDescent="0.3">
      <c r="B23" t="s">
        <v>1079</v>
      </c>
      <c r="C23" s="94">
        <v>0</v>
      </c>
      <c r="D23" s="240">
        <f>+'Plant Data - slide 8,22'!E15</f>
        <v>139268240.50999999</v>
      </c>
      <c r="E23" s="94">
        <f>+D23:D23</f>
        <v>139268240.50999999</v>
      </c>
    </row>
    <row r="24" spans="2:6" x14ac:dyDescent="0.3">
      <c r="B24" t="s">
        <v>1080</v>
      </c>
      <c r="C24" s="94">
        <v>0</v>
      </c>
      <c r="D24" s="240">
        <v>-1104278</v>
      </c>
      <c r="E24" s="94">
        <v>0</v>
      </c>
    </row>
    <row r="25" spans="2:6" x14ac:dyDescent="0.3">
      <c r="C25" s="95">
        <f>SUM(C23:C24)</f>
        <v>0</v>
      </c>
      <c r="D25" s="241">
        <f>SUM(D23:D24)</f>
        <v>138163962.50999999</v>
      </c>
      <c r="E25" s="95">
        <f>SUM(E23:E24)</f>
        <v>139268240.50999999</v>
      </c>
    </row>
    <row r="26" spans="2:6" x14ac:dyDescent="0.3">
      <c r="D26" s="240"/>
    </row>
    <row r="27" spans="2:6" x14ac:dyDescent="0.3">
      <c r="B27" t="s">
        <v>573</v>
      </c>
      <c r="C27" s="94">
        <v>0</v>
      </c>
      <c r="D27" s="240">
        <v>12800000</v>
      </c>
      <c r="E27" s="121">
        <f>+D27</f>
        <v>12800000</v>
      </c>
    </row>
  </sheetData>
  <mergeCells count="2">
    <mergeCell ref="D2:E2"/>
    <mergeCell ref="B1:E1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2"/>
  <sheetViews>
    <sheetView showGridLines="0" zoomScale="60" zoomScaleNormal="60" workbookViewId="0">
      <selection activeCell="C38" sqref="C38"/>
    </sheetView>
  </sheetViews>
  <sheetFormatPr defaultColWidth="9.109375" defaultRowHeight="27" x14ac:dyDescent="0.6"/>
  <cols>
    <col min="1" max="3" width="9.109375" style="148"/>
    <col min="4" max="4" width="44.33203125" style="148" customWidth="1"/>
    <col min="5" max="5" width="18.44140625" style="148" bestFit="1" customWidth="1"/>
    <col min="6" max="6" width="16.44140625" style="148" bestFit="1" customWidth="1"/>
    <col min="7" max="7" width="18.44140625" style="148" bestFit="1" customWidth="1"/>
    <col min="8" max="8" width="10" style="148" bestFit="1" customWidth="1"/>
    <col min="9" max="9" width="12" style="148" bestFit="1" customWidth="1"/>
    <col min="10" max="10" width="10.109375" style="148" bestFit="1" customWidth="1"/>
    <col min="11" max="11" width="12" style="148" bestFit="1" customWidth="1"/>
    <col min="12" max="15" width="9.109375" style="148"/>
    <col min="16" max="16" width="23" style="153" customWidth="1"/>
    <col min="17" max="16384" width="9.109375" style="148"/>
  </cols>
  <sheetData>
    <row r="1" spans="1:15" x14ac:dyDescent="0.6">
      <c r="A1" s="148" t="s">
        <v>788</v>
      </c>
      <c r="D1" s="148" t="s">
        <v>805</v>
      </c>
    </row>
    <row r="2" spans="1:15" ht="30.6" x14ac:dyDescent="0.6">
      <c r="H2" s="279" t="s">
        <v>793</v>
      </c>
      <c r="I2" s="279"/>
      <c r="J2" s="279"/>
      <c r="K2" s="279"/>
    </row>
    <row r="3" spans="1:15" x14ac:dyDescent="0.6">
      <c r="E3" s="149" t="s">
        <v>786</v>
      </c>
      <c r="F3" s="149" t="s">
        <v>785</v>
      </c>
      <c r="G3" s="154" t="s">
        <v>787</v>
      </c>
      <c r="H3" s="149" t="s">
        <v>575</v>
      </c>
      <c r="I3" s="149" t="s">
        <v>576</v>
      </c>
      <c r="J3" s="149" t="s">
        <v>625</v>
      </c>
      <c r="K3" s="149" t="s">
        <v>12</v>
      </c>
    </row>
    <row r="4" spans="1:15" x14ac:dyDescent="0.6">
      <c r="D4" s="151" t="s">
        <v>784</v>
      </c>
      <c r="E4" s="152">
        <v>27602</v>
      </c>
      <c r="F4" s="152">
        <v>27584</v>
      </c>
      <c r="G4" s="152">
        <f>+E4+F4</f>
        <v>55186</v>
      </c>
      <c r="H4" s="164">
        <v>0</v>
      </c>
      <c r="I4" s="164">
        <f>13+7</f>
        <v>20</v>
      </c>
      <c r="J4" s="164">
        <f>1+1+1</f>
        <v>3</v>
      </c>
      <c r="K4" s="164">
        <f>SUM(H4:J4)</f>
        <v>23</v>
      </c>
    </row>
    <row r="5" spans="1:15" x14ac:dyDescent="0.6">
      <c r="D5" s="151" t="s">
        <v>619</v>
      </c>
      <c r="E5" s="152">
        <v>604</v>
      </c>
      <c r="F5" s="152">
        <v>137</v>
      </c>
      <c r="G5" s="152">
        <f t="shared" ref="G5:G6" si="0">+E5+F5</f>
        <v>741</v>
      </c>
      <c r="H5" s="164">
        <v>0</v>
      </c>
      <c r="I5" s="164">
        <v>7</v>
      </c>
      <c r="J5" s="164">
        <v>0</v>
      </c>
      <c r="K5" s="164">
        <f t="shared" ref="K5:K6" si="1">SUM(H5:J5)</f>
        <v>7</v>
      </c>
    </row>
    <row r="6" spans="1:15" x14ac:dyDescent="0.6">
      <c r="D6" s="151" t="s">
        <v>807</v>
      </c>
      <c r="E6" s="167">
        <v>2058</v>
      </c>
      <c r="F6" s="167">
        <v>293</v>
      </c>
      <c r="G6" s="167">
        <f t="shared" si="0"/>
        <v>2351</v>
      </c>
      <c r="H6" s="168">
        <v>6</v>
      </c>
      <c r="I6" s="168">
        <v>3</v>
      </c>
      <c r="J6" s="168">
        <v>0</v>
      </c>
      <c r="K6" s="168">
        <f t="shared" si="1"/>
        <v>9</v>
      </c>
    </row>
    <row r="7" spans="1:15" x14ac:dyDescent="0.6">
      <c r="E7" s="166">
        <f>SUM(E4:E6)</f>
        <v>30264</v>
      </c>
      <c r="F7" s="166">
        <f>SUM(F4:F6)</f>
        <v>28014</v>
      </c>
      <c r="G7" s="166">
        <f>SUM(G4:G6)</f>
        <v>58278</v>
      </c>
      <c r="H7" s="166">
        <f t="shared" ref="H7" si="2">SUM(H4:H6)</f>
        <v>6</v>
      </c>
      <c r="I7" s="166">
        <f t="shared" ref="I7" si="3">SUM(I4:I6)</f>
        <v>30</v>
      </c>
      <c r="J7" s="166">
        <f t="shared" ref="J7" si="4">SUM(J4:J6)</f>
        <v>3</v>
      </c>
      <c r="K7" s="166">
        <f t="shared" ref="K7" si="5">SUM(K4:K6)</f>
        <v>39</v>
      </c>
    </row>
    <row r="9" spans="1:15" x14ac:dyDescent="0.6">
      <c r="A9" s="148" t="s">
        <v>789</v>
      </c>
      <c r="D9" s="148" t="s">
        <v>808</v>
      </c>
    </row>
    <row r="10" spans="1:15" ht="30.6" x14ac:dyDescent="0.6">
      <c r="H10" s="279" t="s">
        <v>793</v>
      </c>
      <c r="I10" s="279"/>
      <c r="J10" s="279"/>
      <c r="K10" s="279"/>
      <c r="L10" s="164"/>
      <c r="M10" s="164"/>
      <c r="N10" s="164"/>
      <c r="O10" s="164"/>
    </row>
    <row r="11" spans="1:15" x14ac:dyDescent="0.6">
      <c r="E11" s="149" t="s">
        <v>786</v>
      </c>
      <c r="F11" s="149" t="s">
        <v>785</v>
      </c>
      <c r="G11" s="150" t="s">
        <v>787</v>
      </c>
      <c r="H11" s="149" t="s">
        <v>575</v>
      </c>
      <c r="I11" s="149" t="s">
        <v>576</v>
      </c>
      <c r="J11" s="149" t="s">
        <v>625</v>
      </c>
      <c r="K11" s="149" t="s">
        <v>12</v>
      </c>
    </row>
    <row r="12" spans="1:15" x14ac:dyDescent="0.6">
      <c r="D12" s="151" t="s">
        <v>784</v>
      </c>
      <c r="E12" s="152">
        <v>27602</v>
      </c>
      <c r="F12" s="152">
        <v>27584</v>
      </c>
      <c r="G12" s="152">
        <f>+E12+F12</f>
        <v>55186</v>
      </c>
      <c r="H12" s="164">
        <v>0</v>
      </c>
      <c r="I12" s="164">
        <f>13+7</f>
        <v>20</v>
      </c>
      <c r="J12" s="164">
        <f>1+1+1</f>
        <v>3</v>
      </c>
      <c r="K12" s="164">
        <f>SUM(H12:J12)</f>
        <v>23</v>
      </c>
    </row>
    <row r="13" spans="1:15" x14ac:dyDescent="0.6">
      <c r="D13" s="151" t="s">
        <v>807</v>
      </c>
      <c r="E13" s="152">
        <v>2058</v>
      </c>
      <c r="F13" s="152">
        <v>293</v>
      </c>
      <c r="G13" s="152">
        <f>+E13+F13</f>
        <v>2351</v>
      </c>
      <c r="H13" s="164">
        <v>6</v>
      </c>
      <c r="I13" s="164">
        <v>3</v>
      </c>
      <c r="J13" s="164">
        <v>0</v>
      </c>
      <c r="K13" s="164">
        <f>SUM(H13:J13)</f>
        <v>9</v>
      </c>
    </row>
    <row r="14" spans="1:15" x14ac:dyDescent="0.6">
      <c r="E14" s="163">
        <f>SUM(E12:E13)</f>
        <v>29660</v>
      </c>
      <c r="F14" s="163">
        <f>SUM(F12:F13)</f>
        <v>27877</v>
      </c>
      <c r="G14" s="163">
        <f>SUM(G12:G13)</f>
        <v>57537</v>
      </c>
      <c r="H14" s="163">
        <f>SUM(H12:H13)</f>
        <v>6</v>
      </c>
      <c r="I14" s="163">
        <f t="shared" ref="I14:K14" si="6">SUM(I12:I13)</f>
        <v>23</v>
      </c>
      <c r="J14" s="163">
        <f t="shared" si="6"/>
        <v>3</v>
      </c>
      <c r="K14" s="163">
        <f t="shared" si="6"/>
        <v>32</v>
      </c>
    </row>
    <row r="16" spans="1:15" x14ac:dyDescent="0.6">
      <c r="A16" s="148" t="s">
        <v>790</v>
      </c>
      <c r="D16" s="148" t="s">
        <v>809</v>
      </c>
    </row>
    <row r="17" spans="1:11" ht="30.6" x14ac:dyDescent="0.6">
      <c r="H17" s="279" t="s">
        <v>793</v>
      </c>
      <c r="I17" s="279"/>
      <c r="J17" s="279"/>
      <c r="K17" s="279"/>
    </row>
    <row r="18" spans="1:11" x14ac:dyDescent="0.6">
      <c r="E18" s="149" t="s">
        <v>786</v>
      </c>
      <c r="F18" s="149" t="s">
        <v>785</v>
      </c>
      <c r="G18" s="154" t="s">
        <v>787</v>
      </c>
      <c r="H18" s="149" t="s">
        <v>575</v>
      </c>
      <c r="I18" s="149" t="s">
        <v>576</v>
      </c>
      <c r="J18" s="149" t="s">
        <v>625</v>
      </c>
      <c r="K18" s="149" t="s">
        <v>12</v>
      </c>
    </row>
    <row r="19" spans="1:11" x14ac:dyDescent="0.6">
      <c r="D19" s="151" t="s">
        <v>656</v>
      </c>
      <c r="E19" s="152">
        <v>38662</v>
      </c>
      <c r="F19" s="152">
        <v>445</v>
      </c>
      <c r="G19" s="152">
        <f>+E19+F19</f>
        <v>39107</v>
      </c>
      <c r="H19" s="152">
        <v>0</v>
      </c>
      <c r="I19" s="152">
        <v>28</v>
      </c>
      <c r="J19" s="153">
        <v>0</v>
      </c>
      <c r="K19" s="152">
        <f>SUM(H19:J19)</f>
        <v>28</v>
      </c>
    </row>
    <row r="20" spans="1:11" x14ac:dyDescent="0.6">
      <c r="D20" s="151" t="s">
        <v>619</v>
      </c>
      <c r="E20" s="152">
        <v>604</v>
      </c>
      <c r="F20" s="152">
        <v>137</v>
      </c>
      <c r="G20" s="152">
        <f t="shared" ref="G20:G23" si="7">+E20+F20</f>
        <v>741</v>
      </c>
      <c r="H20" s="152">
        <v>0</v>
      </c>
      <c r="I20" s="152">
        <v>7</v>
      </c>
      <c r="J20" s="153">
        <v>0</v>
      </c>
      <c r="K20" s="152">
        <f t="shared" ref="K20:K23" si="8">SUM(H20:J20)</f>
        <v>7</v>
      </c>
    </row>
    <row r="21" spans="1:11" x14ac:dyDescent="0.6">
      <c r="D21" s="148" t="s">
        <v>806</v>
      </c>
      <c r="E21" s="152">
        <f>11767-2058</f>
        <v>9709</v>
      </c>
      <c r="F21" s="152">
        <f>1082-293</f>
        <v>789</v>
      </c>
      <c r="G21" s="152">
        <f t="shared" si="7"/>
        <v>10498</v>
      </c>
      <c r="H21" s="152">
        <f>18-6</f>
        <v>12</v>
      </c>
      <c r="I21" s="152">
        <v>7</v>
      </c>
      <c r="J21" s="153">
        <v>2</v>
      </c>
      <c r="K21" s="152">
        <f t="shared" si="8"/>
        <v>21</v>
      </c>
    </row>
    <row r="22" spans="1:11" x14ac:dyDescent="0.6">
      <c r="D22" s="151" t="s">
        <v>807</v>
      </c>
      <c r="E22" s="152">
        <v>2058</v>
      </c>
      <c r="F22" s="152">
        <v>293</v>
      </c>
      <c r="G22" s="152">
        <f t="shared" si="7"/>
        <v>2351</v>
      </c>
      <c r="H22" s="152">
        <v>6</v>
      </c>
      <c r="I22" s="152">
        <v>3</v>
      </c>
      <c r="J22" s="153">
        <v>0</v>
      </c>
      <c r="K22" s="152">
        <f t="shared" si="8"/>
        <v>9</v>
      </c>
    </row>
    <row r="23" spans="1:11" x14ac:dyDescent="0.6">
      <c r="D23" s="148" t="s">
        <v>618</v>
      </c>
      <c r="E23" s="152">
        <v>27602</v>
      </c>
      <c r="F23" s="152">
        <v>27584</v>
      </c>
      <c r="G23" s="152">
        <f t="shared" si="7"/>
        <v>55186</v>
      </c>
      <c r="H23" s="152">
        <v>0</v>
      </c>
      <c r="I23" s="152">
        <f>13+7</f>
        <v>20</v>
      </c>
      <c r="J23" s="152">
        <v>3</v>
      </c>
      <c r="K23" s="152">
        <f t="shared" si="8"/>
        <v>23</v>
      </c>
    </row>
    <row r="24" spans="1:11" x14ac:dyDescent="0.6">
      <c r="E24" s="165">
        <f>SUM(E19:E23)</f>
        <v>78635</v>
      </c>
      <c r="F24" s="165">
        <f>SUM(F19:F23)</f>
        <v>29248</v>
      </c>
      <c r="G24" s="165">
        <f>SUM(G19:G23)</f>
        <v>107883</v>
      </c>
      <c r="H24" s="165">
        <f>SUM(H19:H23)</f>
        <v>18</v>
      </c>
      <c r="I24" s="165">
        <f>SUM(I19:I23)</f>
        <v>65</v>
      </c>
      <c r="J24" s="165">
        <f t="shared" ref="J24:K24" si="9">SUM(J19:J23)</f>
        <v>5</v>
      </c>
      <c r="K24" s="165">
        <f t="shared" si="9"/>
        <v>88</v>
      </c>
    </row>
    <row r="26" spans="1:11" x14ac:dyDescent="0.6">
      <c r="A26" s="148" t="s">
        <v>791</v>
      </c>
      <c r="D26" s="148" t="s">
        <v>810</v>
      </c>
    </row>
    <row r="27" spans="1:11" ht="30.6" x14ac:dyDescent="0.6">
      <c r="H27" s="279" t="s">
        <v>793</v>
      </c>
      <c r="I27" s="279"/>
      <c r="J27" s="279"/>
      <c r="K27" s="279"/>
    </row>
    <row r="28" spans="1:11" x14ac:dyDescent="0.6">
      <c r="E28" s="149" t="s">
        <v>786</v>
      </c>
      <c r="F28" s="149" t="s">
        <v>785</v>
      </c>
      <c r="G28" s="154" t="s">
        <v>787</v>
      </c>
      <c r="H28" s="149" t="s">
        <v>575</v>
      </c>
      <c r="I28" s="149" t="s">
        <v>576</v>
      </c>
      <c r="J28" s="149" t="s">
        <v>625</v>
      </c>
      <c r="K28" s="149" t="s">
        <v>12</v>
      </c>
    </row>
    <row r="29" spans="1:11" x14ac:dyDescent="0.6">
      <c r="D29" s="151" t="s">
        <v>656</v>
      </c>
      <c r="E29" s="152">
        <v>229759</v>
      </c>
      <c r="F29" s="152">
        <v>11268</v>
      </c>
      <c r="G29" s="152">
        <f>+E29+F29</f>
        <v>241027</v>
      </c>
      <c r="H29" s="152">
        <v>57</v>
      </c>
      <c r="I29" s="152">
        <v>28</v>
      </c>
      <c r="J29" s="153">
        <f>18+14</f>
        <v>32</v>
      </c>
      <c r="K29" s="152">
        <f>SUM(H29:J29)</f>
        <v>117</v>
      </c>
    </row>
    <row r="30" spans="1:11" x14ac:dyDescent="0.6">
      <c r="D30" s="151" t="s">
        <v>619</v>
      </c>
      <c r="E30" s="152">
        <v>604</v>
      </c>
      <c r="F30" s="152">
        <v>137</v>
      </c>
      <c r="G30" s="152">
        <f t="shared" ref="G30:G32" si="10">+E30+F30</f>
        <v>741</v>
      </c>
      <c r="H30" s="152">
        <v>0</v>
      </c>
      <c r="I30" s="152">
        <v>7</v>
      </c>
      <c r="J30" s="153">
        <v>0</v>
      </c>
      <c r="K30" s="152">
        <f t="shared" ref="K30:K32" si="11">SUM(H30:J30)</f>
        <v>7</v>
      </c>
    </row>
    <row r="31" spans="1:11" x14ac:dyDescent="0.6">
      <c r="D31" s="148" t="s">
        <v>608</v>
      </c>
      <c r="E31" s="152">
        <v>11762</v>
      </c>
      <c r="F31" s="152">
        <v>1080</v>
      </c>
      <c r="G31" s="152">
        <f t="shared" si="10"/>
        <v>12842</v>
      </c>
      <c r="H31" s="152">
        <v>18</v>
      </c>
      <c r="I31" s="152">
        <v>10</v>
      </c>
      <c r="J31" s="153">
        <v>2</v>
      </c>
      <c r="K31" s="152">
        <f t="shared" si="11"/>
        <v>30</v>
      </c>
    </row>
    <row r="32" spans="1:11" x14ac:dyDescent="0.6">
      <c r="D32" s="148" t="s">
        <v>618</v>
      </c>
      <c r="E32" s="152">
        <v>27602</v>
      </c>
      <c r="F32" s="152">
        <v>27584</v>
      </c>
      <c r="G32" s="152">
        <f t="shared" si="10"/>
        <v>55186</v>
      </c>
      <c r="H32" s="152">
        <v>0</v>
      </c>
      <c r="I32" s="152">
        <f>13+7</f>
        <v>20</v>
      </c>
      <c r="J32" s="152">
        <v>3</v>
      </c>
      <c r="K32" s="152">
        <f t="shared" si="11"/>
        <v>23</v>
      </c>
    </row>
    <row r="33" spans="5:11" x14ac:dyDescent="0.6">
      <c r="E33" s="165">
        <f t="shared" ref="E33:K33" si="12">SUM(E29:E32)</f>
        <v>269727</v>
      </c>
      <c r="F33" s="165">
        <f t="shared" si="12"/>
        <v>40069</v>
      </c>
      <c r="G33" s="165">
        <f t="shared" si="12"/>
        <v>309796</v>
      </c>
      <c r="H33" s="165">
        <f t="shared" si="12"/>
        <v>75</v>
      </c>
      <c r="I33" s="165">
        <f t="shared" si="12"/>
        <v>65</v>
      </c>
      <c r="J33" s="165">
        <f t="shared" si="12"/>
        <v>37</v>
      </c>
      <c r="K33" s="165">
        <f t="shared" si="12"/>
        <v>177</v>
      </c>
    </row>
    <row r="34" spans="5:11" x14ac:dyDescent="0.6">
      <c r="I34" s="169"/>
    </row>
    <row r="35" spans="5:11" x14ac:dyDescent="0.6">
      <c r="K35" s="169"/>
    </row>
    <row r="42" spans="5:11" x14ac:dyDescent="0.6">
      <c r="F42" s="256"/>
    </row>
  </sheetData>
  <mergeCells count="4">
    <mergeCell ref="H27:K27"/>
    <mergeCell ref="H10:K10"/>
    <mergeCell ref="H2:K2"/>
    <mergeCell ref="H17:K17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  <ignoredErrors>
    <ignoredError sqref="K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E21"/>
  <sheetViews>
    <sheetView zoomScaleNormal="100" workbookViewId="0">
      <selection activeCell="C38" sqref="C38"/>
    </sheetView>
  </sheetViews>
  <sheetFormatPr defaultRowHeight="14.4" x14ac:dyDescent="0.3"/>
  <cols>
    <col min="1" max="1" width="24.33203125" customWidth="1"/>
    <col min="2" max="2" width="7.88671875" bestFit="1" customWidth="1"/>
    <col min="3" max="3" width="11.109375" bestFit="1" customWidth="1"/>
    <col min="4" max="4" width="22.5546875" customWidth="1"/>
    <col min="5" max="5" width="13.33203125" bestFit="1" customWidth="1"/>
  </cols>
  <sheetData>
    <row r="2" spans="1:5" ht="32.4" x14ac:dyDescent="0.45">
      <c r="A2" s="135" t="s">
        <v>761</v>
      </c>
      <c r="B2" s="96" t="s">
        <v>753</v>
      </c>
      <c r="C2" s="96" t="s">
        <v>568</v>
      </c>
      <c r="D2" s="135" t="s">
        <v>774</v>
      </c>
      <c r="E2" s="135" t="s">
        <v>760</v>
      </c>
    </row>
    <row r="3" spans="1:5" ht="16.2" x14ac:dyDescent="0.45">
      <c r="A3" s="99" t="s">
        <v>788</v>
      </c>
      <c r="B3" s="96"/>
      <c r="C3" s="96"/>
      <c r="D3" s="135"/>
      <c r="E3" s="135"/>
    </row>
    <row r="4" spans="1:5" x14ac:dyDescent="0.3">
      <c r="A4" s="91">
        <f>+'Revenue with Month -slide 8,22'!BB223</f>
        <v>42467068</v>
      </c>
      <c r="B4" s="126">
        <v>0.39</v>
      </c>
      <c r="C4" s="91">
        <f>+A4*B4</f>
        <v>16562156.520000001</v>
      </c>
      <c r="D4" s="92">
        <f>+'NL Prod Cost 12 Mo. Rolling'!E5/1000</f>
        <v>2.7929166666666665E-2</v>
      </c>
      <c r="E4" s="128">
        <f>+C4*D4</f>
        <v>462567.22980650002</v>
      </c>
    </row>
    <row r="5" spans="1:5" x14ac:dyDescent="0.3">
      <c r="A5" s="91">
        <f>+A4</f>
        <v>42467068</v>
      </c>
      <c r="B5" s="126">
        <v>0.63</v>
      </c>
      <c r="C5" s="91">
        <f>+A5*B5</f>
        <v>26754252.84</v>
      </c>
      <c r="D5" s="92">
        <f>+D4</f>
        <v>2.7929166666666665E-2</v>
      </c>
      <c r="E5" s="128">
        <f>+C5*D5</f>
        <v>747223.98661049991</v>
      </c>
    </row>
    <row r="6" spans="1:5" x14ac:dyDescent="0.3">
      <c r="A6" s="99" t="s">
        <v>789</v>
      </c>
      <c r="D6" s="92"/>
    </row>
    <row r="7" spans="1:5" x14ac:dyDescent="0.3">
      <c r="A7" s="91">
        <f>+'Revenue with Month -slide 8,22'!BB227</f>
        <v>41969204</v>
      </c>
      <c r="B7" s="126">
        <v>0.39</v>
      </c>
      <c r="C7" s="91">
        <f>+A7*B7</f>
        <v>16367989.560000001</v>
      </c>
      <c r="D7" s="92">
        <f>+D4</f>
        <v>2.7929166666666665E-2</v>
      </c>
      <c r="E7" s="128">
        <f>+C7*D7</f>
        <v>457144.30841949995</v>
      </c>
    </row>
    <row r="8" spans="1:5" x14ac:dyDescent="0.3">
      <c r="A8" s="91">
        <f>+A7</f>
        <v>41969204</v>
      </c>
      <c r="B8" s="126">
        <v>0.63</v>
      </c>
      <c r="C8" s="91">
        <f>+A8*B8</f>
        <v>26440598.52</v>
      </c>
      <c r="D8" s="92">
        <f>+D4</f>
        <v>2.7929166666666665E-2</v>
      </c>
      <c r="E8" s="128">
        <f>+C8*D8</f>
        <v>738463.88283149991</v>
      </c>
    </row>
    <row r="9" spans="1:5" x14ac:dyDescent="0.3">
      <c r="A9" s="99" t="s">
        <v>790</v>
      </c>
      <c r="D9" s="92"/>
    </row>
    <row r="10" spans="1:5" x14ac:dyDescent="0.3">
      <c r="A10" s="91">
        <f>+'Revenue with Month -slide 8,22'!BB234</f>
        <v>78816173</v>
      </c>
      <c r="B10" s="126">
        <v>0.39</v>
      </c>
      <c r="C10" s="91">
        <f>+A10*B10</f>
        <v>30738307.470000003</v>
      </c>
      <c r="D10" s="92">
        <f>+D7</f>
        <v>2.7929166666666665E-2</v>
      </c>
      <c r="E10" s="128">
        <f>+C10*D10</f>
        <v>858495.312380875</v>
      </c>
    </row>
    <row r="11" spans="1:5" x14ac:dyDescent="0.3">
      <c r="A11" s="91">
        <f>+A10</f>
        <v>78816173</v>
      </c>
      <c r="B11" s="126">
        <v>0.63</v>
      </c>
      <c r="C11" s="91">
        <f>+A11*B11</f>
        <v>49654188.990000002</v>
      </c>
      <c r="D11" s="92">
        <f>+D7</f>
        <v>2.7929166666666665E-2</v>
      </c>
      <c r="E11" s="128">
        <f>+C11*D11</f>
        <v>1386800.1199998748</v>
      </c>
    </row>
    <row r="12" spans="1:5" x14ac:dyDescent="0.3">
      <c r="A12" s="99" t="s">
        <v>791</v>
      </c>
      <c r="D12" s="92"/>
    </row>
    <row r="13" spans="1:5" x14ac:dyDescent="0.3">
      <c r="A13" s="91">
        <f>+'Revenue with Month -slide 8,22'!BC208</f>
        <v>231487975</v>
      </c>
      <c r="B13" s="126">
        <v>0.39</v>
      </c>
      <c r="C13" s="91">
        <f>+A13*B13</f>
        <v>90280310.25</v>
      </c>
      <c r="D13" s="92">
        <f>+D10</f>
        <v>2.7929166666666665E-2</v>
      </c>
      <c r="E13" s="128">
        <f>+C13*D13</f>
        <v>2521453.8316906248</v>
      </c>
    </row>
    <row r="14" spans="1:5" x14ac:dyDescent="0.3">
      <c r="A14" s="91">
        <f>+A13</f>
        <v>231487975</v>
      </c>
      <c r="B14" s="126">
        <v>0.63</v>
      </c>
      <c r="C14" s="91">
        <f>+A14*B14</f>
        <v>145837424.25</v>
      </c>
      <c r="D14" s="92">
        <f>+D10</f>
        <v>2.7929166666666665E-2</v>
      </c>
      <c r="E14" s="128">
        <f>+C14*D14</f>
        <v>4073117.7281156247</v>
      </c>
    </row>
    <row r="15" spans="1:5" x14ac:dyDescent="0.3">
      <c r="A15" t="s">
        <v>830</v>
      </c>
    </row>
    <row r="21" spans="1:1" x14ac:dyDescent="0.3">
      <c r="A21" s="134"/>
    </row>
  </sheetData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  <ignoredErrors>
    <ignoredError sqref="D4:D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S35"/>
  <sheetViews>
    <sheetView showGridLines="0" zoomScaleNormal="100" workbookViewId="0">
      <selection activeCell="C38" sqref="C38"/>
    </sheetView>
  </sheetViews>
  <sheetFormatPr defaultColWidth="9.109375" defaultRowHeight="15" x14ac:dyDescent="0.35"/>
  <cols>
    <col min="1" max="1" width="41.109375" style="180" bestFit="1" customWidth="1"/>
    <col min="2" max="2" width="9.6640625" style="180" customWidth="1"/>
    <col min="3" max="3" width="3.109375" style="180" bestFit="1" customWidth="1"/>
    <col min="4" max="4" width="9.6640625" style="180" customWidth="1"/>
    <col min="5" max="5" width="1.6640625" style="180" customWidth="1"/>
    <col min="6" max="6" width="9.6640625" style="180" customWidth="1"/>
    <col min="7" max="7" width="3.109375" style="180" customWidth="1"/>
    <col min="8" max="8" width="9.6640625" style="180" customWidth="1"/>
    <col min="9" max="9" width="1.6640625" style="180" customWidth="1"/>
    <col min="10" max="10" width="9.6640625" style="180" customWidth="1"/>
    <col min="11" max="11" width="3.109375" style="180" customWidth="1"/>
    <col min="12" max="12" width="9.6640625" style="180" customWidth="1"/>
    <col min="13" max="13" width="1.6640625" style="180" customWidth="1"/>
    <col min="14" max="14" width="9.6640625" style="180" customWidth="1"/>
    <col min="15" max="15" width="3.109375" style="180" customWidth="1"/>
    <col min="16" max="16" width="9.6640625" style="180" customWidth="1"/>
    <col min="17" max="17" width="9.109375" style="180"/>
    <col min="18" max="18" width="15.33203125" style="180" bestFit="1" customWidth="1"/>
    <col min="19" max="16384" width="9.109375" style="180"/>
  </cols>
  <sheetData>
    <row r="3" spans="1:19" x14ac:dyDescent="0.35">
      <c r="A3" s="185"/>
      <c r="B3" s="284" t="s">
        <v>826</v>
      </c>
      <c r="C3" s="284"/>
      <c r="D3" s="284"/>
      <c r="E3" s="186"/>
      <c r="F3" s="284" t="s">
        <v>827</v>
      </c>
      <c r="G3" s="284"/>
      <c r="H3" s="284"/>
      <c r="I3" s="186"/>
      <c r="J3" s="284" t="s">
        <v>828</v>
      </c>
      <c r="K3" s="284"/>
      <c r="L3" s="284"/>
      <c r="M3" s="186"/>
      <c r="N3" s="284" t="s">
        <v>829</v>
      </c>
      <c r="O3" s="284"/>
      <c r="P3" s="284"/>
    </row>
    <row r="4" spans="1:19" ht="16.2" x14ac:dyDescent="0.45">
      <c r="A4" s="185"/>
      <c r="B4" s="280" t="s">
        <v>1112</v>
      </c>
      <c r="C4" s="280"/>
      <c r="D4" s="280"/>
      <c r="E4" s="187"/>
      <c r="F4" s="280" t="s">
        <v>823</v>
      </c>
      <c r="G4" s="280"/>
      <c r="H4" s="280"/>
      <c r="I4" s="187"/>
      <c r="J4" s="280" t="s">
        <v>824</v>
      </c>
      <c r="K4" s="280"/>
      <c r="L4" s="280"/>
      <c r="M4" s="187"/>
      <c r="N4" s="280" t="s">
        <v>825</v>
      </c>
      <c r="O4" s="280"/>
      <c r="P4" s="280"/>
    </row>
    <row r="5" spans="1:19" x14ac:dyDescent="0.35">
      <c r="A5" s="185" t="s">
        <v>812</v>
      </c>
      <c r="B5" s="281">
        <f>+'Eliminate Lights - slide 19-20'!E7</f>
        <v>30264</v>
      </c>
      <c r="C5" s="281"/>
      <c r="D5" s="281"/>
      <c r="E5" s="188"/>
      <c r="F5" s="281">
        <f>+'Eliminate Lights - slide 19-20'!E14</f>
        <v>29660</v>
      </c>
      <c r="G5" s="281"/>
      <c r="H5" s="281"/>
      <c r="I5" s="188"/>
      <c r="J5" s="281">
        <f>+'Eliminate Lights - slide 19-20'!E24</f>
        <v>78635</v>
      </c>
      <c r="K5" s="281"/>
      <c r="L5" s="281"/>
      <c r="M5" s="188"/>
      <c r="N5" s="281">
        <f>+'Eliminate Lights - slide 19-20'!E33</f>
        <v>269727</v>
      </c>
      <c r="O5" s="281"/>
      <c r="P5" s="281"/>
    </row>
    <row r="6" spans="1:19" x14ac:dyDescent="0.35">
      <c r="A6" s="185" t="s">
        <v>821</v>
      </c>
      <c r="B6" s="282">
        <f>+B5/$N$5</f>
        <v>0.11220233791945189</v>
      </c>
      <c r="C6" s="282"/>
      <c r="D6" s="282"/>
      <c r="E6" s="188"/>
      <c r="F6" s="282">
        <f>+F5/$N$5</f>
        <v>0.10996303670007081</v>
      </c>
      <c r="G6" s="282"/>
      <c r="H6" s="282"/>
      <c r="I6" s="188"/>
      <c r="J6" s="283">
        <f>+J5/$N$5</f>
        <v>0.29153551553978652</v>
      </c>
      <c r="K6" s="283"/>
      <c r="L6" s="283"/>
      <c r="M6" s="188"/>
      <c r="N6" s="282">
        <f>+N5/$N$5</f>
        <v>1</v>
      </c>
      <c r="O6" s="282"/>
      <c r="P6" s="282"/>
    </row>
    <row r="7" spans="1:19" x14ac:dyDescent="0.35">
      <c r="A7" s="185"/>
      <c r="B7" s="189"/>
      <c r="C7" s="189"/>
      <c r="D7" s="189"/>
      <c r="E7" s="188"/>
      <c r="F7" s="189"/>
      <c r="G7" s="189"/>
      <c r="H7" s="189"/>
      <c r="I7" s="188"/>
      <c r="J7" s="189"/>
      <c r="K7" s="189"/>
      <c r="L7" s="189"/>
      <c r="M7" s="188"/>
      <c r="N7" s="189"/>
      <c r="O7" s="189"/>
      <c r="P7" s="189"/>
    </row>
    <row r="8" spans="1:19" ht="16.2" x14ac:dyDescent="0.45">
      <c r="A8" s="185" t="s">
        <v>1067</v>
      </c>
      <c r="B8" s="280" t="s">
        <v>753</v>
      </c>
      <c r="C8" s="280"/>
      <c r="D8" s="280"/>
      <c r="E8" s="187"/>
      <c r="F8" s="280" t="s">
        <v>753</v>
      </c>
      <c r="G8" s="280"/>
      <c r="H8" s="280"/>
      <c r="I8" s="187"/>
      <c r="J8" s="280" t="s">
        <v>753</v>
      </c>
      <c r="K8" s="280"/>
      <c r="L8" s="280"/>
      <c r="M8" s="187"/>
      <c r="N8" s="280" t="s">
        <v>753</v>
      </c>
      <c r="O8" s="280"/>
      <c r="P8" s="280"/>
    </row>
    <row r="9" spans="1:19" ht="16.2" x14ac:dyDescent="0.45">
      <c r="A9" s="185" t="s">
        <v>811</v>
      </c>
      <c r="B9" s="255">
        <f>SUMIF('Rate Code Detail'!AA2:AA182,1,'Rate Code Detail'!Y2:Y184)/1000000</f>
        <v>31.107429970000002</v>
      </c>
      <c r="C9" s="254" t="s">
        <v>813</v>
      </c>
      <c r="D9" s="255">
        <f>SUMIF('Rate Code Detail'!AA2:AA182,1,'Rate Code Detail'!Z2:Z184)/1000000</f>
        <v>42.947590280000007</v>
      </c>
      <c r="E9" s="187"/>
      <c r="F9" s="255">
        <f>SUMIF('Rate Code Detail'!AB2:AB182,2,'Rate Code Detail'!Y2:Y184)/1000000</f>
        <v>30.839158020000006</v>
      </c>
      <c r="G9" s="254" t="s">
        <v>813</v>
      </c>
      <c r="H9" s="255">
        <f>SUMIF('Rate Code Detail'!AB2:AB182,2,'Rate Code Detail'!Z2:Z184)/1000000</f>
        <v>42.363356580000008</v>
      </c>
      <c r="I9" s="187"/>
      <c r="J9" s="255">
        <f>SUMIF('Rate Code Detail'!AC2:AC182,3,'Rate Code Detail'!Y2:Y184)/1000000</f>
        <v>72.89839811500002</v>
      </c>
      <c r="K9" s="254" t="s">
        <v>813</v>
      </c>
      <c r="L9" s="255">
        <f>SUMIF('Rate Code Detail'!AC2:AC182,3,'Rate Code Detail'!Z2:Z184)/1000000</f>
        <v>83.460472270000011</v>
      </c>
      <c r="M9" s="187"/>
      <c r="N9" s="255">
        <f>SUM('Rate Code Detail'!Y2:Y184)/1000000</f>
        <v>265.7531736250001</v>
      </c>
      <c r="O9" s="254" t="s">
        <v>813</v>
      </c>
      <c r="P9" s="255">
        <f>SUM('Rate Code Detail'!Z2:Z184)/1000000</f>
        <v>287.69917216000005</v>
      </c>
      <c r="R9" s="181"/>
      <c r="S9" s="225"/>
    </row>
    <row r="10" spans="1:19" ht="16.2" x14ac:dyDescent="0.45">
      <c r="A10" s="185" t="s">
        <v>822</v>
      </c>
      <c r="B10" s="205">
        <v>17.308441963913754</v>
      </c>
      <c r="C10" s="206" t="s">
        <v>813</v>
      </c>
      <c r="D10" s="205">
        <f>+B10</f>
        <v>17.308441963913754</v>
      </c>
      <c r="E10" s="187"/>
      <c r="F10" s="205">
        <v>17.308441963913754</v>
      </c>
      <c r="G10" s="206" t="s">
        <v>813</v>
      </c>
      <c r="H10" s="205">
        <f>+F10</f>
        <v>17.308441963913754</v>
      </c>
      <c r="I10" s="187"/>
      <c r="J10" s="205">
        <v>30.464749749970046</v>
      </c>
      <c r="K10" s="206" t="s">
        <v>813</v>
      </c>
      <c r="L10" s="205">
        <f>+J10</f>
        <v>30.464749749970046</v>
      </c>
      <c r="M10" s="187"/>
      <c r="N10" s="205">
        <v>99.311818058065612</v>
      </c>
      <c r="O10" s="206" t="s">
        <v>813</v>
      </c>
      <c r="P10" s="205">
        <f>+N10</f>
        <v>99.311818058065612</v>
      </c>
      <c r="Q10" s="251"/>
      <c r="R10" s="181"/>
    </row>
    <row r="11" spans="1:19" x14ac:dyDescent="0.35">
      <c r="A11" s="185" t="s">
        <v>818</v>
      </c>
      <c r="B11" s="205">
        <f>(137+39867+580)/10000000</f>
        <v>4.0584000000000002E-3</v>
      </c>
      <c r="C11" s="206" t="s">
        <v>813</v>
      </c>
      <c r="D11" s="205">
        <f>+B11</f>
        <v>4.0584000000000002E-3</v>
      </c>
      <c r="E11" s="191"/>
      <c r="F11" s="205">
        <f>(39867+580)/1000000</f>
        <v>4.0446999999999997E-2</v>
      </c>
      <c r="G11" s="206" t="s">
        <v>813</v>
      </c>
      <c r="H11" s="205">
        <f>+F11</f>
        <v>4.0446999999999997E-2</v>
      </c>
      <c r="I11" s="202"/>
      <c r="J11" s="205">
        <f>+(112121+39867+580)/1000000</f>
        <v>0.15256800000000001</v>
      </c>
      <c r="K11" s="206" t="s">
        <v>813</v>
      </c>
      <c r="L11" s="205">
        <f>+J11</f>
        <v>0.15256800000000001</v>
      </c>
      <c r="M11" s="202"/>
      <c r="N11" s="205">
        <v>1.1000000000000001</v>
      </c>
      <c r="O11" s="206" t="s">
        <v>813</v>
      </c>
      <c r="P11" s="205">
        <v>1.1000000000000001</v>
      </c>
      <c r="R11" s="181"/>
    </row>
    <row r="12" spans="1:19" x14ac:dyDescent="0.35">
      <c r="A12" s="185" t="s">
        <v>820</v>
      </c>
      <c r="B12" s="193">
        <f>SUM(B9:B11)</f>
        <v>48.419930333913754</v>
      </c>
      <c r="C12" s="194" t="s">
        <v>813</v>
      </c>
      <c r="D12" s="193">
        <f>SUM(D9:D11)</f>
        <v>60.260090643913763</v>
      </c>
      <c r="E12" s="191"/>
      <c r="F12" s="193">
        <f>SUM(F9:F11)</f>
        <v>48.188046983913765</v>
      </c>
      <c r="G12" s="194" t="s">
        <v>813</v>
      </c>
      <c r="H12" s="193">
        <f>SUM(H9:H11)</f>
        <v>59.712245543913767</v>
      </c>
      <c r="I12" s="191"/>
      <c r="J12" s="193">
        <f>SUM(J9:J11)</f>
        <v>103.51571586497008</v>
      </c>
      <c r="K12" s="194" t="s">
        <v>813</v>
      </c>
      <c r="L12" s="193">
        <f>SUM(L9:L11)</f>
        <v>114.07779001997005</v>
      </c>
      <c r="M12" s="191"/>
      <c r="N12" s="193">
        <f>SUM(N9:N11)</f>
        <v>366.16499168306575</v>
      </c>
      <c r="O12" s="194" t="s">
        <v>813</v>
      </c>
      <c r="P12" s="193">
        <f>SUM(P9:P11)</f>
        <v>388.11099021806569</v>
      </c>
      <c r="R12" s="181"/>
    </row>
    <row r="13" spans="1:19" x14ac:dyDescent="0.35">
      <c r="A13" s="185"/>
      <c r="B13" s="195"/>
      <c r="C13" s="196"/>
      <c r="D13" s="195"/>
      <c r="E13" s="191"/>
      <c r="F13" s="195"/>
      <c r="G13" s="196"/>
      <c r="H13" s="195"/>
      <c r="I13" s="191"/>
      <c r="J13" s="195"/>
      <c r="K13" s="196"/>
      <c r="L13" s="195"/>
      <c r="M13" s="191"/>
      <c r="N13" s="195"/>
      <c r="O13" s="196"/>
      <c r="P13" s="195"/>
      <c r="R13" s="181"/>
    </row>
    <row r="14" spans="1:19" x14ac:dyDescent="0.35">
      <c r="A14" s="197" t="s">
        <v>1093</v>
      </c>
      <c r="B14" s="198">
        <f>+'Energy Savings -slide 8,22'!C4/1000000</f>
        <v>16.562156520000002</v>
      </c>
      <c r="C14" s="199" t="s">
        <v>813</v>
      </c>
      <c r="D14" s="198">
        <f>+'Energy Savings -slide 8,22'!C5/1000000</f>
        <v>26.754252839999999</v>
      </c>
      <c r="E14" s="200"/>
      <c r="F14" s="198">
        <f>+'Energy Savings -slide 8,22'!C7/1000000</f>
        <v>16.367989560000002</v>
      </c>
      <c r="G14" s="199" t="s">
        <v>813</v>
      </c>
      <c r="H14" s="198">
        <f>+'Energy Savings -slide 8,22'!C8/1000000</f>
        <v>26.440598519999998</v>
      </c>
      <c r="I14" s="200"/>
      <c r="J14" s="198">
        <f>+'Energy Savings -slide 8,22'!C10/1000000</f>
        <v>30.738307470000002</v>
      </c>
      <c r="K14" s="199" t="s">
        <v>813</v>
      </c>
      <c r="L14" s="198">
        <f>+'Energy Savings -slide 8,22'!C11/1000000</f>
        <v>49.654188990000002</v>
      </c>
      <c r="M14" s="200"/>
      <c r="N14" s="198">
        <f>+'Energy Savings -slide 8,22'!C13/1000000</f>
        <v>90.280310249999999</v>
      </c>
      <c r="O14" s="199" t="s">
        <v>813</v>
      </c>
      <c r="P14" s="198">
        <f>+'Energy Savings -slide 8,22'!C14/1000000</f>
        <v>145.83742425</v>
      </c>
      <c r="R14" s="181"/>
    </row>
    <row r="15" spans="1:19" x14ac:dyDescent="0.35">
      <c r="A15" s="197"/>
      <c r="B15" s="201"/>
      <c r="C15" s="196"/>
      <c r="D15" s="201"/>
      <c r="E15" s="200"/>
      <c r="F15" s="201"/>
      <c r="G15" s="196"/>
      <c r="H15" s="201"/>
      <c r="I15" s="200"/>
      <c r="J15" s="201"/>
      <c r="K15" s="196"/>
      <c r="L15" s="201"/>
      <c r="M15" s="200"/>
      <c r="N15" s="201"/>
      <c r="O15" s="196"/>
      <c r="P15" s="201"/>
      <c r="R15" s="181"/>
    </row>
    <row r="16" spans="1:19" x14ac:dyDescent="0.35">
      <c r="A16" s="197" t="s">
        <v>1094</v>
      </c>
      <c r="B16" s="201"/>
      <c r="C16" s="196"/>
      <c r="D16" s="201"/>
      <c r="E16" s="200"/>
      <c r="F16" s="201"/>
      <c r="G16" s="196"/>
      <c r="H16" s="201"/>
      <c r="I16" s="200"/>
      <c r="J16" s="201"/>
      <c r="K16" s="196"/>
      <c r="L16" s="201"/>
      <c r="M16" s="200"/>
      <c r="N16" s="201"/>
      <c r="O16" s="196"/>
      <c r="P16" s="201"/>
      <c r="R16" s="181"/>
    </row>
    <row r="17" spans="1:18" x14ac:dyDescent="0.35">
      <c r="A17" s="197" t="s">
        <v>1096</v>
      </c>
      <c r="B17" s="190">
        <f>(+B9-B10)*'Plant Data - slide 8,22'!$L$15</f>
        <v>0.53044848780029841</v>
      </c>
      <c r="C17" s="192" t="s">
        <v>813</v>
      </c>
      <c r="D17" s="190">
        <f>(+D9-D10)*'Plant Data - slide 8,22'!$L$15</f>
        <v>0.98559745444788638</v>
      </c>
      <c r="E17" s="200"/>
      <c r="F17" s="190">
        <f>(+F9-F10)*'Plant Data - slide 8,22'!$L$15</f>
        <v>0.52013581486124161</v>
      </c>
      <c r="G17" s="192" t="s">
        <v>813</v>
      </c>
      <c r="H17" s="190">
        <f>(+H9-H10)*'Plant Data - slide 8,22'!$L$15</f>
        <v>0.96313885947336475</v>
      </c>
      <c r="I17" s="200"/>
      <c r="J17" s="190">
        <f>(+J9-J10)*'Plant Data - slide 8,22'!$L$15</f>
        <v>1.6311967658173112</v>
      </c>
      <c r="K17" s="192" t="s">
        <v>813</v>
      </c>
      <c r="L17" s="190">
        <f>(+L9-L10)*'Plant Data - slide 8,22'!$L$15</f>
        <v>2.0372146753251124</v>
      </c>
      <c r="M17" s="200"/>
      <c r="N17" s="190">
        <f>(+N9-N10)*'Plant Data - slide 8,22'!$L$15</f>
        <v>6.3981913259850067</v>
      </c>
      <c r="O17" s="192" t="s">
        <v>813</v>
      </c>
      <c r="P17" s="190">
        <f>(+P9-P10)*'Plant Data - slide 8,22'!$L$15</f>
        <v>7.241819984189779</v>
      </c>
      <c r="R17" s="181"/>
    </row>
    <row r="18" spans="1:18" x14ac:dyDescent="0.35">
      <c r="A18" s="197" t="s">
        <v>1095</v>
      </c>
      <c r="B18" s="190">
        <f>(+B9-B10)*'Plant Data - slide 8,22'!$H$16</f>
        <v>0.20009595004390598</v>
      </c>
      <c r="C18" s="192" t="s">
        <v>813</v>
      </c>
      <c r="D18" s="190">
        <f>(+D9-D10)*'Plant Data - slide 8,22'!$H$16</f>
        <v>0.37178739037682335</v>
      </c>
      <c r="E18" s="200"/>
      <c r="F18" s="190">
        <f>(+F9-F10)*'Plant Data - slide 8,22'!$H$16</f>
        <v>0.19620580022410006</v>
      </c>
      <c r="G18" s="192" t="s">
        <v>813</v>
      </c>
      <c r="H18" s="190">
        <f>(+H9-H10)*'Plant Data - slide 8,22'!$H$16</f>
        <v>0.36331555192043768</v>
      </c>
      <c r="I18" s="200"/>
      <c r="J18" s="190">
        <f>(+J9-J10)*'Plant Data - slide 8,22'!$H$16</f>
        <v>0.61532057131180318</v>
      </c>
      <c r="K18" s="192" t="s">
        <v>813</v>
      </c>
      <c r="L18" s="190">
        <f>(+L9-L10)*'Plant Data - slide 8,22'!$H$16</f>
        <v>0.76847877838805767</v>
      </c>
      <c r="M18" s="200"/>
      <c r="N18" s="190">
        <f>(+N9-N10)*'Plant Data - slide 8,22'!$H$16</f>
        <v>2.4135278003047747</v>
      </c>
      <c r="O18" s="192" t="s">
        <v>813</v>
      </c>
      <c r="P18" s="190">
        <f>(+P9-P10)*'Plant Data - slide 8,22'!$H$16</f>
        <v>2.7317616754691079</v>
      </c>
      <c r="R18" s="181"/>
    </row>
    <row r="19" spans="1:18" x14ac:dyDescent="0.35">
      <c r="A19" s="197" t="s">
        <v>1092</v>
      </c>
      <c r="B19" s="190">
        <f>-'Energy Savings -slide 8,22'!E4/1000000</f>
        <v>-0.4625672298065</v>
      </c>
      <c r="C19" s="192" t="s">
        <v>813</v>
      </c>
      <c r="D19" s="190">
        <f>-'Energy Savings -slide 8,22'!E5/1000000</f>
        <v>-0.74722398661049994</v>
      </c>
      <c r="E19" s="191"/>
      <c r="F19" s="190">
        <f>-'Energy Savings -slide 8,22'!E7/1000000</f>
        <v>-0.45714430841949993</v>
      </c>
      <c r="G19" s="192" t="s">
        <v>813</v>
      </c>
      <c r="H19" s="190">
        <f>-'Energy Savings -slide 8,22'!E8/1000000</f>
        <v>-0.73846388283149988</v>
      </c>
      <c r="I19" s="191"/>
      <c r="J19" s="190">
        <f>-'Energy Savings -slide 8,22'!E10/1000000</f>
        <v>-0.85849531238087495</v>
      </c>
      <c r="K19" s="192" t="s">
        <v>813</v>
      </c>
      <c r="L19" s="190">
        <f>-'Energy Savings -slide 8,22'!E11/1000000</f>
        <v>-1.386800119999875</v>
      </c>
      <c r="M19" s="191"/>
      <c r="N19" s="190">
        <f>-'Energy Savings -slide 8,22'!E13/1000000</f>
        <v>-2.521453831690625</v>
      </c>
      <c r="O19" s="192" t="s">
        <v>813</v>
      </c>
      <c r="P19" s="190">
        <f>-'Energy Savings -slide 8,22'!E14/1000000</f>
        <v>-4.0731177281156246</v>
      </c>
      <c r="R19" s="181"/>
    </row>
    <row r="20" spans="1:18" x14ac:dyDescent="0.35">
      <c r="A20" s="185" t="s">
        <v>819</v>
      </c>
      <c r="B20" s="205">
        <f>+N20*B6</f>
        <v>-0.27669096530936838</v>
      </c>
      <c r="C20" s="206" t="s">
        <v>813</v>
      </c>
      <c r="D20" s="205">
        <f>+P20*B6</f>
        <v>-0.46115160884894729</v>
      </c>
      <c r="E20" s="191"/>
      <c r="F20" s="205">
        <f>+N20*F6</f>
        <v>-0.2711688485023746</v>
      </c>
      <c r="G20" s="206" t="s">
        <v>813</v>
      </c>
      <c r="H20" s="205">
        <f>+P20*F6</f>
        <v>-0.45194808083729104</v>
      </c>
      <c r="I20" s="191"/>
      <c r="J20" s="205">
        <f>+N20*J6</f>
        <v>-0.71892658132111364</v>
      </c>
      <c r="K20" s="206" t="s">
        <v>813</v>
      </c>
      <c r="L20" s="205">
        <f>+P20*J6</f>
        <v>-1.1982109688685227</v>
      </c>
      <c r="M20" s="191"/>
      <c r="N20" s="205">
        <f>+'Maintenance Exp -slide 22'!C35/1000000</f>
        <v>-2.4660000000000002</v>
      </c>
      <c r="O20" s="206" t="s">
        <v>813</v>
      </c>
      <c r="P20" s="205">
        <f>+'Maintenance Exp -slide 22'!C36/1000000</f>
        <v>-4.1100000000000003</v>
      </c>
      <c r="R20" s="181"/>
    </row>
    <row r="21" spans="1:18" x14ac:dyDescent="0.35">
      <c r="A21" s="185" t="s">
        <v>820</v>
      </c>
      <c r="B21" s="193">
        <f>SUM(B17:B20)</f>
        <v>-8.7137572716639577E-3</v>
      </c>
      <c r="C21" s="194" t="s">
        <v>813</v>
      </c>
      <c r="D21" s="193">
        <f>SUM(D17:D20)</f>
        <v>0.14900924936526244</v>
      </c>
      <c r="E21" s="191"/>
      <c r="F21" s="193">
        <f>SUM(F17:F20)</f>
        <v>-1.1971541836532873E-2</v>
      </c>
      <c r="G21" s="194" t="s">
        <v>813</v>
      </c>
      <c r="H21" s="193">
        <f>SUM(H17:H20)</f>
        <v>0.13604244772501145</v>
      </c>
      <c r="I21" s="191"/>
      <c r="J21" s="193">
        <f>SUM(J17:J20)</f>
        <v>0.66909544342712568</v>
      </c>
      <c r="K21" s="194" t="s">
        <v>813</v>
      </c>
      <c r="L21" s="193">
        <f>SUM(L17:L20)</f>
        <v>0.22068236484477222</v>
      </c>
      <c r="M21" s="191"/>
      <c r="N21" s="193">
        <f>SUM(N17:N20)</f>
        <v>3.8242652945991553</v>
      </c>
      <c r="O21" s="194" t="s">
        <v>813</v>
      </c>
      <c r="P21" s="193">
        <f>SUM(P17:P20)</f>
        <v>1.790463931543262</v>
      </c>
      <c r="R21" s="181"/>
    </row>
    <row r="22" spans="1:18" x14ac:dyDescent="0.35">
      <c r="R22" s="181"/>
    </row>
    <row r="23" spans="1:18" x14ac:dyDescent="0.35">
      <c r="R23" s="181"/>
    </row>
    <row r="24" spans="1:18" x14ac:dyDescent="0.35">
      <c r="R24" s="181"/>
    </row>
    <row r="25" spans="1:18" x14ac:dyDescent="0.35">
      <c r="R25" s="181"/>
    </row>
    <row r="26" spans="1:18" x14ac:dyDescent="0.35">
      <c r="R26" s="181"/>
    </row>
    <row r="27" spans="1:18" x14ac:dyDescent="0.35">
      <c r="R27" s="181"/>
    </row>
    <row r="28" spans="1:18" x14ac:dyDescent="0.35">
      <c r="R28" s="181"/>
    </row>
    <row r="29" spans="1:18" x14ac:dyDescent="0.35">
      <c r="A29" s="203"/>
      <c r="B29" s="204"/>
      <c r="C29" s="203"/>
      <c r="D29" s="204"/>
      <c r="E29" s="203"/>
      <c r="F29" s="204"/>
      <c r="G29" s="203"/>
      <c r="H29" s="204"/>
      <c r="I29" s="203"/>
      <c r="J29" s="204"/>
      <c r="K29" s="203"/>
      <c r="L29" s="204"/>
      <c r="M29" s="203"/>
      <c r="N29" s="204"/>
      <c r="O29" s="203"/>
      <c r="P29" s="204"/>
      <c r="R29" s="181"/>
    </row>
    <row r="30" spans="1:18" x14ac:dyDescent="0.35">
      <c r="B30" s="181"/>
      <c r="R30" s="181"/>
    </row>
    <row r="31" spans="1:18" x14ac:dyDescent="0.35">
      <c r="R31" s="181"/>
    </row>
    <row r="32" spans="1:18" x14ac:dyDescent="0.35">
      <c r="R32" s="181"/>
    </row>
    <row r="33" spans="1:18" x14ac:dyDescent="0.35">
      <c r="A33" s="182"/>
      <c r="R33" s="181"/>
    </row>
    <row r="34" spans="1:18" x14ac:dyDescent="0.35">
      <c r="A34" s="182"/>
    </row>
    <row r="35" spans="1:18" x14ac:dyDescent="0.35">
      <c r="A35" s="182"/>
      <c r="B35" s="182"/>
    </row>
  </sheetData>
  <mergeCells count="20">
    <mergeCell ref="B3:D3"/>
    <mergeCell ref="F3:H3"/>
    <mergeCell ref="J3:L3"/>
    <mergeCell ref="N3:P3"/>
    <mergeCell ref="B4:D4"/>
    <mergeCell ref="F4:H4"/>
    <mergeCell ref="J4:L4"/>
    <mergeCell ref="N4:P4"/>
    <mergeCell ref="B8:D8"/>
    <mergeCell ref="F8:H8"/>
    <mergeCell ref="J8:L8"/>
    <mergeCell ref="N8:P8"/>
    <mergeCell ref="B5:D5"/>
    <mergeCell ref="B6:D6"/>
    <mergeCell ref="F5:H5"/>
    <mergeCell ref="J5:L5"/>
    <mergeCell ref="N5:P5"/>
    <mergeCell ref="F6:H6"/>
    <mergeCell ref="J6:L6"/>
    <mergeCell ref="N6:P6"/>
  </mergeCells>
  <pageMargins left="0.7" right="0.7" top="0.75" bottom="0.75" header="0.3" footer="0.3"/>
  <pageSetup scale="76" orientation="portrait" r:id="rId1"/>
  <headerFooter>
    <oddHeader>&amp;R&amp;"times,Bold"&amp;12Attachment to Response to LFUCG-2 Question No. 4 - Att  7
&amp;P of &amp;N
Malloy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Malloy, John P.</Witness_x0020_Testimony>
    <Round xmlns="54fcda00-7b58-44a7-b108-8bd10a8a08ba">DR2 Attachments</Round>
    <Data_x0020_Request_x0020_Question_x0020_No_x002e_ xmlns="54fcda00-7b58-44a7-b108-8bd10a8a08ba">004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Intervemprs xmlns="54fcda00-7b58-44a7-b108-8bd10a8a08ba">Lexington-Fayette Urban County Govt - LFUCG</Intervemprs>
  </documentManagement>
</p:properties>
</file>

<file path=customXml/itemProps1.xml><?xml version="1.0" encoding="utf-8"?>
<ds:datastoreItem xmlns:ds="http://schemas.openxmlformats.org/officeDocument/2006/customXml" ds:itemID="{E5E53088-E014-4A0B-81FB-A921A498B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948D30-B746-4E0C-A43B-5413CAC02A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0ACAC7-63EB-4678-A288-5695D159FAD8}">
  <ds:schemaRefs>
    <ds:schemaRef ds:uri="54fcda00-7b58-44a7-b108-8bd10a8a08ba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Rate Code Summary -slide 4</vt:lpstr>
      <vt:lpstr>Revenue with Month -slide 8,22</vt:lpstr>
      <vt:lpstr>Slide 16 Notes</vt:lpstr>
      <vt:lpstr>Expense- slide 8,22</vt:lpstr>
      <vt:lpstr>Plant Data - slide 8,22</vt:lpstr>
      <vt:lpstr>Sell Lights - slide 16</vt:lpstr>
      <vt:lpstr>Eliminate Lights - slide 19-20</vt:lpstr>
      <vt:lpstr>Energy Savings -slide 8,22</vt:lpstr>
      <vt:lpstr>Option costs -Savings slide-22</vt:lpstr>
      <vt:lpstr>LED Costs Summary</vt:lpstr>
      <vt:lpstr>LED Costs</vt:lpstr>
      <vt:lpstr>LED Costs-Lumen -slide 22</vt:lpstr>
      <vt:lpstr>LED Costs-Watt -slide 22</vt:lpstr>
      <vt:lpstr>Maintenance Exp -slide 22</vt:lpstr>
      <vt:lpstr>NL Prod Cost 12 Mo. Rolling</vt:lpstr>
      <vt:lpstr>KY_PIS NVB P7 (REG)</vt:lpstr>
      <vt:lpstr>VA_PIS NBV P9 (REG)</vt:lpstr>
      <vt:lpstr>TN_PIS NBV P11 (REG)</vt:lpstr>
      <vt:lpstr>Total Elec PIS_NBV-P11 (Reg)</vt:lpstr>
      <vt:lpstr>Rate Code Detail-Code Count</vt:lpstr>
      <vt:lpstr>Rate Code Detail-Qty</vt:lpstr>
      <vt:lpstr>Rate Code Detail</vt:lpstr>
      <vt:lpstr>Pivot-RC</vt:lpstr>
      <vt:lpstr>Revenue with Month (2)</vt:lpstr>
      <vt:lpstr>watt</vt:lpstr>
      <vt:lpstr>'Maintenance Exp -slide 22'!Print_Area</vt:lpstr>
      <vt:lpstr>'Revenue with Month -slide 8,22'!Print_Area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2017-02-11T16:42:23Z</dcterms:created>
  <dcterms:modified xsi:type="dcterms:W3CDTF">2017-02-15T18:23:19Z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