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35" windowWidth="9420" windowHeight="45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7" i="1" l="1"/>
  <c r="G27" i="1" s="1"/>
  <c r="J27" i="1"/>
  <c r="E27" i="1"/>
  <c r="K33" i="1"/>
  <c r="J33" i="1"/>
  <c r="G33" i="1"/>
  <c r="E33" i="1"/>
  <c r="K15" i="1"/>
  <c r="J15" i="1"/>
  <c r="G15" i="1"/>
  <c r="E15" i="1"/>
  <c r="K18" i="1"/>
  <c r="G18" i="1"/>
  <c r="J18" i="1"/>
  <c r="E18" i="1"/>
  <c r="K9" i="1"/>
  <c r="G9" i="1"/>
  <c r="J9" i="1"/>
  <c r="E9" i="1"/>
  <c r="K35" i="1"/>
  <c r="G35" i="1"/>
  <c r="J35" i="1"/>
  <c r="K34" i="1"/>
  <c r="G34" i="1"/>
  <c r="J34" i="1"/>
  <c r="K26" i="1"/>
  <c r="J26" i="1"/>
  <c r="K25" i="1"/>
  <c r="J25" i="1"/>
  <c r="K17" i="1"/>
  <c r="J17" i="1"/>
  <c r="K16" i="1"/>
  <c r="G16" i="1"/>
  <c r="J16" i="1"/>
  <c r="K8" i="1"/>
  <c r="G8" i="1"/>
  <c r="J8" i="1"/>
  <c r="G26" i="1"/>
  <c r="G25" i="1"/>
  <c r="G17" i="1"/>
  <c r="K7" i="1"/>
  <c r="G7" i="1" s="1"/>
  <c r="E26" i="1"/>
  <c r="E25" i="1"/>
  <c r="E17" i="1"/>
  <c r="E16" i="1"/>
  <c r="E8" i="1"/>
  <c r="J7" i="1"/>
  <c r="E7" i="1"/>
  <c r="G24" i="1"/>
  <c r="E24" i="1"/>
  <c r="K36" i="1"/>
  <c r="G36" i="1"/>
  <c r="J36" i="1"/>
  <c r="E36" i="1" s="1"/>
  <c r="G6" i="1"/>
  <c r="E6" i="1"/>
  <c r="K24" i="1"/>
  <c r="J24" i="1"/>
  <c r="E35" i="1"/>
  <c r="E34" i="1"/>
  <c r="H26" i="1" l="1"/>
  <c r="H6" i="1"/>
  <c r="H25" i="1"/>
  <c r="H36" i="1"/>
  <c r="H34" i="1"/>
  <c r="H15" i="1"/>
  <c r="H33" i="1"/>
  <c r="H17" i="1"/>
  <c r="H9" i="1"/>
  <c r="H18" i="1"/>
  <c r="H27" i="1"/>
  <c r="H24" i="1"/>
  <c r="H8" i="1"/>
  <c r="H16" i="1"/>
  <c r="H35" i="1"/>
  <c r="H7" i="1"/>
  <c r="H28" i="1" l="1"/>
  <c r="H10" i="1"/>
  <c r="H37" i="1"/>
  <c r="H19" i="1"/>
</calcChain>
</file>

<file path=xl/sharedStrings.xml><?xml version="1.0" encoding="utf-8"?>
<sst xmlns="http://schemas.openxmlformats.org/spreadsheetml/2006/main" count="113" uniqueCount="39">
  <si>
    <t>Weighting</t>
  </si>
  <si>
    <t>Topic</t>
  </si>
  <si>
    <t>Actual (&lt; Target)</t>
  </si>
  <si>
    <t>TIA % Payout</t>
  </si>
  <si>
    <t>Actual (&gt; Target)</t>
  </si>
  <si>
    <t>Weighted TIA % Payout</t>
  </si>
  <si>
    <t>GHENT</t>
  </si>
  <si>
    <t>Cont. Budget Variance - Plant</t>
  </si>
  <si>
    <t>Cont. Budget Variance - Combined</t>
  </si>
  <si>
    <t>Availability - EFOR Plant</t>
  </si>
  <si>
    <t>GREEN RIVER</t>
  </si>
  <si>
    <t>MIN  -  TARGET  -  MAX</t>
  </si>
  <si>
    <t>Starting Reliability - Plant</t>
  </si>
  <si>
    <t>EWB CT's*</t>
  </si>
  <si>
    <t>* EWB/TYRONE WEIGHTINGS</t>
  </si>
  <si>
    <t>Safety Rec Inj Payout: Maximum Target Stated = 140% Payout.  Zero Recordables = 150% Payout.</t>
  </si>
  <si>
    <t>*</t>
  </si>
  <si>
    <t>Safety: Recordable Injuries (Plant)</t>
  </si>
  <si>
    <t>Cont. Budget Variance (%) - Plant</t>
  </si>
  <si>
    <t>Cont. Budget Variance (%) - Combined</t>
  </si>
  <si>
    <t>EWB STEAM*</t>
  </si>
  <si>
    <t>40%</t>
  </si>
  <si>
    <t>15%</t>
  </si>
  <si>
    <t>30%</t>
  </si>
  <si>
    <t xml:space="preserve">2015 TIA TEAM EFFECTIVENESS </t>
  </si>
  <si>
    <t xml:space="preserve">BUDGET = EWB STEAM + EWB CT's </t>
  </si>
  <si>
    <t>SAFETY RECORDABLE INJ INCIDENTS = EWB + CT's</t>
  </si>
  <si>
    <t>KU PLANTS (Rev 1/21/2016)</t>
  </si>
  <si>
    <t>Below Target Formula</t>
  </si>
  <si>
    <t>Above Target Formula</t>
  </si>
  <si>
    <r>
      <t xml:space="preserve">5  - 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-  1</t>
    </r>
  </si>
  <si>
    <r>
      <t xml:space="preserve">3.0  -  </t>
    </r>
    <r>
      <rPr>
        <b/>
        <sz val="12"/>
        <rFont val="Times New Roman"/>
        <family val="1"/>
      </rPr>
      <t>1.0</t>
    </r>
    <r>
      <rPr>
        <sz val="12"/>
        <rFont val="Times New Roman"/>
        <family val="1"/>
      </rPr>
      <t xml:space="preserve">  -  (-2.0)</t>
    </r>
  </si>
  <si>
    <r>
      <t xml:space="preserve">8.5 - </t>
    </r>
    <r>
      <rPr>
        <b/>
        <sz val="12"/>
        <rFont val="Times New Roman"/>
        <family val="1"/>
      </rPr>
      <t>5.0</t>
    </r>
    <r>
      <rPr>
        <sz val="12"/>
        <rFont val="Times New Roman"/>
        <family val="1"/>
      </rPr>
      <t xml:space="preserve">  -  3.5</t>
    </r>
  </si>
  <si>
    <r>
      <t>5  - 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-  1</t>
    </r>
  </si>
  <si>
    <r>
      <t xml:space="preserve">9.5  -  </t>
    </r>
    <r>
      <rPr>
        <b/>
        <sz val="12"/>
        <rFont val="Times New Roman"/>
        <family val="1"/>
      </rPr>
      <t>5.6</t>
    </r>
    <r>
      <rPr>
        <sz val="12"/>
        <rFont val="Times New Roman"/>
        <family val="1"/>
      </rPr>
      <t xml:space="preserve">  -  3.9</t>
    </r>
  </si>
  <si>
    <r>
      <t xml:space="preserve">4  - 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-  1</t>
    </r>
  </si>
  <si>
    <r>
      <t xml:space="preserve">11.9  -  </t>
    </r>
    <r>
      <rPr>
        <b/>
        <sz val="12"/>
        <rFont val="Times New Roman"/>
        <family val="1"/>
      </rPr>
      <t>7.0</t>
    </r>
    <r>
      <rPr>
        <sz val="12"/>
        <rFont val="Times New Roman"/>
        <family val="1"/>
      </rPr>
      <t xml:space="preserve">  -  4.9</t>
    </r>
  </si>
  <si>
    <r>
      <t xml:space="preserve">5  -  </t>
    </r>
    <r>
      <rPr>
        <b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 -  1</t>
    </r>
  </si>
  <si>
    <r>
      <t xml:space="preserve">92.0  -  </t>
    </r>
    <r>
      <rPr>
        <b/>
        <sz val="12"/>
        <rFont val="Times New Roman"/>
        <family val="1"/>
      </rPr>
      <t>96.5</t>
    </r>
    <r>
      <rPr>
        <sz val="12"/>
        <rFont val="Times New Roman"/>
        <family val="1"/>
      </rPr>
      <t xml:space="preserve">  -  98.5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</si>
</sst>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>
        <bgColor indexed="22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2" fontId="2" fillId="0" borderId="0" xfId="0" applyNumberFormat="1" applyFont="1" applyAlignment="1"/>
    <xf numFmtId="2" fontId="4" fillId="0" borderId="0" xfId="0" applyNumberFormat="1" applyFont="1" applyAlignment="1"/>
    <xf numFmtId="0" fontId="2" fillId="0" borderId="0" xfId="0" applyFont="1" applyAlignment="1"/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Normal="100" workbookViewId="0">
      <selection sqref="A1:H1"/>
    </sheetView>
  </sheetViews>
  <sheetFormatPr defaultRowHeight="15.75" x14ac:dyDescent="0.25"/>
  <cols>
    <col min="1" max="1" width="13.5703125" style="2" bestFit="1" customWidth="1"/>
    <col min="2" max="2" width="36.5703125" style="3" bestFit="1" customWidth="1"/>
    <col min="3" max="3" width="27.140625" style="3" bestFit="1" customWidth="1"/>
    <col min="4" max="4" width="17.7109375" style="2" bestFit="1" customWidth="1"/>
    <col min="5" max="5" width="15" style="2" bestFit="1" customWidth="1"/>
    <col min="6" max="6" width="17.7109375" style="2" bestFit="1" customWidth="1"/>
    <col min="7" max="7" width="15" style="3" customWidth="1"/>
    <col min="8" max="8" width="25" style="3" bestFit="1" customWidth="1"/>
    <col min="9" max="9" width="9.140625" style="4"/>
    <col min="10" max="10" width="22.7109375" style="4" bestFit="1" customWidth="1"/>
    <col min="11" max="11" width="23" style="4" bestFit="1" customWidth="1"/>
    <col min="12" max="17" width="9.140625" style="4" customWidth="1"/>
    <col min="18" max="18" width="21.7109375" style="3" customWidth="1"/>
    <col min="19" max="19" width="21.7109375" style="3" bestFit="1" customWidth="1"/>
    <col min="20" max="16384" width="9.140625" style="4"/>
  </cols>
  <sheetData>
    <row r="1" spans="1:19" s="1" customFormat="1" x14ac:dyDescent="0.25">
      <c r="A1" s="24" t="s">
        <v>24</v>
      </c>
      <c r="B1" s="24"/>
      <c r="C1" s="24"/>
      <c r="D1" s="24"/>
      <c r="E1" s="24"/>
      <c r="F1" s="24"/>
      <c r="G1" s="24"/>
      <c r="H1" s="24"/>
      <c r="J1" s="17"/>
      <c r="K1" s="17"/>
    </row>
    <row r="2" spans="1:19" s="1" customFormat="1" x14ac:dyDescent="0.25">
      <c r="A2" s="24" t="s">
        <v>27</v>
      </c>
      <c r="B2" s="24"/>
      <c r="C2" s="24"/>
      <c r="D2" s="24"/>
      <c r="E2" s="24"/>
      <c r="F2" s="24"/>
      <c r="G2" s="24"/>
      <c r="H2" s="24"/>
      <c r="J2" s="17"/>
      <c r="K2" s="17"/>
    </row>
    <row r="3" spans="1:19" x14ac:dyDescent="0.25">
      <c r="E3" s="3"/>
      <c r="J3" s="3"/>
      <c r="K3" s="3"/>
      <c r="R3" s="4"/>
      <c r="S3" s="4"/>
    </row>
    <row r="4" spans="1:19" x14ac:dyDescent="0.25">
      <c r="A4" s="5" t="s">
        <v>6</v>
      </c>
      <c r="J4" s="3"/>
      <c r="K4" s="3"/>
      <c r="R4" s="4"/>
      <c r="S4" s="4"/>
    </row>
    <row r="5" spans="1:19" s="1" customFormat="1" x14ac:dyDescent="0.25">
      <c r="A5" s="6" t="s">
        <v>0</v>
      </c>
      <c r="B5" s="7" t="s">
        <v>1</v>
      </c>
      <c r="C5" s="7" t="s">
        <v>11</v>
      </c>
      <c r="D5" s="6" t="s">
        <v>2</v>
      </c>
      <c r="E5" s="6" t="s">
        <v>3</v>
      </c>
      <c r="F5" s="6" t="s">
        <v>4</v>
      </c>
      <c r="G5" s="7" t="s">
        <v>3</v>
      </c>
      <c r="H5" s="7" t="s">
        <v>5</v>
      </c>
      <c r="J5" s="17" t="s">
        <v>28</v>
      </c>
      <c r="K5" s="17" t="s">
        <v>29</v>
      </c>
    </row>
    <row r="6" spans="1:19" x14ac:dyDescent="0.25">
      <c r="A6" s="8" t="s">
        <v>21</v>
      </c>
      <c r="B6" s="9" t="s">
        <v>17</v>
      </c>
      <c r="C6" s="8" t="s">
        <v>30</v>
      </c>
      <c r="D6" s="10" t="s">
        <v>16</v>
      </c>
      <c r="E6" s="11" t="str">
        <f>IF(D6&gt;5,"0",IF(D6=5,"50",IF(D6=4,"75",IF(D6=3,"100",IF(D6&lt;3,"0")))))</f>
        <v>0</v>
      </c>
      <c r="F6" s="10">
        <v>3</v>
      </c>
      <c r="G6" s="11" t="str">
        <f>IF(F6&gt;3,"0",IF(F6=3,"100",IF(F6=2,"120",IF(F6=1,"140",IF(F6=0,"150")))))</f>
        <v>100</v>
      </c>
      <c r="H6" s="11">
        <f>(E6+G6)*(40)/(100)</f>
        <v>40</v>
      </c>
      <c r="J6" s="3"/>
      <c r="K6" s="3"/>
      <c r="R6" s="4"/>
      <c r="S6" s="4"/>
    </row>
    <row r="7" spans="1:19" x14ac:dyDescent="0.25">
      <c r="A7" s="8" t="s">
        <v>22</v>
      </c>
      <c r="B7" s="9" t="s">
        <v>18</v>
      </c>
      <c r="C7" s="9" t="s">
        <v>31</v>
      </c>
      <c r="D7" s="12" t="s">
        <v>16</v>
      </c>
      <c r="E7" s="11" t="str">
        <f>IF(D7&gt;3,"0",IF(D7&lt;1,"0",J7))</f>
        <v>0</v>
      </c>
      <c r="F7" s="12">
        <v>0.77</v>
      </c>
      <c r="G7" s="11">
        <f>IF(F7&gt;1,"0",IF(F7&lt;-2,"150",K7))</f>
        <v>103.83333333333333</v>
      </c>
      <c r="H7" s="11">
        <f>(E7+G7)*(15)/(100)</f>
        <v>15.574999999999999</v>
      </c>
      <c r="J7" s="3" t="e">
        <f>(3-D7)*(50)/(2)+(50)</f>
        <v>#VALUE!</v>
      </c>
      <c r="K7" s="3">
        <f>(1-F7)*(50)/(3)+100</f>
        <v>103.83333333333333</v>
      </c>
      <c r="R7" s="4"/>
      <c r="S7" s="4"/>
    </row>
    <row r="8" spans="1:19" x14ac:dyDescent="0.25">
      <c r="A8" s="8" t="s">
        <v>22</v>
      </c>
      <c r="B8" s="9" t="s">
        <v>19</v>
      </c>
      <c r="C8" s="9" t="s">
        <v>31</v>
      </c>
      <c r="D8" s="12" t="s">
        <v>16</v>
      </c>
      <c r="E8" s="11" t="str">
        <f>IF(D8&gt;3,"0",IF(D8&lt;1,"0",J8))</f>
        <v>0</v>
      </c>
      <c r="F8" s="12">
        <v>-3.65</v>
      </c>
      <c r="G8" s="11" t="str">
        <f>IF(F8&gt;1,"0",IF(F8&lt;-2,"150",K8))</f>
        <v>150</v>
      </c>
      <c r="H8" s="11">
        <f>(E8+G8)*(15)/(100)</f>
        <v>22.5</v>
      </c>
      <c r="J8" s="3" t="e">
        <f>(3-D8)*(50)/(2)+(50)</f>
        <v>#VALUE!</v>
      </c>
      <c r="K8" s="3">
        <f>(1-F8)*(50)/(3)+100</f>
        <v>177.5</v>
      </c>
      <c r="R8" s="4"/>
      <c r="S8" s="4"/>
    </row>
    <row r="9" spans="1:19" x14ac:dyDescent="0.25">
      <c r="A9" s="8" t="s">
        <v>23</v>
      </c>
      <c r="B9" s="9" t="s">
        <v>9</v>
      </c>
      <c r="C9" s="9" t="s">
        <v>32</v>
      </c>
      <c r="D9" s="12" t="s">
        <v>16</v>
      </c>
      <c r="E9" s="11" t="str">
        <f>IF(D9&gt;8.5,"0",IF(D9&lt;5,"0",J9))</f>
        <v>0</v>
      </c>
      <c r="F9" s="12">
        <v>3.45</v>
      </c>
      <c r="G9" s="11" t="str">
        <f>IF(F9&gt;5,"0",IF(F9&lt;3.5,"150",K9))</f>
        <v>150</v>
      </c>
      <c r="H9" s="11">
        <f>(E9+G9)*(30)/(100)</f>
        <v>45</v>
      </c>
      <c r="J9" s="3" t="e">
        <f>(8.5-D9)*(50)/(3.5)+50</f>
        <v>#VALUE!</v>
      </c>
      <c r="K9" s="3">
        <f>(5-F9)*(50)/(1.5)+100</f>
        <v>151.66666666666666</v>
      </c>
      <c r="R9" s="4"/>
      <c r="S9" s="4"/>
    </row>
    <row r="10" spans="1:19" x14ac:dyDescent="0.25">
      <c r="A10" s="11"/>
      <c r="B10" s="9"/>
      <c r="C10" s="9"/>
      <c r="D10" s="11"/>
      <c r="E10" s="11"/>
      <c r="F10" s="11"/>
      <c r="G10" s="9"/>
      <c r="H10" s="6">
        <f>SUM(H6:H9)</f>
        <v>123.075</v>
      </c>
      <c r="J10" s="3"/>
      <c r="K10" s="3"/>
      <c r="R10" s="4"/>
      <c r="S10" s="4"/>
    </row>
    <row r="11" spans="1:19" x14ac:dyDescent="0.25">
      <c r="A11" s="13"/>
      <c r="B11" s="14"/>
      <c r="C11" s="14"/>
      <c r="D11" s="13"/>
      <c r="E11" s="13"/>
      <c r="F11" s="13"/>
      <c r="G11" s="14"/>
      <c r="H11" s="13"/>
      <c r="J11" s="3"/>
      <c r="K11" s="3"/>
      <c r="R11" s="4"/>
      <c r="S11" s="4"/>
    </row>
    <row r="12" spans="1:19" x14ac:dyDescent="0.25">
      <c r="A12" s="13"/>
      <c r="B12" s="14"/>
      <c r="C12" s="14"/>
      <c r="D12" s="13"/>
      <c r="E12" s="13"/>
      <c r="F12" s="13"/>
      <c r="G12" s="14"/>
      <c r="H12" s="14"/>
      <c r="J12" s="3"/>
      <c r="K12" s="3"/>
      <c r="R12" s="4"/>
      <c r="S12" s="4"/>
    </row>
    <row r="13" spans="1:19" x14ac:dyDescent="0.25">
      <c r="A13" s="5" t="s">
        <v>20</v>
      </c>
      <c r="J13" s="3"/>
      <c r="K13" s="3"/>
      <c r="R13" s="4"/>
      <c r="S13" s="4"/>
    </row>
    <row r="14" spans="1:19" s="1" customFormat="1" x14ac:dyDescent="0.25">
      <c r="A14" s="6" t="s">
        <v>0</v>
      </c>
      <c r="B14" s="7" t="s">
        <v>1</v>
      </c>
      <c r="C14" s="7" t="s">
        <v>11</v>
      </c>
      <c r="D14" s="6" t="s">
        <v>2</v>
      </c>
      <c r="E14" s="6" t="s">
        <v>3</v>
      </c>
      <c r="F14" s="6" t="s">
        <v>4</v>
      </c>
      <c r="G14" s="7" t="s">
        <v>3</v>
      </c>
      <c r="H14" s="7" t="s">
        <v>5</v>
      </c>
      <c r="J14" s="17" t="s">
        <v>28</v>
      </c>
      <c r="K14" s="17" t="s">
        <v>29</v>
      </c>
    </row>
    <row r="15" spans="1:19" x14ac:dyDescent="0.25">
      <c r="A15" s="8" t="s">
        <v>21</v>
      </c>
      <c r="B15" s="9" t="s">
        <v>17</v>
      </c>
      <c r="C15" s="8" t="s">
        <v>33</v>
      </c>
      <c r="D15" s="10" t="s">
        <v>16</v>
      </c>
      <c r="E15" s="11" t="str">
        <f>IF(D15&gt;5,"0",IF(D15=5,"50",IF(D15=4,"75",IF(D15=3,"100",IF(D15&lt;3,"0")))))</f>
        <v>0</v>
      </c>
      <c r="F15" s="10">
        <v>1</v>
      </c>
      <c r="G15" s="11" t="str">
        <f>IF(F15&gt;3,"0",IF(F15=3,"100",IF(F15=2,"120",IF(F15=1,"140",IF(F15=0,"150")))))</f>
        <v>140</v>
      </c>
      <c r="H15" s="11">
        <f>(E15+G15)*(40)/(100)</f>
        <v>56</v>
      </c>
      <c r="J15" s="3" t="e">
        <f>(3-D15)*(50)/(2)+(50)</f>
        <v>#VALUE!</v>
      </c>
      <c r="K15" s="3">
        <f>(1-F15)*(50)/(3)+100</f>
        <v>100</v>
      </c>
      <c r="R15" s="4"/>
      <c r="S15" s="4"/>
    </row>
    <row r="16" spans="1:19" x14ac:dyDescent="0.25">
      <c r="A16" s="8" t="s">
        <v>22</v>
      </c>
      <c r="B16" s="9" t="s">
        <v>18</v>
      </c>
      <c r="C16" s="9" t="s">
        <v>31</v>
      </c>
      <c r="D16" s="12" t="s">
        <v>16</v>
      </c>
      <c r="E16" s="11" t="str">
        <f>IF(D16&gt;3,"0",IF(D16&lt;1,"0",J16))</f>
        <v>0</v>
      </c>
      <c r="F16" s="12">
        <v>-4.29</v>
      </c>
      <c r="G16" s="11" t="str">
        <f>IF(F16&gt;1,"0",IF(F16&lt;-2,"150",K16))</f>
        <v>150</v>
      </c>
      <c r="H16" s="11">
        <f>(E16+G16)*(15)/(100)</f>
        <v>22.5</v>
      </c>
      <c r="J16" s="3" t="e">
        <f>(3-D16)*(50)/(2)+(50)</f>
        <v>#VALUE!</v>
      </c>
      <c r="K16" s="3">
        <f>(1-F16)*(50)/(3)+100</f>
        <v>188.16666666666669</v>
      </c>
      <c r="R16" s="4"/>
      <c r="S16" s="4"/>
    </row>
    <row r="17" spans="1:19" x14ac:dyDescent="0.25">
      <c r="A17" s="8" t="s">
        <v>22</v>
      </c>
      <c r="B17" s="9" t="s">
        <v>19</v>
      </c>
      <c r="C17" s="9" t="s">
        <v>31</v>
      </c>
      <c r="D17" s="12" t="s">
        <v>16</v>
      </c>
      <c r="E17" s="11" t="str">
        <f>IF(D17&gt;3,"0",IF(D17&lt;1,"0",J17))</f>
        <v>0</v>
      </c>
      <c r="F17" s="12">
        <v>-3.65</v>
      </c>
      <c r="G17" s="11" t="str">
        <f>IF(F17&gt;1,"0",IF(F17&lt;-2,"150",K17))</f>
        <v>150</v>
      </c>
      <c r="H17" s="11">
        <f>(E17+G17)*(15)/(100)</f>
        <v>22.5</v>
      </c>
      <c r="J17" s="3" t="e">
        <f>(3-D17)*(50)/(2)+(50)</f>
        <v>#VALUE!</v>
      </c>
      <c r="K17" s="3">
        <f>(1-F17)*(50)/(3)+100</f>
        <v>177.5</v>
      </c>
      <c r="R17" s="4"/>
      <c r="S17" s="4"/>
    </row>
    <row r="18" spans="1:19" x14ac:dyDescent="0.25">
      <c r="A18" s="8" t="s">
        <v>23</v>
      </c>
      <c r="B18" s="9" t="s">
        <v>9</v>
      </c>
      <c r="C18" s="9" t="s">
        <v>34</v>
      </c>
      <c r="D18" s="12" t="s">
        <v>16</v>
      </c>
      <c r="E18" s="11" t="str">
        <f>IF(D18&gt;9.5,"0",IF(D18&lt;5.6,"0",J18))</f>
        <v>0</v>
      </c>
      <c r="F18" s="12">
        <v>2.27</v>
      </c>
      <c r="G18" s="11" t="str">
        <f>IF(F18&gt;5.6,"0",IF(F18&lt;3.9,"150",K18))</f>
        <v>150</v>
      </c>
      <c r="H18" s="11">
        <f>(E18+G18)*(30)/(100)</f>
        <v>45</v>
      </c>
      <c r="J18" s="3" t="e">
        <f>(9.5-D18)*(50)/(3.9)+50</f>
        <v>#VALUE!</v>
      </c>
      <c r="K18" s="3">
        <f>(5.6-F18)*(50)/(1.7)+100</f>
        <v>197.94117647058823</v>
      </c>
      <c r="R18" s="4"/>
      <c r="S18" s="4"/>
    </row>
    <row r="19" spans="1:19" x14ac:dyDescent="0.25">
      <c r="A19" s="11"/>
      <c r="B19" s="9"/>
      <c r="C19" s="9"/>
      <c r="D19" s="11"/>
      <c r="E19" s="11"/>
      <c r="F19" s="11"/>
      <c r="G19" s="9"/>
      <c r="H19" s="6">
        <f>SUM(H15:H18)</f>
        <v>146</v>
      </c>
      <c r="J19" s="3"/>
      <c r="K19" s="3"/>
      <c r="R19" s="4"/>
      <c r="S19" s="4"/>
    </row>
    <row r="20" spans="1:19" x14ac:dyDescent="0.25">
      <c r="J20" s="3"/>
      <c r="K20" s="3"/>
      <c r="R20" s="4"/>
      <c r="S20" s="4"/>
    </row>
    <row r="21" spans="1:19" x14ac:dyDescent="0.25">
      <c r="J21" s="3"/>
      <c r="K21" s="3"/>
      <c r="R21" s="4"/>
      <c r="S21" s="4"/>
    </row>
    <row r="22" spans="1:19" x14ac:dyDescent="0.25">
      <c r="A22" s="5" t="s">
        <v>10</v>
      </c>
      <c r="J22" s="3"/>
      <c r="K22" s="3"/>
      <c r="R22" s="4"/>
      <c r="S22" s="4"/>
    </row>
    <row r="23" spans="1:19" s="1" customFormat="1" x14ac:dyDescent="0.25">
      <c r="A23" s="6" t="s">
        <v>0</v>
      </c>
      <c r="B23" s="7" t="s">
        <v>1</v>
      </c>
      <c r="C23" s="7" t="s">
        <v>11</v>
      </c>
      <c r="D23" s="6" t="s">
        <v>2</v>
      </c>
      <c r="E23" s="6" t="s">
        <v>3</v>
      </c>
      <c r="F23" s="6" t="s">
        <v>4</v>
      </c>
      <c r="G23" s="7" t="s">
        <v>3</v>
      </c>
      <c r="H23" s="7" t="s">
        <v>5</v>
      </c>
      <c r="J23" s="17" t="s">
        <v>28</v>
      </c>
      <c r="K23" s="17" t="s">
        <v>29</v>
      </c>
    </row>
    <row r="24" spans="1:19" x14ac:dyDescent="0.25">
      <c r="A24" s="8" t="s">
        <v>21</v>
      </c>
      <c r="B24" s="9" t="s">
        <v>17</v>
      </c>
      <c r="C24" s="8" t="s">
        <v>35</v>
      </c>
      <c r="D24" s="10" t="s">
        <v>16</v>
      </c>
      <c r="E24" s="11" t="str">
        <f>IF(D24&gt;4,"0",IF(D24=4,"50",IF(D24=3,"75",IF(D24=2,"100",IF(D24&lt;2,"0")))))</f>
        <v>0</v>
      </c>
      <c r="F24" s="10">
        <v>0</v>
      </c>
      <c r="G24" s="11" t="str">
        <f>IF(F24&gt;2,"0",IF(F24=2,"100",IF(F24=1,"140",IF(F24=1,"140",IF(F24=0,"150")))))</f>
        <v>150</v>
      </c>
      <c r="H24" s="11">
        <f>(E24+G24)*(40)/(100)</f>
        <v>60</v>
      </c>
      <c r="J24" s="3" t="e">
        <f>(4-D24)*(50)/(2)+(50)</f>
        <v>#VALUE!</v>
      </c>
      <c r="K24" s="3">
        <f>(2-F24)*(50)/(1)+100</f>
        <v>200</v>
      </c>
      <c r="R24" s="4"/>
      <c r="S24" s="4"/>
    </row>
    <row r="25" spans="1:19" x14ac:dyDescent="0.25">
      <c r="A25" s="8" t="s">
        <v>22</v>
      </c>
      <c r="B25" s="9" t="s">
        <v>18</v>
      </c>
      <c r="C25" s="9" t="s">
        <v>31</v>
      </c>
      <c r="D25" s="12" t="s">
        <v>16</v>
      </c>
      <c r="E25" s="11" t="str">
        <f>IF(D25&gt;3,"0",IF(D25&lt;1,"0",J25))</f>
        <v>0</v>
      </c>
      <c r="F25" s="12">
        <v>-15.19</v>
      </c>
      <c r="G25" s="11" t="str">
        <f>IF(F25&gt;1,"0",IF(F25&lt;-2,"150",K25))</f>
        <v>150</v>
      </c>
      <c r="H25" s="11">
        <f>(E25+G25)*(15)/(100)</f>
        <v>22.5</v>
      </c>
      <c r="J25" s="3" t="e">
        <f>(3-D25)*(50)/(2)+(50)</f>
        <v>#VALUE!</v>
      </c>
      <c r="K25" s="3">
        <f>(1-F25)*(50)/(3)+100</f>
        <v>369.83333333333331</v>
      </c>
      <c r="R25" s="4"/>
      <c r="S25" s="4"/>
    </row>
    <row r="26" spans="1:19" x14ac:dyDescent="0.25">
      <c r="A26" s="8" t="s">
        <v>22</v>
      </c>
      <c r="B26" s="9" t="s">
        <v>19</v>
      </c>
      <c r="C26" s="9" t="s">
        <v>31</v>
      </c>
      <c r="D26" s="12" t="s">
        <v>16</v>
      </c>
      <c r="E26" s="11" t="str">
        <f>IF(D26&gt;3,"0",IF(D26&lt;1,"0",J26))</f>
        <v>0</v>
      </c>
      <c r="F26" s="12">
        <v>-3.65</v>
      </c>
      <c r="G26" s="11" t="str">
        <f>IF(F26&gt;1,"0",IF(F26&lt;-2,"150",K26))</f>
        <v>150</v>
      </c>
      <c r="H26" s="11">
        <f>(E26+G26)*(15)/(100)</f>
        <v>22.5</v>
      </c>
      <c r="J26" s="3" t="e">
        <f>(3-D26)*(50)/(2)+(50)</f>
        <v>#VALUE!</v>
      </c>
      <c r="K26" s="3">
        <f>(1-F26)*(50)/(3)+100</f>
        <v>177.5</v>
      </c>
      <c r="R26" s="4"/>
      <c r="S26" s="4"/>
    </row>
    <row r="27" spans="1:19" x14ac:dyDescent="0.25">
      <c r="A27" s="8" t="s">
        <v>23</v>
      </c>
      <c r="B27" s="9" t="s">
        <v>9</v>
      </c>
      <c r="C27" s="9" t="s">
        <v>36</v>
      </c>
      <c r="D27" s="12" t="s">
        <v>16</v>
      </c>
      <c r="E27" s="11" t="str">
        <f>IF(D27&gt;11.9,"0",IF(D27&lt;7,"0",J27))</f>
        <v>0</v>
      </c>
      <c r="F27" s="12">
        <v>5.73</v>
      </c>
      <c r="G27" s="11">
        <f>IF(F27&gt;7,"0",IF(F27&lt;4.9,"150",K27))</f>
        <v>130.23809523809524</v>
      </c>
      <c r="H27" s="11">
        <f>(E27+G27)*(30)/(100)</f>
        <v>39.071428571428577</v>
      </c>
      <c r="J27" s="3" t="e">
        <f>(11.9-D27)*(50)/(4.9)+50</f>
        <v>#VALUE!</v>
      </c>
      <c r="K27" s="3">
        <f>(7-F27)*(50)/(2.1)+100</f>
        <v>130.23809523809524</v>
      </c>
      <c r="R27" s="4"/>
      <c r="S27" s="4"/>
    </row>
    <row r="28" spans="1:19" x14ac:dyDescent="0.25">
      <c r="A28" s="11"/>
      <c r="B28" s="9"/>
      <c r="C28" s="9"/>
      <c r="D28" s="11"/>
      <c r="E28" s="11"/>
      <c r="F28" s="11"/>
      <c r="G28" s="9"/>
      <c r="H28" s="6">
        <f>SUM(H24:H27)</f>
        <v>144.07142857142858</v>
      </c>
      <c r="J28" s="3"/>
      <c r="K28" s="3"/>
      <c r="R28" s="4"/>
      <c r="S28" s="4"/>
    </row>
    <row r="29" spans="1:19" x14ac:dyDescent="0.25">
      <c r="J29" s="3"/>
      <c r="K29" s="3"/>
      <c r="R29" s="4"/>
      <c r="S29" s="4"/>
    </row>
    <row r="30" spans="1:19" x14ac:dyDescent="0.25">
      <c r="J30" s="3"/>
      <c r="K30" s="3"/>
      <c r="R30" s="4"/>
      <c r="S30" s="4"/>
    </row>
    <row r="31" spans="1:19" x14ac:dyDescent="0.25">
      <c r="A31" s="5" t="s">
        <v>13</v>
      </c>
      <c r="J31" s="3"/>
      <c r="K31" s="3"/>
      <c r="R31" s="4"/>
      <c r="S31" s="4"/>
    </row>
    <row r="32" spans="1:19" s="1" customFormat="1" x14ac:dyDescent="0.25">
      <c r="A32" s="6" t="s">
        <v>0</v>
      </c>
      <c r="B32" s="7" t="s">
        <v>1</v>
      </c>
      <c r="C32" s="7" t="s">
        <v>11</v>
      </c>
      <c r="D32" s="6" t="s">
        <v>2</v>
      </c>
      <c r="E32" s="6" t="s">
        <v>3</v>
      </c>
      <c r="F32" s="6" t="s">
        <v>4</v>
      </c>
      <c r="G32" s="7" t="s">
        <v>3</v>
      </c>
      <c r="H32" s="7" t="s">
        <v>5</v>
      </c>
      <c r="J32" s="17" t="s">
        <v>28</v>
      </c>
      <c r="K32" s="17" t="s">
        <v>29</v>
      </c>
    </row>
    <row r="33" spans="1:19" x14ac:dyDescent="0.25">
      <c r="A33" s="8" t="s">
        <v>21</v>
      </c>
      <c r="B33" s="9" t="s">
        <v>17</v>
      </c>
      <c r="C33" s="8" t="s">
        <v>37</v>
      </c>
      <c r="D33" s="10" t="s">
        <v>16</v>
      </c>
      <c r="E33" s="11" t="str">
        <f>IF(D33&gt;5,"0",IF(D33=5,"50",IF(D33=4,"75",IF(D33=3,"100",IF(D33&lt;3,"0")))))</f>
        <v>0</v>
      </c>
      <c r="F33" s="10">
        <v>1</v>
      </c>
      <c r="G33" s="11" t="str">
        <f>IF(F33&gt;3,"0",IF(F33=3,"100",IF(F33=2,"120",IF(F33=1,"140",IF(F33=0,"150")))))</f>
        <v>140</v>
      </c>
      <c r="H33" s="11">
        <f>(E33+G33)*(40)/(100)</f>
        <v>56</v>
      </c>
      <c r="J33" s="3" t="e">
        <f>(3-D33)*(50)/(2)+(50)</f>
        <v>#VALUE!</v>
      </c>
      <c r="K33" s="3">
        <f>(1-F33)*(50)/(3)+100</f>
        <v>100</v>
      </c>
      <c r="R33" s="4"/>
      <c r="S33" s="4"/>
    </row>
    <row r="34" spans="1:19" x14ac:dyDescent="0.25">
      <c r="A34" s="8" t="s">
        <v>22</v>
      </c>
      <c r="B34" s="9" t="s">
        <v>7</v>
      </c>
      <c r="C34" s="9" t="s">
        <v>31</v>
      </c>
      <c r="D34" s="12" t="s">
        <v>16</v>
      </c>
      <c r="E34" s="11" t="str">
        <f>IF(D34&gt;3,"0",IF(D34&lt;0,"0",J34))</f>
        <v>0</v>
      </c>
      <c r="F34" s="12">
        <v>-4.29</v>
      </c>
      <c r="G34" s="11" t="str">
        <f>IF(F34&gt;1,"0",IF(F34&lt;-2,"150",K34))</f>
        <v>150</v>
      </c>
      <c r="H34" s="11">
        <f>(E34+G34)*(15)/(100)</f>
        <v>22.5</v>
      </c>
      <c r="J34" s="3" t="e">
        <f>(3-D34)*(50)/(2)+(50)</f>
        <v>#VALUE!</v>
      </c>
      <c r="K34" s="3">
        <f>(1-F34)*(50)/(3)+100</f>
        <v>188.16666666666669</v>
      </c>
      <c r="R34" s="4"/>
      <c r="S34" s="4"/>
    </row>
    <row r="35" spans="1:19" x14ac:dyDescent="0.25">
      <c r="A35" s="8" t="s">
        <v>22</v>
      </c>
      <c r="B35" s="9" t="s">
        <v>8</v>
      </c>
      <c r="C35" s="9" t="s">
        <v>31</v>
      </c>
      <c r="D35" s="12" t="s">
        <v>16</v>
      </c>
      <c r="E35" s="11" t="str">
        <f>IF(D35&gt;3,"0",IF(D35&lt;0,"0",J35))</f>
        <v>0</v>
      </c>
      <c r="F35" s="12">
        <v>-3.65</v>
      </c>
      <c r="G35" s="11" t="str">
        <f>IF(F35&gt;1,"0",IF(F35&lt;-2,"150",K35))</f>
        <v>150</v>
      </c>
      <c r="H35" s="11">
        <f>(E35+G35)*(15)/(100)</f>
        <v>22.5</v>
      </c>
      <c r="J35" s="3" t="e">
        <f>(3-D35)*(50)/(2)+(50)</f>
        <v>#VALUE!</v>
      </c>
      <c r="K35" s="3">
        <f>(1-F35)*(50)/(3)+100</f>
        <v>177.5</v>
      </c>
      <c r="R35" s="4"/>
      <c r="S35" s="4"/>
    </row>
    <row r="36" spans="1:19" x14ac:dyDescent="0.25">
      <c r="A36" s="8" t="s">
        <v>23</v>
      </c>
      <c r="B36" s="9" t="s">
        <v>12</v>
      </c>
      <c r="C36" s="9" t="s">
        <v>38</v>
      </c>
      <c r="D36" s="12">
        <v>95.12</v>
      </c>
      <c r="E36" s="11">
        <f>IF(D36&gt;96.5,"0",IF(D36&lt;92,"0",J36))</f>
        <v>84.666666666666714</v>
      </c>
      <c r="F36" s="12"/>
      <c r="G36" s="11" t="str">
        <f>IF(F36&lt;96.5,"0",IF(F36&gt;98.5,"150",K36))</f>
        <v>0</v>
      </c>
      <c r="H36" s="11">
        <f>(E36+G36)*(30)/(100)</f>
        <v>25.400000000000013</v>
      </c>
      <c r="J36" s="3">
        <f>(D36-92)*(50)/(4.5)+(50)</f>
        <v>84.666666666666714</v>
      </c>
      <c r="K36" s="3">
        <f>(F36-96.5)*(50)/(2)+(100)</f>
        <v>-2312.5</v>
      </c>
      <c r="R36" s="4"/>
      <c r="S36" s="4"/>
    </row>
    <row r="37" spans="1:19" x14ac:dyDescent="0.25">
      <c r="A37" s="11"/>
      <c r="B37" s="9"/>
      <c r="C37" s="9"/>
      <c r="D37" s="11"/>
      <c r="E37" s="11"/>
      <c r="F37" s="11"/>
      <c r="G37" s="9"/>
      <c r="H37" s="6">
        <f>SUM(H33:H36)</f>
        <v>126.4</v>
      </c>
      <c r="J37" s="3"/>
      <c r="K37" s="3"/>
      <c r="R37" s="4"/>
      <c r="S37" s="4"/>
    </row>
    <row r="38" spans="1:19" x14ac:dyDescent="0.25">
      <c r="J38" s="3"/>
      <c r="K38" s="3"/>
      <c r="R38" s="4"/>
      <c r="S38" s="4"/>
    </row>
    <row r="39" spans="1:19" x14ac:dyDescent="0.25">
      <c r="A39" s="18" t="s">
        <v>15</v>
      </c>
      <c r="B39" s="16"/>
      <c r="C39" s="16"/>
      <c r="J39" s="3"/>
      <c r="K39" s="3"/>
      <c r="R39" s="4"/>
      <c r="S39" s="4"/>
    </row>
    <row r="40" spans="1:19" x14ac:dyDescent="0.25">
      <c r="J40" s="3"/>
      <c r="K40" s="3"/>
      <c r="R40" s="4"/>
      <c r="S40" s="4"/>
    </row>
    <row r="41" spans="1:19" x14ac:dyDescent="0.25">
      <c r="A41" s="25" t="s">
        <v>14</v>
      </c>
      <c r="B41" s="25"/>
      <c r="C41" s="25"/>
      <c r="D41" s="15"/>
      <c r="E41" s="19"/>
      <c r="F41" s="19"/>
      <c r="G41" s="19"/>
      <c r="H41" s="19"/>
      <c r="I41" s="19"/>
      <c r="J41" s="3"/>
      <c r="K41" s="3"/>
      <c r="R41" s="4"/>
      <c r="S41" s="4"/>
    </row>
    <row r="42" spans="1:19" x14ac:dyDescent="0.25">
      <c r="A42" s="23" t="s">
        <v>25</v>
      </c>
      <c r="B42" s="23"/>
      <c r="C42" s="23"/>
      <c r="D42" s="15"/>
      <c r="G42" s="20"/>
      <c r="H42" s="20"/>
      <c r="J42" s="3"/>
      <c r="K42" s="3"/>
      <c r="R42" s="4"/>
      <c r="S42" s="4"/>
    </row>
    <row r="43" spans="1:19" x14ac:dyDescent="0.25">
      <c r="A43" s="21" t="s">
        <v>26</v>
      </c>
      <c r="B43" s="21"/>
      <c r="C43" s="21"/>
      <c r="D43" s="16"/>
      <c r="E43" s="16"/>
      <c r="F43" s="16"/>
      <c r="J43" s="3"/>
      <c r="K43" s="3"/>
      <c r="R43" s="4"/>
      <c r="S43" s="4"/>
    </row>
    <row r="44" spans="1:19" x14ac:dyDescent="0.25">
      <c r="A44" s="22"/>
      <c r="B44" s="22"/>
      <c r="C44" s="22"/>
      <c r="D44" s="22"/>
      <c r="E44" s="22"/>
      <c r="F44" s="22"/>
      <c r="G44" s="22"/>
      <c r="H44" s="22"/>
      <c r="J44" s="3"/>
      <c r="K44" s="3"/>
      <c r="R44" s="4"/>
      <c r="S44" s="4"/>
    </row>
    <row r="45" spans="1:19" x14ac:dyDescent="0.25">
      <c r="A45" s="21"/>
      <c r="B45" s="21"/>
      <c r="C45" s="21"/>
      <c r="D45" s="21"/>
      <c r="E45" s="21"/>
      <c r="F45" s="21"/>
      <c r="G45" s="21"/>
      <c r="H45" s="21"/>
      <c r="J45" s="3"/>
      <c r="K45" s="3"/>
      <c r="R45" s="4"/>
      <c r="S45" s="4"/>
    </row>
  </sheetData>
  <mergeCells count="8">
    <mergeCell ref="A1:H1"/>
    <mergeCell ref="A2:H2"/>
    <mergeCell ref="A41:C41"/>
    <mergeCell ref="G42:H42"/>
    <mergeCell ref="A45:H45"/>
    <mergeCell ref="A44:H44"/>
    <mergeCell ref="A42:C42"/>
    <mergeCell ref="A43:C43"/>
  </mergeCells>
  <phoneticPr fontId="0" type="noConversion"/>
  <pageMargins left="0.5" right="0.5" top="1" bottom="1.25" header="0.5" footer="0.5"/>
  <pageSetup scale="58" fitToHeight="0" orientation="landscape" r:id="rId1"/>
  <headerFooter scaleWithDoc="0" alignWithMargins="0">
    <oddFooter>&amp;R&amp;"Times New Roman,Bold"&amp;12Attachment to Response to AG-2 Question No. 15(e)
Page &amp;P of &amp;N
Meiman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015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Meiman, Greg J.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CDC33D5-A7FF-48A9-928E-121FD5530CC5}"/>
</file>

<file path=customXml/itemProps2.xml><?xml version="1.0" encoding="utf-8"?>
<ds:datastoreItem xmlns:ds="http://schemas.openxmlformats.org/officeDocument/2006/customXml" ds:itemID="{5A65B576-5BB1-4DC7-A163-EDAE6AE7B86B}"/>
</file>

<file path=customXml/itemProps3.xml><?xml version="1.0" encoding="utf-8"?>
<ds:datastoreItem xmlns:ds="http://schemas.openxmlformats.org/officeDocument/2006/customXml" ds:itemID="{31E1C152-CFF4-46E4-9A5F-89B64A1CD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2017-02-16T13:24:44Z</dcterms:created>
  <dcterms:modified xsi:type="dcterms:W3CDTF">2017-02-16T13:30:09Z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