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95" windowHeight="5340"/>
  </bookViews>
  <sheets>
    <sheet name="KU" sheetId="1" r:id="rId1"/>
    <sheet name="LG&amp;E" sheetId="4" r:id="rId2"/>
    <sheet name="WACOC" sheetId="2" r:id="rId3"/>
    <sheet name="Accum Def Income Taxes" sheetId="3" r:id="rId4"/>
    <sheet name="Unit Capacity" sheetId="5" r:id="rId5"/>
  </sheets>
  <definedNames>
    <definedName name="_xlnm.Print_Area" localSheetId="3">'Accum Def Income Taxes'!$A$1:$C$15</definedName>
    <definedName name="_xlnm.Print_Area" localSheetId="0">KU!$A$1:$K$53</definedName>
    <definedName name="_xlnm.Print_Area" localSheetId="2">WACOC!$A$1:$F$16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K20" i="4" l="1"/>
  <c r="K35" i="4" l="1"/>
  <c r="K35" i="1" l="1"/>
  <c r="K16" i="4"/>
  <c r="K31" i="1" l="1"/>
  <c r="K30" i="4"/>
  <c r="M35" i="4" l="1"/>
  <c r="M31" i="4"/>
  <c r="M30" i="4"/>
  <c r="M20" i="4"/>
  <c r="M16" i="4"/>
  <c r="L15" i="4"/>
  <c r="K28" i="4"/>
  <c r="M28" i="4" s="1"/>
  <c r="K15" i="4"/>
  <c r="M15" i="4" s="1"/>
  <c r="J18" i="4"/>
  <c r="J22" i="4" s="1"/>
  <c r="L18" i="4"/>
  <c r="L22" i="4" s="1"/>
  <c r="K18" i="4" l="1"/>
  <c r="K22" i="4" s="1"/>
  <c r="J21" i="5" l="1"/>
  <c r="J22" i="5"/>
  <c r="J23" i="5"/>
  <c r="J24" i="5"/>
  <c r="H21" i="5"/>
  <c r="H22" i="5"/>
  <c r="H23" i="5"/>
  <c r="H24" i="5"/>
  <c r="K19" i="5"/>
  <c r="K20" i="5"/>
  <c r="K21" i="5"/>
  <c r="J43" i="4" s="1"/>
  <c r="K22" i="5"/>
  <c r="K23" i="5"/>
  <c r="K24" i="5"/>
  <c r="L43" i="4" s="1"/>
  <c r="I19" i="5"/>
  <c r="I20" i="5"/>
  <c r="I21" i="5"/>
  <c r="J39" i="4" s="1"/>
  <c r="I22" i="5"/>
  <c r="I23" i="5"/>
  <c r="I24" i="5"/>
  <c r="L39" i="4" s="1"/>
  <c r="F25" i="5"/>
  <c r="J20" i="5"/>
  <c r="J19" i="5"/>
  <c r="J43" i="1" s="1"/>
  <c r="E25" i="5"/>
  <c r="H20" i="5"/>
  <c r="H19" i="5"/>
  <c r="J39" i="1" s="1"/>
  <c r="J18" i="1"/>
  <c r="J22" i="1" s="1"/>
  <c r="K39" i="4" l="1"/>
  <c r="K43" i="4"/>
  <c r="D15" i="2"/>
  <c r="J33" i="1" s="1"/>
  <c r="D14" i="2"/>
  <c r="D13" i="2"/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39" i="1" s="1"/>
  <c r="I18" i="5"/>
  <c r="I39" i="4" s="1"/>
  <c r="I5" i="5"/>
  <c r="H5" i="5"/>
  <c r="H25" i="5" s="1"/>
  <c r="K18" i="5"/>
  <c r="I43" i="4" s="1"/>
  <c r="K17" i="5"/>
  <c r="K16" i="5"/>
  <c r="K15" i="5"/>
  <c r="K14" i="5"/>
  <c r="K13" i="5"/>
  <c r="K12" i="5"/>
  <c r="K11" i="5"/>
  <c r="K10" i="5"/>
  <c r="K9" i="5"/>
  <c r="K8" i="5"/>
  <c r="K7" i="5"/>
  <c r="K6" i="5"/>
  <c r="J18" i="5"/>
  <c r="I43" i="1" s="1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K5" i="5"/>
  <c r="H43" i="1" l="1"/>
  <c r="J25" i="5"/>
  <c r="H39" i="4"/>
  <c r="G39" i="1"/>
  <c r="I25" i="5"/>
  <c r="H43" i="4"/>
  <c r="H39" i="1"/>
  <c r="G43" i="4"/>
  <c r="G43" i="1"/>
  <c r="K43" i="1" s="1"/>
  <c r="G39" i="4"/>
  <c r="K25" i="5"/>
  <c r="K39" i="1" l="1"/>
  <c r="M43" i="4"/>
  <c r="M39" i="4"/>
  <c r="I18" i="4"/>
  <c r="H18" i="4"/>
  <c r="G18" i="4"/>
  <c r="M12" i="4"/>
  <c r="M10" i="4"/>
  <c r="F17" i="3"/>
  <c r="E17" i="3"/>
  <c r="F11" i="3"/>
  <c r="E11" i="3"/>
  <c r="E19" i="3" s="1"/>
  <c r="B10" i="3"/>
  <c r="G9" i="3"/>
  <c r="B9" i="3"/>
  <c r="G8" i="3"/>
  <c r="B8" i="3"/>
  <c r="G7" i="3"/>
  <c r="B7" i="3"/>
  <c r="M18" i="4" l="1"/>
  <c r="B11" i="3"/>
  <c r="I22" i="4"/>
  <c r="H22" i="4"/>
  <c r="F19" i="3"/>
  <c r="G22" i="4" l="1"/>
  <c r="M22" i="4" s="1"/>
  <c r="M33" i="4" l="1"/>
  <c r="K30" i="1" l="1"/>
  <c r="K12" i="1"/>
  <c r="K10" i="1"/>
  <c r="D16" i="2" l="1"/>
  <c r="G24" i="1" s="1"/>
  <c r="I24" i="1" s="1"/>
  <c r="K24" i="1" s="1"/>
  <c r="D23" i="2"/>
  <c r="D24" i="2"/>
  <c r="D25" i="2"/>
  <c r="L33" i="4" l="1"/>
  <c r="J33" i="4"/>
  <c r="K33" i="4"/>
  <c r="I33" i="4"/>
  <c r="H33" i="4"/>
  <c r="G33" i="4"/>
  <c r="D26" i="2"/>
  <c r="G24" i="4" s="1"/>
  <c r="I24" i="4" s="1"/>
  <c r="K24" i="4" s="1"/>
  <c r="K26" i="4" s="1"/>
  <c r="K37" i="4" s="1"/>
  <c r="H24" i="1"/>
  <c r="J24" i="1" s="1"/>
  <c r="J26" i="1" s="1"/>
  <c r="J37" i="1" s="1"/>
  <c r="K16" i="1"/>
  <c r="K45" i="4" l="1"/>
  <c r="K41" i="4"/>
  <c r="J41" i="1"/>
  <c r="J45" i="1"/>
  <c r="G26" i="4"/>
  <c r="G37" i="4" s="1"/>
  <c r="G45" i="4" s="1"/>
  <c r="H24" i="4"/>
  <c r="M24" i="4"/>
  <c r="M26" i="4" s="1"/>
  <c r="M37" i="4" s="1"/>
  <c r="I26" i="4"/>
  <c r="I37" i="4" s="1"/>
  <c r="K15" i="1"/>
  <c r="K28" i="1"/>
  <c r="H18" i="1"/>
  <c r="G18" i="1"/>
  <c r="I18" i="1"/>
  <c r="H26" i="4" l="1"/>
  <c r="H37" i="4" s="1"/>
  <c r="H45" i="4" s="1"/>
  <c r="H53" i="4" s="1"/>
  <c r="J24" i="4"/>
  <c r="K53" i="4"/>
  <c r="K49" i="4"/>
  <c r="J53" i="1"/>
  <c r="J49" i="1"/>
  <c r="H41" i="4"/>
  <c r="G41" i="4"/>
  <c r="I41" i="4"/>
  <c r="I45" i="4"/>
  <c r="M41" i="4"/>
  <c r="M45" i="4"/>
  <c r="H49" i="4"/>
  <c r="G49" i="4"/>
  <c r="G53" i="4"/>
  <c r="H22" i="1"/>
  <c r="K18" i="1"/>
  <c r="I22" i="1"/>
  <c r="L24" i="4" l="1"/>
  <c r="L26" i="4" s="1"/>
  <c r="L37" i="4" s="1"/>
  <c r="J26" i="4"/>
  <c r="J37" i="4" s="1"/>
  <c r="M49" i="4"/>
  <c r="M53" i="4"/>
  <c r="I49" i="4"/>
  <c r="I53" i="4"/>
  <c r="G22" i="1"/>
  <c r="K22" i="1" s="1"/>
  <c r="K20" i="1"/>
  <c r="H33" i="1"/>
  <c r="H26" i="1"/>
  <c r="I33" i="1"/>
  <c r="I26" i="1"/>
  <c r="J41" i="4" l="1"/>
  <c r="J45" i="4"/>
  <c r="L41" i="4"/>
  <c r="L45" i="4"/>
  <c r="H37" i="1"/>
  <c r="I37" i="1"/>
  <c r="G33" i="1"/>
  <c r="G26" i="1"/>
  <c r="L49" i="4" l="1"/>
  <c r="L53" i="4"/>
  <c r="J49" i="4"/>
  <c r="J53" i="4"/>
  <c r="G37" i="1"/>
  <c r="G41" i="1" s="1"/>
  <c r="K33" i="1"/>
  <c r="K26" i="1"/>
  <c r="H41" i="1"/>
  <c r="H45" i="1"/>
  <c r="I41" i="1"/>
  <c r="I45" i="1"/>
  <c r="H49" i="1" l="1"/>
  <c r="H53" i="1"/>
  <c r="I49" i="1"/>
  <c r="I53" i="1"/>
  <c r="K37" i="1"/>
  <c r="K45" i="1" s="1"/>
  <c r="G45" i="1"/>
  <c r="K41" i="1" l="1"/>
  <c r="K49" i="1"/>
  <c r="K53" i="1"/>
  <c r="G49" i="1"/>
  <c r="G53" i="1"/>
</calcChain>
</file>

<file path=xl/sharedStrings.xml><?xml version="1.0" encoding="utf-8"?>
<sst xmlns="http://schemas.openxmlformats.org/spreadsheetml/2006/main" count="150" uniqueCount="99">
  <si>
    <t>Accumulated Depreciation</t>
  </si>
  <si>
    <t>Net Plant</t>
  </si>
  <si>
    <t>Accumulated Deferred Income Taxes</t>
  </si>
  <si>
    <t>Net Cost Rate Base</t>
  </si>
  <si>
    <t>Depreciation Expenses</t>
  </si>
  <si>
    <t>Brown CTs</t>
  </si>
  <si>
    <t>Trimble</t>
  </si>
  <si>
    <t>County CTs</t>
  </si>
  <si>
    <t>Paddys</t>
  </si>
  <si>
    <t>Plant in Service at Dec. 31, 2015</t>
  </si>
  <si>
    <t>Income Taxes</t>
  </si>
  <si>
    <t>Revenue Requirement</t>
  </si>
  <si>
    <t>Run 13 CTs</t>
  </si>
  <si>
    <t>Return</t>
  </si>
  <si>
    <t>Accumulated Depreciation as of Dec. 31, 2015</t>
  </si>
  <si>
    <t>Common Equity</t>
  </si>
  <si>
    <t>Capital</t>
  </si>
  <si>
    <t>Rate</t>
  </si>
  <si>
    <t>Percent</t>
  </si>
  <si>
    <t>Component of Capital</t>
  </si>
  <si>
    <t>Cost of</t>
  </si>
  <si>
    <t>Weighted</t>
  </si>
  <si>
    <t>Louisville Gas &amp; Electric Company</t>
  </si>
  <si>
    <t>Kentucky Utilities Company</t>
  </si>
  <si>
    <t>Weighted Cost of Capital</t>
  </si>
  <si>
    <t>Kentucky Utilities Company and Louisvillle Gas &amp; Electric Company</t>
  </si>
  <si>
    <t>Rate of Return</t>
  </si>
  <si>
    <t>Property Taxes</t>
  </si>
  <si>
    <t>Nameplate Capacity</t>
  </si>
  <si>
    <t>Cost per kW per Month (Nameplate Capacity)</t>
  </si>
  <si>
    <t>Total</t>
  </si>
  <si>
    <t>Cost per kW per Month (Net Peak Demand on Plant)</t>
  </si>
  <si>
    <t>Description</t>
  </si>
  <si>
    <t>Net Peak Demand on Plant  (Form 7, Pages 402-403, line 6)</t>
  </si>
  <si>
    <t>Plant</t>
  </si>
  <si>
    <t>Kentucky Utilities and Louisville Gas &amp; Electric Company</t>
  </si>
  <si>
    <t>Accumlated Deferred Income Taxes</t>
  </si>
  <si>
    <t>As of December 31, 2015</t>
  </si>
  <si>
    <t>KU</t>
  </si>
  <si>
    <t>LG&amp;E</t>
  </si>
  <si>
    <t>FERC Account</t>
  </si>
  <si>
    <t>Reference</t>
  </si>
  <si>
    <t>Form 1  Page 275</t>
  </si>
  <si>
    <t>Form 1  Page 277</t>
  </si>
  <si>
    <t>Form 1  Page 234</t>
  </si>
  <si>
    <t>Form 1  Page 267</t>
  </si>
  <si>
    <t>Sub-total</t>
  </si>
  <si>
    <t>Total Plant in Service</t>
  </si>
  <si>
    <t>Accum Depreciation</t>
  </si>
  <si>
    <t>Accum Def IT %</t>
  </si>
  <si>
    <t/>
  </si>
  <si>
    <r>
      <rPr>
        <sz val="11"/>
        <rFont val="Calibri"/>
        <family val="2"/>
        <scheme val="minor"/>
      </rPr>
      <t>Based on 12 Months Ended June 30, 2018</t>
    </r>
    <r>
      <rPr>
        <sz val="11"/>
        <color rgb="FFFF0000"/>
        <rFont val="Calibri"/>
        <family val="2"/>
        <scheme val="minor"/>
      </rPr>
      <t xml:space="preserve"> </t>
    </r>
  </si>
  <si>
    <t>Burdened Non-Fuel Operation and Maintenance Expenses</t>
  </si>
  <si>
    <t>Non-Burdened Non-Fuel Operation and Maintenance Expenses</t>
  </si>
  <si>
    <t>Cost per kW per Month (Transmission)</t>
  </si>
  <si>
    <t>Loss Factor (Primary)</t>
  </si>
  <si>
    <t>Cost per kW per Month (Primary)</t>
  </si>
  <si>
    <t>Loss Factor (Transmission)</t>
  </si>
  <si>
    <t>Short-Tern Debt</t>
  </si>
  <si>
    <t>Long-Term Debt</t>
  </si>
  <si>
    <t>Plant Name</t>
  </si>
  <si>
    <t>Ownership Percentage</t>
  </si>
  <si>
    <t>LGE</t>
  </si>
  <si>
    <t>Percentage</t>
  </si>
  <si>
    <t>Generator</t>
  </si>
  <si>
    <t>Nameplate</t>
  </si>
  <si>
    <t>Ratings</t>
  </si>
  <si>
    <t>Net</t>
  </si>
  <si>
    <t>Summer</t>
  </si>
  <si>
    <t>Capacity</t>
  </si>
  <si>
    <t>Allocated</t>
  </si>
  <si>
    <t>Brown 6</t>
  </si>
  <si>
    <t>Brown 7</t>
  </si>
  <si>
    <t>Brown 5</t>
  </si>
  <si>
    <t>Brown 8</t>
  </si>
  <si>
    <t>Brown 9</t>
  </si>
  <si>
    <t>Brown 10</t>
  </si>
  <si>
    <t>Brown 11</t>
  </si>
  <si>
    <t>Trimble County 5</t>
  </si>
  <si>
    <t>Trimble County 6</t>
  </si>
  <si>
    <t>Trimble County 7</t>
  </si>
  <si>
    <t>Trimble County 8</t>
  </si>
  <si>
    <t>Trimble County 9</t>
  </si>
  <si>
    <t>Trimble County 10</t>
  </si>
  <si>
    <t>Paddys Run 13</t>
  </si>
  <si>
    <t>Net Capacity</t>
  </si>
  <si>
    <t>Gross Capacity</t>
  </si>
  <si>
    <t>Net Peak Demand on Plant</t>
  </si>
  <si>
    <t>Haefling CTS</t>
  </si>
  <si>
    <t>Haefling 1</t>
  </si>
  <si>
    <t>Haefling 2</t>
  </si>
  <si>
    <t>Cane Run 11</t>
  </si>
  <si>
    <t>Paddy's Run 11</t>
  </si>
  <si>
    <t>Paddy's Run 12</t>
  </si>
  <si>
    <t>Zorn 1</t>
  </si>
  <si>
    <t>Run 11 &amp; 12 CTs</t>
  </si>
  <si>
    <t>Cane Run 11 CT</t>
  </si>
  <si>
    <t>Zorn CT</t>
  </si>
  <si>
    <t>Fixed Cost of All Combustion Turbines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</si>
</sst>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"/>
    <numFmt numFmtId="167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44" fontId="0" fillId="0" borderId="0" xfId="2" applyFont="1"/>
    <xf numFmtId="164" fontId="0" fillId="0" borderId="0" xfId="2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0" fontId="3" fillId="0" borderId="0" xfId="0" applyFont="1" applyAlignment="1">
      <alignment horizontal="right"/>
    </xf>
    <xf numFmtId="0" fontId="2" fillId="2" borderId="0" xfId="0" applyFont="1" applyFill="1"/>
    <xf numFmtId="10" fontId="0" fillId="0" borderId="0" xfId="0" applyNumberFormat="1"/>
    <xf numFmtId="10" fontId="0" fillId="0" borderId="1" xfId="3" applyNumberFormat="1" applyFont="1" applyBorder="1"/>
    <xf numFmtId="10" fontId="0" fillId="0" borderId="0" xfId="3" applyNumberFormat="1" applyFont="1"/>
    <xf numFmtId="10" fontId="0" fillId="2" borderId="0" xfId="3" applyNumberFormat="1" applyFont="1" applyFill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165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right"/>
    </xf>
    <xf numFmtId="0" fontId="7" fillId="0" borderId="0" xfId="0" applyFont="1"/>
    <xf numFmtId="0" fontId="2" fillId="0" borderId="0" xfId="0" applyFont="1"/>
    <xf numFmtId="165" fontId="0" fillId="0" borderId="5" xfId="1" applyNumberFormat="1" applyFont="1" applyBorder="1"/>
    <xf numFmtId="44" fontId="0" fillId="0" borderId="6" xfId="2" applyFont="1" applyBorder="1"/>
    <xf numFmtId="44" fontId="3" fillId="0" borderId="6" xfId="2" applyFont="1" applyBorder="1"/>
    <xf numFmtId="0" fontId="5" fillId="0" borderId="0" xfId="4" applyFont="1" applyBorder="1" applyAlignment="1">
      <alignment horizontal="left"/>
    </xf>
    <xf numFmtId="0" fontId="4" fillId="0" borderId="0" xfId="4" applyFont="1"/>
    <xf numFmtId="0" fontId="9" fillId="0" borderId="0" xfId="4"/>
    <xf numFmtId="0" fontId="10" fillId="0" borderId="0" xfId="4" applyFont="1"/>
    <xf numFmtId="0" fontId="5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10" fillId="0" borderId="0" xfId="4" applyFont="1" applyAlignment="1">
      <alignment horizontal="center"/>
    </xf>
    <xf numFmtId="0" fontId="4" fillId="0" borderId="7" xfId="4" applyFont="1" applyBorder="1" applyAlignment="1">
      <alignment horizontal="center"/>
    </xf>
    <xf numFmtId="0" fontId="4" fillId="0" borderId="7" xfId="4" applyFont="1" applyBorder="1"/>
    <xf numFmtId="0" fontId="9" fillId="0" borderId="7" xfId="4" applyBorder="1"/>
    <xf numFmtId="0" fontId="4" fillId="0" borderId="0" xfId="4" applyFont="1" applyBorder="1" applyAlignment="1">
      <alignment horizontal="center"/>
    </xf>
    <xf numFmtId="0" fontId="10" fillId="0" borderId="0" xfId="4" quotePrefix="1" applyFont="1" applyBorder="1" applyAlignment="1">
      <alignment horizontal="left"/>
    </xf>
    <xf numFmtId="44" fontId="10" fillId="0" borderId="0" xfId="5" applyFont="1"/>
    <xf numFmtId="164" fontId="4" fillId="0" borderId="0" xfId="5" applyNumberFormat="1" applyFont="1"/>
    <xf numFmtId="44" fontId="4" fillId="0" borderId="0" xfId="4" applyNumberFormat="1" applyFont="1"/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0" fontId="4" fillId="0" borderId="0" xfId="4" applyFont="1" applyAlignment="1">
      <alignment horizontal="right"/>
    </xf>
    <xf numFmtId="164" fontId="4" fillId="0" borderId="8" xfId="4" applyNumberFormat="1" applyFont="1" applyBorder="1"/>
    <xf numFmtId="164" fontId="9" fillId="0" borderId="0" xfId="4" applyNumberFormat="1"/>
    <xf numFmtId="44" fontId="4" fillId="0" borderId="0" xfId="4" applyNumberFormat="1" applyFont="1" applyBorder="1"/>
    <xf numFmtId="44" fontId="9" fillId="0" borderId="0" xfId="4" applyNumberFormat="1"/>
    <xf numFmtId="165" fontId="0" fillId="0" borderId="0" xfId="6" applyNumberFormat="1" applyFont="1"/>
    <xf numFmtId="0" fontId="0" fillId="0" borderId="0" xfId="0" quotePrefix="1"/>
    <xf numFmtId="166" fontId="0" fillId="0" borderId="0" xfId="0" applyNumberFormat="1"/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9" xfId="0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4" xfId="0" applyBorder="1"/>
    <xf numFmtId="0" fontId="0" fillId="0" borderId="0" xfId="0" applyBorder="1"/>
    <xf numFmtId="0" fontId="0" fillId="0" borderId="12" xfId="0" applyFill="1" applyBorder="1" applyAlignment="1">
      <alignment horizontal="left"/>
    </xf>
    <xf numFmtId="0" fontId="0" fillId="0" borderId="7" xfId="0" applyBorder="1"/>
    <xf numFmtId="9" fontId="8" fillId="0" borderId="14" xfId="0" applyNumberFormat="1" applyFont="1" applyFill="1" applyBorder="1"/>
    <xf numFmtId="9" fontId="8" fillId="0" borderId="15" xfId="0" applyNumberFormat="1" applyFont="1" applyFill="1" applyBorder="1"/>
    <xf numFmtId="9" fontId="8" fillId="0" borderId="16" xfId="0" applyNumberFormat="1" applyFont="1" applyFill="1" applyBorder="1"/>
    <xf numFmtId="0" fontId="0" fillId="0" borderId="15" xfId="0" applyFont="1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 applyAlignment="1">
      <alignment horizontal="center" wrapText="1"/>
    </xf>
    <xf numFmtId="2" fontId="0" fillId="0" borderId="12" xfId="0" applyNumberFormat="1" applyBorder="1"/>
    <xf numFmtId="2" fontId="0" fillId="0" borderId="16" xfId="0" applyNumberFormat="1" applyBorder="1"/>
    <xf numFmtId="2" fontId="0" fillId="0" borderId="10" xfId="0" applyNumberFormat="1" applyBorder="1"/>
    <xf numFmtId="2" fontId="0" fillId="0" borderId="18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11" xfId="0" applyNumberFormat="1" applyBorder="1"/>
    <xf numFmtId="2" fontId="0" fillId="0" borderId="19" xfId="0" applyNumberFormat="1" applyBorder="1"/>
    <xf numFmtId="2" fontId="0" fillId="0" borderId="13" xfId="0" applyNumberFormat="1" applyBorder="1"/>
    <xf numFmtId="10" fontId="0" fillId="0" borderId="0" xfId="3" applyNumberFormat="1" applyFont="1" applyFill="1"/>
    <xf numFmtId="10" fontId="0" fillId="0" borderId="1" xfId="3" applyNumberFormat="1" applyFont="1" applyFill="1" applyBorder="1"/>
    <xf numFmtId="0" fontId="0" fillId="0" borderId="0" xfId="0" applyFill="1"/>
    <xf numFmtId="10" fontId="0" fillId="0" borderId="0" xfId="0" applyNumberFormat="1" applyFill="1"/>
    <xf numFmtId="0" fontId="0" fillId="0" borderId="11" xfId="0" applyBorder="1"/>
    <xf numFmtId="0" fontId="0" fillId="0" borderId="19" xfId="0" applyBorder="1"/>
    <xf numFmtId="0" fontId="0" fillId="0" borderId="13" xfId="0" applyBorder="1"/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quotePrefix="1" applyFill="1" applyBorder="1" applyAlignment="1">
      <alignment horizontal="left"/>
    </xf>
    <xf numFmtId="0" fontId="0" fillId="0" borderId="16" xfId="0" quotePrefix="1" applyFill="1" applyBorder="1" applyAlignment="1">
      <alignment horizontal="left"/>
    </xf>
    <xf numFmtId="164" fontId="0" fillId="0" borderId="0" xfId="0" applyNumberFormat="1" applyFill="1"/>
    <xf numFmtId="167" fontId="0" fillId="0" borderId="0" xfId="8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9">
    <cellStyle name="Comma" xfId="1" builtinId="3"/>
    <cellStyle name="Comma 2" xfId="6"/>
    <cellStyle name="Currency" xfId="2" builtinId="4"/>
    <cellStyle name="Currency 2" xfId="5"/>
    <cellStyle name="Normal" xfId="0" builtinId="0"/>
    <cellStyle name="Normal 2" xfId="4"/>
    <cellStyle name="Normal 48" xfId="7"/>
    <cellStyle name="Percent" xfId="8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workbookViewId="0"/>
  </sheetViews>
  <sheetFormatPr defaultRowHeight="15" x14ac:dyDescent="0.25"/>
  <cols>
    <col min="5" max="5" width="14.7109375" bestFit="1" customWidth="1"/>
    <col min="7" max="10" width="15.28515625" customWidth="1"/>
    <col min="11" max="11" width="13.7109375" bestFit="1" customWidth="1"/>
    <col min="12" max="12" width="4.140625" customWidth="1"/>
  </cols>
  <sheetData>
    <row r="1" spans="1:12" ht="15.75" x14ac:dyDescent="0.25">
      <c r="A1" s="21" t="s">
        <v>23</v>
      </c>
    </row>
    <row r="2" spans="1:12" x14ac:dyDescent="0.25">
      <c r="A2" t="s">
        <v>98</v>
      </c>
    </row>
    <row r="3" spans="1:12" x14ac:dyDescent="0.25">
      <c r="A3" s="22" t="s">
        <v>51</v>
      </c>
    </row>
    <row r="7" spans="1:12" x14ac:dyDescent="0.25">
      <c r="G7" s="6"/>
      <c r="H7" s="6" t="s">
        <v>6</v>
      </c>
      <c r="I7" s="6" t="s">
        <v>8</v>
      </c>
      <c r="J7" s="6"/>
    </row>
    <row r="8" spans="1:12" ht="15.75" thickBot="1" x14ac:dyDescent="0.3">
      <c r="A8" s="18" t="s">
        <v>32</v>
      </c>
      <c r="B8" s="19"/>
      <c r="C8" s="19"/>
      <c r="D8" s="19"/>
      <c r="E8" s="19"/>
      <c r="F8" s="19"/>
      <c r="G8" s="20" t="s">
        <v>5</v>
      </c>
      <c r="H8" s="20" t="s">
        <v>7</v>
      </c>
      <c r="I8" s="20" t="s">
        <v>12</v>
      </c>
      <c r="J8" s="20" t="s">
        <v>88</v>
      </c>
      <c r="K8" s="20" t="s">
        <v>30</v>
      </c>
    </row>
    <row r="9" spans="1:12" x14ac:dyDescent="0.25">
      <c r="G9" s="3"/>
      <c r="H9" s="3"/>
      <c r="I9" s="3"/>
      <c r="J9" s="3"/>
    </row>
    <row r="10" spans="1:12" hidden="1" x14ac:dyDescent="0.25">
      <c r="A10" t="s">
        <v>9</v>
      </c>
      <c r="E10" s="2"/>
      <c r="G10" s="4">
        <v>280266834.91999996</v>
      </c>
      <c r="H10" s="4">
        <v>240037753.38999999</v>
      </c>
      <c r="I10" s="4">
        <v>32732020.900000002</v>
      </c>
      <c r="J10" s="4"/>
      <c r="K10" s="4">
        <f>SUM(G10:I10)</f>
        <v>553036609.20999992</v>
      </c>
    </row>
    <row r="11" spans="1:12" hidden="1" x14ac:dyDescent="0.25">
      <c r="G11" s="2"/>
      <c r="H11" s="2"/>
      <c r="I11" s="2"/>
      <c r="J11" s="2"/>
    </row>
    <row r="12" spans="1:12" hidden="1" x14ac:dyDescent="0.25">
      <c r="A12" t="s">
        <v>14</v>
      </c>
      <c r="E12" s="2"/>
      <c r="G12" s="4">
        <v>138725688.54000002</v>
      </c>
      <c r="H12" s="4">
        <v>89362521.840000004</v>
      </c>
      <c r="I12" s="4">
        <v>11520517.67</v>
      </c>
      <c r="J12" s="4"/>
      <c r="K12" s="4">
        <f>SUM(G12:I12)</f>
        <v>239608728.05000001</v>
      </c>
    </row>
    <row r="13" spans="1:12" hidden="1" x14ac:dyDescent="0.25">
      <c r="G13" s="2"/>
      <c r="H13" s="2"/>
      <c r="I13" s="2"/>
      <c r="J13" s="2"/>
    </row>
    <row r="15" spans="1:12" x14ac:dyDescent="0.25">
      <c r="A15" t="s">
        <v>34</v>
      </c>
      <c r="G15" s="4">
        <v>285515837.61384612</v>
      </c>
      <c r="H15" s="4">
        <v>248172766.29461536</v>
      </c>
      <c r="I15" s="4">
        <v>39574164.511538468</v>
      </c>
      <c r="J15" s="4">
        <v>4366959.1899999985</v>
      </c>
      <c r="K15" s="4">
        <f>SUM(G15:I15)</f>
        <v>573262768.41999996</v>
      </c>
      <c r="L15" s="22"/>
    </row>
    <row r="16" spans="1:12" x14ac:dyDescent="0.25">
      <c r="A16" t="s">
        <v>0</v>
      </c>
      <c r="G16" s="4">
        <v>162922503.362602</v>
      </c>
      <c r="H16" s="4">
        <v>111210802.32246099</v>
      </c>
      <c r="I16" s="4">
        <v>15526405.4383102</v>
      </c>
      <c r="J16" s="4">
        <v>3271478.65</v>
      </c>
      <c r="K16" s="4">
        <f>SUM(G16:I16)</f>
        <v>289659711.12337321</v>
      </c>
      <c r="L16" s="22"/>
    </row>
    <row r="18" spans="1:12" x14ac:dyDescent="0.25">
      <c r="A18" t="s">
        <v>1</v>
      </c>
      <c r="G18" s="4">
        <f>G15-G16</f>
        <v>122593334.25124413</v>
      </c>
      <c r="H18" s="4">
        <f t="shared" ref="H18:J18" si="0">H15-H16</f>
        <v>136961963.97215438</v>
      </c>
      <c r="I18" s="4">
        <f t="shared" si="0"/>
        <v>24047759.07322827</v>
      </c>
      <c r="J18" s="4">
        <f t="shared" si="0"/>
        <v>1095480.5399999986</v>
      </c>
      <c r="K18" s="4">
        <f>SUM(G18:I18)</f>
        <v>283603057.29662681</v>
      </c>
    </row>
    <row r="19" spans="1:12" x14ac:dyDescent="0.25">
      <c r="H19" s="6"/>
      <c r="I19" s="6"/>
      <c r="J19" s="6"/>
      <c r="K19" s="6"/>
    </row>
    <row r="20" spans="1:12" x14ac:dyDescent="0.25">
      <c r="A20" t="s">
        <v>2</v>
      </c>
      <c r="G20" s="5">
        <v>37916633.893206358</v>
      </c>
      <c r="H20" s="5">
        <v>45143182.412248023</v>
      </c>
      <c r="I20" s="5">
        <v>8170625.3634647606</v>
      </c>
      <c r="J20" s="5">
        <f>380966.944979908</f>
        <v>380966.944979908</v>
      </c>
      <c r="K20" s="4">
        <f>SUM(G20:I20)</f>
        <v>91230441.668919131</v>
      </c>
      <c r="L20" s="22"/>
    </row>
    <row r="22" spans="1:12" x14ac:dyDescent="0.25">
      <c r="A22" t="s">
        <v>3</v>
      </c>
      <c r="G22" s="4">
        <f>G18-G20</f>
        <v>84676700.35803777</v>
      </c>
      <c r="H22" s="4">
        <f t="shared" ref="H22:J22" si="1">H18-H20</f>
        <v>91818781.559906363</v>
      </c>
      <c r="I22" s="4">
        <f t="shared" si="1"/>
        <v>15877133.709763508</v>
      </c>
      <c r="J22" s="4">
        <f t="shared" si="1"/>
        <v>714513.5950200907</v>
      </c>
      <c r="K22" s="4">
        <f>SUM(G22:I22)</f>
        <v>192372615.62770763</v>
      </c>
    </row>
    <row r="24" spans="1:12" x14ac:dyDescent="0.25">
      <c r="A24" t="s">
        <v>26</v>
      </c>
      <c r="G24" s="81">
        <f>WACOC!D16</f>
        <v>7.2898759999999993E-2</v>
      </c>
      <c r="H24" s="8">
        <f>G24</f>
        <v>7.2898759999999993E-2</v>
      </c>
      <c r="I24" s="8">
        <f>G24</f>
        <v>7.2898759999999993E-2</v>
      </c>
      <c r="J24" s="8">
        <f>H24</f>
        <v>7.2898759999999993E-2</v>
      </c>
      <c r="K24" s="8">
        <f>I24</f>
        <v>7.2898759999999993E-2</v>
      </c>
      <c r="L24" s="22"/>
    </row>
    <row r="26" spans="1:12" x14ac:dyDescent="0.25">
      <c r="A26" t="s">
        <v>13</v>
      </c>
      <c r="G26" s="4">
        <f>G22*G24</f>
        <v>6172826.4569925088</v>
      </c>
      <c r="H26" s="4">
        <f t="shared" ref="H26:K26" si="2">H22*H24</f>
        <v>6693475.3204280389</v>
      </c>
      <c r="I26" s="4">
        <f t="shared" si="2"/>
        <v>1157423.3597959594</v>
      </c>
      <c r="J26" s="4">
        <f t="shared" si="2"/>
        <v>52087.155080106779</v>
      </c>
      <c r="K26" s="4">
        <f t="shared" si="2"/>
        <v>14023725.137216507</v>
      </c>
    </row>
    <row r="28" spans="1:12" x14ac:dyDescent="0.25">
      <c r="A28" t="s">
        <v>4</v>
      </c>
      <c r="G28" s="4">
        <v>13397159.300536994</v>
      </c>
      <c r="H28" s="4">
        <v>10663308.899262836</v>
      </c>
      <c r="I28" s="4">
        <v>1886536.8890039998</v>
      </c>
      <c r="J28" s="4">
        <v>473733.12909900007</v>
      </c>
      <c r="K28" s="4">
        <f>SUM(G28:I28)</f>
        <v>25947005.088803828</v>
      </c>
      <c r="L28" s="22"/>
    </row>
    <row r="30" spans="1:12" x14ac:dyDescent="0.25">
      <c r="A30" t="s">
        <v>53</v>
      </c>
      <c r="G30" s="4">
        <v>3417067</v>
      </c>
      <c r="H30" s="4">
        <v>1560485</v>
      </c>
      <c r="I30" s="4">
        <v>358517</v>
      </c>
      <c r="J30" s="4">
        <v>97444</v>
      </c>
      <c r="K30" s="4">
        <f>SUM(G30:I30)</f>
        <v>5336069</v>
      </c>
      <c r="L30" s="22"/>
    </row>
    <row r="31" spans="1:12" x14ac:dyDescent="0.25">
      <c r="A31" t="s">
        <v>52</v>
      </c>
      <c r="G31" s="4">
        <v>110382</v>
      </c>
      <c r="H31" s="4">
        <v>439142</v>
      </c>
      <c r="I31" s="4">
        <v>129138</v>
      </c>
      <c r="J31" s="4">
        <v>0</v>
      </c>
      <c r="K31" s="4">
        <f>SUM(G31:J31)</f>
        <v>678662</v>
      </c>
      <c r="L31" s="22"/>
    </row>
    <row r="33" spans="1:12" x14ac:dyDescent="0.25">
      <c r="A33" t="s">
        <v>10</v>
      </c>
      <c r="E33" s="80">
        <v>0.385574631</v>
      </c>
      <c r="G33" s="4">
        <f>G22*WACOC!$D$15*$E$33/(1-$E$33)</f>
        <v>2895209.7641545171</v>
      </c>
      <c r="H33" s="4">
        <f>H22*WACOC!$D$15*$E$33/(1-$E$33)</f>
        <v>3139407.0834241924</v>
      </c>
      <c r="I33" s="4">
        <f>I22*WACOC!$D$15*$E$33/(1-$E$33)</f>
        <v>542860.46042098466</v>
      </c>
      <c r="J33" s="4">
        <f>J22*WACOC!$D$15*$E$33/(1-$E$33)</f>
        <v>24430.176520535013</v>
      </c>
      <c r="K33" s="4">
        <f>K22*WACOC!$D$15*$E$33/(1-$E$33)</f>
        <v>6577477.3079996947</v>
      </c>
      <c r="L33" s="22"/>
    </row>
    <row r="35" spans="1:12" x14ac:dyDescent="0.25">
      <c r="A35" t="s">
        <v>27</v>
      </c>
      <c r="G35" s="4">
        <v>197748.10074022677</v>
      </c>
      <c r="H35" s="4">
        <v>216316.97289750125</v>
      </c>
      <c r="I35" s="4">
        <v>38726.858921322506</v>
      </c>
      <c r="J35" s="4">
        <v>1892.9365986641246</v>
      </c>
      <c r="K35" s="4">
        <f>SUM(G35:I35)</f>
        <v>452791.9325590505</v>
      </c>
      <c r="L35" s="22"/>
    </row>
    <row r="37" spans="1:12" x14ac:dyDescent="0.25">
      <c r="A37" t="s">
        <v>11</v>
      </c>
      <c r="G37" s="4">
        <f>G26+G28+G30+G31+G33+G35</f>
        <v>26190392.622424249</v>
      </c>
      <c r="H37" s="4">
        <f>H26+H28+H30+H31+H33+H35</f>
        <v>22712135.276012566</v>
      </c>
      <c r="I37" s="4">
        <f>I26+I28+I30+I31+I33+I35</f>
        <v>4113202.5681422665</v>
      </c>
      <c r="J37" s="4">
        <f>J26+J28+J30+J31+J33+J35</f>
        <v>649587.39729830599</v>
      </c>
      <c r="K37" s="4">
        <f>K26+K28+K30+K31+K33+K35</f>
        <v>53015730.46657908</v>
      </c>
    </row>
    <row r="39" spans="1:12" x14ac:dyDescent="0.25">
      <c r="A39" t="s">
        <v>28</v>
      </c>
      <c r="G39" s="5">
        <f>SUM('Unit Capacity'!H5:H11)*1000</f>
        <v>781431</v>
      </c>
      <c r="H39" s="5">
        <f>SUM('Unit Capacity'!H12:H17)*1000</f>
        <v>783666</v>
      </c>
      <c r="I39" s="5">
        <f>'Unit Capacity'!H18*1000</f>
        <v>83753.999999999985</v>
      </c>
      <c r="J39" s="5">
        <f>SUM('Unit Capacity'!H19:H20)*1000</f>
        <v>41400</v>
      </c>
      <c r="K39" s="17">
        <f>SUM(G39:J39)</f>
        <v>1690251</v>
      </c>
    </row>
    <row r="41" spans="1:12" x14ac:dyDescent="0.25">
      <c r="A41" t="s">
        <v>29</v>
      </c>
      <c r="G41" s="1">
        <f>G37/G39/12</f>
        <v>2.7929947986902928</v>
      </c>
      <c r="H41" s="1">
        <f t="shared" ref="H41:K41" si="3">H37/H39/12</f>
        <v>2.4151589320803937</v>
      </c>
      <c r="I41" s="1">
        <f t="shared" si="3"/>
        <v>4.0925434090135662</v>
      </c>
      <c r="J41" s="1">
        <f t="shared" si="3"/>
        <v>1.3075430702461877</v>
      </c>
      <c r="K41" s="1">
        <f t="shared" si="3"/>
        <v>2.6137996894435145</v>
      </c>
    </row>
    <row r="43" spans="1:12" x14ac:dyDescent="0.25">
      <c r="A43" t="s">
        <v>33</v>
      </c>
      <c r="G43" s="23">
        <f>SUM('Unit Capacity'!J5:J11)*1000</f>
        <v>726140</v>
      </c>
      <c r="H43" s="23">
        <f>SUM('Unit Capacity'!J12:J17)*1000</f>
        <v>626459.99999999988</v>
      </c>
      <c r="I43" s="23">
        <f>'Unit Capacity'!J18*1000</f>
        <v>69089.999999999985</v>
      </c>
      <c r="J43" s="23">
        <f>SUM('Unit Capacity'!J19:J20)*1000</f>
        <v>24000</v>
      </c>
      <c r="K43" s="23">
        <f>SUM(G43:J43)</f>
        <v>1445690</v>
      </c>
      <c r="L43" s="22"/>
    </row>
    <row r="45" spans="1:12" x14ac:dyDescent="0.25">
      <c r="A45" t="s">
        <v>31</v>
      </c>
      <c r="G45" s="1">
        <f>G37/G43/12</f>
        <v>3.0056638093692043</v>
      </c>
      <c r="H45" s="1">
        <f t="shared" ref="H45:K45" si="4">H37/H43/12</f>
        <v>3.0212271169232103</v>
      </c>
      <c r="I45" s="1">
        <f t="shared" si="4"/>
        <v>4.9611648672531805</v>
      </c>
      <c r="J45" s="1">
        <f t="shared" si="4"/>
        <v>2.2555117961746736</v>
      </c>
      <c r="K45" s="1">
        <f t="shared" si="4"/>
        <v>3.0559646527828161</v>
      </c>
    </row>
    <row r="47" spans="1:12" x14ac:dyDescent="0.25">
      <c r="A47" t="s">
        <v>57</v>
      </c>
      <c r="G47" s="50">
        <v>2.8049999999999999E-2</v>
      </c>
      <c r="H47" s="50">
        <v>2.8049999999999999E-2</v>
      </c>
      <c r="I47" s="50">
        <v>2.8049999999999999E-2</v>
      </c>
      <c r="J47" s="50">
        <v>2.8049999999999999E-2</v>
      </c>
      <c r="K47" s="50">
        <v>2.8049999999999999E-2</v>
      </c>
      <c r="L47" s="22"/>
    </row>
    <row r="49" spans="1:12" ht="15.75" thickBot="1" x14ac:dyDescent="0.3">
      <c r="A49" t="s">
        <v>54</v>
      </c>
      <c r="G49" s="24">
        <f>G45/(1-G47)</f>
        <v>3.0924057918300369</v>
      </c>
      <c r="H49" s="24">
        <f t="shared" ref="H49:K49" si="5">H45/(1-H47)</f>
        <v>3.1084182488021095</v>
      </c>
      <c r="I49" s="24">
        <f t="shared" si="5"/>
        <v>5.1043416505511399</v>
      </c>
      <c r="J49" s="24">
        <f t="shared" si="5"/>
        <v>2.3206047596838042</v>
      </c>
      <c r="K49" s="25">
        <f t="shared" si="5"/>
        <v>3.1441582928986227</v>
      </c>
    </row>
    <row r="51" spans="1:12" x14ac:dyDescent="0.25">
      <c r="A51" t="s">
        <v>55</v>
      </c>
      <c r="G51" s="50">
        <v>6.1260000000000002E-2</v>
      </c>
      <c r="H51" s="50">
        <v>6.1260000000000002E-2</v>
      </c>
      <c r="I51" s="50">
        <v>6.1260000000000002E-2</v>
      </c>
      <c r="J51" s="50">
        <v>6.1260000000000002E-2</v>
      </c>
      <c r="K51" s="50">
        <v>6.1260000000000002E-2</v>
      </c>
      <c r="L51" s="22"/>
    </row>
    <row r="53" spans="1:12" ht="15.75" thickBot="1" x14ac:dyDescent="0.3">
      <c r="A53" t="s">
        <v>56</v>
      </c>
      <c r="G53" s="24">
        <f>G45/(1-G51)</f>
        <v>3.2018064739642544</v>
      </c>
      <c r="H53" s="24">
        <f>H45/(1-H51)</f>
        <v>3.218385406953161</v>
      </c>
      <c r="I53" s="24">
        <f>I45/(1-I51)</f>
        <v>5.2849190055320756</v>
      </c>
      <c r="J53" s="24">
        <f>J45/(1-J51)</f>
        <v>2.4027012763647799</v>
      </c>
      <c r="K53" s="25">
        <f>K45/(1-K51)</f>
        <v>3.2553898340145473</v>
      </c>
    </row>
  </sheetData>
  <pageMargins left="0.7" right="0.7" top="0.75" bottom="0.75" header="0.3" footer="0.3"/>
  <pageSetup scale="66" orientation="portrait" horizontalDpi="90" verticalDpi="90" r:id="rId1"/>
  <headerFooter scaleWithDoc="0">
    <oddHeader>&amp;R&amp;"Times New Roman,Bold"&amp;12Attachment to Response to PSC-3 Question No. 23b
Page &amp;P of &amp;N
Seelye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workbookViewId="0"/>
  </sheetViews>
  <sheetFormatPr defaultRowHeight="15" x14ac:dyDescent="0.25"/>
  <cols>
    <col min="5" max="5" width="14.7109375" bestFit="1" customWidth="1"/>
    <col min="7" max="12" width="15.28515625" customWidth="1"/>
    <col min="13" max="13" width="13.7109375" bestFit="1" customWidth="1"/>
  </cols>
  <sheetData>
    <row r="1" spans="1:14" ht="15.75" x14ac:dyDescent="0.25">
      <c r="A1" s="21" t="s">
        <v>22</v>
      </c>
    </row>
    <row r="2" spans="1:14" x14ac:dyDescent="0.25">
      <c r="A2" t="s">
        <v>98</v>
      </c>
    </row>
    <row r="3" spans="1:14" x14ac:dyDescent="0.25">
      <c r="A3" s="22" t="s">
        <v>51</v>
      </c>
    </row>
    <row r="7" spans="1:14" x14ac:dyDescent="0.25">
      <c r="G7" s="6"/>
      <c r="H7" s="6" t="s">
        <v>6</v>
      </c>
      <c r="I7" s="6" t="s">
        <v>8</v>
      </c>
      <c r="J7" s="6"/>
      <c r="K7" s="6" t="s">
        <v>8</v>
      </c>
      <c r="L7" s="6"/>
    </row>
    <row r="8" spans="1:14" ht="15.75" thickBot="1" x14ac:dyDescent="0.3">
      <c r="A8" s="18" t="s">
        <v>32</v>
      </c>
      <c r="B8" s="19"/>
      <c r="C8" s="19"/>
      <c r="D8" s="19"/>
      <c r="E8" s="19"/>
      <c r="F8" s="19"/>
      <c r="G8" s="20" t="s">
        <v>5</v>
      </c>
      <c r="H8" s="20" t="s">
        <v>7</v>
      </c>
      <c r="I8" s="20" t="s">
        <v>12</v>
      </c>
      <c r="J8" s="20" t="s">
        <v>96</v>
      </c>
      <c r="K8" s="20" t="s">
        <v>95</v>
      </c>
      <c r="L8" s="20" t="s">
        <v>97</v>
      </c>
      <c r="M8" s="20" t="s">
        <v>30</v>
      </c>
    </row>
    <row r="9" spans="1:14" x14ac:dyDescent="0.25">
      <c r="G9" s="3"/>
      <c r="H9" s="3"/>
      <c r="I9" s="3"/>
      <c r="J9" s="3"/>
      <c r="K9" s="3"/>
      <c r="L9" s="3"/>
    </row>
    <row r="10" spans="1:14" hidden="1" x14ac:dyDescent="0.25">
      <c r="A10" t="s">
        <v>9</v>
      </c>
      <c r="E10" s="2"/>
      <c r="G10" s="4">
        <v>280266834.91999996</v>
      </c>
      <c r="H10" s="4">
        <v>240037753.38999999</v>
      </c>
      <c r="I10" s="4">
        <v>32732020.900000002</v>
      </c>
      <c r="J10" s="4"/>
      <c r="K10" s="4"/>
      <c r="L10" s="4"/>
      <c r="M10" s="4">
        <f>SUM(G10:I10)</f>
        <v>553036609.20999992</v>
      </c>
    </row>
    <row r="11" spans="1:14" hidden="1" x14ac:dyDescent="0.25">
      <c r="G11" s="2"/>
      <c r="H11" s="2"/>
      <c r="I11" s="2"/>
      <c r="J11" s="2"/>
      <c r="K11" s="2"/>
      <c r="L11" s="2"/>
    </row>
    <row r="12" spans="1:14" hidden="1" x14ac:dyDescent="0.25">
      <c r="A12" t="s">
        <v>14</v>
      </c>
      <c r="E12" s="2"/>
      <c r="G12" s="4">
        <v>138725688.54000002</v>
      </c>
      <c r="H12" s="4">
        <v>89362521.840000004</v>
      </c>
      <c r="I12" s="4">
        <v>11520517.67</v>
      </c>
      <c r="J12" s="4"/>
      <c r="K12" s="4"/>
      <c r="L12" s="4"/>
      <c r="M12" s="4">
        <f>SUM(G12:I12)</f>
        <v>239608728.05000001</v>
      </c>
    </row>
    <row r="13" spans="1:14" hidden="1" x14ac:dyDescent="0.25">
      <c r="G13" s="2"/>
      <c r="H13" s="2"/>
      <c r="I13" s="2"/>
      <c r="J13" s="2"/>
      <c r="K13" s="2"/>
      <c r="L13" s="2"/>
    </row>
    <row r="15" spans="1:14" x14ac:dyDescent="0.25">
      <c r="A15" t="s">
        <v>34</v>
      </c>
      <c r="G15" s="4">
        <v>84366777.425384641</v>
      </c>
      <c r="H15" s="4">
        <v>130992226.82846156</v>
      </c>
      <c r="I15" s="4">
        <v>44779460.583076932</v>
      </c>
      <c r="J15" s="4">
        <v>3718400.11</v>
      </c>
      <c r="K15" s="4">
        <f>2151160.51+4318762.63</f>
        <v>6469923.1399999997</v>
      </c>
      <c r="L15" s="4">
        <f>1963400.71</f>
        <v>1963400.71</v>
      </c>
      <c r="M15" s="4">
        <f>SUM(G15:L15)</f>
        <v>272290188.7969231</v>
      </c>
      <c r="N15" s="22"/>
    </row>
    <row r="16" spans="1:14" x14ac:dyDescent="0.25">
      <c r="A16" t="s">
        <v>0</v>
      </c>
      <c r="G16" s="4">
        <v>39753883.457802802</v>
      </c>
      <c r="H16" s="4">
        <v>58228902.5679437</v>
      </c>
      <c r="I16" s="4">
        <v>18010211.566976301</v>
      </c>
      <c r="J16" s="4">
        <v>3520168.1049241899</v>
      </c>
      <c r="K16" s="89">
        <f>1878784.9+4321628.57</f>
        <v>6200413.4700000007</v>
      </c>
      <c r="L16" s="4">
        <v>2105506.5299999998</v>
      </c>
      <c r="M16" s="4">
        <f>SUM(G16:L16)</f>
        <v>127819085.69764699</v>
      </c>
      <c r="N16" s="22"/>
    </row>
    <row r="18" spans="1:14" x14ac:dyDescent="0.25">
      <c r="A18" t="s">
        <v>1</v>
      </c>
      <c r="G18" s="4">
        <f>G15-G16</f>
        <v>44612893.967581838</v>
      </c>
      <c r="H18" s="4">
        <f t="shared" ref="H18:L18" si="0">H15-H16</f>
        <v>72763324.260517865</v>
      </c>
      <c r="I18" s="4">
        <f t="shared" si="0"/>
        <v>26769249.01610063</v>
      </c>
      <c r="J18" s="4">
        <f t="shared" si="0"/>
        <v>198232.00507581001</v>
      </c>
      <c r="K18" s="4">
        <f t="shared" si="0"/>
        <v>269509.66999999899</v>
      </c>
      <c r="L18" s="4">
        <f t="shared" si="0"/>
        <v>-142105.81999999983</v>
      </c>
      <c r="M18" s="4">
        <f>SUM(G18:L18)</f>
        <v>144471103.09927616</v>
      </c>
    </row>
    <row r="19" spans="1:14" x14ac:dyDescent="0.25">
      <c r="H19" s="6"/>
      <c r="I19" s="6"/>
      <c r="J19" s="6"/>
      <c r="K19" s="6"/>
      <c r="L19" s="6"/>
      <c r="M19" s="6"/>
    </row>
    <row r="20" spans="1:14" x14ac:dyDescent="0.25">
      <c r="A20" t="s">
        <v>2</v>
      </c>
      <c r="G20" s="5">
        <v>12875811.011538707</v>
      </c>
      <c r="H20" s="5">
        <v>24015326.326520137</v>
      </c>
      <c r="I20" s="5">
        <v>9124081.16151103</v>
      </c>
      <c r="J20" s="5">
        <v>-166695.06</v>
      </c>
      <c r="K20" s="5">
        <f>-43047-112147</f>
        <v>-155194</v>
      </c>
      <c r="L20" s="5">
        <v>-3579.9588678390091</v>
      </c>
      <c r="M20" s="4">
        <f>SUM(G20:L20)</f>
        <v>45689749.480702035</v>
      </c>
      <c r="N20" s="22"/>
    </row>
    <row r="22" spans="1:14" x14ac:dyDescent="0.25">
      <c r="A22" t="s">
        <v>3</v>
      </c>
      <c r="G22" s="4">
        <f>G18-G20</f>
        <v>31737082.956043132</v>
      </c>
      <c r="H22" s="4">
        <f t="shared" ref="H22:L22" si="1">H18-H20</f>
        <v>48747997.933997728</v>
      </c>
      <c r="I22" s="4">
        <f t="shared" si="1"/>
        <v>17645167.8545896</v>
      </c>
      <c r="J22" s="4">
        <f t="shared" si="1"/>
        <v>364927.06507581001</v>
      </c>
      <c r="K22" s="4">
        <f t="shared" si="1"/>
        <v>424703.66999999899</v>
      </c>
      <c r="L22" s="4">
        <f t="shared" si="1"/>
        <v>-138525.86113216082</v>
      </c>
      <c r="M22" s="4">
        <f>SUM(G22:L22)</f>
        <v>98781353.618574113</v>
      </c>
    </row>
    <row r="24" spans="1:14" x14ac:dyDescent="0.25">
      <c r="A24" t="s">
        <v>26</v>
      </c>
      <c r="G24" s="8">
        <f>WACOC!D26</f>
        <v>7.2304728716155356E-2</v>
      </c>
      <c r="H24" s="8">
        <f>G24</f>
        <v>7.2304728716155356E-2</v>
      </c>
      <c r="I24" s="8">
        <f>G24</f>
        <v>7.2304728716155356E-2</v>
      </c>
      <c r="J24" s="8">
        <f t="shared" ref="J24:L24" si="2">H24</f>
        <v>7.2304728716155356E-2</v>
      </c>
      <c r="K24" s="8">
        <f t="shared" si="2"/>
        <v>7.2304728716155356E-2</v>
      </c>
      <c r="L24" s="8">
        <f t="shared" si="2"/>
        <v>7.2304728716155356E-2</v>
      </c>
      <c r="M24" s="8">
        <f>I24</f>
        <v>7.2304728716155356E-2</v>
      </c>
      <c r="N24" s="22"/>
    </row>
    <row r="26" spans="1:14" x14ac:dyDescent="0.25">
      <c r="A26" t="s">
        <v>13</v>
      </c>
      <c r="G26" s="4">
        <f>G22*G24</f>
        <v>2294741.1733788163</v>
      </c>
      <c r="H26" s="4">
        <f t="shared" ref="H26:M26" si="3">H22*H24</f>
        <v>3524710.7660734076</v>
      </c>
      <c r="I26" s="4">
        <f t="shared" si="3"/>
        <v>1275829.0748771261</v>
      </c>
      <c r="J26" s="4">
        <f t="shared" si="3"/>
        <v>26385.952441489215</v>
      </c>
      <c r="K26" s="4">
        <f t="shared" si="3"/>
        <v>30708.083644105496</v>
      </c>
      <c r="L26" s="4">
        <f t="shared" si="3"/>
        <v>-10016.074809332697</v>
      </c>
      <c r="M26" s="4">
        <f t="shared" si="3"/>
        <v>7142358.9756056126</v>
      </c>
    </row>
    <row r="28" spans="1:14" x14ac:dyDescent="0.25">
      <c r="A28" t="s">
        <v>4</v>
      </c>
      <c r="G28" s="4">
        <v>3853798.4155914686</v>
      </c>
      <c r="H28" s="4">
        <v>5368004.71812353</v>
      </c>
      <c r="I28" s="4">
        <v>2176201.0561171141</v>
      </c>
      <c r="J28" s="4">
        <v>304040.71000000002</v>
      </c>
      <c r="K28" s="4">
        <f>236423+288437</f>
        <v>524860</v>
      </c>
      <c r="L28" s="4">
        <v>17668.830000000002</v>
      </c>
      <c r="M28" s="4">
        <f>SUM(G28:L28)</f>
        <v>12244573.729832113</v>
      </c>
      <c r="N28" s="22"/>
    </row>
    <row r="30" spans="1:14" x14ac:dyDescent="0.25">
      <c r="A30" t="s">
        <v>53</v>
      </c>
      <c r="G30" s="4">
        <v>962488</v>
      </c>
      <c r="H30" s="4">
        <v>953783</v>
      </c>
      <c r="I30" s="4">
        <v>414082</v>
      </c>
      <c r="J30" s="4">
        <v>62062</v>
      </c>
      <c r="K30" s="4">
        <f>12428+62050</f>
        <v>74478</v>
      </c>
      <c r="L30" s="4">
        <v>4972</v>
      </c>
      <c r="M30" s="4">
        <f>SUM(G30:L30)</f>
        <v>2471865</v>
      </c>
      <c r="N30" s="22"/>
    </row>
    <row r="31" spans="1:14" x14ac:dyDescent="0.25">
      <c r="A31" t="s">
        <v>52</v>
      </c>
      <c r="G31" s="4">
        <v>200083</v>
      </c>
      <c r="H31" s="4">
        <v>-251785</v>
      </c>
      <c r="I31" s="4">
        <v>-45732</v>
      </c>
      <c r="J31" s="4">
        <v>0</v>
      </c>
      <c r="K31" s="4">
        <v>0</v>
      </c>
      <c r="L31" s="4">
        <v>0</v>
      </c>
      <c r="M31" s="4">
        <f>SUM(G31:L31)</f>
        <v>-97434</v>
      </c>
      <c r="N31" s="22"/>
    </row>
    <row r="33" spans="1:14" x14ac:dyDescent="0.25">
      <c r="A33" t="s">
        <v>10</v>
      </c>
      <c r="E33" s="50">
        <v>0.38639026500000001</v>
      </c>
      <c r="G33" s="4">
        <f>G22*WACOC!$D$25*$E$33/(1-$E$33)</f>
        <v>1091538.7283348367</v>
      </c>
      <c r="H33" s="4">
        <f>H22*WACOC!$D$25*$E$33/(1-$E$33)</f>
        <v>1676597.9326910139</v>
      </c>
      <c r="I33" s="4">
        <f>I22*WACOC!$D25*$E$33/(1-$E$33)</f>
        <v>606873.16814622551</v>
      </c>
      <c r="J33" s="4">
        <f>J22*WACOC!$D25*$E$33/(1-$E$33)</f>
        <v>12550.996734624803</v>
      </c>
      <c r="K33" s="4">
        <f>K22*WACOC!$D25*$E$33/(1-$E$33)</f>
        <v>14606.903366418735</v>
      </c>
      <c r="L33" s="4">
        <f>L22*WACOC!$D25*$E$33/(1-$E$33)</f>
        <v>-4764.3427882490842</v>
      </c>
      <c r="M33" s="4">
        <f>M22*WACOC!$D$15*$E$33/(1-$E$33)</f>
        <v>3389110.3027084661</v>
      </c>
      <c r="N33" s="22"/>
    </row>
    <row r="35" spans="1:14" x14ac:dyDescent="0.25">
      <c r="A35" t="s">
        <v>27</v>
      </c>
      <c r="G35" s="4">
        <v>68034.992084383513</v>
      </c>
      <c r="H35" s="4">
        <v>113803.4076538355</v>
      </c>
      <c r="I35" s="4">
        <v>43218.978761975428</v>
      </c>
      <c r="J35" s="4">
        <v>483.75</v>
      </c>
      <c r="K35" s="4">
        <f>643.15</f>
        <v>643.15</v>
      </c>
      <c r="L35" s="4">
        <v>0</v>
      </c>
      <c r="M35" s="4">
        <f>SUM(G35:L35)</f>
        <v>226184.27850019443</v>
      </c>
      <c r="N35" s="22"/>
    </row>
    <row r="36" spans="1:14" x14ac:dyDescent="0.25">
      <c r="G36" s="90"/>
      <c r="H36" s="90"/>
      <c r="I36" s="90"/>
    </row>
    <row r="37" spans="1:14" x14ac:dyDescent="0.25">
      <c r="A37" t="s">
        <v>11</v>
      </c>
      <c r="G37" s="4">
        <f>G26+G28+G30+G31+G33+G35</f>
        <v>8470684.3093895055</v>
      </c>
      <c r="H37" s="4">
        <f t="shared" ref="H37:M37" si="4">H26+H28+H30+H31+H33+H35</f>
        <v>11385114.824541787</v>
      </c>
      <c r="I37" s="4">
        <f t="shared" si="4"/>
        <v>4470472.2779024411</v>
      </c>
      <c r="J37" s="4">
        <f t="shared" si="4"/>
        <v>405523.40917611402</v>
      </c>
      <c r="K37" s="4">
        <f t="shared" si="4"/>
        <v>645296.13701052428</v>
      </c>
      <c r="L37" s="4">
        <f t="shared" si="4"/>
        <v>7860.4124024182211</v>
      </c>
      <c r="M37" s="4">
        <f t="shared" si="4"/>
        <v>25376658.286646388</v>
      </c>
    </row>
    <row r="39" spans="1:14" x14ac:dyDescent="0.25">
      <c r="A39" t="s">
        <v>28</v>
      </c>
      <c r="G39" s="5">
        <f>SUM('Unit Capacity'!I5:I11)*1000</f>
        <v>199869.00000000003</v>
      </c>
      <c r="H39" s="5">
        <f>SUM('Unit Capacity'!I12:I17)*1000</f>
        <v>409734.00000000006</v>
      </c>
      <c r="I39" s="5">
        <f>'Unit Capacity'!I18*1000</f>
        <v>94446</v>
      </c>
      <c r="J39" s="5">
        <f>'Unit Capacity'!I21*1000</f>
        <v>16320</v>
      </c>
      <c r="K39" s="5">
        <f>SUM('Unit Capacity'!I22:I23)*1000</f>
        <v>48640</v>
      </c>
      <c r="L39" s="5">
        <f>'Unit Capacity'!I24*1000</f>
        <v>18000</v>
      </c>
      <c r="M39" s="17">
        <f>SUM(G39:L39)</f>
        <v>787009.00000000012</v>
      </c>
    </row>
    <row r="40" spans="1:14" x14ac:dyDescent="0.25">
      <c r="H40" s="49" t="s">
        <v>50</v>
      </c>
    </row>
    <row r="41" spans="1:14" x14ac:dyDescent="0.25">
      <c r="A41" t="s">
        <v>29</v>
      </c>
      <c r="G41" s="1">
        <f>G37/G39/12</f>
        <v>3.5317651017205871</v>
      </c>
      <c r="H41" s="1">
        <f t="shared" ref="H41:M41" si="5">H37/H39/12</f>
        <v>2.315550012231876</v>
      </c>
      <c r="I41" s="1">
        <f t="shared" si="5"/>
        <v>3.9444693951238814</v>
      </c>
      <c r="J41" s="1">
        <f t="shared" si="5"/>
        <v>2.0706873426067913</v>
      </c>
      <c r="K41" s="1">
        <f t="shared" si="5"/>
        <v>1.1055649277181405</v>
      </c>
      <c r="L41" s="1">
        <f t="shared" si="5"/>
        <v>3.6390798159343617E-2</v>
      </c>
      <c r="M41" s="1">
        <f t="shared" si="5"/>
        <v>2.6870360108806874</v>
      </c>
    </row>
    <row r="43" spans="1:14" x14ac:dyDescent="0.25">
      <c r="A43" t="s">
        <v>87</v>
      </c>
      <c r="G43" s="23">
        <f>SUM('Unit Capacity'!K5:K11)*1000</f>
        <v>179860</v>
      </c>
      <c r="H43" s="23">
        <f>SUM('Unit Capacity'!K12:K17)*1000</f>
        <v>327539.99999999994</v>
      </c>
      <c r="I43" s="23">
        <f>'Unit Capacity'!K18*1000</f>
        <v>77910.000000000015</v>
      </c>
      <c r="J43" s="23">
        <f>'Unit Capacity'!K21*1000</f>
        <v>14000</v>
      </c>
      <c r="K43" s="23">
        <f>SUM('Unit Capacity'!K22:K23)*1000</f>
        <v>35000</v>
      </c>
      <c r="L43" s="23">
        <f>'Unit Capacity'!K24*1000</f>
        <v>14000</v>
      </c>
      <c r="M43" s="23">
        <f>SUM(G43:L43)</f>
        <v>648310</v>
      </c>
      <c r="N43" s="22"/>
    </row>
    <row r="45" spans="1:14" x14ac:dyDescent="0.25">
      <c r="A45" t="s">
        <v>31</v>
      </c>
      <c r="G45" s="1">
        <f>G37/G43/12</f>
        <v>3.924665623906328</v>
      </c>
      <c r="H45" s="1">
        <f t="shared" ref="H45:M45" si="6">H37/H43/12</f>
        <v>2.8966219964334603</v>
      </c>
      <c r="I45" s="1">
        <f t="shared" si="6"/>
        <v>4.7816628993950721</v>
      </c>
      <c r="J45" s="1">
        <f t="shared" si="6"/>
        <v>2.4138298165244882</v>
      </c>
      <c r="K45" s="1">
        <f t="shared" si="6"/>
        <v>1.5364193738345815</v>
      </c>
      <c r="L45" s="1">
        <f t="shared" si="6"/>
        <v>4.6788169062013218E-2</v>
      </c>
      <c r="M45" s="1">
        <f t="shared" si="6"/>
        <v>3.2618986655877573</v>
      </c>
    </row>
    <row r="47" spans="1:14" x14ac:dyDescent="0.25">
      <c r="A47" t="s">
        <v>57</v>
      </c>
      <c r="G47">
        <v>2.8500000000000001E-2</v>
      </c>
      <c r="H47">
        <v>2.8500000000000001E-2</v>
      </c>
      <c r="I47">
        <v>2.8500000000000001E-2</v>
      </c>
      <c r="J47">
        <v>2.8500000000000001E-2</v>
      </c>
      <c r="K47">
        <v>2.8500000000000001E-2</v>
      </c>
      <c r="L47">
        <v>2.8500000000000001E-2</v>
      </c>
      <c r="M47">
        <v>2.8500000000000001E-2</v>
      </c>
      <c r="N47" s="22"/>
    </row>
    <row r="49" spans="1:14" ht="15.75" thickBot="1" x14ac:dyDescent="0.3">
      <c r="A49" t="s">
        <v>54</v>
      </c>
      <c r="G49" s="24">
        <f>G45/(1-G47)</f>
        <v>4.0397999216740379</v>
      </c>
      <c r="H49" s="24">
        <f t="shared" ref="H49:M49" si="7">H45/(1-H47)</f>
        <v>2.9815975259222443</v>
      </c>
      <c r="I49" s="24">
        <f t="shared" si="7"/>
        <v>4.9219381362790244</v>
      </c>
      <c r="J49" s="24">
        <f t="shared" si="7"/>
        <v>2.4846421168548516</v>
      </c>
      <c r="K49" s="24">
        <f t="shared" si="7"/>
        <v>1.5814918927787767</v>
      </c>
      <c r="L49" s="24">
        <f t="shared" si="7"/>
        <v>4.8160750449833471E-2</v>
      </c>
      <c r="M49" s="25">
        <f t="shared" si="7"/>
        <v>3.357589980018278</v>
      </c>
    </row>
    <row r="51" spans="1:14" x14ac:dyDescent="0.25">
      <c r="A51" t="s">
        <v>55</v>
      </c>
      <c r="G51" s="50">
        <v>5.5849999999999997E-2</v>
      </c>
      <c r="H51" s="50">
        <v>5.5849999999999997E-2</v>
      </c>
      <c r="I51" s="50">
        <v>5.5849999999999997E-2</v>
      </c>
      <c r="J51" s="50">
        <v>5.5849999999999997E-2</v>
      </c>
      <c r="K51" s="50">
        <v>5.5849999999999997E-2</v>
      </c>
      <c r="L51" s="50">
        <v>5.5849999999999997E-2</v>
      </c>
      <c r="M51" s="50">
        <v>5.5849999999999997E-2</v>
      </c>
      <c r="N51" s="22"/>
    </row>
    <row r="53" spans="1:14" ht="15.75" thickBot="1" x14ac:dyDescent="0.3">
      <c r="A53" t="s">
        <v>56</v>
      </c>
      <c r="G53" s="24">
        <f>G45/(1-G51)</f>
        <v>4.1568242587579602</v>
      </c>
      <c r="H53" s="24">
        <f>H45/(1-H51)</f>
        <v>3.067968009779654</v>
      </c>
      <c r="I53" s="24">
        <f>I45/(1-I51)</f>
        <v>5.0645161249749213</v>
      </c>
      <c r="J53" s="24">
        <f t="shared" ref="J53:L53" si="8">J45/(1-J51)</f>
        <v>2.5566168686379158</v>
      </c>
      <c r="K53" s="24">
        <f t="shared" si="8"/>
        <v>1.6273043201128861</v>
      </c>
      <c r="L53" s="24">
        <f t="shared" si="8"/>
        <v>4.9555864070341807E-2</v>
      </c>
      <c r="M53" s="25">
        <f>M45/(1-M51)</f>
        <v>3.4548521586482628</v>
      </c>
    </row>
  </sheetData>
  <pageMargins left="0.7" right="0.7" top="0.75" bottom="0.75" header="0.3" footer="0.3"/>
  <pageSetup scale="54" orientation="portrait" horizontalDpi="90" verticalDpi="90" r:id="rId1"/>
  <headerFooter scaleWithDoc="0">
    <oddHeader>&amp;R&amp;"Times New Roman,Bold"&amp;12Attachment to Response to PSC-3 Question No. 23b
Page &amp;P of &amp;N
Seelye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/>
  </sheetViews>
  <sheetFormatPr defaultRowHeight="15" x14ac:dyDescent="0.25"/>
  <cols>
    <col min="1" max="1" width="22.85546875" customWidth="1"/>
    <col min="2" max="4" width="16.7109375" customWidth="1"/>
  </cols>
  <sheetData>
    <row r="1" spans="1:6" x14ac:dyDescent="0.25">
      <c r="F1" s="6"/>
    </row>
    <row r="2" spans="1:6" x14ac:dyDescent="0.25">
      <c r="F2" s="6"/>
    </row>
    <row r="3" spans="1:6" x14ac:dyDescent="0.25">
      <c r="F3" s="6"/>
    </row>
    <row r="4" spans="1:6" ht="15.75" x14ac:dyDescent="0.25">
      <c r="A4" s="91" t="s">
        <v>25</v>
      </c>
      <c r="B4" s="91"/>
      <c r="C4" s="91"/>
      <c r="D4" s="91"/>
    </row>
    <row r="5" spans="1:6" ht="15.75" x14ac:dyDescent="0.25">
      <c r="A5" s="92" t="s">
        <v>24</v>
      </c>
      <c r="B5" s="92"/>
      <c r="C5" s="92"/>
      <c r="D5" s="92"/>
    </row>
    <row r="6" spans="1:6" ht="15.75" x14ac:dyDescent="0.25">
      <c r="A6" s="16"/>
      <c r="B6" s="16"/>
      <c r="C6" s="16"/>
      <c r="D6" s="16"/>
    </row>
    <row r="7" spans="1:6" ht="15.75" x14ac:dyDescent="0.25">
      <c r="A7" s="16"/>
      <c r="B7" s="16"/>
      <c r="C7" s="16"/>
      <c r="D7" s="16"/>
    </row>
    <row r="8" spans="1:6" ht="16.5" thickBot="1" x14ac:dyDescent="0.3">
      <c r="A8" s="16"/>
      <c r="B8" s="16"/>
      <c r="C8" s="16"/>
      <c r="D8" s="16"/>
    </row>
    <row r="9" spans="1:6" ht="15.75" thickBot="1" x14ac:dyDescent="0.3">
      <c r="A9" s="93" t="s">
        <v>23</v>
      </c>
      <c r="B9" s="94"/>
      <c r="C9" s="94"/>
      <c r="D9" s="95"/>
    </row>
    <row r="10" spans="1:6" x14ac:dyDescent="0.25">
      <c r="A10" s="15"/>
      <c r="D10" s="14" t="s">
        <v>21</v>
      </c>
    </row>
    <row r="11" spans="1:6" x14ac:dyDescent="0.25">
      <c r="B11" s="15"/>
      <c r="C11" s="15"/>
      <c r="D11" s="14" t="s">
        <v>20</v>
      </c>
    </row>
    <row r="12" spans="1:6" ht="15.75" thickBot="1" x14ac:dyDescent="0.3">
      <c r="A12" s="13" t="s">
        <v>19</v>
      </c>
      <c r="B12" s="12" t="s">
        <v>18</v>
      </c>
      <c r="C12" s="12" t="s">
        <v>17</v>
      </c>
      <c r="D12" s="12" t="s">
        <v>16</v>
      </c>
    </row>
    <row r="13" spans="1:6" x14ac:dyDescent="0.25">
      <c r="A13" t="s">
        <v>58</v>
      </c>
      <c r="B13" s="78">
        <v>2.47E-2</v>
      </c>
      <c r="C13" s="78">
        <v>7.4000000000000003E-3</v>
      </c>
      <c r="D13" s="78">
        <f>B13*C13</f>
        <v>1.8278000000000001E-4</v>
      </c>
    </row>
    <row r="14" spans="1:6" x14ac:dyDescent="0.25">
      <c r="A14" t="s">
        <v>59</v>
      </c>
      <c r="B14" s="78">
        <v>0.4425</v>
      </c>
      <c r="C14" s="78">
        <v>4.1200000000000001E-2</v>
      </c>
      <c r="D14" s="78">
        <f>B14*C14</f>
        <v>1.8231000000000001E-2</v>
      </c>
    </row>
    <row r="15" spans="1:6" ht="15.75" thickBot="1" x14ac:dyDescent="0.3">
      <c r="A15" t="s">
        <v>15</v>
      </c>
      <c r="B15" s="79">
        <v>0.53259999999999996</v>
      </c>
      <c r="C15" s="79">
        <v>0.1023</v>
      </c>
      <c r="D15" s="79">
        <f>B15*C15</f>
        <v>5.4484979999999995E-2</v>
      </c>
    </row>
    <row r="16" spans="1:6" x14ac:dyDescent="0.25">
      <c r="B16" s="80"/>
      <c r="C16" s="80"/>
      <c r="D16" s="81">
        <f>SUM(D13:D15)</f>
        <v>7.2898759999999993E-2</v>
      </c>
    </row>
    <row r="18" spans="1:4" ht="15.75" thickBot="1" x14ac:dyDescent="0.3"/>
    <row r="19" spans="1:4" ht="15.75" thickBot="1" x14ac:dyDescent="0.3">
      <c r="A19" s="93" t="s">
        <v>22</v>
      </c>
      <c r="B19" s="94"/>
      <c r="C19" s="94"/>
      <c r="D19" s="95"/>
    </row>
    <row r="20" spans="1:4" x14ac:dyDescent="0.25">
      <c r="A20" s="15"/>
      <c r="D20" s="14" t="s">
        <v>21</v>
      </c>
    </row>
    <row r="21" spans="1:4" x14ac:dyDescent="0.25">
      <c r="B21" s="15"/>
      <c r="C21" s="15"/>
      <c r="D21" s="14" t="s">
        <v>20</v>
      </c>
    </row>
    <row r="22" spans="1:4" ht="15.75" thickBot="1" x14ac:dyDescent="0.3">
      <c r="A22" s="13" t="s">
        <v>19</v>
      </c>
      <c r="B22" s="12" t="s">
        <v>18</v>
      </c>
      <c r="C22" s="12" t="s">
        <v>17</v>
      </c>
      <c r="D22" s="12" t="s">
        <v>16</v>
      </c>
    </row>
    <row r="23" spans="1:4" x14ac:dyDescent="0.25">
      <c r="A23" t="s">
        <v>58</v>
      </c>
      <c r="B23" s="10">
        <v>3.9300000000000002E-2</v>
      </c>
      <c r="C23" s="11">
        <v>8.1541833333333251E-3</v>
      </c>
      <c r="D23" s="10">
        <f>B23*C23</f>
        <v>3.2045940499999967E-4</v>
      </c>
    </row>
    <row r="24" spans="1:4" x14ac:dyDescent="0.25">
      <c r="A24" t="s">
        <v>59</v>
      </c>
      <c r="B24" s="10">
        <v>0.42680000000000001</v>
      </c>
      <c r="C24" s="10">
        <v>4.068876681474283E-2</v>
      </c>
      <c r="D24" s="10">
        <f>B24*C24</f>
        <v>1.7365965676532241E-2</v>
      </c>
    </row>
    <row r="25" spans="1:4" ht="15.75" thickBot="1" x14ac:dyDescent="0.3">
      <c r="A25" t="s">
        <v>15</v>
      </c>
      <c r="B25" s="9">
        <v>0.53390326133551425</v>
      </c>
      <c r="C25" s="9">
        <v>0.1023</v>
      </c>
      <c r="D25" s="9">
        <f>B25*C25</f>
        <v>5.4618303634623111E-2</v>
      </c>
    </row>
    <row r="26" spans="1:4" x14ac:dyDescent="0.25">
      <c r="D26" s="8">
        <f>SUM(D23:D25)</f>
        <v>7.2304728716155356E-2</v>
      </c>
    </row>
    <row r="31" spans="1:4" x14ac:dyDescent="0.25">
      <c r="A31" s="7"/>
      <c r="B31" s="7"/>
      <c r="C31" s="7"/>
      <c r="D31" s="7"/>
    </row>
  </sheetData>
  <mergeCells count="4">
    <mergeCell ref="A4:D4"/>
    <mergeCell ref="A5:D5"/>
    <mergeCell ref="A9:D9"/>
    <mergeCell ref="A19:D19"/>
  </mergeCells>
  <pageMargins left="0.7" right="0.7" top="0.75" bottom="0.75" header="0.3" footer="0.3"/>
  <pageSetup scale="99" orientation="portrait" r:id="rId1"/>
  <headerFooter scaleWithDoc="0">
    <oddHeader>&amp;R&amp;"Times New Roman,Bold"&amp;12Attachment to Response to PSC-3 Question No. 23b
Page &amp;P of &amp;N
Seelye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zoomScaleSheetLayoutView="75" workbookViewId="0"/>
  </sheetViews>
  <sheetFormatPr defaultColWidth="9.140625" defaultRowHeight="12.75" x14ac:dyDescent="0.2"/>
  <cols>
    <col min="1" max="1" width="24" style="27" customWidth="1"/>
    <col min="2" max="2" width="19" style="27" customWidth="1"/>
    <col min="3" max="6" width="19" style="28" customWidth="1"/>
    <col min="7" max="8" width="19" style="27" customWidth="1"/>
    <col min="9" max="10" width="16.140625" style="27" customWidth="1"/>
    <col min="11" max="11" width="9.140625" style="27"/>
    <col min="12" max="12" width="24.85546875" style="29" bestFit="1" customWidth="1"/>
    <col min="13" max="13" width="19.42578125" style="29" bestFit="1" customWidth="1"/>
    <col min="14" max="15" width="18" style="29" bestFit="1" customWidth="1"/>
    <col min="16" max="256" width="9.140625" style="27"/>
    <col min="257" max="257" width="24" style="27" customWidth="1"/>
    <col min="258" max="264" width="19" style="27" customWidth="1"/>
    <col min="265" max="266" width="16.140625" style="27" customWidth="1"/>
    <col min="267" max="267" width="9.140625" style="27"/>
    <col min="268" max="268" width="24.85546875" style="27" bestFit="1" customWidth="1"/>
    <col min="269" max="269" width="19.42578125" style="27" bestFit="1" customWidth="1"/>
    <col min="270" max="271" width="18" style="27" bestFit="1" customWidth="1"/>
    <col min="272" max="512" width="9.140625" style="27"/>
    <col min="513" max="513" width="24" style="27" customWidth="1"/>
    <col min="514" max="520" width="19" style="27" customWidth="1"/>
    <col min="521" max="522" width="16.140625" style="27" customWidth="1"/>
    <col min="523" max="523" width="9.140625" style="27"/>
    <col min="524" max="524" width="24.85546875" style="27" bestFit="1" customWidth="1"/>
    <col min="525" max="525" width="19.42578125" style="27" bestFit="1" customWidth="1"/>
    <col min="526" max="527" width="18" style="27" bestFit="1" customWidth="1"/>
    <col min="528" max="768" width="9.140625" style="27"/>
    <col min="769" max="769" width="24" style="27" customWidth="1"/>
    <col min="770" max="776" width="19" style="27" customWidth="1"/>
    <col min="777" max="778" width="16.140625" style="27" customWidth="1"/>
    <col min="779" max="779" width="9.140625" style="27"/>
    <col min="780" max="780" width="24.85546875" style="27" bestFit="1" customWidth="1"/>
    <col min="781" max="781" width="19.42578125" style="27" bestFit="1" customWidth="1"/>
    <col min="782" max="783" width="18" style="27" bestFit="1" customWidth="1"/>
    <col min="784" max="1024" width="9.140625" style="27"/>
    <col min="1025" max="1025" width="24" style="27" customWidth="1"/>
    <col min="1026" max="1032" width="19" style="27" customWidth="1"/>
    <col min="1033" max="1034" width="16.140625" style="27" customWidth="1"/>
    <col min="1035" max="1035" width="9.140625" style="27"/>
    <col min="1036" max="1036" width="24.85546875" style="27" bestFit="1" customWidth="1"/>
    <col min="1037" max="1037" width="19.42578125" style="27" bestFit="1" customWidth="1"/>
    <col min="1038" max="1039" width="18" style="27" bestFit="1" customWidth="1"/>
    <col min="1040" max="1280" width="9.140625" style="27"/>
    <col min="1281" max="1281" width="24" style="27" customWidth="1"/>
    <col min="1282" max="1288" width="19" style="27" customWidth="1"/>
    <col min="1289" max="1290" width="16.140625" style="27" customWidth="1"/>
    <col min="1291" max="1291" width="9.140625" style="27"/>
    <col min="1292" max="1292" width="24.85546875" style="27" bestFit="1" customWidth="1"/>
    <col min="1293" max="1293" width="19.42578125" style="27" bestFit="1" customWidth="1"/>
    <col min="1294" max="1295" width="18" style="27" bestFit="1" customWidth="1"/>
    <col min="1296" max="1536" width="9.140625" style="27"/>
    <col min="1537" max="1537" width="24" style="27" customWidth="1"/>
    <col min="1538" max="1544" width="19" style="27" customWidth="1"/>
    <col min="1545" max="1546" width="16.140625" style="27" customWidth="1"/>
    <col min="1547" max="1547" width="9.140625" style="27"/>
    <col min="1548" max="1548" width="24.85546875" style="27" bestFit="1" customWidth="1"/>
    <col min="1549" max="1549" width="19.42578125" style="27" bestFit="1" customWidth="1"/>
    <col min="1550" max="1551" width="18" style="27" bestFit="1" customWidth="1"/>
    <col min="1552" max="1792" width="9.140625" style="27"/>
    <col min="1793" max="1793" width="24" style="27" customWidth="1"/>
    <col min="1794" max="1800" width="19" style="27" customWidth="1"/>
    <col min="1801" max="1802" width="16.140625" style="27" customWidth="1"/>
    <col min="1803" max="1803" width="9.140625" style="27"/>
    <col min="1804" max="1804" width="24.85546875" style="27" bestFit="1" customWidth="1"/>
    <col min="1805" max="1805" width="19.42578125" style="27" bestFit="1" customWidth="1"/>
    <col min="1806" max="1807" width="18" style="27" bestFit="1" customWidth="1"/>
    <col min="1808" max="2048" width="9.140625" style="27"/>
    <col min="2049" max="2049" width="24" style="27" customWidth="1"/>
    <col min="2050" max="2056" width="19" style="27" customWidth="1"/>
    <col min="2057" max="2058" width="16.140625" style="27" customWidth="1"/>
    <col min="2059" max="2059" width="9.140625" style="27"/>
    <col min="2060" max="2060" width="24.85546875" style="27" bestFit="1" customWidth="1"/>
    <col min="2061" max="2061" width="19.42578125" style="27" bestFit="1" customWidth="1"/>
    <col min="2062" max="2063" width="18" style="27" bestFit="1" customWidth="1"/>
    <col min="2064" max="2304" width="9.140625" style="27"/>
    <col min="2305" max="2305" width="24" style="27" customWidth="1"/>
    <col min="2306" max="2312" width="19" style="27" customWidth="1"/>
    <col min="2313" max="2314" width="16.140625" style="27" customWidth="1"/>
    <col min="2315" max="2315" width="9.140625" style="27"/>
    <col min="2316" max="2316" width="24.85546875" style="27" bestFit="1" customWidth="1"/>
    <col min="2317" max="2317" width="19.42578125" style="27" bestFit="1" customWidth="1"/>
    <col min="2318" max="2319" width="18" style="27" bestFit="1" customWidth="1"/>
    <col min="2320" max="2560" width="9.140625" style="27"/>
    <col min="2561" max="2561" width="24" style="27" customWidth="1"/>
    <col min="2562" max="2568" width="19" style="27" customWidth="1"/>
    <col min="2569" max="2570" width="16.140625" style="27" customWidth="1"/>
    <col min="2571" max="2571" width="9.140625" style="27"/>
    <col min="2572" max="2572" width="24.85546875" style="27" bestFit="1" customWidth="1"/>
    <col min="2573" max="2573" width="19.42578125" style="27" bestFit="1" customWidth="1"/>
    <col min="2574" max="2575" width="18" style="27" bestFit="1" customWidth="1"/>
    <col min="2576" max="2816" width="9.140625" style="27"/>
    <col min="2817" max="2817" width="24" style="27" customWidth="1"/>
    <col min="2818" max="2824" width="19" style="27" customWidth="1"/>
    <col min="2825" max="2826" width="16.140625" style="27" customWidth="1"/>
    <col min="2827" max="2827" width="9.140625" style="27"/>
    <col min="2828" max="2828" width="24.85546875" style="27" bestFit="1" customWidth="1"/>
    <col min="2829" max="2829" width="19.42578125" style="27" bestFit="1" customWidth="1"/>
    <col min="2830" max="2831" width="18" style="27" bestFit="1" customWidth="1"/>
    <col min="2832" max="3072" width="9.140625" style="27"/>
    <col min="3073" max="3073" width="24" style="27" customWidth="1"/>
    <col min="3074" max="3080" width="19" style="27" customWidth="1"/>
    <col min="3081" max="3082" width="16.140625" style="27" customWidth="1"/>
    <col min="3083" max="3083" width="9.140625" style="27"/>
    <col min="3084" max="3084" width="24.85546875" style="27" bestFit="1" customWidth="1"/>
    <col min="3085" max="3085" width="19.42578125" style="27" bestFit="1" customWidth="1"/>
    <col min="3086" max="3087" width="18" style="27" bestFit="1" customWidth="1"/>
    <col min="3088" max="3328" width="9.140625" style="27"/>
    <col min="3329" max="3329" width="24" style="27" customWidth="1"/>
    <col min="3330" max="3336" width="19" style="27" customWidth="1"/>
    <col min="3337" max="3338" width="16.140625" style="27" customWidth="1"/>
    <col min="3339" max="3339" width="9.140625" style="27"/>
    <col min="3340" max="3340" width="24.85546875" style="27" bestFit="1" customWidth="1"/>
    <col min="3341" max="3341" width="19.42578125" style="27" bestFit="1" customWidth="1"/>
    <col min="3342" max="3343" width="18" style="27" bestFit="1" customWidth="1"/>
    <col min="3344" max="3584" width="9.140625" style="27"/>
    <col min="3585" max="3585" width="24" style="27" customWidth="1"/>
    <col min="3586" max="3592" width="19" style="27" customWidth="1"/>
    <col min="3593" max="3594" width="16.140625" style="27" customWidth="1"/>
    <col min="3595" max="3595" width="9.140625" style="27"/>
    <col min="3596" max="3596" width="24.85546875" style="27" bestFit="1" customWidth="1"/>
    <col min="3597" max="3597" width="19.42578125" style="27" bestFit="1" customWidth="1"/>
    <col min="3598" max="3599" width="18" style="27" bestFit="1" customWidth="1"/>
    <col min="3600" max="3840" width="9.140625" style="27"/>
    <col min="3841" max="3841" width="24" style="27" customWidth="1"/>
    <col min="3842" max="3848" width="19" style="27" customWidth="1"/>
    <col min="3849" max="3850" width="16.140625" style="27" customWidth="1"/>
    <col min="3851" max="3851" width="9.140625" style="27"/>
    <col min="3852" max="3852" width="24.85546875" style="27" bestFit="1" customWidth="1"/>
    <col min="3853" max="3853" width="19.42578125" style="27" bestFit="1" customWidth="1"/>
    <col min="3854" max="3855" width="18" style="27" bestFit="1" customWidth="1"/>
    <col min="3856" max="4096" width="9.140625" style="27"/>
    <col min="4097" max="4097" width="24" style="27" customWidth="1"/>
    <col min="4098" max="4104" width="19" style="27" customWidth="1"/>
    <col min="4105" max="4106" width="16.140625" style="27" customWidth="1"/>
    <col min="4107" max="4107" width="9.140625" style="27"/>
    <col min="4108" max="4108" width="24.85546875" style="27" bestFit="1" customWidth="1"/>
    <col min="4109" max="4109" width="19.42578125" style="27" bestFit="1" customWidth="1"/>
    <col min="4110" max="4111" width="18" style="27" bestFit="1" customWidth="1"/>
    <col min="4112" max="4352" width="9.140625" style="27"/>
    <col min="4353" max="4353" width="24" style="27" customWidth="1"/>
    <col min="4354" max="4360" width="19" style="27" customWidth="1"/>
    <col min="4361" max="4362" width="16.140625" style="27" customWidth="1"/>
    <col min="4363" max="4363" width="9.140625" style="27"/>
    <col min="4364" max="4364" width="24.85546875" style="27" bestFit="1" customWidth="1"/>
    <col min="4365" max="4365" width="19.42578125" style="27" bestFit="1" customWidth="1"/>
    <col min="4366" max="4367" width="18" style="27" bestFit="1" customWidth="1"/>
    <col min="4368" max="4608" width="9.140625" style="27"/>
    <col min="4609" max="4609" width="24" style="27" customWidth="1"/>
    <col min="4610" max="4616" width="19" style="27" customWidth="1"/>
    <col min="4617" max="4618" width="16.140625" style="27" customWidth="1"/>
    <col min="4619" max="4619" width="9.140625" style="27"/>
    <col min="4620" max="4620" width="24.85546875" style="27" bestFit="1" customWidth="1"/>
    <col min="4621" max="4621" width="19.42578125" style="27" bestFit="1" customWidth="1"/>
    <col min="4622" max="4623" width="18" style="27" bestFit="1" customWidth="1"/>
    <col min="4624" max="4864" width="9.140625" style="27"/>
    <col min="4865" max="4865" width="24" style="27" customWidth="1"/>
    <col min="4866" max="4872" width="19" style="27" customWidth="1"/>
    <col min="4873" max="4874" width="16.140625" style="27" customWidth="1"/>
    <col min="4875" max="4875" width="9.140625" style="27"/>
    <col min="4876" max="4876" width="24.85546875" style="27" bestFit="1" customWidth="1"/>
    <col min="4877" max="4877" width="19.42578125" style="27" bestFit="1" customWidth="1"/>
    <col min="4878" max="4879" width="18" style="27" bestFit="1" customWidth="1"/>
    <col min="4880" max="5120" width="9.140625" style="27"/>
    <col min="5121" max="5121" width="24" style="27" customWidth="1"/>
    <col min="5122" max="5128" width="19" style="27" customWidth="1"/>
    <col min="5129" max="5130" width="16.140625" style="27" customWidth="1"/>
    <col min="5131" max="5131" width="9.140625" style="27"/>
    <col min="5132" max="5132" width="24.85546875" style="27" bestFit="1" customWidth="1"/>
    <col min="5133" max="5133" width="19.42578125" style="27" bestFit="1" customWidth="1"/>
    <col min="5134" max="5135" width="18" style="27" bestFit="1" customWidth="1"/>
    <col min="5136" max="5376" width="9.140625" style="27"/>
    <col min="5377" max="5377" width="24" style="27" customWidth="1"/>
    <col min="5378" max="5384" width="19" style="27" customWidth="1"/>
    <col min="5385" max="5386" width="16.140625" style="27" customWidth="1"/>
    <col min="5387" max="5387" width="9.140625" style="27"/>
    <col min="5388" max="5388" width="24.85546875" style="27" bestFit="1" customWidth="1"/>
    <col min="5389" max="5389" width="19.42578125" style="27" bestFit="1" customWidth="1"/>
    <col min="5390" max="5391" width="18" style="27" bestFit="1" customWidth="1"/>
    <col min="5392" max="5632" width="9.140625" style="27"/>
    <col min="5633" max="5633" width="24" style="27" customWidth="1"/>
    <col min="5634" max="5640" width="19" style="27" customWidth="1"/>
    <col min="5641" max="5642" width="16.140625" style="27" customWidth="1"/>
    <col min="5643" max="5643" width="9.140625" style="27"/>
    <col min="5644" max="5644" width="24.85546875" style="27" bestFit="1" customWidth="1"/>
    <col min="5645" max="5645" width="19.42578125" style="27" bestFit="1" customWidth="1"/>
    <col min="5646" max="5647" width="18" style="27" bestFit="1" customWidth="1"/>
    <col min="5648" max="5888" width="9.140625" style="27"/>
    <col min="5889" max="5889" width="24" style="27" customWidth="1"/>
    <col min="5890" max="5896" width="19" style="27" customWidth="1"/>
    <col min="5897" max="5898" width="16.140625" style="27" customWidth="1"/>
    <col min="5899" max="5899" width="9.140625" style="27"/>
    <col min="5900" max="5900" width="24.85546875" style="27" bestFit="1" customWidth="1"/>
    <col min="5901" max="5901" width="19.42578125" style="27" bestFit="1" customWidth="1"/>
    <col min="5902" max="5903" width="18" style="27" bestFit="1" customWidth="1"/>
    <col min="5904" max="6144" width="9.140625" style="27"/>
    <col min="6145" max="6145" width="24" style="27" customWidth="1"/>
    <col min="6146" max="6152" width="19" style="27" customWidth="1"/>
    <col min="6153" max="6154" width="16.140625" style="27" customWidth="1"/>
    <col min="6155" max="6155" width="9.140625" style="27"/>
    <col min="6156" max="6156" width="24.85546875" style="27" bestFit="1" customWidth="1"/>
    <col min="6157" max="6157" width="19.42578125" style="27" bestFit="1" customWidth="1"/>
    <col min="6158" max="6159" width="18" style="27" bestFit="1" customWidth="1"/>
    <col min="6160" max="6400" width="9.140625" style="27"/>
    <col min="6401" max="6401" width="24" style="27" customWidth="1"/>
    <col min="6402" max="6408" width="19" style="27" customWidth="1"/>
    <col min="6409" max="6410" width="16.140625" style="27" customWidth="1"/>
    <col min="6411" max="6411" width="9.140625" style="27"/>
    <col min="6412" max="6412" width="24.85546875" style="27" bestFit="1" customWidth="1"/>
    <col min="6413" max="6413" width="19.42578125" style="27" bestFit="1" customWidth="1"/>
    <col min="6414" max="6415" width="18" style="27" bestFit="1" customWidth="1"/>
    <col min="6416" max="6656" width="9.140625" style="27"/>
    <col min="6657" max="6657" width="24" style="27" customWidth="1"/>
    <col min="6658" max="6664" width="19" style="27" customWidth="1"/>
    <col min="6665" max="6666" width="16.140625" style="27" customWidth="1"/>
    <col min="6667" max="6667" width="9.140625" style="27"/>
    <col min="6668" max="6668" width="24.85546875" style="27" bestFit="1" customWidth="1"/>
    <col min="6669" max="6669" width="19.42578125" style="27" bestFit="1" customWidth="1"/>
    <col min="6670" max="6671" width="18" style="27" bestFit="1" customWidth="1"/>
    <col min="6672" max="6912" width="9.140625" style="27"/>
    <col min="6913" max="6913" width="24" style="27" customWidth="1"/>
    <col min="6914" max="6920" width="19" style="27" customWidth="1"/>
    <col min="6921" max="6922" width="16.140625" style="27" customWidth="1"/>
    <col min="6923" max="6923" width="9.140625" style="27"/>
    <col min="6924" max="6924" width="24.85546875" style="27" bestFit="1" customWidth="1"/>
    <col min="6925" max="6925" width="19.42578125" style="27" bestFit="1" customWidth="1"/>
    <col min="6926" max="6927" width="18" style="27" bestFit="1" customWidth="1"/>
    <col min="6928" max="7168" width="9.140625" style="27"/>
    <col min="7169" max="7169" width="24" style="27" customWidth="1"/>
    <col min="7170" max="7176" width="19" style="27" customWidth="1"/>
    <col min="7177" max="7178" width="16.140625" style="27" customWidth="1"/>
    <col min="7179" max="7179" width="9.140625" style="27"/>
    <col min="7180" max="7180" width="24.85546875" style="27" bestFit="1" customWidth="1"/>
    <col min="7181" max="7181" width="19.42578125" style="27" bestFit="1" customWidth="1"/>
    <col min="7182" max="7183" width="18" style="27" bestFit="1" customWidth="1"/>
    <col min="7184" max="7424" width="9.140625" style="27"/>
    <col min="7425" max="7425" width="24" style="27" customWidth="1"/>
    <col min="7426" max="7432" width="19" style="27" customWidth="1"/>
    <col min="7433" max="7434" width="16.140625" style="27" customWidth="1"/>
    <col min="7435" max="7435" width="9.140625" style="27"/>
    <col min="7436" max="7436" width="24.85546875" style="27" bestFit="1" customWidth="1"/>
    <col min="7437" max="7437" width="19.42578125" style="27" bestFit="1" customWidth="1"/>
    <col min="7438" max="7439" width="18" style="27" bestFit="1" customWidth="1"/>
    <col min="7440" max="7680" width="9.140625" style="27"/>
    <col min="7681" max="7681" width="24" style="27" customWidth="1"/>
    <col min="7682" max="7688" width="19" style="27" customWidth="1"/>
    <col min="7689" max="7690" width="16.140625" style="27" customWidth="1"/>
    <col min="7691" max="7691" width="9.140625" style="27"/>
    <col min="7692" max="7692" width="24.85546875" style="27" bestFit="1" customWidth="1"/>
    <col min="7693" max="7693" width="19.42578125" style="27" bestFit="1" customWidth="1"/>
    <col min="7694" max="7695" width="18" style="27" bestFit="1" customWidth="1"/>
    <col min="7696" max="7936" width="9.140625" style="27"/>
    <col min="7937" max="7937" width="24" style="27" customWidth="1"/>
    <col min="7938" max="7944" width="19" style="27" customWidth="1"/>
    <col min="7945" max="7946" width="16.140625" style="27" customWidth="1"/>
    <col min="7947" max="7947" width="9.140625" style="27"/>
    <col min="7948" max="7948" width="24.85546875" style="27" bestFit="1" customWidth="1"/>
    <col min="7949" max="7949" width="19.42578125" style="27" bestFit="1" customWidth="1"/>
    <col min="7950" max="7951" width="18" style="27" bestFit="1" customWidth="1"/>
    <col min="7952" max="8192" width="9.140625" style="27"/>
    <col min="8193" max="8193" width="24" style="27" customWidth="1"/>
    <col min="8194" max="8200" width="19" style="27" customWidth="1"/>
    <col min="8201" max="8202" width="16.140625" style="27" customWidth="1"/>
    <col min="8203" max="8203" width="9.140625" style="27"/>
    <col min="8204" max="8204" width="24.85546875" style="27" bestFit="1" customWidth="1"/>
    <col min="8205" max="8205" width="19.42578125" style="27" bestFit="1" customWidth="1"/>
    <col min="8206" max="8207" width="18" style="27" bestFit="1" customWidth="1"/>
    <col min="8208" max="8448" width="9.140625" style="27"/>
    <col min="8449" max="8449" width="24" style="27" customWidth="1"/>
    <col min="8450" max="8456" width="19" style="27" customWidth="1"/>
    <col min="8457" max="8458" width="16.140625" style="27" customWidth="1"/>
    <col min="8459" max="8459" width="9.140625" style="27"/>
    <col min="8460" max="8460" width="24.85546875" style="27" bestFit="1" customWidth="1"/>
    <col min="8461" max="8461" width="19.42578125" style="27" bestFit="1" customWidth="1"/>
    <col min="8462" max="8463" width="18" style="27" bestFit="1" customWidth="1"/>
    <col min="8464" max="8704" width="9.140625" style="27"/>
    <col min="8705" max="8705" width="24" style="27" customWidth="1"/>
    <col min="8706" max="8712" width="19" style="27" customWidth="1"/>
    <col min="8713" max="8714" width="16.140625" style="27" customWidth="1"/>
    <col min="8715" max="8715" width="9.140625" style="27"/>
    <col min="8716" max="8716" width="24.85546875" style="27" bestFit="1" customWidth="1"/>
    <col min="8717" max="8717" width="19.42578125" style="27" bestFit="1" customWidth="1"/>
    <col min="8718" max="8719" width="18" style="27" bestFit="1" customWidth="1"/>
    <col min="8720" max="8960" width="9.140625" style="27"/>
    <col min="8961" max="8961" width="24" style="27" customWidth="1"/>
    <col min="8962" max="8968" width="19" style="27" customWidth="1"/>
    <col min="8969" max="8970" width="16.140625" style="27" customWidth="1"/>
    <col min="8971" max="8971" width="9.140625" style="27"/>
    <col min="8972" max="8972" width="24.85546875" style="27" bestFit="1" customWidth="1"/>
    <col min="8973" max="8973" width="19.42578125" style="27" bestFit="1" customWidth="1"/>
    <col min="8974" max="8975" width="18" style="27" bestFit="1" customWidth="1"/>
    <col min="8976" max="9216" width="9.140625" style="27"/>
    <col min="9217" max="9217" width="24" style="27" customWidth="1"/>
    <col min="9218" max="9224" width="19" style="27" customWidth="1"/>
    <col min="9225" max="9226" width="16.140625" style="27" customWidth="1"/>
    <col min="9227" max="9227" width="9.140625" style="27"/>
    <col min="9228" max="9228" width="24.85546875" style="27" bestFit="1" customWidth="1"/>
    <col min="9229" max="9229" width="19.42578125" style="27" bestFit="1" customWidth="1"/>
    <col min="9230" max="9231" width="18" style="27" bestFit="1" customWidth="1"/>
    <col min="9232" max="9472" width="9.140625" style="27"/>
    <col min="9473" max="9473" width="24" style="27" customWidth="1"/>
    <col min="9474" max="9480" width="19" style="27" customWidth="1"/>
    <col min="9481" max="9482" width="16.140625" style="27" customWidth="1"/>
    <col min="9483" max="9483" width="9.140625" style="27"/>
    <col min="9484" max="9484" width="24.85546875" style="27" bestFit="1" customWidth="1"/>
    <col min="9485" max="9485" width="19.42578125" style="27" bestFit="1" customWidth="1"/>
    <col min="9486" max="9487" width="18" style="27" bestFit="1" customWidth="1"/>
    <col min="9488" max="9728" width="9.140625" style="27"/>
    <col min="9729" max="9729" width="24" style="27" customWidth="1"/>
    <col min="9730" max="9736" width="19" style="27" customWidth="1"/>
    <col min="9737" max="9738" width="16.140625" style="27" customWidth="1"/>
    <col min="9739" max="9739" width="9.140625" style="27"/>
    <col min="9740" max="9740" width="24.85546875" style="27" bestFit="1" customWidth="1"/>
    <col min="9741" max="9741" width="19.42578125" style="27" bestFit="1" customWidth="1"/>
    <col min="9742" max="9743" width="18" style="27" bestFit="1" customWidth="1"/>
    <col min="9744" max="9984" width="9.140625" style="27"/>
    <col min="9985" max="9985" width="24" style="27" customWidth="1"/>
    <col min="9986" max="9992" width="19" style="27" customWidth="1"/>
    <col min="9993" max="9994" width="16.140625" style="27" customWidth="1"/>
    <col min="9995" max="9995" width="9.140625" style="27"/>
    <col min="9996" max="9996" width="24.85546875" style="27" bestFit="1" customWidth="1"/>
    <col min="9997" max="9997" width="19.42578125" style="27" bestFit="1" customWidth="1"/>
    <col min="9998" max="9999" width="18" style="27" bestFit="1" customWidth="1"/>
    <col min="10000" max="10240" width="9.140625" style="27"/>
    <col min="10241" max="10241" width="24" style="27" customWidth="1"/>
    <col min="10242" max="10248" width="19" style="27" customWidth="1"/>
    <col min="10249" max="10250" width="16.140625" style="27" customWidth="1"/>
    <col min="10251" max="10251" width="9.140625" style="27"/>
    <col min="10252" max="10252" width="24.85546875" style="27" bestFit="1" customWidth="1"/>
    <col min="10253" max="10253" width="19.42578125" style="27" bestFit="1" customWidth="1"/>
    <col min="10254" max="10255" width="18" style="27" bestFit="1" customWidth="1"/>
    <col min="10256" max="10496" width="9.140625" style="27"/>
    <col min="10497" max="10497" width="24" style="27" customWidth="1"/>
    <col min="10498" max="10504" width="19" style="27" customWidth="1"/>
    <col min="10505" max="10506" width="16.140625" style="27" customWidth="1"/>
    <col min="10507" max="10507" width="9.140625" style="27"/>
    <col min="10508" max="10508" width="24.85546875" style="27" bestFit="1" customWidth="1"/>
    <col min="10509" max="10509" width="19.42578125" style="27" bestFit="1" customWidth="1"/>
    <col min="10510" max="10511" width="18" style="27" bestFit="1" customWidth="1"/>
    <col min="10512" max="10752" width="9.140625" style="27"/>
    <col min="10753" max="10753" width="24" style="27" customWidth="1"/>
    <col min="10754" max="10760" width="19" style="27" customWidth="1"/>
    <col min="10761" max="10762" width="16.140625" style="27" customWidth="1"/>
    <col min="10763" max="10763" width="9.140625" style="27"/>
    <col min="10764" max="10764" width="24.85546875" style="27" bestFit="1" customWidth="1"/>
    <col min="10765" max="10765" width="19.42578125" style="27" bestFit="1" customWidth="1"/>
    <col min="10766" max="10767" width="18" style="27" bestFit="1" customWidth="1"/>
    <col min="10768" max="11008" width="9.140625" style="27"/>
    <col min="11009" max="11009" width="24" style="27" customWidth="1"/>
    <col min="11010" max="11016" width="19" style="27" customWidth="1"/>
    <col min="11017" max="11018" width="16.140625" style="27" customWidth="1"/>
    <col min="11019" max="11019" width="9.140625" style="27"/>
    <col min="11020" max="11020" width="24.85546875" style="27" bestFit="1" customWidth="1"/>
    <col min="11021" max="11021" width="19.42578125" style="27" bestFit="1" customWidth="1"/>
    <col min="11022" max="11023" width="18" style="27" bestFit="1" customWidth="1"/>
    <col min="11024" max="11264" width="9.140625" style="27"/>
    <col min="11265" max="11265" width="24" style="27" customWidth="1"/>
    <col min="11266" max="11272" width="19" style="27" customWidth="1"/>
    <col min="11273" max="11274" width="16.140625" style="27" customWidth="1"/>
    <col min="11275" max="11275" width="9.140625" style="27"/>
    <col min="11276" max="11276" width="24.85546875" style="27" bestFit="1" customWidth="1"/>
    <col min="11277" max="11277" width="19.42578125" style="27" bestFit="1" customWidth="1"/>
    <col min="11278" max="11279" width="18" style="27" bestFit="1" customWidth="1"/>
    <col min="11280" max="11520" width="9.140625" style="27"/>
    <col min="11521" max="11521" width="24" style="27" customWidth="1"/>
    <col min="11522" max="11528" width="19" style="27" customWidth="1"/>
    <col min="11529" max="11530" width="16.140625" style="27" customWidth="1"/>
    <col min="11531" max="11531" width="9.140625" style="27"/>
    <col min="11532" max="11532" width="24.85546875" style="27" bestFit="1" customWidth="1"/>
    <col min="11533" max="11533" width="19.42578125" style="27" bestFit="1" customWidth="1"/>
    <col min="11534" max="11535" width="18" style="27" bestFit="1" customWidth="1"/>
    <col min="11536" max="11776" width="9.140625" style="27"/>
    <col min="11777" max="11777" width="24" style="27" customWidth="1"/>
    <col min="11778" max="11784" width="19" style="27" customWidth="1"/>
    <col min="11785" max="11786" width="16.140625" style="27" customWidth="1"/>
    <col min="11787" max="11787" width="9.140625" style="27"/>
    <col min="11788" max="11788" width="24.85546875" style="27" bestFit="1" customWidth="1"/>
    <col min="11789" max="11789" width="19.42578125" style="27" bestFit="1" customWidth="1"/>
    <col min="11790" max="11791" width="18" style="27" bestFit="1" customWidth="1"/>
    <col min="11792" max="12032" width="9.140625" style="27"/>
    <col min="12033" max="12033" width="24" style="27" customWidth="1"/>
    <col min="12034" max="12040" width="19" style="27" customWidth="1"/>
    <col min="12041" max="12042" width="16.140625" style="27" customWidth="1"/>
    <col min="12043" max="12043" width="9.140625" style="27"/>
    <col min="12044" max="12044" width="24.85546875" style="27" bestFit="1" customWidth="1"/>
    <col min="12045" max="12045" width="19.42578125" style="27" bestFit="1" customWidth="1"/>
    <col min="12046" max="12047" width="18" style="27" bestFit="1" customWidth="1"/>
    <col min="12048" max="12288" width="9.140625" style="27"/>
    <col min="12289" max="12289" width="24" style="27" customWidth="1"/>
    <col min="12290" max="12296" width="19" style="27" customWidth="1"/>
    <col min="12297" max="12298" width="16.140625" style="27" customWidth="1"/>
    <col min="12299" max="12299" width="9.140625" style="27"/>
    <col min="12300" max="12300" width="24.85546875" style="27" bestFit="1" customWidth="1"/>
    <col min="12301" max="12301" width="19.42578125" style="27" bestFit="1" customWidth="1"/>
    <col min="12302" max="12303" width="18" style="27" bestFit="1" customWidth="1"/>
    <col min="12304" max="12544" width="9.140625" style="27"/>
    <col min="12545" max="12545" width="24" style="27" customWidth="1"/>
    <col min="12546" max="12552" width="19" style="27" customWidth="1"/>
    <col min="12553" max="12554" width="16.140625" style="27" customWidth="1"/>
    <col min="12555" max="12555" width="9.140625" style="27"/>
    <col min="12556" max="12556" width="24.85546875" style="27" bestFit="1" customWidth="1"/>
    <col min="12557" max="12557" width="19.42578125" style="27" bestFit="1" customWidth="1"/>
    <col min="12558" max="12559" width="18" style="27" bestFit="1" customWidth="1"/>
    <col min="12560" max="12800" width="9.140625" style="27"/>
    <col min="12801" max="12801" width="24" style="27" customWidth="1"/>
    <col min="12802" max="12808" width="19" style="27" customWidth="1"/>
    <col min="12809" max="12810" width="16.140625" style="27" customWidth="1"/>
    <col min="12811" max="12811" width="9.140625" style="27"/>
    <col min="12812" max="12812" width="24.85546875" style="27" bestFit="1" customWidth="1"/>
    <col min="12813" max="12813" width="19.42578125" style="27" bestFit="1" customWidth="1"/>
    <col min="12814" max="12815" width="18" style="27" bestFit="1" customWidth="1"/>
    <col min="12816" max="13056" width="9.140625" style="27"/>
    <col min="13057" max="13057" width="24" style="27" customWidth="1"/>
    <col min="13058" max="13064" width="19" style="27" customWidth="1"/>
    <col min="13065" max="13066" width="16.140625" style="27" customWidth="1"/>
    <col min="13067" max="13067" width="9.140625" style="27"/>
    <col min="13068" max="13068" width="24.85546875" style="27" bestFit="1" customWidth="1"/>
    <col min="13069" max="13069" width="19.42578125" style="27" bestFit="1" customWidth="1"/>
    <col min="13070" max="13071" width="18" style="27" bestFit="1" customWidth="1"/>
    <col min="13072" max="13312" width="9.140625" style="27"/>
    <col min="13313" max="13313" width="24" style="27" customWidth="1"/>
    <col min="13314" max="13320" width="19" style="27" customWidth="1"/>
    <col min="13321" max="13322" width="16.140625" style="27" customWidth="1"/>
    <col min="13323" max="13323" width="9.140625" style="27"/>
    <col min="13324" max="13324" width="24.85546875" style="27" bestFit="1" customWidth="1"/>
    <col min="13325" max="13325" width="19.42578125" style="27" bestFit="1" customWidth="1"/>
    <col min="13326" max="13327" width="18" style="27" bestFit="1" customWidth="1"/>
    <col min="13328" max="13568" width="9.140625" style="27"/>
    <col min="13569" max="13569" width="24" style="27" customWidth="1"/>
    <col min="13570" max="13576" width="19" style="27" customWidth="1"/>
    <col min="13577" max="13578" width="16.140625" style="27" customWidth="1"/>
    <col min="13579" max="13579" width="9.140625" style="27"/>
    <col min="13580" max="13580" width="24.85546875" style="27" bestFit="1" customWidth="1"/>
    <col min="13581" max="13581" width="19.42578125" style="27" bestFit="1" customWidth="1"/>
    <col min="13582" max="13583" width="18" style="27" bestFit="1" customWidth="1"/>
    <col min="13584" max="13824" width="9.140625" style="27"/>
    <col min="13825" max="13825" width="24" style="27" customWidth="1"/>
    <col min="13826" max="13832" width="19" style="27" customWidth="1"/>
    <col min="13833" max="13834" width="16.140625" style="27" customWidth="1"/>
    <col min="13835" max="13835" width="9.140625" style="27"/>
    <col min="13836" max="13836" width="24.85546875" style="27" bestFit="1" customWidth="1"/>
    <col min="13837" max="13837" width="19.42578125" style="27" bestFit="1" customWidth="1"/>
    <col min="13838" max="13839" width="18" style="27" bestFit="1" customWidth="1"/>
    <col min="13840" max="14080" width="9.140625" style="27"/>
    <col min="14081" max="14081" width="24" style="27" customWidth="1"/>
    <col min="14082" max="14088" width="19" style="27" customWidth="1"/>
    <col min="14089" max="14090" width="16.140625" style="27" customWidth="1"/>
    <col min="14091" max="14091" width="9.140625" style="27"/>
    <col min="14092" max="14092" width="24.85546875" style="27" bestFit="1" customWidth="1"/>
    <col min="14093" max="14093" width="19.42578125" style="27" bestFit="1" customWidth="1"/>
    <col min="14094" max="14095" width="18" style="27" bestFit="1" customWidth="1"/>
    <col min="14096" max="14336" width="9.140625" style="27"/>
    <col min="14337" max="14337" width="24" style="27" customWidth="1"/>
    <col min="14338" max="14344" width="19" style="27" customWidth="1"/>
    <col min="14345" max="14346" width="16.140625" style="27" customWidth="1"/>
    <col min="14347" max="14347" width="9.140625" style="27"/>
    <col min="14348" max="14348" width="24.85546875" style="27" bestFit="1" customWidth="1"/>
    <col min="14349" max="14349" width="19.42578125" style="27" bestFit="1" customWidth="1"/>
    <col min="14350" max="14351" width="18" style="27" bestFit="1" customWidth="1"/>
    <col min="14352" max="14592" width="9.140625" style="27"/>
    <col min="14593" max="14593" width="24" style="27" customWidth="1"/>
    <col min="14594" max="14600" width="19" style="27" customWidth="1"/>
    <col min="14601" max="14602" width="16.140625" style="27" customWidth="1"/>
    <col min="14603" max="14603" width="9.140625" style="27"/>
    <col min="14604" max="14604" width="24.85546875" style="27" bestFit="1" customWidth="1"/>
    <col min="14605" max="14605" width="19.42578125" style="27" bestFit="1" customWidth="1"/>
    <col min="14606" max="14607" width="18" style="27" bestFit="1" customWidth="1"/>
    <col min="14608" max="14848" width="9.140625" style="27"/>
    <col min="14849" max="14849" width="24" style="27" customWidth="1"/>
    <col min="14850" max="14856" width="19" style="27" customWidth="1"/>
    <col min="14857" max="14858" width="16.140625" style="27" customWidth="1"/>
    <col min="14859" max="14859" width="9.140625" style="27"/>
    <col min="14860" max="14860" width="24.85546875" style="27" bestFit="1" customWidth="1"/>
    <col min="14861" max="14861" width="19.42578125" style="27" bestFit="1" customWidth="1"/>
    <col min="14862" max="14863" width="18" style="27" bestFit="1" customWidth="1"/>
    <col min="14864" max="15104" width="9.140625" style="27"/>
    <col min="15105" max="15105" width="24" style="27" customWidth="1"/>
    <col min="15106" max="15112" width="19" style="27" customWidth="1"/>
    <col min="15113" max="15114" width="16.140625" style="27" customWidth="1"/>
    <col min="15115" max="15115" width="9.140625" style="27"/>
    <col min="15116" max="15116" width="24.85546875" style="27" bestFit="1" customWidth="1"/>
    <col min="15117" max="15117" width="19.42578125" style="27" bestFit="1" customWidth="1"/>
    <col min="15118" max="15119" width="18" style="27" bestFit="1" customWidth="1"/>
    <col min="15120" max="15360" width="9.140625" style="27"/>
    <col min="15361" max="15361" width="24" style="27" customWidth="1"/>
    <col min="15362" max="15368" width="19" style="27" customWidth="1"/>
    <col min="15369" max="15370" width="16.140625" style="27" customWidth="1"/>
    <col min="15371" max="15371" width="9.140625" style="27"/>
    <col min="15372" max="15372" width="24.85546875" style="27" bestFit="1" customWidth="1"/>
    <col min="15373" max="15373" width="19.42578125" style="27" bestFit="1" customWidth="1"/>
    <col min="15374" max="15375" width="18" style="27" bestFit="1" customWidth="1"/>
    <col min="15376" max="15616" width="9.140625" style="27"/>
    <col min="15617" max="15617" width="24" style="27" customWidth="1"/>
    <col min="15618" max="15624" width="19" style="27" customWidth="1"/>
    <col min="15625" max="15626" width="16.140625" style="27" customWidth="1"/>
    <col min="15627" max="15627" width="9.140625" style="27"/>
    <col min="15628" max="15628" width="24.85546875" style="27" bestFit="1" customWidth="1"/>
    <col min="15629" max="15629" width="19.42578125" style="27" bestFit="1" customWidth="1"/>
    <col min="15630" max="15631" width="18" style="27" bestFit="1" customWidth="1"/>
    <col min="15632" max="15872" width="9.140625" style="27"/>
    <col min="15873" max="15873" width="24" style="27" customWidth="1"/>
    <col min="15874" max="15880" width="19" style="27" customWidth="1"/>
    <col min="15881" max="15882" width="16.140625" style="27" customWidth="1"/>
    <col min="15883" max="15883" width="9.140625" style="27"/>
    <col min="15884" max="15884" width="24.85546875" style="27" bestFit="1" customWidth="1"/>
    <col min="15885" max="15885" width="19.42578125" style="27" bestFit="1" customWidth="1"/>
    <col min="15886" max="15887" width="18" style="27" bestFit="1" customWidth="1"/>
    <col min="15888" max="16128" width="9.140625" style="27"/>
    <col min="16129" max="16129" width="24" style="27" customWidth="1"/>
    <col min="16130" max="16136" width="19" style="27" customWidth="1"/>
    <col min="16137" max="16138" width="16.140625" style="27" customWidth="1"/>
    <col min="16139" max="16139" width="9.140625" style="27"/>
    <col min="16140" max="16140" width="24.85546875" style="27" bestFit="1" customWidth="1"/>
    <col min="16141" max="16141" width="19.42578125" style="27" bestFit="1" customWidth="1"/>
    <col min="16142" max="16143" width="18" style="27" bestFit="1" customWidth="1"/>
    <col min="16144" max="16384" width="9.140625" style="27"/>
  </cols>
  <sheetData>
    <row r="1" spans="1:15" x14ac:dyDescent="0.2">
      <c r="A1" s="26" t="s">
        <v>35</v>
      </c>
    </row>
    <row r="2" spans="1:15" x14ac:dyDescent="0.2">
      <c r="A2" s="30" t="s">
        <v>36</v>
      </c>
    </row>
    <row r="3" spans="1:15" x14ac:dyDescent="0.2">
      <c r="A3" s="30"/>
    </row>
    <row r="4" spans="1:15" x14ac:dyDescent="0.2">
      <c r="A4" s="31" t="s">
        <v>37</v>
      </c>
    </row>
    <row r="5" spans="1:15" x14ac:dyDescent="0.2">
      <c r="E5" s="27" t="s">
        <v>38</v>
      </c>
      <c r="F5" s="27" t="s">
        <v>39</v>
      </c>
      <c r="N5" s="32"/>
      <c r="O5" s="32"/>
    </row>
    <row r="6" spans="1:15" x14ac:dyDescent="0.2">
      <c r="A6" s="33" t="s">
        <v>40</v>
      </c>
      <c r="B6" s="34"/>
      <c r="C6" s="35" t="s">
        <v>41</v>
      </c>
      <c r="G6" s="36"/>
      <c r="H6" s="36"/>
      <c r="L6" s="37"/>
      <c r="M6" s="38"/>
      <c r="N6" s="38"/>
      <c r="O6" s="38"/>
    </row>
    <row r="7" spans="1:15" x14ac:dyDescent="0.2">
      <c r="A7" s="27">
        <v>282</v>
      </c>
      <c r="B7" s="39">
        <f>738214075+1272308390</f>
        <v>2010522465</v>
      </c>
      <c r="C7" s="28" t="s">
        <v>42</v>
      </c>
      <c r="E7" s="39">
        <v>1272308390</v>
      </c>
      <c r="F7" s="39">
        <v>738214075</v>
      </c>
      <c r="G7" s="40">
        <f>E7+F7</f>
        <v>2010522465</v>
      </c>
      <c r="H7" s="40"/>
      <c r="L7" s="41"/>
      <c r="M7" s="38"/>
      <c r="N7" s="38"/>
      <c r="O7" s="38"/>
    </row>
    <row r="8" spans="1:15" x14ac:dyDescent="0.2">
      <c r="A8" s="27">
        <v>283</v>
      </c>
      <c r="B8" s="39">
        <f>154021334+146850085</f>
        <v>300871419</v>
      </c>
      <c r="C8" s="28" t="s">
        <v>43</v>
      </c>
      <c r="E8" s="39">
        <v>146850085</v>
      </c>
      <c r="F8" s="39">
        <v>154021334</v>
      </c>
      <c r="G8" s="40">
        <f>E8+F8</f>
        <v>300871419</v>
      </c>
      <c r="H8" s="40"/>
      <c r="L8" s="41"/>
      <c r="M8" s="38"/>
      <c r="N8" s="38"/>
      <c r="O8" s="38"/>
    </row>
    <row r="9" spans="1:15" x14ac:dyDescent="0.2">
      <c r="A9" s="27">
        <v>190</v>
      </c>
      <c r="B9" s="39">
        <f>-(372714647+244937160)</f>
        <v>-617651807</v>
      </c>
      <c r="C9" s="28" t="s">
        <v>44</v>
      </c>
      <c r="E9" s="39">
        <v>-372714647</v>
      </c>
      <c r="F9" s="39">
        <v>-244937160</v>
      </c>
      <c r="G9" s="40">
        <f>E9+F9</f>
        <v>-617651807</v>
      </c>
      <c r="H9" s="40"/>
      <c r="L9" s="42"/>
      <c r="M9" s="38"/>
      <c r="N9" s="38"/>
      <c r="O9" s="38"/>
    </row>
    <row r="10" spans="1:15" x14ac:dyDescent="0.2">
      <c r="A10" s="27">
        <v>255</v>
      </c>
      <c r="B10" s="39">
        <f>93018938+34501146</f>
        <v>127520084</v>
      </c>
      <c r="C10" s="35" t="s">
        <v>45</v>
      </c>
      <c r="E10" s="39">
        <v>93018938</v>
      </c>
      <c r="F10" s="39">
        <v>34501146</v>
      </c>
      <c r="G10" s="40"/>
      <c r="H10" s="40"/>
      <c r="L10" s="42"/>
      <c r="M10" s="38"/>
      <c r="N10" s="38"/>
      <c r="O10" s="38"/>
    </row>
    <row r="11" spans="1:15" ht="13.5" thickBot="1" x14ac:dyDescent="0.25">
      <c r="A11" s="43" t="s">
        <v>46</v>
      </c>
      <c r="B11" s="44">
        <f>SUM(B7:B10)</f>
        <v>1821262161</v>
      </c>
      <c r="E11" s="45">
        <f>SUM(E7:E10)</f>
        <v>1139462766</v>
      </c>
      <c r="F11" s="45">
        <f>SUM(F7:F10)</f>
        <v>681799395</v>
      </c>
      <c r="G11" s="46"/>
      <c r="H11" s="46"/>
      <c r="M11" s="38"/>
      <c r="N11" s="38"/>
      <c r="O11" s="38"/>
    </row>
    <row r="12" spans="1:15" ht="13.5" thickTop="1" x14ac:dyDescent="0.2"/>
    <row r="13" spans="1:15" s="28" customFormat="1" x14ac:dyDescent="0.2">
      <c r="D13" s="27" t="s">
        <v>47</v>
      </c>
      <c r="E13" s="45">
        <v>8814348305</v>
      </c>
      <c r="F13" s="45">
        <v>4838466054</v>
      </c>
    </row>
    <row r="14" spans="1:15" s="28" customFormat="1" x14ac:dyDescent="0.2">
      <c r="B14" s="47"/>
    </row>
    <row r="15" spans="1:15" s="28" customFormat="1" ht="15" x14ac:dyDescent="0.25">
      <c r="D15" s="27" t="s">
        <v>48</v>
      </c>
      <c r="E15" s="48">
        <v>2805424466</v>
      </c>
      <c r="F15" s="48">
        <v>1589215749</v>
      </c>
    </row>
    <row r="16" spans="1:15" s="28" customFormat="1" x14ac:dyDescent="0.2"/>
    <row r="17" spans="4:6" s="28" customFormat="1" x14ac:dyDescent="0.2">
      <c r="D17" s="27" t="s">
        <v>1</v>
      </c>
      <c r="E17" s="45">
        <f>E13-E15</f>
        <v>6008923839</v>
      </c>
      <c r="F17" s="45">
        <f>F13-F15</f>
        <v>3249250305</v>
      </c>
    </row>
    <row r="18" spans="4:6" s="28" customFormat="1" x14ac:dyDescent="0.2"/>
    <row r="19" spans="4:6" s="28" customFormat="1" x14ac:dyDescent="0.2">
      <c r="D19" s="27" t="s">
        <v>49</v>
      </c>
      <c r="E19" s="28">
        <f>E11/E17</f>
        <v>0.1896284254103025</v>
      </c>
      <c r="F19" s="28">
        <f>F11/F17</f>
        <v>0.20983283250011112</v>
      </c>
    </row>
    <row r="20" spans="4:6" s="28" customFormat="1" x14ac:dyDescent="0.2"/>
    <row r="21" spans="4:6" s="28" customFormat="1" x14ac:dyDescent="0.2"/>
    <row r="22" spans="4:6" s="28" customFormat="1" x14ac:dyDescent="0.2"/>
    <row r="23" spans="4:6" s="28" customFormat="1" x14ac:dyDescent="0.2"/>
    <row r="24" spans="4:6" s="28" customFormat="1" x14ac:dyDescent="0.2"/>
    <row r="25" spans="4:6" s="28" customFormat="1" x14ac:dyDescent="0.2"/>
    <row r="26" spans="4:6" s="28" customFormat="1" x14ac:dyDescent="0.2"/>
    <row r="27" spans="4:6" s="28" customFormat="1" x14ac:dyDescent="0.2"/>
  </sheetData>
  <pageMargins left="0.7" right="0.7" top="0.75" bottom="0.75" header="0.3" footer="0.3"/>
  <pageSetup orientation="portrait" verticalDpi="300" r:id="rId1"/>
  <headerFooter scaleWithDoc="0">
    <oddHeader>&amp;R&amp;"Times New Roman,Bold"&amp;12Attachment to Response to PSC-3 Question No. 23b
Page &amp;P of &amp;N
Seelye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5"/>
  <sheetViews>
    <sheetView zoomScaleNormal="100" workbookViewId="0"/>
  </sheetViews>
  <sheetFormatPr defaultRowHeight="15" x14ac:dyDescent="0.25"/>
  <cols>
    <col min="2" max="2" width="17.28515625" bestFit="1" customWidth="1"/>
    <col min="5" max="6" width="12.28515625" customWidth="1"/>
    <col min="7" max="7" width="2.42578125" customWidth="1"/>
  </cols>
  <sheetData>
    <row r="2" spans="2:11" ht="15" customHeight="1" x14ac:dyDescent="0.25">
      <c r="C2" s="96" t="s">
        <v>61</v>
      </c>
      <c r="D2" s="97"/>
      <c r="E2" s="51" t="s">
        <v>64</v>
      </c>
      <c r="F2" s="52" t="s">
        <v>67</v>
      </c>
      <c r="H2" s="100" t="s">
        <v>70</v>
      </c>
      <c r="I2" s="101"/>
      <c r="J2" s="100" t="s">
        <v>70</v>
      </c>
      <c r="K2" s="101"/>
    </row>
    <row r="3" spans="2:11" x14ac:dyDescent="0.25">
      <c r="C3" s="98" t="s">
        <v>63</v>
      </c>
      <c r="D3" s="99"/>
      <c r="E3" s="68" t="s">
        <v>65</v>
      </c>
      <c r="F3" s="53" t="s">
        <v>68</v>
      </c>
      <c r="H3" s="102" t="s">
        <v>86</v>
      </c>
      <c r="I3" s="103"/>
      <c r="J3" s="102" t="s">
        <v>85</v>
      </c>
      <c r="K3" s="103"/>
    </row>
    <row r="4" spans="2:11" x14ac:dyDescent="0.25">
      <c r="B4" s="56" t="s">
        <v>60</v>
      </c>
      <c r="C4" s="57" t="s">
        <v>38</v>
      </c>
      <c r="D4" s="57" t="s">
        <v>62</v>
      </c>
      <c r="E4" s="68" t="s">
        <v>66</v>
      </c>
      <c r="F4" s="54" t="s">
        <v>69</v>
      </c>
      <c r="G4" s="59"/>
      <c r="H4" s="58" t="s">
        <v>38</v>
      </c>
      <c r="I4" s="58" t="s">
        <v>62</v>
      </c>
      <c r="J4" s="55" t="s">
        <v>38</v>
      </c>
      <c r="K4" s="58" t="s">
        <v>62</v>
      </c>
    </row>
    <row r="5" spans="2:11" x14ac:dyDescent="0.25">
      <c r="B5" s="56" t="s">
        <v>73</v>
      </c>
      <c r="C5" s="62">
        <v>0.47</v>
      </c>
      <c r="D5" s="62">
        <v>0.53</v>
      </c>
      <c r="E5" s="58">
        <v>123.3</v>
      </c>
      <c r="F5" s="82">
        <v>130</v>
      </c>
      <c r="G5" s="59"/>
      <c r="H5" s="71">
        <f>$E5*C5</f>
        <v>57.950999999999993</v>
      </c>
      <c r="I5" s="73">
        <f>$E5*D5</f>
        <v>65.349000000000004</v>
      </c>
      <c r="J5" s="73">
        <f>$F5*C5</f>
        <v>61.099999999999994</v>
      </c>
      <c r="K5" s="75">
        <f>$F$5*D5</f>
        <v>68.900000000000006</v>
      </c>
    </row>
    <row r="6" spans="2:11" x14ac:dyDescent="0.25">
      <c r="B6" s="85" t="s">
        <v>71</v>
      </c>
      <c r="C6" s="63">
        <v>0.62</v>
      </c>
      <c r="D6" s="63">
        <v>0.38</v>
      </c>
      <c r="E6" s="66">
        <v>177</v>
      </c>
      <c r="F6" s="83">
        <v>146</v>
      </c>
      <c r="G6" s="59"/>
      <c r="H6" s="72">
        <f t="shared" ref="H6:H24" si="0">$E6*C6</f>
        <v>109.74</v>
      </c>
      <c r="I6" s="74">
        <f t="shared" ref="I6:I24" si="1">$E6*D6</f>
        <v>67.260000000000005</v>
      </c>
      <c r="J6" s="74">
        <f>$F6*C6</f>
        <v>90.52</v>
      </c>
      <c r="K6" s="76">
        <f t="shared" ref="K6:K24" si="2">$F6*D6</f>
        <v>55.480000000000004</v>
      </c>
    </row>
    <row r="7" spans="2:11" x14ac:dyDescent="0.25">
      <c r="B7" s="85" t="s">
        <v>72</v>
      </c>
      <c r="C7" s="63">
        <v>0.62</v>
      </c>
      <c r="D7" s="63">
        <v>0.38</v>
      </c>
      <c r="E7" s="66">
        <v>177</v>
      </c>
      <c r="F7" s="83">
        <v>146</v>
      </c>
      <c r="G7" s="59"/>
      <c r="H7" s="72">
        <f t="shared" si="0"/>
        <v>109.74</v>
      </c>
      <c r="I7" s="74">
        <f t="shared" si="1"/>
        <v>67.260000000000005</v>
      </c>
      <c r="J7" s="74">
        <f t="shared" ref="J7:J24" si="3">$F7*C7</f>
        <v>90.52</v>
      </c>
      <c r="K7" s="76">
        <f t="shared" si="2"/>
        <v>55.480000000000004</v>
      </c>
    </row>
    <row r="8" spans="2:11" x14ac:dyDescent="0.25">
      <c r="B8" s="85" t="s">
        <v>74</v>
      </c>
      <c r="C8" s="63">
        <v>1</v>
      </c>
      <c r="D8" s="65"/>
      <c r="E8" s="66">
        <v>126</v>
      </c>
      <c r="F8" s="83">
        <v>121</v>
      </c>
      <c r="G8" s="59"/>
      <c r="H8" s="72">
        <f t="shared" si="0"/>
        <v>126</v>
      </c>
      <c r="I8" s="74">
        <f t="shared" si="1"/>
        <v>0</v>
      </c>
      <c r="J8" s="74">
        <f t="shared" si="3"/>
        <v>121</v>
      </c>
      <c r="K8" s="76">
        <f t="shared" si="2"/>
        <v>0</v>
      </c>
    </row>
    <row r="9" spans="2:11" x14ac:dyDescent="0.25">
      <c r="B9" s="85" t="s">
        <v>75</v>
      </c>
      <c r="C9" s="63">
        <v>1</v>
      </c>
      <c r="D9" s="65"/>
      <c r="E9" s="66">
        <v>126</v>
      </c>
      <c r="F9" s="83">
        <v>121</v>
      </c>
      <c r="G9" s="59"/>
      <c r="H9" s="72">
        <f t="shared" si="0"/>
        <v>126</v>
      </c>
      <c r="I9" s="74">
        <f t="shared" si="1"/>
        <v>0</v>
      </c>
      <c r="J9" s="74">
        <f t="shared" si="3"/>
        <v>121</v>
      </c>
      <c r="K9" s="76">
        <f t="shared" si="2"/>
        <v>0</v>
      </c>
    </row>
    <row r="10" spans="2:11" x14ac:dyDescent="0.25">
      <c r="B10" s="85" t="s">
        <v>76</v>
      </c>
      <c r="C10" s="63">
        <v>1</v>
      </c>
      <c r="D10" s="65"/>
      <c r="E10" s="66">
        <v>126</v>
      </c>
      <c r="F10" s="83">
        <v>121</v>
      </c>
      <c r="G10" s="59"/>
      <c r="H10" s="72">
        <f t="shared" si="0"/>
        <v>126</v>
      </c>
      <c r="I10" s="74">
        <f t="shared" si="1"/>
        <v>0</v>
      </c>
      <c r="J10" s="74">
        <f t="shared" si="3"/>
        <v>121</v>
      </c>
      <c r="K10" s="76">
        <f t="shared" si="2"/>
        <v>0</v>
      </c>
    </row>
    <row r="11" spans="2:11" x14ac:dyDescent="0.25">
      <c r="B11" s="85" t="s">
        <v>77</v>
      </c>
      <c r="C11" s="63">
        <v>1</v>
      </c>
      <c r="D11" s="65"/>
      <c r="E11" s="66">
        <v>126</v>
      </c>
      <c r="F11" s="83">
        <v>121</v>
      </c>
      <c r="G11" s="59"/>
      <c r="H11" s="72">
        <f t="shared" si="0"/>
        <v>126</v>
      </c>
      <c r="I11" s="74">
        <f t="shared" si="1"/>
        <v>0</v>
      </c>
      <c r="J11" s="74">
        <f t="shared" si="3"/>
        <v>121</v>
      </c>
      <c r="K11" s="76">
        <f t="shared" si="2"/>
        <v>0</v>
      </c>
    </row>
    <row r="12" spans="2:11" x14ac:dyDescent="0.25">
      <c r="B12" s="85" t="s">
        <v>78</v>
      </c>
      <c r="C12" s="63">
        <v>0.71</v>
      </c>
      <c r="D12" s="63">
        <v>0.28999999999999998</v>
      </c>
      <c r="E12" s="66">
        <v>198.9</v>
      </c>
      <c r="F12" s="83">
        <v>159</v>
      </c>
      <c r="G12" s="59"/>
      <c r="H12" s="72">
        <f t="shared" si="0"/>
        <v>141.21899999999999</v>
      </c>
      <c r="I12" s="74">
        <f t="shared" si="1"/>
        <v>57.680999999999997</v>
      </c>
      <c r="J12" s="74">
        <f t="shared" si="3"/>
        <v>112.89</v>
      </c>
      <c r="K12" s="76">
        <f t="shared" si="2"/>
        <v>46.11</v>
      </c>
    </row>
    <row r="13" spans="2:11" x14ac:dyDescent="0.25">
      <c r="B13" s="85" t="s">
        <v>79</v>
      </c>
      <c r="C13" s="63">
        <v>0.71</v>
      </c>
      <c r="D13" s="63">
        <v>0.28999999999999998</v>
      </c>
      <c r="E13" s="66">
        <v>198.9</v>
      </c>
      <c r="F13" s="83">
        <v>159</v>
      </c>
      <c r="G13" s="59"/>
      <c r="H13" s="72">
        <f t="shared" si="0"/>
        <v>141.21899999999999</v>
      </c>
      <c r="I13" s="74">
        <f t="shared" si="1"/>
        <v>57.680999999999997</v>
      </c>
      <c r="J13" s="74">
        <f t="shared" si="3"/>
        <v>112.89</v>
      </c>
      <c r="K13" s="76">
        <f t="shared" si="2"/>
        <v>46.11</v>
      </c>
    </row>
    <row r="14" spans="2:11" x14ac:dyDescent="0.25">
      <c r="B14" s="85" t="s">
        <v>80</v>
      </c>
      <c r="C14" s="63">
        <v>0.63</v>
      </c>
      <c r="D14" s="63">
        <v>0.37</v>
      </c>
      <c r="E14" s="66">
        <v>198.9</v>
      </c>
      <c r="F14" s="83">
        <v>159</v>
      </c>
      <c r="G14" s="59"/>
      <c r="H14" s="72">
        <f t="shared" si="0"/>
        <v>125.307</v>
      </c>
      <c r="I14" s="74">
        <f t="shared" si="1"/>
        <v>73.593000000000004</v>
      </c>
      <c r="J14" s="74">
        <f t="shared" si="3"/>
        <v>100.17</v>
      </c>
      <c r="K14" s="76">
        <f t="shared" si="2"/>
        <v>58.83</v>
      </c>
    </row>
    <row r="15" spans="2:11" x14ac:dyDescent="0.25">
      <c r="B15" s="85" t="s">
        <v>81</v>
      </c>
      <c r="C15" s="63">
        <v>0.63</v>
      </c>
      <c r="D15" s="63">
        <v>0.37</v>
      </c>
      <c r="E15" s="66">
        <v>198.9</v>
      </c>
      <c r="F15" s="83">
        <v>159</v>
      </c>
      <c r="G15" s="59"/>
      <c r="H15" s="72">
        <f t="shared" si="0"/>
        <v>125.307</v>
      </c>
      <c r="I15" s="74">
        <f t="shared" si="1"/>
        <v>73.593000000000004</v>
      </c>
      <c r="J15" s="74">
        <f t="shared" si="3"/>
        <v>100.17</v>
      </c>
      <c r="K15" s="76">
        <f t="shared" si="2"/>
        <v>58.83</v>
      </c>
    </row>
    <row r="16" spans="2:11" x14ac:dyDescent="0.25">
      <c r="B16" s="85" t="s">
        <v>82</v>
      </c>
      <c r="C16" s="63">
        <v>0.63</v>
      </c>
      <c r="D16" s="63">
        <v>0.37</v>
      </c>
      <c r="E16" s="66">
        <v>198.9</v>
      </c>
      <c r="F16" s="83">
        <v>159</v>
      </c>
      <c r="G16" s="59"/>
      <c r="H16" s="72">
        <f t="shared" si="0"/>
        <v>125.307</v>
      </c>
      <c r="I16" s="74">
        <f t="shared" si="1"/>
        <v>73.593000000000004</v>
      </c>
      <c r="J16" s="74">
        <f t="shared" si="3"/>
        <v>100.17</v>
      </c>
      <c r="K16" s="76">
        <f t="shared" si="2"/>
        <v>58.83</v>
      </c>
    </row>
    <row r="17" spans="2:11" x14ac:dyDescent="0.25">
      <c r="B17" s="85" t="s">
        <v>83</v>
      </c>
      <c r="C17" s="63">
        <v>0.63</v>
      </c>
      <c r="D17" s="63">
        <v>0.37</v>
      </c>
      <c r="E17" s="66">
        <v>198.9</v>
      </c>
      <c r="F17" s="83">
        <v>159</v>
      </c>
      <c r="G17" s="59"/>
      <c r="H17" s="72">
        <f t="shared" si="0"/>
        <v>125.307</v>
      </c>
      <c r="I17" s="74">
        <f t="shared" si="1"/>
        <v>73.593000000000004</v>
      </c>
      <c r="J17" s="74">
        <f t="shared" si="3"/>
        <v>100.17</v>
      </c>
      <c r="K17" s="76">
        <f t="shared" si="2"/>
        <v>58.83</v>
      </c>
    </row>
    <row r="18" spans="2:11" x14ac:dyDescent="0.25">
      <c r="B18" s="86" t="s">
        <v>84</v>
      </c>
      <c r="C18" s="63">
        <v>0.47</v>
      </c>
      <c r="D18" s="63">
        <v>0.53</v>
      </c>
      <c r="E18" s="66">
        <v>178.2</v>
      </c>
      <c r="F18" s="83">
        <v>147</v>
      </c>
      <c r="G18" s="59"/>
      <c r="H18" s="72">
        <f t="shared" si="0"/>
        <v>83.753999999999991</v>
      </c>
      <c r="I18" s="74">
        <f t="shared" si="1"/>
        <v>94.445999999999998</v>
      </c>
      <c r="J18" s="74">
        <f t="shared" si="3"/>
        <v>69.089999999999989</v>
      </c>
      <c r="K18" s="76">
        <f t="shared" si="2"/>
        <v>77.910000000000011</v>
      </c>
    </row>
    <row r="19" spans="2:11" x14ac:dyDescent="0.25">
      <c r="B19" s="86" t="s">
        <v>89</v>
      </c>
      <c r="C19" s="63">
        <v>1</v>
      </c>
      <c r="D19" s="63"/>
      <c r="E19" s="66">
        <v>20.7</v>
      </c>
      <c r="F19" s="83">
        <v>12</v>
      </c>
      <c r="G19" s="59"/>
      <c r="H19" s="72">
        <f t="shared" si="0"/>
        <v>20.7</v>
      </c>
      <c r="I19" s="74">
        <f t="shared" si="1"/>
        <v>0</v>
      </c>
      <c r="J19" s="74">
        <f t="shared" si="3"/>
        <v>12</v>
      </c>
      <c r="K19" s="76">
        <f t="shared" si="2"/>
        <v>0</v>
      </c>
    </row>
    <row r="20" spans="2:11" x14ac:dyDescent="0.25">
      <c r="B20" s="86" t="s">
        <v>90</v>
      </c>
      <c r="C20" s="63">
        <v>1</v>
      </c>
      <c r="D20" s="63"/>
      <c r="E20" s="66">
        <v>20.7</v>
      </c>
      <c r="F20" s="83">
        <v>12</v>
      </c>
      <c r="G20" s="59"/>
      <c r="H20" s="72">
        <f t="shared" si="0"/>
        <v>20.7</v>
      </c>
      <c r="I20" s="74">
        <f t="shared" si="1"/>
        <v>0</v>
      </c>
      <c r="J20" s="74">
        <f t="shared" si="3"/>
        <v>12</v>
      </c>
      <c r="K20" s="76">
        <f t="shared" si="2"/>
        <v>0</v>
      </c>
    </row>
    <row r="21" spans="2:11" x14ac:dyDescent="0.25">
      <c r="B21" s="87" t="s">
        <v>91</v>
      </c>
      <c r="C21" s="63"/>
      <c r="D21" s="63">
        <v>1</v>
      </c>
      <c r="E21" s="66">
        <v>16.32</v>
      </c>
      <c r="F21" s="83">
        <v>14</v>
      </c>
      <c r="G21" s="59"/>
      <c r="H21" s="72">
        <f t="shared" si="0"/>
        <v>0</v>
      </c>
      <c r="I21" s="74">
        <f t="shared" si="1"/>
        <v>16.32</v>
      </c>
      <c r="J21" s="74">
        <f t="shared" si="3"/>
        <v>0</v>
      </c>
      <c r="K21" s="76">
        <f t="shared" si="2"/>
        <v>14</v>
      </c>
    </row>
    <row r="22" spans="2:11" x14ac:dyDescent="0.25">
      <c r="B22" s="87" t="s">
        <v>92</v>
      </c>
      <c r="C22" s="63"/>
      <c r="D22" s="63">
        <v>1</v>
      </c>
      <c r="E22" s="66">
        <v>16</v>
      </c>
      <c r="F22" s="83">
        <v>12</v>
      </c>
      <c r="G22" s="59"/>
      <c r="H22" s="72">
        <f t="shared" si="0"/>
        <v>0</v>
      </c>
      <c r="I22" s="74">
        <f t="shared" si="1"/>
        <v>16</v>
      </c>
      <c r="J22" s="74">
        <f t="shared" si="3"/>
        <v>0</v>
      </c>
      <c r="K22" s="76">
        <f t="shared" si="2"/>
        <v>12</v>
      </c>
    </row>
    <row r="23" spans="2:11" x14ac:dyDescent="0.25">
      <c r="B23" s="87" t="s">
        <v>93</v>
      </c>
      <c r="C23" s="63"/>
      <c r="D23" s="63">
        <v>1</v>
      </c>
      <c r="E23" s="66">
        <v>32.64</v>
      </c>
      <c r="F23" s="83">
        <v>23</v>
      </c>
      <c r="G23" s="59"/>
      <c r="H23" s="72">
        <f t="shared" si="0"/>
        <v>0</v>
      </c>
      <c r="I23" s="74">
        <f t="shared" si="1"/>
        <v>32.64</v>
      </c>
      <c r="J23" s="74">
        <f t="shared" si="3"/>
        <v>0</v>
      </c>
      <c r="K23" s="76">
        <f t="shared" si="2"/>
        <v>23</v>
      </c>
    </row>
    <row r="24" spans="2:11" x14ac:dyDescent="0.25">
      <c r="B24" s="88" t="s">
        <v>94</v>
      </c>
      <c r="C24" s="64"/>
      <c r="D24" s="64">
        <v>1</v>
      </c>
      <c r="E24" s="67">
        <v>18</v>
      </c>
      <c r="F24" s="84">
        <v>14</v>
      </c>
      <c r="G24" s="59"/>
      <c r="H24" s="69">
        <f t="shared" si="0"/>
        <v>0</v>
      </c>
      <c r="I24" s="70">
        <f t="shared" si="1"/>
        <v>18</v>
      </c>
      <c r="J24" s="70">
        <f t="shared" si="3"/>
        <v>0</v>
      </c>
      <c r="K24" s="77">
        <f t="shared" si="2"/>
        <v>14</v>
      </c>
    </row>
    <row r="25" spans="2:11" x14ac:dyDescent="0.25">
      <c r="B25" s="60" t="s">
        <v>30</v>
      </c>
      <c r="C25" s="61"/>
      <c r="D25" s="61"/>
      <c r="E25" s="69">
        <f>SUM(E5:E20)</f>
        <v>2394.2999999999997</v>
      </c>
      <c r="F25" s="70">
        <f>SUM(F5:F20)</f>
        <v>2031</v>
      </c>
      <c r="H25" s="69">
        <f>SUM(H5:H20)</f>
        <v>1690.2510000000002</v>
      </c>
      <c r="I25" s="70">
        <f>SUM(I5:I18)</f>
        <v>704.04899999999998</v>
      </c>
      <c r="J25" s="69">
        <f>SUM(J5:J20)</f>
        <v>1445.69</v>
      </c>
      <c r="K25" s="70">
        <f>SUM(K5:K18)</f>
        <v>585.30999999999995</v>
      </c>
    </row>
  </sheetData>
  <mergeCells count="6">
    <mergeCell ref="C2:D2"/>
    <mergeCell ref="C3:D3"/>
    <mergeCell ref="J2:K2"/>
    <mergeCell ref="J3:K3"/>
    <mergeCell ref="H2:I2"/>
    <mergeCell ref="H3:I3"/>
  </mergeCells>
  <pageMargins left="0.7" right="0.7" top="0.75" bottom="0.75" header="0.3" footer="0.3"/>
  <pageSetup scale="83" orientation="portrait" r:id="rId1"/>
  <headerFooter scaleWithDoc="0">
    <oddHeader>&amp;R&amp;"Times New Roman,Bold"&amp;12Attachment to Response to PSC-3 Question No. 23b
Page &amp;P of &amp;N
Seelye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DR3 Attachments</Round>
    <Rate_x0020_Case_x0020_Type xmlns="54fcda00-7b58-44a7-b108-8bd10a8a08ba">Kentucky</Rate_x0020_Case_x0020_Type>
    <Data_x0020_Request_x0020_Question_x0020_No_x002e_ xmlns="54fcda00-7b58-44a7-b108-8bd10a8a08ba">023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4DF335-665D-459B-AAF3-0ACD1E5A8C70}"/>
</file>

<file path=customXml/itemProps2.xml><?xml version="1.0" encoding="utf-8"?>
<ds:datastoreItem xmlns:ds="http://schemas.openxmlformats.org/officeDocument/2006/customXml" ds:itemID="{581503A5-180F-45AE-9011-1AC473E207E6}"/>
</file>

<file path=customXml/itemProps3.xml><?xml version="1.0" encoding="utf-8"?>
<ds:datastoreItem xmlns:ds="http://schemas.openxmlformats.org/officeDocument/2006/customXml" ds:itemID="{6380F26B-B443-4030-ABFF-E3FAE9CA7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KU</vt:lpstr>
      <vt:lpstr>LG&amp;E</vt:lpstr>
      <vt:lpstr>WACOC</vt:lpstr>
      <vt:lpstr>Accum Def Income Taxes</vt:lpstr>
      <vt:lpstr>Unit Capacity</vt:lpstr>
      <vt:lpstr>'Accum Def Income Taxes'!Print_Area</vt:lpstr>
      <vt:lpstr>KU!Print_Area</vt:lpstr>
      <vt:lpstr>WACOC!Print_Area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2017-02-15T14:58:35Z</dcterms:created>
  <dcterms:modified xsi:type="dcterms:W3CDTF">2017-02-15T15:13:27Z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